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40" yWindow="105" windowWidth="14805" windowHeight="8010" tabRatio="886" activeTab="5"/>
  </bookViews>
  <sheets>
    <sheet name="List" sheetId="73" r:id="rId1"/>
    <sheet name="suppliers" sheetId="80" r:id="rId2"/>
    <sheet name="Row" sheetId="3" r:id="rId3"/>
    <sheet name="Prep" sheetId="77" r:id="rId4"/>
    <sheet name="Menu" sheetId="74" r:id="rId5"/>
    <sheet name="Input Form" sheetId="79" r:id="rId6"/>
    <sheet name="DATA" sheetId="81" r:id="rId7"/>
  </sheets>
  <definedNames>
    <definedName name="_xlnm._FilterDatabase" localSheetId="2" hidden="1">Row!$C$1:$R$146</definedName>
    <definedName name="H_M">Menu!$C$1</definedName>
    <definedName name="H_P">Prep!$C$1</definedName>
    <definedName name="H_R">Row!$B$1</definedName>
  </definedNames>
  <calcPr calcId="162913" concurrentCalc="0"/>
</workbook>
</file>

<file path=xl/calcChain.xml><?xml version="1.0" encoding="utf-8"?>
<calcChain xmlns="http://schemas.openxmlformats.org/spreadsheetml/2006/main">
  <c r="G3" i="79" l="1"/>
  <c r="G4" i="79"/>
  <c r="A12" i="79"/>
  <c r="B12" i="79"/>
  <c r="C12" i="79"/>
  <c r="D12" i="79"/>
  <c r="E12" i="79"/>
  <c r="M12" i="79"/>
  <c r="N12" i="79"/>
  <c r="O12" i="79"/>
  <c r="P12" i="79"/>
  <c r="Q12" i="79"/>
  <c r="M9" i="79"/>
  <c r="O9" i="79"/>
  <c r="M10" i="79"/>
  <c r="O10" i="79"/>
  <c r="M11" i="79"/>
  <c r="O11" i="79"/>
  <c r="R12" i="79"/>
  <c r="A11" i="79"/>
  <c r="B11" i="79"/>
  <c r="C11" i="79"/>
  <c r="D11" i="79"/>
  <c r="E11" i="79"/>
  <c r="N11" i="79"/>
  <c r="P11" i="79"/>
  <c r="Q11" i="79"/>
  <c r="R11" i="79"/>
  <c r="E9" i="79"/>
  <c r="P9" i="79"/>
  <c r="Q9" i="79"/>
  <c r="E10" i="79"/>
  <c r="P10" i="79"/>
  <c r="Q10" i="79"/>
  <c r="R9" i="79"/>
  <c r="R10" i="79"/>
  <c r="A10" i="79"/>
  <c r="B10" i="79"/>
  <c r="C10" i="79"/>
  <c r="D10" i="79"/>
  <c r="N10" i="79"/>
  <c r="N9" i="79"/>
  <c r="Q2" i="74"/>
  <c r="I2" i="74"/>
  <c r="L2" i="74"/>
  <c r="N2" i="74"/>
  <c r="O2" i="74"/>
  <c r="I3" i="74"/>
  <c r="L3" i="74"/>
  <c r="N3" i="74"/>
  <c r="O3" i="74"/>
  <c r="I4" i="74"/>
  <c r="L4" i="74"/>
  <c r="N4" i="74"/>
  <c r="O4" i="74"/>
  <c r="I5" i="74"/>
  <c r="L5" i="74"/>
  <c r="N5" i="74"/>
  <c r="O5" i="74"/>
  <c r="I6" i="74"/>
  <c r="L6" i="74"/>
  <c r="N6" i="74"/>
  <c r="O6" i="74"/>
  <c r="I7" i="74"/>
  <c r="L7" i="74"/>
  <c r="N7" i="74"/>
  <c r="O7" i="74"/>
  <c r="I8" i="74"/>
  <c r="L8" i="74"/>
  <c r="N8" i="74"/>
  <c r="O8" i="74"/>
  <c r="I9" i="74"/>
  <c r="L9" i="74"/>
  <c r="N9" i="74"/>
  <c r="O9" i="74"/>
  <c r="I10" i="74"/>
  <c r="L10" i="74"/>
  <c r="N10" i="74"/>
  <c r="O10" i="74"/>
  <c r="I11" i="74"/>
  <c r="L11" i="74"/>
  <c r="N11" i="74"/>
  <c r="O11" i="74"/>
  <c r="I12" i="74"/>
  <c r="L12" i="74"/>
  <c r="N12" i="74"/>
  <c r="O12" i="74"/>
  <c r="I13" i="74"/>
  <c r="L13" i="74"/>
  <c r="N13" i="74"/>
  <c r="O13" i="74"/>
  <c r="I14" i="74"/>
  <c r="L14" i="74"/>
  <c r="N14" i="74"/>
  <c r="O14" i="74"/>
  <c r="I15" i="74"/>
  <c r="L15" i="74"/>
  <c r="N15" i="74"/>
  <c r="O15" i="74"/>
  <c r="I16" i="74"/>
  <c r="L16" i="74"/>
  <c r="N16" i="74"/>
  <c r="O16" i="74"/>
  <c r="I17" i="74"/>
  <c r="L17" i="74"/>
  <c r="N17" i="74"/>
  <c r="O17" i="74"/>
  <c r="I18" i="74"/>
  <c r="L18" i="74"/>
  <c r="N18" i="74"/>
  <c r="O18" i="74"/>
  <c r="I19" i="74"/>
  <c r="L19" i="74"/>
  <c r="N19" i="74"/>
  <c r="O19" i="74"/>
  <c r="I20" i="74"/>
  <c r="L20" i="74"/>
  <c r="N20" i="74"/>
  <c r="O20" i="74"/>
  <c r="I21" i="74"/>
  <c r="L21" i="74"/>
  <c r="N21" i="74"/>
  <c r="O21" i="74"/>
  <c r="I22" i="74"/>
  <c r="L22" i="74"/>
  <c r="N22" i="74"/>
  <c r="O22" i="74"/>
  <c r="I23" i="74"/>
  <c r="L23" i="74"/>
  <c r="N23" i="74"/>
  <c r="O23" i="74"/>
  <c r="I24" i="74"/>
  <c r="L24" i="74"/>
  <c r="N24" i="74"/>
  <c r="O24" i="74"/>
  <c r="I25" i="74"/>
  <c r="L25" i="74"/>
  <c r="N25" i="74"/>
  <c r="O25" i="74"/>
  <c r="I26" i="74"/>
  <c r="L26" i="74"/>
  <c r="N26" i="74"/>
  <c r="O26" i="74"/>
  <c r="I27" i="74"/>
  <c r="L27" i="74"/>
  <c r="N27" i="74"/>
  <c r="O27" i="74"/>
  <c r="I28" i="74"/>
  <c r="L28" i="74"/>
  <c r="N28" i="74"/>
  <c r="O28" i="74"/>
  <c r="I29" i="74"/>
  <c r="L29" i="74"/>
  <c r="N29" i="74"/>
  <c r="O29" i="74"/>
  <c r="I30" i="74"/>
  <c r="L30" i="74"/>
  <c r="N30" i="74"/>
  <c r="O30" i="74"/>
  <c r="I31" i="74"/>
  <c r="L31" i="74"/>
  <c r="N31" i="74"/>
  <c r="O31" i="74"/>
  <c r="I32" i="74"/>
  <c r="L32" i="74"/>
  <c r="N32" i="74"/>
  <c r="O32" i="74"/>
  <c r="I33" i="74"/>
  <c r="L33" i="74"/>
  <c r="N33" i="74"/>
  <c r="O33" i="74"/>
  <c r="I34" i="74"/>
  <c r="L34" i="74"/>
  <c r="N34" i="74"/>
  <c r="O34" i="74"/>
  <c r="I35" i="74"/>
  <c r="L35" i="74"/>
  <c r="N35" i="74"/>
  <c r="O35" i="74"/>
  <c r="I36" i="74"/>
  <c r="L36" i="74"/>
  <c r="N36" i="74"/>
  <c r="O36" i="74"/>
  <c r="I37" i="74"/>
  <c r="L37" i="74"/>
  <c r="N37" i="74"/>
  <c r="O37" i="74"/>
  <c r="I38" i="74"/>
  <c r="L38" i="74"/>
  <c r="N38" i="74"/>
  <c r="O38" i="74"/>
  <c r="I39" i="74"/>
  <c r="L39" i="74"/>
  <c r="N39" i="74"/>
  <c r="O39" i="74"/>
  <c r="I40" i="74"/>
  <c r="L40" i="74"/>
  <c r="N40" i="74"/>
  <c r="O40" i="74"/>
  <c r="I41" i="74"/>
  <c r="L41" i="74"/>
  <c r="N41" i="74"/>
  <c r="O41" i="74"/>
  <c r="I42" i="74"/>
  <c r="L42" i="74"/>
  <c r="N42" i="74"/>
  <c r="O42" i="74"/>
  <c r="I43" i="74"/>
  <c r="L43" i="74"/>
  <c r="N43" i="74"/>
  <c r="O43" i="74"/>
  <c r="I44" i="74"/>
  <c r="L44" i="74"/>
  <c r="N44" i="74"/>
  <c r="O44" i="74"/>
  <c r="I45" i="74"/>
  <c r="L45" i="74"/>
  <c r="N45" i="74"/>
  <c r="O45" i="74"/>
  <c r="I46" i="74"/>
  <c r="L46" i="74"/>
  <c r="N46" i="74"/>
  <c r="O46" i="74"/>
  <c r="I47" i="74"/>
  <c r="L47" i="74"/>
  <c r="N47" i="74"/>
  <c r="O47" i="74"/>
  <c r="I48" i="74"/>
  <c r="L48" i="74"/>
  <c r="N48" i="74"/>
  <c r="O48" i="74"/>
  <c r="I49" i="74"/>
  <c r="L49" i="74"/>
  <c r="N49" i="74"/>
  <c r="O49" i="74"/>
  <c r="I50" i="74"/>
  <c r="L50" i="74"/>
  <c r="N50" i="74"/>
  <c r="O50" i="74"/>
  <c r="I51" i="74"/>
  <c r="L51" i="74"/>
  <c r="N51" i="74"/>
  <c r="O51" i="74"/>
  <c r="I52" i="74"/>
  <c r="L52" i="74"/>
  <c r="N52" i="74"/>
  <c r="O52" i="74"/>
  <c r="I53" i="74"/>
  <c r="L53" i="74"/>
  <c r="N53" i="74"/>
  <c r="O53" i="74"/>
  <c r="I54" i="74"/>
  <c r="L54" i="74"/>
  <c r="N54" i="74"/>
  <c r="O54" i="74"/>
  <c r="I55" i="74"/>
  <c r="L55" i="74"/>
  <c r="N55" i="74"/>
  <c r="O55" i="74"/>
  <c r="I56" i="74"/>
  <c r="L56" i="74"/>
  <c r="N56" i="74"/>
  <c r="O56" i="74"/>
  <c r="I57" i="74"/>
  <c r="L57" i="74"/>
  <c r="N57" i="74"/>
  <c r="O57" i="74"/>
  <c r="I58" i="74"/>
  <c r="L58" i="74"/>
  <c r="N58" i="74"/>
  <c r="O58" i="74"/>
  <c r="I59" i="74"/>
  <c r="L59" i="74"/>
  <c r="N59" i="74"/>
  <c r="O59" i="74"/>
  <c r="I60" i="74"/>
  <c r="L60" i="74"/>
  <c r="N60" i="74"/>
  <c r="O60" i="74"/>
  <c r="I61" i="74"/>
  <c r="L61" i="74"/>
  <c r="N61" i="74"/>
  <c r="O61" i="74"/>
  <c r="I62" i="74"/>
  <c r="L62" i="74"/>
  <c r="N62" i="74"/>
  <c r="O62" i="74"/>
  <c r="I63" i="74"/>
  <c r="L63" i="74"/>
  <c r="N63" i="74"/>
  <c r="O63" i="74"/>
  <c r="I64" i="74"/>
  <c r="L64" i="74"/>
  <c r="N64" i="74"/>
  <c r="O64" i="74"/>
  <c r="I65" i="74"/>
  <c r="L65" i="74"/>
  <c r="N65" i="74"/>
  <c r="O65" i="74"/>
  <c r="I66" i="74"/>
  <c r="L66" i="74"/>
  <c r="N66" i="74"/>
  <c r="O66" i="74"/>
  <c r="I67" i="74"/>
  <c r="L67" i="74"/>
  <c r="N67" i="74"/>
  <c r="O67" i="74"/>
  <c r="I68" i="74"/>
  <c r="L68" i="74"/>
  <c r="N68" i="74"/>
  <c r="O68" i="74"/>
  <c r="I69" i="74"/>
  <c r="L69" i="74"/>
  <c r="N69" i="74"/>
  <c r="O69" i="74"/>
  <c r="I70" i="74"/>
  <c r="L70" i="74"/>
  <c r="N70" i="74"/>
  <c r="O70" i="74"/>
  <c r="I71" i="74"/>
  <c r="L71" i="74"/>
  <c r="N71" i="74"/>
  <c r="O71" i="74"/>
  <c r="I72" i="74"/>
  <c r="L72" i="74"/>
  <c r="N72" i="74"/>
  <c r="O72" i="74"/>
  <c r="I73" i="74"/>
  <c r="L73" i="74"/>
  <c r="N73" i="74"/>
  <c r="O73" i="74"/>
  <c r="I74" i="74"/>
  <c r="L74" i="74"/>
  <c r="N74" i="74"/>
  <c r="O74" i="74"/>
  <c r="F2" i="77"/>
  <c r="F13" i="77"/>
  <c r="F3" i="77"/>
  <c r="F4" i="77"/>
  <c r="F5" i="77"/>
  <c r="F6" i="77"/>
  <c r="F7" i="77"/>
  <c r="F8" i="77"/>
  <c r="F9" i="77"/>
  <c r="F10" i="77"/>
  <c r="F11" i="77"/>
  <c r="F12" i="77"/>
  <c r="F14" i="77"/>
  <c r="F15" i="77"/>
  <c r="F16" i="77"/>
  <c r="F17" i="77"/>
  <c r="F18" i="77"/>
  <c r="F19" i="77"/>
  <c r="F20" i="77"/>
  <c r="F21" i="77"/>
  <c r="F22" i="77"/>
  <c r="F23" i="77"/>
  <c r="F24" i="77"/>
  <c r="D9" i="79"/>
  <c r="C9" i="79"/>
  <c r="B9" i="79"/>
  <c r="A9" i="79"/>
  <c r="D4" i="74"/>
  <c r="D55" i="74"/>
  <c r="A69" i="74"/>
  <c r="A2" i="74"/>
  <c r="A3" i="74"/>
  <c r="A4" i="74"/>
  <c r="A5" i="74"/>
  <c r="A6" i="74"/>
  <c r="A7" i="74"/>
  <c r="A8" i="74"/>
  <c r="A9" i="74"/>
  <c r="A10" i="74"/>
  <c r="A11" i="74"/>
  <c r="A12" i="74"/>
  <c r="A13" i="74"/>
  <c r="A14" i="74"/>
  <c r="A15" i="74"/>
  <c r="A16" i="74"/>
  <c r="A17" i="74"/>
  <c r="A18" i="74"/>
  <c r="A19" i="74"/>
  <c r="A20" i="74"/>
  <c r="A21" i="74"/>
  <c r="A22" i="74"/>
  <c r="A23" i="74"/>
  <c r="A24" i="74"/>
  <c r="A25" i="74"/>
  <c r="A26" i="74"/>
  <c r="A27" i="74"/>
  <c r="A28" i="74"/>
  <c r="A29" i="74"/>
  <c r="A30" i="74"/>
  <c r="A31" i="74"/>
  <c r="A32" i="74"/>
  <c r="A33" i="74"/>
  <c r="A34" i="74"/>
  <c r="A35" i="74"/>
  <c r="A36" i="74"/>
  <c r="A37" i="74"/>
  <c r="A38" i="74"/>
  <c r="A39" i="74"/>
  <c r="A40" i="74"/>
  <c r="A41" i="74"/>
  <c r="A42" i="74"/>
  <c r="A43" i="74"/>
  <c r="A44" i="74"/>
  <c r="A45" i="74"/>
  <c r="A46" i="74"/>
  <c r="A47" i="74"/>
  <c r="A48" i="74"/>
  <c r="A49" i="74"/>
  <c r="A50" i="74"/>
  <c r="A51" i="74"/>
  <c r="A52" i="74"/>
  <c r="A53" i="74"/>
  <c r="A54" i="74"/>
  <c r="A55" i="74"/>
  <c r="A56" i="74"/>
  <c r="A57" i="74"/>
  <c r="A58" i="74"/>
  <c r="A59" i="74"/>
  <c r="A60" i="74"/>
  <c r="A61" i="74"/>
  <c r="A62" i="74"/>
  <c r="A63" i="74"/>
  <c r="A64" i="74"/>
  <c r="A65" i="74"/>
  <c r="A66" i="74"/>
  <c r="A67" i="74"/>
  <c r="A68" i="74"/>
  <c r="A70" i="74"/>
  <c r="A71" i="74"/>
  <c r="A72" i="74"/>
  <c r="A73" i="74"/>
  <c r="A74" i="74"/>
  <c r="A2" i="77"/>
  <c r="A3" i="77"/>
  <c r="A4" i="77"/>
  <c r="A5" i="77"/>
  <c r="A6" i="77"/>
  <c r="A7" i="77"/>
  <c r="A8" i="77"/>
  <c r="A9" i="77"/>
  <c r="A10" i="77"/>
  <c r="A11" i="77"/>
  <c r="A12" i="77"/>
  <c r="A13" i="77"/>
  <c r="A14" i="77"/>
  <c r="A15" i="77"/>
  <c r="A16" i="77"/>
  <c r="A17" i="77"/>
  <c r="A18" i="77"/>
  <c r="A19" i="77"/>
  <c r="A20" i="77"/>
  <c r="A21" i="77"/>
  <c r="A22" i="77"/>
  <c r="A23" i="77"/>
  <c r="A24" i="77"/>
  <c r="D69" i="74"/>
  <c r="M9" i="3"/>
  <c r="M12" i="3"/>
  <c r="M13" i="3"/>
  <c r="M16" i="3"/>
  <c r="M97" i="3"/>
  <c r="M98" i="3"/>
  <c r="M99" i="3"/>
  <c r="M103" i="3"/>
  <c r="M120" i="3"/>
  <c r="M121" i="3"/>
  <c r="M123" i="3"/>
  <c r="M124" i="3"/>
  <c r="M125" i="3"/>
  <c r="M126" i="3"/>
  <c r="M129" i="3"/>
  <c r="M134" i="3"/>
  <c r="M135" i="3"/>
  <c r="M136" i="3"/>
  <c r="M139" i="3"/>
  <c r="M140" i="3"/>
  <c r="M141" i="3"/>
  <c r="L146" i="3"/>
  <c r="N146" i="3"/>
  <c r="P146" i="3"/>
  <c r="Q146" i="3"/>
  <c r="R146" i="3"/>
  <c r="S146" i="3"/>
  <c r="D74" i="74"/>
  <c r="D73" i="74"/>
  <c r="D72" i="74"/>
  <c r="D71" i="74"/>
  <c r="D70" i="74"/>
  <c r="D68" i="74"/>
  <c r="D67" i="74"/>
  <c r="D66" i="74"/>
  <c r="D65" i="74"/>
  <c r="D64" i="74"/>
  <c r="D63" i="74"/>
  <c r="D62" i="74"/>
  <c r="D61" i="74"/>
  <c r="D60" i="74"/>
  <c r="D59" i="74"/>
  <c r="D58" i="74"/>
  <c r="D57" i="74"/>
  <c r="D56" i="74"/>
  <c r="D54" i="74"/>
  <c r="D53" i="74"/>
  <c r="D52" i="74"/>
  <c r="D51" i="74"/>
  <c r="D50" i="74"/>
  <c r="D49" i="74"/>
  <c r="D48" i="74"/>
  <c r="D47" i="74"/>
  <c r="D46" i="74"/>
  <c r="D45" i="74"/>
  <c r="D44" i="74"/>
  <c r="D43" i="74"/>
  <c r="D42" i="74"/>
  <c r="D41" i="74"/>
  <c r="D40" i="74"/>
  <c r="D39" i="74"/>
  <c r="D38" i="74"/>
  <c r="D37" i="74"/>
  <c r="D36" i="74"/>
  <c r="D35" i="74"/>
  <c r="D34" i="74"/>
  <c r="D33" i="74"/>
  <c r="D32" i="74"/>
  <c r="D31" i="74"/>
  <c r="D30" i="74"/>
  <c r="D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8" i="74"/>
  <c r="D7" i="74"/>
  <c r="D6" i="74"/>
  <c r="D5" i="74"/>
  <c r="D3" i="74"/>
  <c r="D2" i="74"/>
  <c r="Q18" i="74"/>
  <c r="U18" i="74"/>
  <c r="Q23" i="74"/>
  <c r="R23" i="74"/>
  <c r="T23" i="74"/>
  <c r="Q34" i="74"/>
  <c r="U34" i="74"/>
  <c r="Q36" i="74"/>
  <c r="R36" i="74"/>
  <c r="T36" i="74"/>
  <c r="Q37" i="74"/>
  <c r="U37" i="74"/>
  <c r="Q47" i="74"/>
  <c r="R47" i="74"/>
  <c r="T47" i="74"/>
  <c r="Q53" i="74"/>
  <c r="U53" i="74"/>
  <c r="Q57" i="74"/>
  <c r="R57" i="74"/>
  <c r="Q61" i="74"/>
  <c r="R61" i="74"/>
  <c r="S61" i="74"/>
  <c r="Q63" i="74"/>
  <c r="R63" i="74"/>
  <c r="T63" i="74"/>
  <c r="Q66" i="74"/>
  <c r="U66" i="74"/>
  <c r="Q73" i="74"/>
  <c r="R73" i="74"/>
  <c r="Q3" i="74"/>
  <c r="Q4" i="74"/>
  <c r="Q5" i="74"/>
  <c r="Q6" i="74"/>
  <c r="Q7" i="74"/>
  <c r="Q8" i="74"/>
  <c r="Q9" i="74"/>
  <c r="Q10" i="74"/>
  <c r="Q11" i="74"/>
  <c r="Q12" i="74"/>
  <c r="Q13" i="74"/>
  <c r="Q14" i="74"/>
  <c r="Q15" i="74"/>
  <c r="Q16" i="74"/>
  <c r="Q17" i="74"/>
  <c r="Q19" i="74"/>
  <c r="Q20" i="74"/>
  <c r="Q21" i="74"/>
  <c r="Q22" i="74"/>
  <c r="Q24" i="74"/>
  <c r="Q25" i="74"/>
  <c r="Q26" i="74"/>
  <c r="Q27" i="74"/>
  <c r="Q28" i="74"/>
  <c r="Q29" i="74"/>
  <c r="Q30" i="74"/>
  <c r="Q31" i="74"/>
  <c r="Q32" i="74"/>
  <c r="Q33" i="74"/>
  <c r="Q35" i="74"/>
  <c r="Q38" i="74"/>
  <c r="Q39" i="74"/>
  <c r="Q40" i="74"/>
  <c r="Q41" i="74"/>
  <c r="Q42" i="74"/>
  <c r="Q43" i="74"/>
  <c r="Q44" i="74"/>
  <c r="Q45" i="74"/>
  <c r="Q46" i="74"/>
  <c r="Q48" i="74"/>
  <c r="Q49" i="74"/>
  <c r="Q50" i="74"/>
  <c r="Q51" i="74"/>
  <c r="Q52" i="74"/>
  <c r="Q54" i="74"/>
  <c r="Q55" i="74"/>
  <c r="Q56" i="74"/>
  <c r="Q58" i="74"/>
  <c r="Q59" i="74"/>
  <c r="Q60" i="74"/>
  <c r="Q62" i="74"/>
  <c r="Q64" i="74"/>
  <c r="Q65" i="74"/>
  <c r="Q67" i="74"/>
  <c r="Q68" i="74"/>
  <c r="Q69" i="74"/>
  <c r="Q70" i="74"/>
  <c r="Q71" i="74"/>
  <c r="Q72" i="74"/>
  <c r="Q74" i="74"/>
  <c r="U74" i="74"/>
  <c r="U71" i="74"/>
  <c r="U69" i="74"/>
  <c r="R56" i="74"/>
  <c r="T56" i="74"/>
  <c r="U50" i="74"/>
  <c r="R45" i="74"/>
  <c r="S45" i="74"/>
  <c r="R41" i="74"/>
  <c r="T41" i="74"/>
  <c r="R40" i="74"/>
  <c r="T40" i="74"/>
  <c r="U31" i="74"/>
  <c r="U29" i="74"/>
  <c r="R28" i="74"/>
  <c r="T28" i="74"/>
  <c r="U15" i="74"/>
  <c r="U13" i="74"/>
  <c r="R12" i="74"/>
  <c r="T12" i="74"/>
  <c r="U10" i="74"/>
  <c r="R7" i="74"/>
  <c r="T7" i="74"/>
  <c r="U58" i="74"/>
  <c r="R39" i="74"/>
  <c r="T39" i="74"/>
  <c r="R53" i="74"/>
  <c r="S53" i="74"/>
  <c r="R37" i="74"/>
  <c r="S37" i="74"/>
  <c r="R52" i="74"/>
  <c r="T52" i="74"/>
  <c r="R64" i="74"/>
  <c r="T64" i="74"/>
  <c r="R16" i="74"/>
  <c r="T16" i="74"/>
  <c r="R25" i="74"/>
  <c r="S25" i="74"/>
  <c r="R72" i="74"/>
  <c r="T72" i="74"/>
  <c r="R48" i="74"/>
  <c r="T48" i="74"/>
  <c r="R20" i="74"/>
  <c r="T20" i="74"/>
  <c r="R24" i="74"/>
  <c r="T24" i="74"/>
  <c r="R60" i="74"/>
  <c r="T60" i="74"/>
  <c r="U39" i="74"/>
  <c r="R18" i="74"/>
  <c r="S18" i="74"/>
  <c r="U64" i="74"/>
  <c r="R59" i="74"/>
  <c r="S59" i="74"/>
  <c r="U48" i="74"/>
  <c r="R34" i="74"/>
  <c r="U24" i="74"/>
  <c r="U73" i="74"/>
  <c r="U61" i="74"/>
  <c r="R58" i="74"/>
  <c r="S58" i="74"/>
  <c r="S36" i="74"/>
  <c r="U21" i="74"/>
  <c r="U17" i="74"/>
  <c r="U72" i="74"/>
  <c r="R67" i="74"/>
  <c r="S67" i="74"/>
  <c r="U52" i="74"/>
  <c r="R27" i="74"/>
  <c r="T27" i="74"/>
  <c r="R21" i="74"/>
  <c r="S21" i="74"/>
  <c r="U16" i="74"/>
  <c r="U63" i="74"/>
  <c r="U57" i="74"/>
  <c r="U47" i="74"/>
  <c r="U36" i="74"/>
  <c r="U26" i="74"/>
  <c r="U23" i="74"/>
  <c r="R35" i="74"/>
  <c r="S35" i="74"/>
  <c r="R26" i="74"/>
  <c r="S26" i="74"/>
  <c r="R66" i="74"/>
  <c r="S63" i="74"/>
  <c r="S47" i="74"/>
  <c r="S23" i="74"/>
  <c r="U20" i="74"/>
  <c r="U65" i="74"/>
  <c r="U60" i="74"/>
  <c r="U49" i="74"/>
  <c r="U25" i="74"/>
  <c r="R19" i="74"/>
  <c r="T19" i="74"/>
  <c r="R38" i="74"/>
  <c r="U38" i="74"/>
  <c r="R65" i="74"/>
  <c r="R54" i="74"/>
  <c r="U54" i="74"/>
  <c r="R22" i="74"/>
  <c r="U22" i="74"/>
  <c r="S57" i="74"/>
  <c r="T57" i="74"/>
  <c r="S73" i="74"/>
  <c r="T73" i="74"/>
  <c r="R62" i="74"/>
  <c r="U62" i="74"/>
  <c r="R49" i="74"/>
  <c r="R17" i="74"/>
  <c r="T61" i="74"/>
  <c r="U67" i="74"/>
  <c r="U59" i="74"/>
  <c r="U35" i="74"/>
  <c r="U27" i="74"/>
  <c r="U19" i="74"/>
  <c r="U70" i="74"/>
  <c r="R70" i="74"/>
  <c r="T70" i="74"/>
  <c r="R68" i="74"/>
  <c r="T68" i="74"/>
  <c r="U68" i="74"/>
  <c r="R74" i="74"/>
  <c r="S74" i="74"/>
  <c r="R50" i="74"/>
  <c r="S50" i="74"/>
  <c r="R69" i="74"/>
  <c r="S69" i="74"/>
  <c r="U51" i="74"/>
  <c r="R71" i="74"/>
  <c r="S71" i="74"/>
  <c r="R51" i="74"/>
  <c r="T51" i="74"/>
  <c r="U46" i="74"/>
  <c r="U56" i="74"/>
  <c r="R55" i="74"/>
  <c r="T55" i="74"/>
  <c r="U55" i="74"/>
  <c r="R46" i="74"/>
  <c r="T46" i="74"/>
  <c r="S56" i="74"/>
  <c r="R43" i="74"/>
  <c r="T43" i="74"/>
  <c r="U43" i="74"/>
  <c r="U41" i="74"/>
  <c r="U42" i="74"/>
  <c r="T45" i="74"/>
  <c r="U45" i="74"/>
  <c r="U44" i="74"/>
  <c r="R44" i="74"/>
  <c r="T44" i="74"/>
  <c r="S40" i="74"/>
  <c r="S41" i="74"/>
  <c r="R42" i="74"/>
  <c r="S42" i="74"/>
  <c r="U40" i="74"/>
  <c r="U33" i="74"/>
  <c r="R33" i="74"/>
  <c r="T33" i="74"/>
  <c r="R29" i="74"/>
  <c r="S29" i="74"/>
  <c r="U32" i="74"/>
  <c r="R32" i="74"/>
  <c r="T32" i="74"/>
  <c r="R31" i="74"/>
  <c r="S31" i="74"/>
  <c r="U30" i="74"/>
  <c r="R30" i="74"/>
  <c r="T30" i="74"/>
  <c r="U28" i="74"/>
  <c r="S28" i="74"/>
  <c r="T37" i="74"/>
  <c r="R14" i="74"/>
  <c r="S14" i="74"/>
  <c r="U14" i="74"/>
  <c r="R15" i="74"/>
  <c r="T15" i="74"/>
  <c r="T69" i="74"/>
  <c r="R13" i="74"/>
  <c r="S13" i="74"/>
  <c r="U12" i="74"/>
  <c r="U11" i="74"/>
  <c r="R11" i="74"/>
  <c r="S11" i="74"/>
  <c r="S39" i="74"/>
  <c r="R10" i="74"/>
  <c r="S10" i="74"/>
  <c r="U8" i="74"/>
  <c r="U6" i="74"/>
  <c r="R6" i="74"/>
  <c r="T6" i="74"/>
  <c r="S7" i="74"/>
  <c r="U7" i="74"/>
  <c r="R8" i="74"/>
  <c r="T8" i="74"/>
  <c r="U9" i="74"/>
  <c r="R9" i="74"/>
  <c r="S9" i="74"/>
  <c r="S52" i="74"/>
  <c r="S64" i="74"/>
  <c r="T35" i="74"/>
  <c r="T53" i="74"/>
  <c r="T59" i="74"/>
  <c r="S27" i="74"/>
  <c r="T18" i="74"/>
  <c r="T21" i="74"/>
  <c r="T26" i="74"/>
  <c r="S19" i="74"/>
  <c r="T25" i="74"/>
  <c r="T58" i="74"/>
  <c r="S20" i="74"/>
  <c r="S12" i="74"/>
  <c r="S16" i="74"/>
  <c r="S48" i="74"/>
  <c r="S72" i="74"/>
  <c r="S60" i="74"/>
  <c r="S24" i="74"/>
  <c r="S34" i="74"/>
  <c r="T34" i="74"/>
  <c r="T67" i="74"/>
  <c r="S66" i="74"/>
  <c r="T66" i="74"/>
  <c r="S54" i="74"/>
  <c r="T54" i="74"/>
  <c r="S65" i="74"/>
  <c r="T65" i="74"/>
  <c r="S38" i="74"/>
  <c r="T38" i="74"/>
  <c r="S17" i="74"/>
  <c r="T17" i="74"/>
  <c r="S49" i="74"/>
  <c r="T49" i="74"/>
  <c r="S22" i="74"/>
  <c r="T22" i="74"/>
  <c r="S62" i="74"/>
  <c r="T62" i="74"/>
  <c r="S70" i="74"/>
  <c r="S68" i="74"/>
  <c r="T74" i="74"/>
  <c r="T50" i="74"/>
  <c r="S46" i="74"/>
  <c r="T71" i="74"/>
  <c r="S51" i="74"/>
  <c r="S55" i="74"/>
  <c r="S43" i="74"/>
  <c r="T42" i="74"/>
  <c r="S44" i="74"/>
  <c r="S30" i="74"/>
  <c r="S32" i="74"/>
  <c r="S33" i="74"/>
  <c r="T29" i="74"/>
  <c r="T31" i="74"/>
  <c r="S15" i="74"/>
  <c r="S8" i="74"/>
  <c r="T10" i="74"/>
  <c r="S6" i="74"/>
  <c r="T11" i="74"/>
  <c r="T13" i="74"/>
  <c r="T14" i="74"/>
  <c r="T9" i="74"/>
  <c r="R5" i="74"/>
  <c r="U5" i="74"/>
  <c r="U4" i="74"/>
  <c r="R4" i="74"/>
  <c r="T4" i="74"/>
  <c r="R3" i="74"/>
  <c r="T3" i="74"/>
  <c r="U3" i="74"/>
  <c r="S5" i="74"/>
  <c r="T5" i="74"/>
  <c r="S4" i="74"/>
  <c r="S3" i="74"/>
  <c r="L70" i="3"/>
  <c r="N70" i="3"/>
  <c r="R70" i="3"/>
  <c r="L45" i="3"/>
  <c r="N45" i="3"/>
  <c r="R45" i="3"/>
  <c r="L7" i="3"/>
  <c r="N7" i="3"/>
  <c r="R7" i="3"/>
  <c r="L2" i="3"/>
  <c r="N2" i="3"/>
  <c r="R2" i="3"/>
  <c r="L3" i="3"/>
  <c r="N3" i="3"/>
  <c r="R3" i="3"/>
  <c r="L4" i="3"/>
  <c r="N4" i="3"/>
  <c r="R4" i="3"/>
  <c r="L5" i="3"/>
  <c r="N5" i="3"/>
  <c r="R5" i="3"/>
  <c r="L6" i="3"/>
  <c r="N6" i="3"/>
  <c r="R6" i="3"/>
  <c r="L8" i="3"/>
  <c r="N8" i="3"/>
  <c r="R8" i="3"/>
  <c r="L9" i="3"/>
  <c r="N9" i="3"/>
  <c r="R9" i="3"/>
  <c r="L10" i="3"/>
  <c r="N10" i="3"/>
  <c r="R10" i="3"/>
  <c r="L11" i="3"/>
  <c r="N11" i="3"/>
  <c r="R11" i="3"/>
  <c r="L12" i="3"/>
  <c r="N12" i="3"/>
  <c r="R12" i="3"/>
  <c r="L13" i="3"/>
  <c r="N13" i="3"/>
  <c r="R13" i="3"/>
  <c r="L14" i="3"/>
  <c r="N14" i="3"/>
  <c r="R14" i="3"/>
  <c r="L15" i="3"/>
  <c r="N15" i="3"/>
  <c r="R15" i="3"/>
  <c r="L16" i="3"/>
  <c r="N16" i="3"/>
  <c r="R16" i="3"/>
  <c r="L17" i="3"/>
  <c r="N17" i="3"/>
  <c r="R17" i="3"/>
  <c r="L18" i="3"/>
  <c r="N18" i="3"/>
  <c r="R18" i="3"/>
  <c r="L19" i="3"/>
  <c r="N19" i="3"/>
  <c r="R19" i="3"/>
  <c r="L20" i="3"/>
  <c r="N20" i="3"/>
  <c r="R20" i="3"/>
  <c r="L21" i="3"/>
  <c r="N21" i="3"/>
  <c r="R21" i="3"/>
  <c r="L22" i="3"/>
  <c r="N22" i="3"/>
  <c r="R22" i="3"/>
  <c r="L23" i="3"/>
  <c r="N23" i="3"/>
  <c r="R23" i="3"/>
  <c r="L24" i="3"/>
  <c r="N24" i="3"/>
  <c r="R24" i="3"/>
  <c r="L25" i="3"/>
  <c r="N25" i="3"/>
  <c r="R25" i="3"/>
  <c r="L26" i="3"/>
  <c r="N26" i="3"/>
  <c r="R26" i="3"/>
  <c r="L27" i="3"/>
  <c r="N27" i="3"/>
  <c r="R27" i="3"/>
  <c r="L28" i="3"/>
  <c r="N28" i="3"/>
  <c r="R28" i="3"/>
  <c r="L29" i="3"/>
  <c r="N29" i="3"/>
  <c r="R29" i="3"/>
  <c r="L30" i="3"/>
  <c r="N30" i="3"/>
  <c r="R30" i="3"/>
  <c r="L31" i="3"/>
  <c r="N31" i="3"/>
  <c r="R31" i="3"/>
  <c r="L32" i="3"/>
  <c r="N32" i="3"/>
  <c r="R32" i="3"/>
  <c r="L33" i="3"/>
  <c r="N33" i="3"/>
  <c r="R33" i="3"/>
  <c r="L34" i="3"/>
  <c r="N34" i="3"/>
  <c r="R34" i="3"/>
  <c r="L35" i="3"/>
  <c r="N35" i="3"/>
  <c r="R35" i="3"/>
  <c r="L36" i="3"/>
  <c r="N36" i="3"/>
  <c r="R36" i="3"/>
  <c r="L37" i="3"/>
  <c r="N37" i="3"/>
  <c r="R37" i="3"/>
  <c r="L38" i="3"/>
  <c r="N38" i="3"/>
  <c r="R38" i="3"/>
  <c r="L39" i="3"/>
  <c r="N39" i="3"/>
  <c r="R39" i="3"/>
  <c r="L40" i="3"/>
  <c r="N40" i="3"/>
  <c r="R40" i="3"/>
  <c r="L41" i="3"/>
  <c r="N41" i="3"/>
  <c r="R41" i="3"/>
  <c r="L42" i="3"/>
  <c r="N42" i="3"/>
  <c r="R42" i="3"/>
  <c r="L43" i="3"/>
  <c r="N43" i="3"/>
  <c r="R43" i="3"/>
  <c r="L44" i="3"/>
  <c r="N44" i="3"/>
  <c r="R44" i="3"/>
  <c r="L46" i="3"/>
  <c r="N46" i="3"/>
  <c r="R46" i="3"/>
  <c r="L47" i="3"/>
  <c r="Q47" i="3"/>
  <c r="L48" i="3"/>
  <c r="N48" i="3"/>
  <c r="R48" i="3"/>
  <c r="L49" i="3"/>
  <c r="N49" i="3"/>
  <c r="R49" i="3"/>
  <c r="L50" i="3"/>
  <c r="N50" i="3"/>
  <c r="R50" i="3"/>
  <c r="L51" i="3"/>
  <c r="N51" i="3"/>
  <c r="R51" i="3"/>
  <c r="L52" i="3"/>
  <c r="N52" i="3"/>
  <c r="R52" i="3"/>
  <c r="L53" i="3"/>
  <c r="N53" i="3"/>
  <c r="R53" i="3"/>
  <c r="L54" i="3"/>
  <c r="N54" i="3"/>
  <c r="R54" i="3"/>
  <c r="L55" i="3"/>
  <c r="N55" i="3"/>
  <c r="R55" i="3"/>
  <c r="L56" i="3"/>
  <c r="N56" i="3"/>
  <c r="R56" i="3"/>
  <c r="L57" i="3"/>
  <c r="N57" i="3"/>
  <c r="R57" i="3"/>
  <c r="L58" i="3"/>
  <c r="N58" i="3"/>
  <c r="R58" i="3"/>
  <c r="L59" i="3"/>
  <c r="Q59" i="3"/>
  <c r="L60" i="3"/>
  <c r="N60" i="3"/>
  <c r="R60" i="3"/>
  <c r="L61" i="3"/>
  <c r="N61" i="3"/>
  <c r="R61" i="3"/>
  <c r="L62" i="3"/>
  <c r="N62" i="3"/>
  <c r="R62" i="3"/>
  <c r="L63" i="3"/>
  <c r="N63" i="3"/>
  <c r="R63" i="3"/>
  <c r="L64" i="3"/>
  <c r="N64" i="3"/>
  <c r="R64" i="3"/>
  <c r="L65" i="3"/>
  <c r="N65" i="3"/>
  <c r="R65" i="3"/>
  <c r="L66" i="3"/>
  <c r="N66" i="3"/>
  <c r="R66" i="3"/>
  <c r="L67" i="3"/>
  <c r="N67" i="3"/>
  <c r="R67" i="3"/>
  <c r="L68" i="3"/>
  <c r="N68" i="3"/>
  <c r="R68" i="3"/>
  <c r="L69" i="3"/>
  <c r="N69" i="3"/>
  <c r="R69" i="3"/>
  <c r="L71" i="3"/>
  <c r="N71" i="3"/>
  <c r="R71" i="3"/>
  <c r="L72" i="3"/>
  <c r="N72" i="3"/>
  <c r="R72" i="3"/>
  <c r="L73" i="3"/>
  <c r="N73" i="3"/>
  <c r="R73" i="3"/>
  <c r="L74" i="3"/>
  <c r="N74" i="3"/>
  <c r="R74" i="3"/>
  <c r="L75" i="3"/>
  <c r="N75" i="3"/>
  <c r="R75" i="3"/>
  <c r="L76" i="3"/>
  <c r="N76" i="3"/>
  <c r="R76" i="3"/>
  <c r="L77" i="3"/>
  <c r="N77" i="3"/>
  <c r="R77" i="3"/>
  <c r="L78" i="3"/>
  <c r="N78" i="3"/>
  <c r="R78" i="3"/>
  <c r="L79" i="3"/>
  <c r="N79" i="3"/>
  <c r="R79" i="3"/>
  <c r="L80" i="3"/>
  <c r="N80" i="3"/>
  <c r="R80" i="3"/>
  <c r="L81" i="3"/>
  <c r="N81" i="3"/>
  <c r="R81" i="3"/>
  <c r="L82" i="3"/>
  <c r="N82" i="3"/>
  <c r="R82" i="3"/>
  <c r="L83" i="3"/>
  <c r="N83" i="3"/>
  <c r="R83" i="3"/>
  <c r="L84" i="3"/>
  <c r="Q84" i="3"/>
  <c r="L85" i="3"/>
  <c r="N85" i="3"/>
  <c r="R85" i="3"/>
  <c r="L86" i="3"/>
  <c r="N86" i="3"/>
  <c r="R86" i="3"/>
  <c r="L87" i="3"/>
  <c r="N87" i="3"/>
  <c r="R87" i="3"/>
  <c r="L88" i="3"/>
  <c r="N88" i="3"/>
  <c r="R88" i="3"/>
  <c r="L89" i="3"/>
  <c r="N89" i="3"/>
  <c r="R89" i="3"/>
  <c r="L90" i="3"/>
  <c r="N90" i="3"/>
  <c r="R90" i="3"/>
  <c r="L91" i="3"/>
  <c r="N91" i="3"/>
  <c r="R91" i="3"/>
  <c r="L92" i="3"/>
  <c r="N92" i="3"/>
  <c r="R92" i="3"/>
  <c r="L93" i="3"/>
  <c r="N93" i="3"/>
  <c r="R93" i="3"/>
  <c r="L94" i="3"/>
  <c r="N94" i="3"/>
  <c r="R94" i="3"/>
  <c r="L95" i="3"/>
  <c r="N95" i="3"/>
  <c r="R95" i="3"/>
  <c r="L96" i="3"/>
  <c r="N96" i="3"/>
  <c r="R96" i="3"/>
  <c r="L97" i="3"/>
  <c r="N97" i="3"/>
  <c r="R97" i="3"/>
  <c r="L98" i="3"/>
  <c r="N98" i="3"/>
  <c r="R98" i="3"/>
  <c r="L99" i="3"/>
  <c r="N99" i="3"/>
  <c r="R99" i="3"/>
  <c r="L100" i="3"/>
  <c r="Q100" i="3"/>
  <c r="L101" i="3"/>
  <c r="N101" i="3"/>
  <c r="R101" i="3"/>
  <c r="L102" i="3"/>
  <c r="N102" i="3"/>
  <c r="R102" i="3"/>
  <c r="L103" i="3"/>
  <c r="N103" i="3"/>
  <c r="R103" i="3"/>
  <c r="L104" i="3"/>
  <c r="N104" i="3"/>
  <c r="R104" i="3"/>
  <c r="L105" i="3"/>
  <c r="N105" i="3"/>
  <c r="R105" i="3"/>
  <c r="L106" i="3"/>
  <c r="N106" i="3"/>
  <c r="R106" i="3"/>
  <c r="L107" i="3"/>
  <c r="N107" i="3"/>
  <c r="R107" i="3"/>
  <c r="L108" i="3"/>
  <c r="N108" i="3"/>
  <c r="R108" i="3"/>
  <c r="L109" i="3"/>
  <c r="N109" i="3"/>
  <c r="R109" i="3"/>
  <c r="L110" i="3"/>
  <c r="N110" i="3"/>
  <c r="R110" i="3"/>
  <c r="L111" i="3"/>
  <c r="N111" i="3"/>
  <c r="R111" i="3"/>
  <c r="L112" i="3"/>
  <c r="N112" i="3"/>
  <c r="R112" i="3"/>
  <c r="L113" i="3"/>
  <c r="N113" i="3"/>
  <c r="R113" i="3"/>
  <c r="L114" i="3"/>
  <c r="N114" i="3"/>
  <c r="R114" i="3"/>
  <c r="L115" i="3"/>
  <c r="N115" i="3"/>
  <c r="R115" i="3"/>
  <c r="L116" i="3"/>
  <c r="N116" i="3"/>
  <c r="R116" i="3"/>
  <c r="L117" i="3"/>
  <c r="N117" i="3"/>
  <c r="R117" i="3"/>
  <c r="L118" i="3"/>
  <c r="Q118" i="3"/>
  <c r="L119" i="3"/>
  <c r="N119" i="3"/>
  <c r="R119" i="3"/>
  <c r="L120" i="3"/>
  <c r="N120" i="3"/>
  <c r="R120" i="3"/>
  <c r="L121" i="3"/>
  <c r="N121" i="3"/>
  <c r="R121" i="3"/>
  <c r="L122" i="3"/>
  <c r="N122" i="3"/>
  <c r="R122" i="3"/>
  <c r="L123" i="3"/>
  <c r="N123" i="3"/>
  <c r="R123" i="3"/>
  <c r="L124" i="3"/>
  <c r="N124" i="3"/>
  <c r="R124" i="3"/>
  <c r="L125" i="3"/>
  <c r="N125" i="3"/>
  <c r="R125" i="3"/>
  <c r="L126" i="3"/>
  <c r="N126" i="3"/>
  <c r="R126" i="3"/>
  <c r="L127" i="3"/>
  <c r="Q127" i="3"/>
  <c r="L128" i="3"/>
  <c r="N128" i="3"/>
  <c r="R128" i="3"/>
  <c r="L129" i="3"/>
  <c r="N129" i="3"/>
  <c r="R129" i="3"/>
  <c r="L130" i="3"/>
  <c r="N130" i="3"/>
  <c r="R130" i="3"/>
  <c r="L131" i="3"/>
  <c r="N131" i="3"/>
  <c r="R131" i="3"/>
  <c r="L132" i="3"/>
  <c r="N132" i="3"/>
  <c r="R132" i="3"/>
  <c r="L133" i="3"/>
  <c r="N133" i="3"/>
  <c r="R133" i="3"/>
  <c r="L134" i="3"/>
  <c r="N134" i="3"/>
  <c r="R134" i="3"/>
  <c r="L135" i="3"/>
  <c r="Q135" i="3"/>
  <c r="L136" i="3"/>
  <c r="N136" i="3"/>
  <c r="R136" i="3"/>
  <c r="L137" i="3"/>
  <c r="N137" i="3"/>
  <c r="R137" i="3"/>
  <c r="L138" i="3"/>
  <c r="N138" i="3"/>
  <c r="R138" i="3"/>
  <c r="L139" i="3"/>
  <c r="N139" i="3"/>
  <c r="R139" i="3"/>
  <c r="L140" i="3"/>
  <c r="Q140" i="3"/>
  <c r="L141" i="3"/>
  <c r="N141" i="3"/>
  <c r="R141" i="3"/>
  <c r="L142" i="3"/>
  <c r="N142" i="3"/>
  <c r="R142" i="3"/>
  <c r="L143" i="3"/>
  <c r="Q143" i="3"/>
  <c r="L144" i="3"/>
  <c r="N144" i="3"/>
  <c r="R144" i="3"/>
  <c r="L145" i="3"/>
  <c r="N145" i="3"/>
  <c r="R145" i="3"/>
  <c r="Q2" i="3"/>
  <c r="Q3" i="3"/>
  <c r="Q4" i="3"/>
  <c r="Q5" i="3"/>
  <c r="Q6" i="3"/>
  <c r="Q11" i="3"/>
  <c r="Q12" i="3"/>
  <c r="Q14" i="3"/>
  <c r="Q19" i="3"/>
  <c r="Q20" i="3"/>
  <c r="Q22" i="3"/>
  <c r="Q28" i="3"/>
  <c r="Q30" i="3"/>
  <c r="Q34" i="3"/>
  <c r="Q35" i="3"/>
  <c r="Q36" i="3"/>
  <c r="Q43" i="3"/>
  <c r="Q45" i="3"/>
  <c r="Q48" i="3"/>
  <c r="Q51" i="3"/>
  <c r="Q55" i="3"/>
  <c r="Q63" i="3"/>
  <c r="Q70" i="3"/>
  <c r="Q72" i="3"/>
  <c r="Q85" i="3"/>
  <c r="Q92" i="3"/>
  <c r="Q94" i="3"/>
  <c r="Q104" i="3"/>
  <c r="Q120" i="3"/>
  <c r="Q128" i="3"/>
  <c r="P2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U2" i="74"/>
  <c r="R2" i="74"/>
  <c r="S2" i="74"/>
  <c r="Q78" i="3"/>
  <c r="Q13" i="3"/>
  <c r="Q46" i="3"/>
  <c r="Q105" i="3"/>
  <c r="Q101" i="3"/>
  <c r="Q124" i="3"/>
  <c r="Q116" i="3"/>
  <c r="Q76" i="3"/>
  <c r="Q26" i="3"/>
  <c r="Q10" i="3"/>
  <c r="Q42" i="3"/>
  <c r="Q7" i="3"/>
  <c r="Q18" i="3"/>
  <c r="Q117" i="3"/>
  <c r="Q89" i="3"/>
  <c r="Q109" i="3"/>
  <c r="Q110" i="3"/>
  <c r="Q102" i="3"/>
  <c r="Q82" i="3"/>
  <c r="Q65" i="3"/>
  <c r="Q57" i="3"/>
  <c r="Q115" i="3"/>
  <c r="Q144" i="3"/>
  <c r="Q112" i="3"/>
  <c r="Q97" i="3"/>
  <c r="Q136" i="3"/>
  <c r="Q111" i="3"/>
  <c r="Q96" i="3"/>
  <c r="Q74" i="3"/>
  <c r="Q86" i="3"/>
  <c r="Q71" i="3"/>
  <c r="Q114" i="3"/>
  <c r="Q134" i="3"/>
  <c r="Q79" i="3"/>
  <c r="Q62" i="3"/>
  <c r="N84" i="3"/>
  <c r="R84" i="3"/>
  <c r="Q83" i="3"/>
  <c r="Q41" i="3"/>
  <c r="Q25" i="3"/>
  <c r="Q66" i="3"/>
  <c r="Q50" i="3"/>
  <c r="Q145" i="3"/>
  <c r="Q106" i="3"/>
  <c r="Q90" i="3"/>
  <c r="Q33" i="3"/>
  <c r="Q75" i="3"/>
  <c r="Q17" i="3"/>
  <c r="Q58" i="3"/>
  <c r="Q129" i="3"/>
  <c r="Q56" i="3"/>
  <c r="Q64" i="3"/>
  <c r="Q49" i="3"/>
  <c r="Q24" i="3"/>
  <c r="Q73" i="3"/>
  <c r="Q80" i="3"/>
  <c r="Q32" i="3"/>
  <c r="Q130" i="3"/>
  <c r="Q52" i="3"/>
  <c r="Q23" i="3"/>
  <c r="N47" i="3"/>
  <c r="R47" i="3"/>
  <c r="Q31" i="3"/>
  <c r="Q77" i="3"/>
  <c r="Q69" i="3"/>
  <c r="Q39" i="3"/>
  <c r="Q141" i="3"/>
  <c r="Q123" i="3"/>
  <c r="Q68" i="3"/>
  <c r="Q38" i="3"/>
  <c r="Q137" i="3"/>
  <c r="Q122" i="3"/>
  <c r="Q99" i="3"/>
  <c r="Q16" i="3"/>
  <c r="Q61" i="3"/>
  <c r="Q108" i="3"/>
  <c r="Q53" i="3"/>
  <c r="Q132" i="3"/>
  <c r="Q121" i="3"/>
  <c r="Q103" i="3"/>
  <c r="N118" i="3"/>
  <c r="R118" i="3"/>
  <c r="N59" i="3"/>
  <c r="R59" i="3"/>
  <c r="Q142" i="3"/>
  <c r="Q91" i="3"/>
  <c r="Q81" i="3"/>
  <c r="Q37" i="3"/>
  <c r="Q29" i="3"/>
  <c r="Q138" i="3"/>
  <c r="Q125" i="3"/>
  <c r="Q107" i="3"/>
  <c r="Q98" i="3"/>
  <c r="Q88" i="3"/>
  <c r="Q44" i="3"/>
  <c r="Q9" i="3"/>
  <c r="Q95" i="3"/>
  <c r="Q15" i="3"/>
  <c r="Q133" i="3"/>
  <c r="Q67" i="3"/>
  <c r="Q27" i="3"/>
  <c r="N140" i="3"/>
  <c r="R140" i="3"/>
  <c r="N100" i="3"/>
  <c r="R100" i="3"/>
  <c r="Q113" i="3"/>
  <c r="Q40" i="3"/>
  <c r="Q8" i="3"/>
  <c r="Q119" i="3"/>
  <c r="Q87" i="3"/>
  <c r="Q126" i="3"/>
  <c r="Q54" i="3"/>
  <c r="Q93" i="3"/>
  <c r="Q21" i="3"/>
  <c r="Q60" i="3"/>
  <c r="Q139" i="3"/>
  <c r="Q131" i="3"/>
  <c r="N143" i="3"/>
  <c r="R143" i="3"/>
  <c r="N135" i="3"/>
  <c r="R135" i="3"/>
  <c r="N127" i="3"/>
  <c r="R127" i="3"/>
  <c r="T2" i="74"/>
</calcChain>
</file>

<file path=xl/sharedStrings.xml><?xml version="1.0" encoding="utf-8"?>
<sst xmlns="http://schemas.openxmlformats.org/spreadsheetml/2006/main" count="2143" uniqueCount="716">
  <si>
    <t>مجموع الشد</t>
  </si>
  <si>
    <t>ثوم</t>
  </si>
  <si>
    <t>وحدة التوريد رقما</t>
  </si>
  <si>
    <t>وحدة التوريد وصفا</t>
  </si>
  <si>
    <t>وحدة المخزن رقما</t>
  </si>
  <si>
    <t>وحدة المخزن وصفا</t>
  </si>
  <si>
    <t>وحدة الوصفه رقما</t>
  </si>
  <si>
    <t>وحدة الوصفه وصفا</t>
  </si>
  <si>
    <t>طحينه</t>
  </si>
  <si>
    <t>Liter</t>
  </si>
  <si>
    <t>سكر</t>
  </si>
  <si>
    <t>فلفل أسود</t>
  </si>
  <si>
    <t>سماق</t>
  </si>
  <si>
    <t>بقدونس</t>
  </si>
  <si>
    <t>ماجي</t>
  </si>
  <si>
    <t>%</t>
  </si>
  <si>
    <t>بطاطس</t>
  </si>
  <si>
    <t>ملعقه</t>
  </si>
  <si>
    <t>نعناع</t>
  </si>
  <si>
    <t>ورق لف سندوتش</t>
  </si>
  <si>
    <t>جرجير</t>
  </si>
  <si>
    <t>صنوبر</t>
  </si>
  <si>
    <t>زبده</t>
  </si>
  <si>
    <t>صدور دجاج</t>
  </si>
  <si>
    <t>لحم مفروم</t>
  </si>
  <si>
    <t>نسبة الجزء الصالح</t>
  </si>
  <si>
    <t>البند</t>
  </si>
  <si>
    <t>مجموع الشد صافي</t>
  </si>
  <si>
    <t>Red Sauce</t>
  </si>
  <si>
    <t>White Sauce</t>
  </si>
  <si>
    <t>By Recipe</t>
  </si>
  <si>
    <t>كرفس</t>
  </si>
  <si>
    <t>فلفل مجروش</t>
  </si>
  <si>
    <t>طماط - معجون</t>
  </si>
  <si>
    <t>طماط - مقشور</t>
  </si>
  <si>
    <t>ملح - خشن</t>
  </si>
  <si>
    <t>ملح - ناعم</t>
  </si>
  <si>
    <t>أوريجانو</t>
  </si>
  <si>
    <t>ريحان</t>
  </si>
  <si>
    <t>gm</t>
  </si>
  <si>
    <t>Vegetable</t>
  </si>
  <si>
    <t>زيت - ذره</t>
  </si>
  <si>
    <t>طحين</t>
  </si>
  <si>
    <t>حليب</t>
  </si>
  <si>
    <t>ورق غار</t>
  </si>
  <si>
    <t>مسمار</t>
  </si>
  <si>
    <t>جبن - بارميزان</t>
  </si>
  <si>
    <t>زيت - زيت زيتون</t>
  </si>
  <si>
    <t>جزر</t>
  </si>
  <si>
    <t>باستا - بيني</t>
  </si>
  <si>
    <t>باستا - فيوسيلي</t>
  </si>
  <si>
    <t>باستا - فيتوشيني</t>
  </si>
  <si>
    <t>باستا - سباقيتي</t>
  </si>
  <si>
    <t>كريمة خفق</t>
  </si>
  <si>
    <t>ذره - حب</t>
  </si>
  <si>
    <t>ثمار البحر</t>
  </si>
  <si>
    <t>بروكلي</t>
  </si>
  <si>
    <t>عدس</t>
  </si>
  <si>
    <t>قرع</t>
  </si>
  <si>
    <t>ملفوف</t>
  </si>
  <si>
    <t>مايونيز</t>
  </si>
  <si>
    <t>خل</t>
  </si>
  <si>
    <t>خردل</t>
  </si>
  <si>
    <t>Balsamic sauce</t>
  </si>
  <si>
    <t>خل - بلسمك</t>
  </si>
  <si>
    <t>كتشب - شفرات</t>
  </si>
  <si>
    <t>ليمون</t>
  </si>
  <si>
    <t>باستا - ألوان</t>
  </si>
  <si>
    <t>خميره فوريه</t>
  </si>
  <si>
    <t>كرات لحم</t>
  </si>
  <si>
    <t>سمك</t>
  </si>
  <si>
    <t>ربيان</t>
  </si>
  <si>
    <t>Fish</t>
  </si>
  <si>
    <t>Shrimp</t>
  </si>
  <si>
    <t>فلفل رومي - أخضر</t>
  </si>
  <si>
    <t>فلفل رومي - أحمر</t>
  </si>
  <si>
    <t>فلفل حار</t>
  </si>
  <si>
    <t>فطر - معلب</t>
  </si>
  <si>
    <t>زيتون مقطع</t>
  </si>
  <si>
    <t>علبة باستا سفري</t>
  </si>
  <si>
    <t>كيس ورقي - كبير</t>
  </si>
  <si>
    <t>كيس ورقي - صغير</t>
  </si>
  <si>
    <t>شوكه</t>
  </si>
  <si>
    <t>علبة سلطه</t>
  </si>
  <si>
    <t>علبة صوص</t>
  </si>
  <si>
    <t>علبة شوربه</t>
  </si>
  <si>
    <t>كرتون بيتزا - كبير</t>
  </si>
  <si>
    <t>كرتون بيتزا - صغير</t>
  </si>
  <si>
    <t>Sprite</t>
  </si>
  <si>
    <t>سبرايت</t>
  </si>
  <si>
    <t>Fanta citrus</t>
  </si>
  <si>
    <t>فانتا حمضيات</t>
  </si>
  <si>
    <t>Fanta orange</t>
  </si>
  <si>
    <t>فانتا برتقال</t>
  </si>
  <si>
    <t>فانتا فراوله</t>
  </si>
  <si>
    <t>Coca Cola</t>
  </si>
  <si>
    <t>كوكا كولا</t>
  </si>
  <si>
    <t>Cola Diet</t>
  </si>
  <si>
    <t>كولا دايت</t>
  </si>
  <si>
    <t>Water-small</t>
  </si>
  <si>
    <t>ماء-صغير</t>
  </si>
  <si>
    <t>Water-large</t>
  </si>
  <si>
    <t>ماء-كبير</t>
  </si>
  <si>
    <t>مريله</t>
  </si>
  <si>
    <t>قلفز</t>
  </si>
  <si>
    <t>غطاء رأس</t>
  </si>
  <si>
    <t>مناديل رول</t>
  </si>
  <si>
    <t>مناشف زرقاء</t>
  </si>
  <si>
    <t>By Employee Shift</t>
  </si>
  <si>
    <t>كيس نفايات - كبير</t>
  </si>
  <si>
    <t>كيس نفايات - صغير</t>
  </si>
  <si>
    <t>Mix Pasta</t>
  </si>
  <si>
    <t>mix protein</t>
  </si>
  <si>
    <t>Mix Sauce</t>
  </si>
  <si>
    <t>Chicken</t>
  </si>
  <si>
    <t>meat</t>
  </si>
  <si>
    <t>Chinese pasta</t>
  </si>
  <si>
    <t>Vegtable</t>
  </si>
  <si>
    <t>Mixed White meats</t>
  </si>
  <si>
    <t>Pesto pasta</t>
  </si>
  <si>
    <t>Plain</t>
  </si>
  <si>
    <t>بيكون</t>
  </si>
  <si>
    <t>Chicken &amp; Shrimp</t>
  </si>
  <si>
    <t>Pasta Margherita</t>
  </si>
  <si>
    <t>Alfredo pasta</t>
  </si>
  <si>
    <t>Fettuccine pasta</t>
  </si>
  <si>
    <t>Pumpkin soup</t>
  </si>
  <si>
    <t>Seafood soup</t>
  </si>
  <si>
    <t>Broccoli soup</t>
  </si>
  <si>
    <t>Chicken cream soup</t>
  </si>
  <si>
    <t>Minestrone soup</t>
  </si>
  <si>
    <t>French onion soup</t>
  </si>
  <si>
    <t>grilled chicken</t>
  </si>
  <si>
    <t>caesar salad</t>
  </si>
  <si>
    <t>halloumi</t>
  </si>
  <si>
    <t>rocca salad</t>
  </si>
  <si>
    <t>Pasta salad</t>
  </si>
  <si>
    <t>Fruit salad</t>
  </si>
  <si>
    <t>خيار</t>
  </si>
  <si>
    <t>طماط - مجفف</t>
  </si>
  <si>
    <t>تفاح</t>
  </si>
  <si>
    <t>عنب</t>
  </si>
  <si>
    <t>جبن - فيتا</t>
  </si>
  <si>
    <t>جوز</t>
  </si>
  <si>
    <t>تمر</t>
  </si>
  <si>
    <t>زبيب</t>
  </si>
  <si>
    <t>Kumpir</t>
  </si>
  <si>
    <t>كوسه</t>
  </si>
  <si>
    <t>Pepperoni</t>
  </si>
  <si>
    <t>ببروني</t>
  </si>
  <si>
    <t>صلصة رانش</t>
  </si>
  <si>
    <t>صلصة باربيكيو</t>
  </si>
  <si>
    <t>Bolognese pasta</t>
  </si>
  <si>
    <t>كلاد</t>
  </si>
  <si>
    <t>صابون يد</t>
  </si>
  <si>
    <t>معطر جو</t>
  </si>
  <si>
    <t>منظف لفت</t>
  </si>
  <si>
    <t>منظف زجاج</t>
  </si>
  <si>
    <t>جالبينو</t>
  </si>
  <si>
    <t>زعتر طازج</t>
  </si>
  <si>
    <t>اكليل الجبل</t>
  </si>
  <si>
    <t>طماط - كرزيه</t>
  </si>
  <si>
    <t>فلفل أبيض</t>
  </si>
  <si>
    <t>ورشستر صوص</t>
  </si>
  <si>
    <t>خل - عنب</t>
  </si>
  <si>
    <t>خل - تفاح</t>
  </si>
  <si>
    <t>فاصوليا حمراء</t>
  </si>
  <si>
    <t>علبه كومبير</t>
  </si>
  <si>
    <t>Margherita</t>
  </si>
  <si>
    <t>Quattro</t>
  </si>
  <si>
    <t>Greek</t>
  </si>
  <si>
    <t>Grilled Chicken</t>
  </si>
  <si>
    <t>Arabic</t>
  </si>
  <si>
    <t>big</t>
  </si>
  <si>
    <t>small</t>
  </si>
  <si>
    <t>جبن - شدر ابيض</t>
  </si>
  <si>
    <t>جبن - شدر احمر</t>
  </si>
  <si>
    <t>Meats</t>
  </si>
  <si>
    <t>ورق زبده</t>
  </si>
  <si>
    <t>sauce</t>
  </si>
  <si>
    <t>1000 Island</t>
  </si>
  <si>
    <t>عصير برتقال</t>
  </si>
  <si>
    <t>عصير ليمون نعناع</t>
  </si>
  <si>
    <t>عصير تفاح</t>
  </si>
  <si>
    <t>Pesto Pizza</t>
  </si>
  <si>
    <t>جبن - موزاريلا بلك</t>
  </si>
  <si>
    <t>جبن - موزاريلا مبشور</t>
  </si>
  <si>
    <t>قصدير رول</t>
  </si>
  <si>
    <t>ورق تاريخ</t>
  </si>
  <si>
    <t>كمامه</t>
  </si>
  <si>
    <t>منظف فرن</t>
  </si>
  <si>
    <t>ورق طابعه</t>
  </si>
  <si>
    <t>مناديل زبائن</t>
  </si>
  <si>
    <t>مناديل طاوله</t>
  </si>
  <si>
    <t>حليب - مجفف</t>
  </si>
  <si>
    <t>تباسكو - خضراء</t>
  </si>
  <si>
    <t>تباسكو - حمراء</t>
  </si>
  <si>
    <t>كتشب - علب</t>
  </si>
  <si>
    <t>بصل - أحمر</t>
  </si>
  <si>
    <t>بصل - أبيض</t>
  </si>
  <si>
    <t>خس أمريكي</t>
  </si>
  <si>
    <t>صابون غسيل صحون</t>
  </si>
  <si>
    <t>ليفة تنضيف صحون خضراء</t>
  </si>
  <si>
    <t>فرشة تنظيف الشواية</t>
  </si>
  <si>
    <t>لزق فلوس</t>
  </si>
  <si>
    <t>بنزين</t>
  </si>
  <si>
    <t>صلصة صويا - حلوه</t>
  </si>
  <si>
    <t>توت اسود</t>
  </si>
  <si>
    <t>توت احمر</t>
  </si>
  <si>
    <t>مطهر أرضيات</t>
  </si>
  <si>
    <t>جيلاتين</t>
  </si>
  <si>
    <t>رمان</t>
  </si>
  <si>
    <t>Units</t>
  </si>
  <si>
    <t>By Day</t>
  </si>
  <si>
    <t>By Check</t>
  </si>
  <si>
    <t>Depletion</t>
  </si>
  <si>
    <t>الفئة</t>
  </si>
  <si>
    <t>إضافات 1</t>
  </si>
  <si>
    <t>إضافات 2</t>
  </si>
  <si>
    <t>التكلفة الإجمالية للطبق</t>
  </si>
  <si>
    <t>نسبة الربح المطلوبه</t>
  </si>
  <si>
    <t>سعر البيع المعتمد</t>
  </si>
  <si>
    <t>التكلفة المباشرة</t>
  </si>
  <si>
    <t>الربح</t>
  </si>
  <si>
    <t>سعر البيع المقترح مع الضريبة</t>
  </si>
  <si>
    <t>سعر البيع المعتمد بدون الضريبة</t>
  </si>
  <si>
    <t>% الربح لسعر البيع المعتمد</t>
  </si>
  <si>
    <t>% الربح لإجمالي التكلفه</t>
  </si>
  <si>
    <r>
      <t xml:space="preserve">تكلفة </t>
    </r>
    <r>
      <rPr>
        <b/>
        <sz val="9"/>
        <color theme="1"/>
        <rFont val="Calibri"/>
        <family val="2"/>
        <scheme val="minor"/>
      </rPr>
      <t>ثابته</t>
    </r>
    <r>
      <rPr>
        <sz val="9"/>
        <color theme="1"/>
        <rFont val="Calibri"/>
        <family val="2"/>
        <scheme val="minor"/>
      </rPr>
      <t xml:space="preserve"> على الطبق مثل أجور عمال أو إيجارات الخ...</t>
    </r>
  </si>
  <si>
    <t>سعر البيع المقترح بناء على نسبة الربح المطلوبة</t>
  </si>
  <si>
    <t>% التكلفة لسعر البيع المعتمد</t>
  </si>
  <si>
    <t>الكميه</t>
  </si>
  <si>
    <t>كرتون</t>
  </si>
  <si>
    <t>شوال</t>
  </si>
  <si>
    <t>ربطه</t>
  </si>
  <si>
    <t>جالون</t>
  </si>
  <si>
    <t>علبه</t>
  </si>
  <si>
    <t>كيس</t>
  </si>
  <si>
    <t>تنكه</t>
  </si>
  <si>
    <t>حبه</t>
  </si>
  <si>
    <t>رول</t>
  </si>
  <si>
    <t>بطل</t>
  </si>
  <si>
    <t>حصّه</t>
  </si>
  <si>
    <t>شريحه</t>
  </si>
  <si>
    <t>صحن</t>
  </si>
  <si>
    <t>كجم</t>
  </si>
  <si>
    <t>جم</t>
  </si>
  <si>
    <t>لتر</t>
  </si>
  <si>
    <t>ملل</t>
  </si>
  <si>
    <t>مغرفه</t>
  </si>
  <si>
    <t>متر</t>
  </si>
  <si>
    <t>سم</t>
  </si>
  <si>
    <t>Kitchen_unit</t>
  </si>
  <si>
    <t>البداية</t>
  </si>
  <si>
    <t>المتبقي</t>
  </si>
  <si>
    <t>مواد_خام</t>
  </si>
  <si>
    <t>أجبان</t>
  </si>
  <si>
    <t>مواد مبرده</t>
  </si>
  <si>
    <t>مواد استهلاكية</t>
  </si>
  <si>
    <t>مشروبات</t>
  </si>
  <si>
    <t>زيوت</t>
  </si>
  <si>
    <t>مواد جافه</t>
  </si>
  <si>
    <t>مواد التغليف</t>
  </si>
  <si>
    <t>باستا</t>
  </si>
  <si>
    <t>لحوم</t>
  </si>
  <si>
    <t>بهارات</t>
  </si>
  <si>
    <t>خضار</t>
  </si>
  <si>
    <t>صوصات</t>
  </si>
  <si>
    <t>شوربات</t>
  </si>
  <si>
    <t>مشاوي</t>
  </si>
  <si>
    <t>صلصات أساسية</t>
  </si>
  <si>
    <t>النوع</t>
  </si>
  <si>
    <t>الفئه</t>
  </si>
  <si>
    <t>اسم الطبق</t>
  </si>
  <si>
    <t>صلصة ثاوزند ايلاند</t>
  </si>
  <si>
    <t>صلصة بلسمك</t>
  </si>
  <si>
    <t>باستا مسلوقه - ملونه</t>
  </si>
  <si>
    <t>باستا مسلوقه - فيتوشيني</t>
  </si>
  <si>
    <t>باستا مسلوقه - فيوسيلي</t>
  </si>
  <si>
    <t>باستا مسلوقه - بيني</t>
  </si>
  <si>
    <t>باستا مسلوقه - سباقيتي</t>
  </si>
  <si>
    <t>صلصة بولونيز</t>
  </si>
  <si>
    <t>صلصة سيزر</t>
  </si>
  <si>
    <t>صلصة سلطة فواكه</t>
  </si>
  <si>
    <t>صدر مشوي</t>
  </si>
  <si>
    <t>صلصة بيستو</t>
  </si>
  <si>
    <t>عجينة بيتزا - كبير</t>
  </si>
  <si>
    <t>عجينة بيتزا - صغير</t>
  </si>
  <si>
    <t>صلصة بيتزا</t>
  </si>
  <si>
    <t>صلصه حمراء</t>
  </si>
  <si>
    <t>شوربه _ بروكلي</t>
  </si>
  <si>
    <t>شوربه _ دجاج بالكريمه</t>
  </si>
  <si>
    <t>شوربه _ البصل الفرنسيه</t>
  </si>
  <si>
    <t>شوربه _ مينستروني</t>
  </si>
  <si>
    <t>شوربه _ قرع</t>
  </si>
  <si>
    <t>شوربه _ بحريه</t>
  </si>
  <si>
    <t>صلصه بيضاء</t>
  </si>
  <si>
    <t>عجين</t>
  </si>
  <si>
    <t>وصفات_أولية</t>
  </si>
  <si>
    <t>وحدة الوصفه</t>
  </si>
  <si>
    <t>المقدار المستهلك / وحدة</t>
  </si>
  <si>
    <t>الوحده</t>
  </si>
  <si>
    <t>فئات الوصفات الأولية</t>
  </si>
  <si>
    <t>رقم الوصفة</t>
  </si>
  <si>
    <t>التكلفه/ وحده</t>
  </si>
  <si>
    <t>سعر وحده الوصفة الصافي</t>
  </si>
  <si>
    <t>سعر وحدة الوصفة</t>
  </si>
  <si>
    <t>سعر وحدة المخزن</t>
  </si>
  <si>
    <t>سعر وحدة التوريد</t>
  </si>
  <si>
    <t>فئات_المواد_الخام</t>
  </si>
  <si>
    <t>كلفة الكمية المستخدمة للوصفة</t>
  </si>
  <si>
    <t>الكمية المستخدمه للوصفة</t>
  </si>
  <si>
    <t>مقياس الشيف</t>
  </si>
  <si>
    <t>اسم الماده</t>
  </si>
  <si>
    <t>اسم الوصفة</t>
  </si>
  <si>
    <t>رقم الطبق</t>
  </si>
  <si>
    <t>إضافات 3</t>
  </si>
  <si>
    <t>فئات أصناف البيع</t>
  </si>
  <si>
    <t>سلطه</t>
  </si>
  <si>
    <t>مقبلات</t>
  </si>
  <si>
    <t>بيتزا</t>
  </si>
  <si>
    <t>صنف_بيع</t>
  </si>
  <si>
    <t>اسم الطبق بالإضافات</t>
  </si>
  <si>
    <t>1 Tbs (15 ml)</t>
  </si>
  <si>
    <t>1 Tsp (5 ml)</t>
  </si>
  <si>
    <t>0.5 Tsp (2.5 ml)</t>
  </si>
  <si>
    <t>1 Cup (240 ml)</t>
  </si>
  <si>
    <t>1/2 Cup (120 ml)</t>
  </si>
  <si>
    <t>1/3 Cup (80 ml)</t>
  </si>
  <si>
    <t>1/4 Cup (60 ml)</t>
  </si>
  <si>
    <t>Kgm</t>
  </si>
  <si>
    <t>Ml</t>
  </si>
  <si>
    <t>supplier name</t>
  </si>
  <si>
    <t>contact name</t>
  </si>
  <si>
    <t>contact #1</t>
  </si>
  <si>
    <t>contact #2</t>
  </si>
  <si>
    <t>contact #3</t>
  </si>
  <si>
    <t>contact #4</t>
  </si>
  <si>
    <t>Email1</t>
  </si>
  <si>
    <t>Olayan Kimberly-Clark Arabia Co.</t>
  </si>
  <si>
    <t>Mohamed Yosrey</t>
  </si>
  <si>
    <t>Mohamed.yosery@kcc.com</t>
  </si>
  <si>
    <t>AL-KHARASHI Plastic Factory</t>
  </si>
  <si>
    <t>Jens</t>
  </si>
  <si>
    <t>Binzagr Company</t>
  </si>
  <si>
    <t>Al-Wahaibi refrigerator &amp; market</t>
  </si>
  <si>
    <t>Al-Manzomah corner press</t>
  </si>
  <si>
    <t>Wali</t>
  </si>
  <si>
    <t>Al-Nawar corner packaging materials</t>
  </si>
  <si>
    <t>Hazem - Anas</t>
  </si>
  <si>
    <t>anas.d@alnawarcorner.com</t>
  </si>
  <si>
    <t>Coca Cola Co</t>
  </si>
  <si>
    <t>Ahmad Salama</t>
  </si>
  <si>
    <t>AL- Dewan Plastic Factory</t>
  </si>
  <si>
    <t>Mohammed</t>
  </si>
  <si>
    <t>Basamh Trading Company Goody</t>
  </si>
  <si>
    <t>Mohammed Mahyoub</t>
  </si>
  <si>
    <t>Danya markiting Ltd</t>
  </si>
  <si>
    <t>Ahmad</t>
  </si>
  <si>
    <t>Reza Hygiene</t>
  </si>
  <si>
    <t>Asif</t>
  </si>
  <si>
    <t>aasif.hygiene@rezagroup.com</t>
  </si>
  <si>
    <t>Fitkar company for international trading</t>
  </si>
  <si>
    <t>World top Co</t>
  </si>
  <si>
    <t>Gulfwest</t>
  </si>
  <si>
    <t>multi-brand</t>
  </si>
  <si>
    <t>Al Diyafa</t>
  </si>
  <si>
    <t>Alex</t>
  </si>
  <si>
    <t>islam commerical</t>
  </si>
  <si>
    <t>Syed</t>
  </si>
  <si>
    <t>syed.kudrathullah@islamcommerical.org</t>
  </si>
  <si>
    <t>Munajem</t>
  </si>
  <si>
    <t>Pradeib</t>
  </si>
  <si>
    <t>FRESHLY</t>
  </si>
  <si>
    <t>turkmani@optcl.net</t>
  </si>
  <si>
    <t>966567092700</t>
  </si>
  <si>
    <t>966112333111</t>
  </si>
  <si>
    <t>966112323342</t>
  </si>
  <si>
    <t>966507303959</t>
  </si>
  <si>
    <t>966558050254</t>
  </si>
  <si>
    <t>966507403901</t>
  </si>
  <si>
    <t>966112222149</t>
  </si>
  <si>
    <t>966552062886</t>
  </si>
  <si>
    <t>966580223809</t>
  </si>
  <si>
    <t>966545289965</t>
  </si>
  <si>
    <t>966112424161</t>
  </si>
  <si>
    <t>966599908807</t>
  </si>
  <si>
    <t>966555033007</t>
  </si>
  <si>
    <t>966112706771</t>
  </si>
  <si>
    <t>966554779949</t>
  </si>
  <si>
    <t>966580880799</t>
  </si>
  <si>
    <t>966114467520</t>
  </si>
  <si>
    <t>966503396883</t>
  </si>
  <si>
    <t>966504252636</t>
  </si>
  <si>
    <t>966534099371</t>
  </si>
  <si>
    <t>966597956645</t>
  </si>
  <si>
    <t>966556462118</t>
  </si>
  <si>
    <t>966114791906</t>
  </si>
  <si>
    <t>966114789853</t>
  </si>
  <si>
    <t>966547638217</t>
  </si>
  <si>
    <t>966502443504</t>
  </si>
  <si>
    <t>966555036241</t>
  </si>
  <si>
    <t>966556833610</t>
  </si>
  <si>
    <t>966566632811</t>
  </si>
  <si>
    <t>966112412807</t>
  </si>
  <si>
    <t>966126055457</t>
  </si>
  <si>
    <t>966534740005</t>
  </si>
  <si>
    <t>966599536005</t>
  </si>
  <si>
    <t>966595552817</t>
  </si>
  <si>
    <t>966597855665</t>
  </si>
  <si>
    <t>966114630298</t>
  </si>
  <si>
    <t>966504195406</t>
  </si>
  <si>
    <t>966114715530</t>
  </si>
  <si>
    <t>966112447191</t>
  </si>
  <si>
    <t>966112414202</t>
  </si>
  <si>
    <t>966583871866</t>
  </si>
  <si>
    <t>966112168292</t>
  </si>
  <si>
    <t>966504638836</t>
  </si>
  <si>
    <t>966114610666</t>
  </si>
  <si>
    <t>Field</t>
  </si>
  <si>
    <t>مناديل رول، مناديل زبائن مطبوعه</t>
  </si>
  <si>
    <t>كافة علب و أوراق التغليف</t>
  </si>
  <si>
    <t>زيت قلي، كاتشب، مايونيز، أجبان و مشتقات حليب، بطاطس</t>
  </si>
  <si>
    <t>كل شيء مجمد ومبرد بجوده متوسطه</t>
  </si>
  <si>
    <t>تصنيع علب كرتونية مطبوعه</t>
  </si>
  <si>
    <t>كولا</t>
  </si>
  <si>
    <t>علب و مواد تغليف</t>
  </si>
  <si>
    <t>مكرونه، كاتشب، صوصات، منتجات قودي</t>
  </si>
  <si>
    <t>مشتقات ألبان ماركة بوك و لورباك و غيرها</t>
  </si>
  <si>
    <t>مواد و كيماويات نظافة</t>
  </si>
  <si>
    <t>أسماك</t>
  </si>
  <si>
    <t>كل شيء مجمد و مبرد، لحوم، أجبان، صوصات، بطاطس</t>
  </si>
  <si>
    <t>أجبان، زبده، شوكولاتات، كريمة</t>
  </si>
  <si>
    <t>لحوم، دواجن، أجبان، زيتون</t>
  </si>
  <si>
    <t>كل أنواع الصوصات و البهارات و المواد الملبة</t>
  </si>
  <si>
    <t>Advanced Food Products</t>
  </si>
  <si>
    <t>https://www.arla.com</t>
  </si>
  <si>
    <t>http://afp-trade.com</t>
  </si>
  <si>
    <t>Osama Eljefry</t>
  </si>
  <si>
    <t>966596866663</t>
  </si>
  <si>
    <t>Forsan</t>
  </si>
  <si>
    <t>أجبان، زبده، لحوم</t>
  </si>
  <si>
    <t>966504469465</t>
  </si>
  <si>
    <t>Al Shahrani Trading</t>
  </si>
  <si>
    <t>Abu Annor</t>
  </si>
  <si>
    <t>966555243739</t>
  </si>
  <si>
    <t>Astra</t>
  </si>
  <si>
    <t>Ismael</t>
  </si>
  <si>
    <t>966541123016</t>
  </si>
  <si>
    <t>Sunbolah</t>
  </si>
  <si>
    <t>بطاطس، مصنعات لحوم و دواجن، خضار و فواكه مجمده</t>
  </si>
  <si>
    <t>966507070415</t>
  </si>
  <si>
    <t>Eltaieb</t>
  </si>
  <si>
    <t>لحوم و مصنعات لحوم</t>
  </si>
  <si>
    <t>Brafin</t>
  </si>
  <si>
    <t>966561749376</t>
  </si>
  <si>
    <t>shaker, Huthaifah Abu Elyas</t>
  </si>
  <si>
    <t>966503222728</t>
  </si>
  <si>
    <t>SEETAF</t>
  </si>
  <si>
    <t>Husaien</t>
  </si>
  <si>
    <t>966555206098</t>
  </si>
  <si>
    <t>RAWABI ALWAYLIAH</t>
  </si>
  <si>
    <t>Husain Abu Almothana</t>
  </si>
  <si>
    <t>أجبان، كريمة، شوكلاته، مستلزمات مخابز و حلويات</t>
  </si>
  <si>
    <t>966558526020</t>
  </si>
  <si>
    <t>966502136890</t>
  </si>
  <si>
    <t>966114565020</t>
  </si>
  <si>
    <t>Alaa, Khalid</t>
  </si>
  <si>
    <t>966530003575</t>
  </si>
  <si>
    <t>TRANSMED</t>
  </si>
  <si>
    <t>أجبان، بطاطس، شوكلاتات، مجمدات، أشياء كثيره</t>
  </si>
  <si>
    <t>Rabah</t>
  </si>
  <si>
    <t>966507143143</t>
  </si>
  <si>
    <t>966112846500</t>
  </si>
  <si>
    <t>920001946</t>
  </si>
  <si>
    <t>rabah.abualain@transmed.com</t>
  </si>
  <si>
    <t>Efram, Rabie</t>
  </si>
  <si>
    <t>966508054372</t>
  </si>
  <si>
    <t>Arrow food - Easahm</t>
  </si>
  <si>
    <t>Sultan</t>
  </si>
  <si>
    <t>966590009172</t>
  </si>
  <si>
    <t>كريمة، أجبان، مواد غذائية منوعة</t>
  </si>
  <si>
    <t xml:space="preserve">Alyasra Food Co.
</t>
  </si>
  <si>
    <t>Saif</t>
  </si>
  <si>
    <t>966551312715</t>
  </si>
  <si>
    <t>لحوم أنجوس، دجاج ساديا و برازيلي، بطاطس، أجبان</t>
  </si>
  <si>
    <t>American Garden IFFCO</t>
  </si>
  <si>
    <t>معلبات و بهارات و صوصات و أجبان</t>
  </si>
  <si>
    <t>966566757464</t>
  </si>
  <si>
    <t>Hienz</t>
  </si>
  <si>
    <t>كتشب، مايونيز، صلصات</t>
  </si>
  <si>
    <t>AbdulAziz</t>
  </si>
  <si>
    <t>966557270031</t>
  </si>
  <si>
    <t>ALJUFAILAH - ALKABEER</t>
  </si>
  <si>
    <t>مصنعات دواجن و لحوم الكبير، مجمدات خضار و فواكه</t>
  </si>
  <si>
    <t>966581858602</t>
  </si>
  <si>
    <t>Pandoor</t>
  </si>
  <si>
    <t>خبز و معجنات</t>
  </si>
  <si>
    <t>Essam</t>
  </si>
  <si>
    <t>966503296757</t>
  </si>
  <si>
    <t>966591196662</t>
  </si>
  <si>
    <t>FOOD Choice</t>
  </si>
  <si>
    <t>966597954694</t>
  </si>
  <si>
    <t>Feladilfia Cheese</t>
  </si>
  <si>
    <t>جبنة فيلاديلفيا و أجبان أخرى</t>
  </si>
  <si>
    <t>966593230671</t>
  </si>
  <si>
    <t>ALMOFADALAH Co</t>
  </si>
  <si>
    <t>Fadi</t>
  </si>
  <si>
    <t>966569338110</t>
  </si>
  <si>
    <t>أجبان، مايونيز، كاتشب، صلصات، زيوت، زبده</t>
  </si>
  <si>
    <t>Tahir, Fasih</t>
  </si>
  <si>
    <t>966114738022</t>
  </si>
  <si>
    <t>966112927235</t>
  </si>
  <si>
    <t>www.foodchoice-ksa.com</t>
  </si>
  <si>
    <t>Alaa, Mohammed</t>
  </si>
  <si>
    <t>966592838060</t>
  </si>
  <si>
    <t>مكسرات، حبوب، لوز</t>
  </si>
  <si>
    <t>Mohammed Jaber</t>
  </si>
  <si>
    <t>966549610008</t>
  </si>
  <si>
    <t>Abdullah Turkmani, Mohammed Saied</t>
  </si>
  <si>
    <t>966593869558</t>
  </si>
  <si>
    <t>Alaa, Mustafa</t>
  </si>
  <si>
    <t>966596194524</t>
  </si>
  <si>
    <t>Naji</t>
  </si>
  <si>
    <t>966548899203</t>
  </si>
  <si>
    <t>ALRASHID</t>
  </si>
  <si>
    <t>مخابز</t>
  </si>
  <si>
    <t>Hani</t>
  </si>
  <si>
    <t>hany.zyada@alrashedfood.com</t>
  </si>
  <si>
    <t>Salah Bahabri, Waleed</t>
  </si>
  <si>
    <t>966597102699</t>
  </si>
  <si>
    <t>AbdulQayom, AbdulAziz</t>
  </si>
  <si>
    <t>966504745465</t>
  </si>
  <si>
    <t>ITEM Name</t>
  </si>
  <si>
    <t>Category</t>
  </si>
  <si>
    <t>Cheese - cheddar red</t>
  </si>
  <si>
    <t>Cheese - cheddar white</t>
  </si>
  <si>
    <t>Cheese - mozzarella Block</t>
  </si>
  <si>
    <t>Cheese - mozzarella Shread</t>
  </si>
  <si>
    <t>Cheese - parmesan</t>
  </si>
  <si>
    <t>Cheese - vita</t>
  </si>
  <si>
    <t>Cheese_inv</t>
  </si>
  <si>
    <t>pasta - Fettuccine</t>
  </si>
  <si>
    <t>pasta - Spaghetti</t>
  </si>
  <si>
    <t>pasta - color</t>
  </si>
  <si>
    <t>pasta - fusilli</t>
  </si>
  <si>
    <t>pasta - penne</t>
  </si>
  <si>
    <t>Pasta_inv</t>
  </si>
  <si>
    <t>Bay leaf</t>
  </si>
  <si>
    <t>Black pepper</t>
  </si>
  <si>
    <t>Chilli flakes</t>
  </si>
  <si>
    <t>Clove</t>
  </si>
  <si>
    <t>keshmesh</t>
  </si>
  <si>
    <t>Maggie cube</t>
  </si>
  <si>
    <t>Oregano</t>
  </si>
  <si>
    <t>pine nuts</t>
  </si>
  <si>
    <t>Salt - Fine</t>
  </si>
  <si>
    <t>Salt - Rough</t>
  </si>
  <si>
    <t>Sugar</t>
  </si>
  <si>
    <t>sumac</t>
  </si>
  <si>
    <t>Tahini</t>
  </si>
  <si>
    <t>Walnut</t>
  </si>
  <si>
    <t>White pepper</t>
  </si>
  <si>
    <t>Spices_inv</t>
  </si>
  <si>
    <t>Apple</t>
  </si>
  <si>
    <t>Basil leaves</t>
  </si>
  <si>
    <t>broccoli</t>
  </si>
  <si>
    <t>Cabbage</t>
  </si>
  <si>
    <t>Capsicum - green</t>
  </si>
  <si>
    <t>Capsicum - red</t>
  </si>
  <si>
    <t>Carrots</t>
  </si>
  <si>
    <t>celery</t>
  </si>
  <si>
    <t>Cucumber</t>
  </si>
  <si>
    <t>Dates</t>
  </si>
  <si>
    <t>Garlic</t>
  </si>
  <si>
    <t>grapes</t>
  </si>
  <si>
    <t>Green chilli</t>
  </si>
  <si>
    <t>lemon</t>
  </si>
  <si>
    <t>Lettuce - american</t>
  </si>
  <si>
    <t>Mint leave</t>
  </si>
  <si>
    <t>Onion RED</t>
  </si>
  <si>
    <t>ONION WHITE</t>
  </si>
  <si>
    <t>parsley</t>
  </si>
  <si>
    <t>pomegranate</t>
  </si>
  <si>
    <t>Potato</t>
  </si>
  <si>
    <t>pumpkin</t>
  </si>
  <si>
    <t>Rocca leaves</t>
  </si>
  <si>
    <t>Rosemary</t>
  </si>
  <si>
    <t>Thyme leave</t>
  </si>
  <si>
    <t>Tomato</t>
  </si>
  <si>
    <t>Zucchini</t>
  </si>
  <si>
    <t>Vegetable_inv</t>
  </si>
  <si>
    <t>Butter</t>
  </si>
  <si>
    <t>Oil - corn</t>
  </si>
  <si>
    <t>Oil - Olive oil</t>
  </si>
  <si>
    <t>Oil_inv</t>
  </si>
  <si>
    <t>Bacon</t>
  </si>
  <si>
    <t>Chicken brest</t>
  </si>
  <si>
    <t>meat ball</t>
  </si>
  <si>
    <t>Minced meat</t>
  </si>
  <si>
    <t>sea food</t>
  </si>
  <si>
    <t>protein_inv</t>
  </si>
  <si>
    <t>Apple Juice</t>
  </si>
  <si>
    <t>Fanta Strawberry</t>
  </si>
  <si>
    <t>Lemon Mint Juice</t>
  </si>
  <si>
    <t>Orange Juice</t>
  </si>
  <si>
    <t>Cola LIGHT</t>
  </si>
  <si>
    <t>Drinks_inv</t>
  </si>
  <si>
    <t>Air freshener</t>
  </si>
  <si>
    <t>aluminum foil</t>
  </si>
  <si>
    <t>Apron</t>
  </si>
  <si>
    <t>Blue towel</t>
  </si>
  <si>
    <t>cello tape</t>
  </si>
  <si>
    <t>cling film</t>
  </si>
  <si>
    <t>Date roll</t>
  </si>
  <si>
    <t>PRILE dish washing soap</t>
  </si>
  <si>
    <t>face mask</t>
  </si>
  <si>
    <t>DAC Floor cleaner Disinfectend</t>
  </si>
  <si>
    <t>garbage bag - big</t>
  </si>
  <si>
    <t>garbage bag - small</t>
  </si>
  <si>
    <t>glass cleaner</t>
  </si>
  <si>
    <t>gloves</t>
  </si>
  <si>
    <t>Grill steel brush</t>
  </si>
  <si>
    <t>hand soap</t>
  </si>
  <si>
    <t>LIFT</t>
  </si>
  <si>
    <t>Oven cleaner</t>
  </si>
  <si>
    <t>Petrole</t>
  </si>
  <si>
    <t>Blue net cap</t>
  </si>
  <si>
    <t>Printer Roll</t>
  </si>
  <si>
    <t>Scouring Pads Green</t>
  </si>
  <si>
    <t>tissue - Table</t>
  </si>
  <si>
    <t>Tissue roll</t>
  </si>
  <si>
    <t>disposable_inv</t>
  </si>
  <si>
    <t>Kumpir container</t>
  </si>
  <si>
    <t>Paper bag - big</t>
  </si>
  <si>
    <t>Paper bag - small</t>
  </si>
  <si>
    <t>Pasta container</t>
  </si>
  <si>
    <t>Pizza box - big</t>
  </si>
  <si>
    <t>Pizza box - small</t>
  </si>
  <si>
    <t>plastic fork</t>
  </si>
  <si>
    <t>plastic spoon</t>
  </si>
  <si>
    <t>salad container</t>
  </si>
  <si>
    <t>sauce container</t>
  </si>
  <si>
    <t>Soup container</t>
  </si>
  <si>
    <t>tissue - customer takeaway</t>
  </si>
  <si>
    <t>Wax paper</t>
  </si>
  <si>
    <t>Wrapping Sheets</t>
  </si>
  <si>
    <t>packaging_inv</t>
  </si>
  <si>
    <t>BBQ Sauce</t>
  </si>
  <si>
    <t>Flour</t>
  </si>
  <si>
    <t xml:space="preserve">Geletine </t>
  </si>
  <si>
    <t>Ketchup - blades</t>
  </si>
  <si>
    <t>Ketchup - botle</t>
  </si>
  <si>
    <t>lentil</t>
  </si>
  <si>
    <t>Mayonnaise LITE</t>
  </si>
  <si>
    <t>Milk - powder</t>
  </si>
  <si>
    <t>Mustard</t>
  </si>
  <si>
    <t>Ranch sauce</t>
  </si>
  <si>
    <t>Soy Sauce - Sweet</t>
  </si>
  <si>
    <t>tabasco - green</t>
  </si>
  <si>
    <t>tabasco - red</t>
  </si>
  <si>
    <t>Tomato - Paste</t>
  </si>
  <si>
    <t>Tomato - Peeled</t>
  </si>
  <si>
    <t>Viniger</t>
  </si>
  <si>
    <t>Viniger - apple</t>
  </si>
  <si>
    <t>Viniger - balsamic</t>
  </si>
  <si>
    <t>Viniger - grape</t>
  </si>
  <si>
    <t>W- Sacce</t>
  </si>
  <si>
    <t>On shelf_inv</t>
  </si>
  <si>
    <t>Blackberry</t>
  </si>
  <si>
    <t>Corn</t>
  </si>
  <si>
    <t>Jalapeno</t>
  </si>
  <si>
    <t>Milk</t>
  </si>
  <si>
    <t>mushroom</t>
  </si>
  <si>
    <t>Red kidney beans</t>
  </si>
  <si>
    <t>Redberry</t>
  </si>
  <si>
    <t>Sliced Olives</t>
  </si>
  <si>
    <t>Tomato - Sun Dried</t>
  </si>
  <si>
    <t>whipping cream</t>
  </si>
  <si>
    <t>Yeast</t>
  </si>
  <si>
    <t>Cold store_inv</t>
  </si>
  <si>
    <t>برطمان</t>
  </si>
  <si>
    <t>Tariq Al Hwail</t>
  </si>
  <si>
    <t>966114586288</t>
  </si>
  <si>
    <t>966112725727</t>
  </si>
  <si>
    <t>966112724426</t>
  </si>
  <si>
    <t>Otaiqah Market</t>
  </si>
  <si>
    <t>خضروات، مجمدات، بلاستيك، سوق عام</t>
  </si>
  <si>
    <t>suppliers_1</t>
  </si>
  <si>
    <t>suppliers_2</t>
  </si>
  <si>
    <t>suppliers_3</t>
  </si>
  <si>
    <t>suppliers_4</t>
  </si>
  <si>
    <t>suppliers_5</t>
  </si>
  <si>
    <t>suppliers_6</t>
  </si>
  <si>
    <t>suppliers_7</t>
  </si>
  <si>
    <t>Gulf Central</t>
  </si>
  <si>
    <t>Alaa</t>
  </si>
  <si>
    <t>966507995074</t>
  </si>
  <si>
    <t>966112444040</t>
  </si>
  <si>
    <t>966112418674</t>
  </si>
  <si>
    <t>info@gulfcentral.com.sa</t>
  </si>
  <si>
    <t>بلكه</t>
  </si>
  <si>
    <t>عصير ليمون مركز</t>
  </si>
  <si>
    <t>lemon juice bottle</t>
  </si>
  <si>
    <t>Al Maraie</t>
  </si>
  <si>
    <t>ألبان و أجبان</t>
  </si>
  <si>
    <t>Al Safi</t>
  </si>
  <si>
    <t>Nadec</t>
  </si>
  <si>
    <t>Type</t>
  </si>
  <si>
    <t>Name</t>
  </si>
  <si>
    <t>No.</t>
  </si>
  <si>
    <t>Cat</t>
  </si>
  <si>
    <t>Qty</t>
  </si>
  <si>
    <t>الكلفه / وحده</t>
  </si>
  <si>
    <r>
      <t xml:space="preserve">تكلفه </t>
    </r>
    <r>
      <rPr>
        <sz val="9"/>
        <color theme="1"/>
        <rFont val="Calibri"/>
        <family val="2"/>
        <scheme val="minor"/>
      </rPr>
      <t>متغيرة</t>
    </r>
    <r>
      <rPr>
        <sz val="9"/>
        <color theme="1"/>
        <rFont val="Calibri"/>
        <family val="2"/>
        <scheme val="minor"/>
      </rPr>
      <t xml:space="preserve"> على الطبق مثل أجور عمال أو إيجارات الخ..</t>
    </r>
  </si>
  <si>
    <t>Menu_6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</si>
</sst>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3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Protection="1"/>
    <xf numFmtId="0" fontId="2" fillId="0" borderId="0" xfId="0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 readingOrder="2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10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4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 readingOrder="2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164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6" xfId="0" applyFont="1" applyBorder="1"/>
    <xf numFmtId="49" fontId="5" fillId="0" borderId="6" xfId="0" applyNumberFormat="1" applyFont="1" applyBorder="1"/>
    <xf numFmtId="0" fontId="5" fillId="0" borderId="7" xfId="0" applyFont="1" applyBorder="1"/>
    <xf numFmtId="0" fontId="6" fillId="0" borderId="7" xfId="0" applyFont="1" applyBorder="1" applyAlignment="1"/>
    <xf numFmtId="0" fontId="5" fillId="0" borderId="8" xfId="0" applyFont="1" applyBorder="1"/>
    <xf numFmtId="0" fontId="5" fillId="0" borderId="12" xfId="0" applyFont="1" applyBorder="1"/>
    <xf numFmtId="0" fontId="5" fillId="0" borderId="13" xfId="0" applyFont="1" applyBorder="1"/>
    <xf numFmtId="49" fontId="5" fillId="0" borderId="13" xfId="0" applyNumberFormat="1" applyFont="1" applyBorder="1"/>
    <xf numFmtId="0" fontId="5" fillId="0" borderId="14" xfId="0" applyFont="1" applyBorder="1"/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2" fillId="3" borderId="0" xfId="0" applyFont="1" applyFill="1" applyProtection="1">
      <protection locked="0"/>
    </xf>
    <xf numFmtId="0" fontId="2" fillId="0" borderId="0" xfId="0" applyNumberFormat="1" applyFont="1" applyFill="1" applyAlignment="1">
      <alignment horizontal="center" vertical="center"/>
    </xf>
    <xf numFmtId="10" fontId="2" fillId="3" borderId="0" xfId="0" applyNumberFormat="1" applyFont="1" applyFill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10" fontId="2" fillId="0" borderId="0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8" fillId="3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1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sz val="9"/>
      </font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9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righ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outline="0">
        <left style="medium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outline="0">
        <left/>
        <right style="medium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4" formatCode="0.00%"/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auto="1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auto="1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border outline="0">
        <left style="medium">
          <color auto="1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FF99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0000FF"/>
      <color rgb="FFFFFF99"/>
      <color rgb="FFFFFFCC"/>
      <color rgb="FFFFFF66"/>
      <color rgb="FF638EC6"/>
      <color rgb="FFDDDDD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0</xdr:row>
          <xdr:rowOff>85725</xdr:rowOff>
        </xdr:from>
        <xdr:to>
          <xdr:col>10</xdr:col>
          <xdr:colOff>561975</xdr:colOff>
          <xdr:row>2</xdr:row>
          <xdr:rowOff>66675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Add - إضافة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2</xdr:row>
          <xdr:rowOff>171450</xdr:rowOff>
        </xdr:from>
        <xdr:to>
          <xdr:col>10</xdr:col>
          <xdr:colOff>552450</xdr:colOff>
          <xdr:row>4</xdr:row>
          <xdr:rowOff>152400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Update - تحديث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id="3" name="Units" displayName="Units" ref="A1:A24" totalsRowShown="0">
  <autoFilter ref="A1:A24"/>
  <tableColumns count="1">
    <tableColumn id="1" name="Units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9" name="Menu" displayName="Menu" ref="A1:U74" totalsRowShown="0" headerRowDxfId="66" dataDxfId="65">
  <autoFilter ref="A1:U74"/>
  <tableColumns count="21">
    <tableColumn id="1" name="رقم الطبق" dataDxfId="64">
      <calculatedColumnFormula>"Menu"&amp;"_"&amp;(ROW(A2)-ROW($A$1))</calculatedColumnFormula>
    </tableColumn>
    <tableColumn id="2" name="النوع" dataDxfId="63"/>
    <tableColumn id="3" name="الفئة" dataDxfId="62"/>
    <tableColumn id="22" name="اسم الطبق بالإضافات" dataDxfId="61">
      <calculatedColumnFormula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calculatedColumnFormula>
    </tableColumn>
    <tableColumn id="4" name="اسم الطبق" dataDxfId="60"/>
    <tableColumn id="5" name="إضافات 1" dataDxfId="59"/>
    <tableColumn id="6" name="إضافات 2" dataDxfId="58"/>
    <tableColumn id="7" name="إضافات 3" dataDxfId="57"/>
    <tableColumn id="8" name="التكلفة المباشرة" dataDxfId="56">
      <calculatedColumnFormula>SUMIFS(DATA[الكلفه / وحده],DATA[No.],Menu[[#This Row],[رقم الطبق]],DATA[Type],Menu[[#This Row],[النوع]],DATA[Cat],Menu[[#This Row],[الفئة]],DATA[Name],Menu[[#This Row],[اسم الطبق بالإضافات]])</calculatedColumnFormula>
    </tableColumn>
    <tableColumn id="9" name="تكلفه متغيرة على الطبق مثل أجور عمال أو إيجارات الخ.." dataDxfId="55"/>
    <tableColumn id="10" name="تكلفة ثابته على الطبق مثل أجور عمال أو إيجارات الخ..." dataDxfId="54"/>
    <tableColumn id="11" name="التكلفة الإجمالية للطبق" dataDxfId="53">
      <calculatedColumnFormula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calculatedColumnFormula>
    </tableColumn>
    <tableColumn id="12" name="نسبة الربح المطلوبه" dataDxfId="52"/>
    <tableColumn id="13" name="سعر البيع المقترح بناء على نسبة الربح المطلوبة" dataDxfId="51">
      <calculatedColumnFormula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calculatedColumnFormula>
    </tableColumn>
    <tableColumn id="14" name="سعر البيع المقترح مع الضريبة" dataDxfId="50">
      <calculatedColumnFormula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calculatedColumnFormula>
    </tableColumn>
    <tableColumn id="15" name="سعر البيع المعتمد" dataDxfId="49"/>
    <tableColumn id="16" name="سعر البيع المعتمد بدون الضريبة" dataDxfId="48">
      <calculatedColumnFormula>IF(P2="","",(P2/((5/100)+1)))</calculatedColumnFormula>
    </tableColumn>
    <tableColumn id="17" name="الربح" dataDxfId="47">
      <calculatedColumnFormula>IF(OR(Q2="",L2=""),"",(Q2-L2))</calculatedColumnFormula>
    </tableColumn>
    <tableColumn id="18" name="% الربح لإجمالي التكلفه" dataDxfId="46">
      <calculatedColumnFormula>IF(OR(L2="",R2=""),"",(R2/L2))</calculatedColumnFormula>
    </tableColumn>
    <tableColumn id="19" name="% الربح لسعر البيع المعتمد" dataDxfId="45">
      <calculatedColumnFormula>IF(OR(R2="",Q2=""),"",(R2/Q2))</calculatedColumnFormula>
    </tableColumn>
    <tableColumn id="20" name="% التكلفة لسعر البيع المعتمد" dataDxfId="44">
      <calculatedColumnFormula>IF(OR(L2="",Q2=""),"",(L2/Q2))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Input_Form" displayName="Input_Form" ref="A8:R12" totalsRowShown="0" headerRowDxfId="23" dataDxfId="22">
  <autoFilter ref="A8:R1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8">
    <tableColumn id="14" name="Type" dataDxfId="21">
      <calculatedColumnFormula>IF(OR(ISERROR($G$3),ISERROR($G$4)),"",IF(OR($G$1=0,$G$2=0,$G$3=0,$G$4=0,$G$5&lt;=0),"",$G$1))</calculatedColumnFormula>
    </tableColumn>
    <tableColumn id="15" name="No." dataDxfId="20">
      <calculatedColumnFormula>IF(OR(ISERROR($G$3),ISERROR($G$4)),"",IF(OR($G$1=0,$G$2=0,$G$3=0,$G$4=0,$G$5&lt;=0),"",$G$2))</calculatedColumnFormula>
    </tableColumn>
    <tableColumn id="16" name="Cat" dataDxfId="19">
      <calculatedColumnFormula>IF(OR(ISERROR($G$3),ISERROR($G$4)),"",IF(OR($G$1=0,$G$2=0,$G$3=0,$G$4=0,$G$5&lt;=0),"",$G$3))</calculatedColumnFormula>
    </tableColumn>
    <tableColumn id="17" name="Name" dataDxfId="18">
      <calculatedColumnFormula>IF(OR(ISERROR($G$3),ISERROR($G$4)),"",IF(OR($G$1=0,$G$2=0,$G$3=0,$G$4=0,$G$5&lt;=0),"",$G$4))</calculatedColumnFormula>
    </tableColumn>
    <tableColumn id="8" name="Qty" dataDxfId="17">
      <calculatedColumnFormula>IF(OR(ISERROR($G$3),ISERROR($G$4)),"",IF(OR($G$1=0,$G$2=0,$G$3=0,$G$4=0,$G$5&lt;=0),"",$G$5))</calculatedColumnFormula>
    </tableColumn>
    <tableColumn id="1" name="النوع" dataDxfId="16"/>
    <tableColumn id="2" name="الفئه" dataDxfId="15"/>
    <tableColumn id="3" name="البند" dataDxfId="10"/>
    <tableColumn id="4" name="الكميه" dataDxfId="9"/>
    <tableColumn id="5" name="مقياس الشيف" dataDxfId="14"/>
    <tableColumn id="6" name="البداية" dataDxfId="13"/>
    <tableColumn id="7" name="المتبقي" dataDxfId="12"/>
    <tableColumn id="9" name="الكمية المستخدمه للوصفة" dataDxfId="11">
      <calculatedColumnFormula>IF((OR(Input_Form[[#This Row],[النوع]]="",Input_Form[[#This Row],[الفئه]]="",Input_Form[[#This Row],[البند]]="",Input_Form[[#This Row],[البداية]]="",Input_Form[[#This Row],[المتبقي]]&gt;=Input_Form[[#This Row],[البداية]])),"",(Input_Form[[#This Row],[البداية]]-Input_Form[[#This Row],[المتبقي]]))</calculatedColumnFormula>
    </tableColumn>
    <tableColumn id="12" name="الوحده" dataDxfId="8">
      <calculatedColumnFormula>IF((OR(Input_Form[[#This Row],[النوع]]="",Input_Form[[#This Row],[الفئه]]="",Input_Form[[#This Row],[البند]]="")),"",IF(Input_Form[[#This Row],[النوع]]="مواد_خام",(LOOKUP(2,1/(rowM[الفئة]=Input_Form[[#This Row],[الفئه]])/(rowM[اسم الماده]=Input_Form[[#This Row],[البند]]),(rowM[وحدة الوصفه وصفا]))),IF(Input_Form[[#This Row],[النوع]]="وصفات_أولية",(LOOKUP(2,1/(Prep[الفئة]=Input_Form[[#This Row],[الفئه]])/(Prep[اسم الوصفة]=Input_Form[[#This Row],[البند]]),(Prep[وحدة الوصفه]))),"وحدة بيع")))</calculatedColumnFormula>
    </tableColumn>
    <tableColumn id="13" name="كلفة الكمية المستخدمة للوصفة" dataDxfId="7">
      <calculatedColumnFormula>IF((OR(Input_Form[[#This Row],[النوع]]="",Input_Form[[#This Row],[الفئه]]="",Input_Form[[#This Row],[البند]]="",Input_Form[[#This Row],[الكمية المستخدمه للوصفة]]="")),"",(((SUMIFS(rowM[سعر وحده الوصفة الصافي],rowM[النوع],Input_Form[[#This Row],[النوع]],rowM[الفئة],Input_Form[[#This Row],[الفئه]],rowM[اسم الماده],Input_Form[[#This Row],[البند]]))*(Input_Form[[#This Row],[الكمية المستخدمه للوصفة]]))+((SUMIFS(Prep[التكلفه/ وحده],Prep[النوع],Input_Form[[#This Row],[النوع]],Prep[الفئة],Input_Form[[#This Row],[الفئه]],Prep[اسم الوصفة],Input_Form[[#This Row],[البند]]))*(Input_Form[[#This Row],[الكمية المستخدمه للوصفة]]))+((SUMIFS(Menu[التكلفة المباشرة],Menu[النوع],Input_Form[[#This Row],[النوع]],Menu[الفئة],Input_Form[[#This Row],[الفئه]],Menu[اسم الطبق بالإضافات],Input_Form[[#This Row],[البند]]))*(Input_Form[[#This Row],[الكمية المستخدمه للوصفة]]))))</calculatedColumnFormula>
    </tableColumn>
    <tableColumn id="19" name="المقدار المستهلك / وحدة" dataDxfId="6">
      <calculatedColumnFormula>IF(OR(Input_Form[[#This Row],[النوع]]="",Input_Form[[#This Row],[الفئه]]="",Input_Form[[#This Row],[البند]]="",Input_Form[[#This Row],[Qty]]="",Input_Form[[#This Row],[Qty]]=0,Input_Form[[#This Row],[الكمية المستخدمه للوصفة]]=""),"",(Input_Form[[#This Row],[الكمية المستخدمه للوصفة]]/Input_Form[[#This Row],[Qty]]))</calculatedColumnFormula>
    </tableColumn>
    <tableColumn id="20" name="الكلفه / وحده" dataDxfId="0">
      <calculatedColumnFormula>IF((OR(Input_Form[[#This Row],[النوع]]="",Input_Form[[#This Row],[الفئه]]="",Input_Form[[#This Row],[البند]]="",Input_Form[[#This Row],[المقدار المستهلك / وحدة]]="")),"",(((SUMIFS(rowM[سعر وحده الوصفة الصافي],rowM[النوع],Input_Form[[#This Row],[النوع]],rowM[الفئة],Input_Form[[#This Row],[الفئه]],rowM[اسم الماده],Input_Form[[#This Row],[البند]]))*(Input_Form[[#This Row],[المقدار المستهلك / وحدة]]))+((SUMIFS(Prep[التكلفه/ وحده],Prep[النوع],Input_Form[[#This Row],[النوع]],Prep[الفئة],Input_Form[[#This Row],[الفئه]],Prep[اسم الوصفة],Input_Form[[#This Row],[البند]]))*(Input_Form[[#This Row],[المقدار المستهلك / وحدة]]))+((SUMIFS(Menu[التكلفة المباشرة],Menu[النوع],Input_Form[[#This Row],[النوع]],Menu[الفئة],Input_Form[[#This Row],[الفئه]],Menu[اسم الطبق بالإضافات],Input_Form[[#This Row],[البند]]))*(Input_Form[[#This Row],[المقدار المستهلك / وحدة]]))))</calculatedColumnFormula>
    </tableColumn>
    <tableColumn id="18" name="%" dataDxfId="1">
      <calculatedColumnFormula>IF(OR(SUM(Input_Form[كلفة الكمية المستخدمة للوصفة])=0,ISERROR(SUM(Input_Form[كلفة الكمية المستخدمة للوصفة])),Input_Form[[#This Row],[كلفة الكمية المستخدمة للوصفة]]=""),"",(Input_Form[[#This Row],[كلفة الكمية المستخدمة للوصفة]]/SUM(Input_Form[كلفة الكمية المستخدمة للوصفة])))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10" name="DATA" displayName="DATA" ref="A1:R2" totalsRowShown="0" headerRowDxfId="43" dataDxfId="42">
  <autoFilter ref="A1:R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4" name="Type" dataDxfId="41"/>
    <tableColumn id="15" name="No." dataDxfId="40"/>
    <tableColumn id="16" name="Cat" dataDxfId="39"/>
    <tableColumn id="17" name="Name" dataDxfId="38"/>
    <tableColumn id="18" name="Qty" dataDxfId="37"/>
    <tableColumn id="1" name="النوع" dataDxfId="36"/>
    <tableColumn id="2" name="الفئه" dataDxfId="35"/>
    <tableColumn id="3" name="البند" dataDxfId="34"/>
    <tableColumn id="4" name="الكميه" dataDxfId="33"/>
    <tableColumn id="5" name="مقياس الشيف" dataDxfId="32"/>
    <tableColumn id="6" name="البداية" dataDxfId="31"/>
    <tableColumn id="7" name="المتبقي" dataDxfId="30"/>
    <tableColumn id="8" name="الكمية المستخدمه للوصفة" dataDxfId="29"/>
    <tableColumn id="9" name="الوحده" dataDxfId="28"/>
    <tableColumn id="10" name="كلفة الكمية المستخدمة للوصفة" dataDxfId="27"/>
    <tableColumn id="11" name="المقدار المستهلك / وحدة" dataDxfId="26"/>
    <tableColumn id="12" name="الكلفه / وحده" dataDxfId="25"/>
    <tableColumn id="13" name="%" data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Depletion" displayName="Depletion" ref="K1:K5" totalsRowShown="0">
  <autoFilter ref="K1:K5"/>
  <tableColumns count="1">
    <tableColumn id="1" name="Deple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مواد_خام" displayName="مواد_خام" ref="E1:E12" totalsRowShown="0" headerRowDxfId="118">
  <autoFilter ref="E1:E12"/>
  <tableColumns count="1">
    <tableColumn id="1" name="فئات_المواد_الخام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Kitchen_unit" displayName="Kitchen_unit" ref="C1:C13" totalsRowShown="0">
  <autoFilter ref="C1:C13"/>
  <tableColumns count="1">
    <tableColumn id="1" name="Kitchen_uni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7" name="وصفات_أولية" displayName="وصفات_أولية" ref="G1:G7" totalsRowShown="0" headerRowDxfId="117">
  <autoFilter ref="G1:G7"/>
  <tableColumns count="1">
    <tableColumn id="1" name="فئات الوصفات الأولية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8" name="صنف_بيع" displayName="صنف_بيع" ref="I1:I8" totalsRowShown="0" headerRowDxfId="116">
  <autoFilter ref="I1:I8"/>
  <tableColumns count="1">
    <tableColumn id="1" name="فئات أصناف البيع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5" name="suppliers" displayName="suppliers" ref="A1:H46" totalsRowShown="0" headerRowDxfId="115" dataDxfId="113" headerRowBorderDxfId="114" tableBorderDxfId="112" totalsRowBorderDxfId="111">
  <autoFilter ref="A1:H46"/>
  <tableColumns count="8">
    <tableColumn id="1" name="supplier name" dataDxfId="110"/>
    <tableColumn id="2" name="Field" dataDxfId="109"/>
    <tableColumn id="3" name="contact name" dataDxfId="108"/>
    <tableColumn id="4" name="contact #1" dataDxfId="107"/>
    <tableColumn id="5" name="contact #2" dataDxfId="106"/>
    <tableColumn id="6" name="contact #3" dataDxfId="105"/>
    <tableColumn id="7" name="contact #4" dataDxfId="104"/>
    <tableColumn id="8" name="Email1" dataDxfId="10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" name="rowM" displayName="rowM" ref="A1:Y146" totalsRowShown="0" headerRowDxfId="102" dataDxfId="101">
  <autoFilter ref="A1:Y146"/>
  <tableColumns count="25">
    <tableColumn id="2" name="النوع" dataDxfId="100"/>
    <tableColumn id="3" name="الفئة" dataDxfId="99"/>
    <tableColumn id="5" name="اسم الماده" dataDxfId="98"/>
    <tableColumn id="4" name="Category" dataDxfId="97"/>
    <tableColumn id="1" name="ITEM Name" dataDxfId="96"/>
    <tableColumn id="6" name="وحدة التوريد رقما" dataDxfId="95"/>
    <tableColumn id="7" name="وحدة التوريد وصفا" dataDxfId="94"/>
    <tableColumn id="8" name="وحدة المخزن رقما" dataDxfId="93"/>
    <tableColumn id="9" name="وحدة المخزن وصفا" dataDxfId="92"/>
    <tableColumn id="10" name="وحدة الوصفه رقما" dataDxfId="91"/>
    <tableColumn id="11" name="وحدة الوصفه وصفا" dataDxfId="90"/>
    <tableColumn id="12" name="مجموع الشد" dataDxfId="89">
      <calculatedColumnFormula>IF((PRODUCT(F2,H2,J2))=0,"",(PRODUCT(F2,H2,J2)))</calculatedColumnFormula>
    </tableColumn>
    <tableColumn id="17" name="نسبة الجزء الصالح" dataDxfId="88"/>
    <tableColumn id="13" name="مجموع الشد صافي" dataDxfId="87">
      <calculatedColumnFormula>IF(M2="","",(M2*L2))</calculatedColumnFormula>
    </tableColumn>
    <tableColumn id="14" name="سعر وحدة التوريد" dataDxfId="86"/>
    <tableColumn id="15" name="سعر وحدة المخزن" dataDxfId="85">
      <calculatedColumnFormula>IF((OR(H2="",O2="")),"",O2/H2)</calculatedColumnFormula>
    </tableColumn>
    <tableColumn id="16" name="سعر وحدة الوصفة" dataDxfId="84">
      <calculatedColumnFormula>IF((OR(L2="",O2="")),"",O2/L2)</calculatedColumnFormula>
    </tableColumn>
    <tableColumn id="18" name="سعر وحده الوصفة الصافي" dataDxfId="83">
      <calculatedColumnFormula>IF(OR(N2="",O2=""),"",O2/N2)</calculatedColumnFormula>
    </tableColumn>
    <tableColumn id="19" name="suppliers_1" dataDxfId="82">
      <calculatedColumnFormula>INDIRECT("suppliers[supplier name]")</calculatedColumnFormula>
    </tableColumn>
    <tableColumn id="20" name="suppliers_2" dataDxfId="81"/>
    <tableColumn id="21" name="suppliers_3" dataDxfId="80"/>
    <tableColumn id="22" name="suppliers_4" dataDxfId="79"/>
    <tableColumn id="23" name="suppliers_5" dataDxfId="78"/>
    <tableColumn id="24" name="suppliers_6" dataDxfId="77"/>
    <tableColumn id="25" name="suppliers_7" dataDxfId="7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6" name="Prep" displayName="Prep" ref="A1:F24" totalsRowShown="0" headerRowDxfId="75" headerRowBorderDxfId="74" tableBorderDxfId="73">
  <autoFilter ref="A1:F24"/>
  <tableColumns count="6">
    <tableColumn id="7" name="رقم الوصفة" dataDxfId="72">
      <calculatedColumnFormula>"Prep_recipe"&amp;"_"&amp;(ROW(A2)-ROW($A$1))</calculatedColumnFormula>
    </tableColumn>
    <tableColumn id="1" name="النوع" dataDxfId="71"/>
    <tableColumn id="2" name="الفئة" dataDxfId="70"/>
    <tableColumn id="3" name="اسم الوصفة" dataDxfId="69"/>
    <tableColumn id="5" name="وحدة الوصفه" dataDxfId="68"/>
    <tableColumn id="6" name="التكلفه/ وحده" dataDxfId="67">
      <calculatedColumnFormula>SUMIFS(DATA[الكلفه / وحده],DATA[No.],Prep[[#This Row],[رقم الوصفة]],DATA[Type],Prep[[#This Row],[النوع]],DATA[Cat],Prep[[#This Row],[الفئة]],DATA[Name],Prep[[#This Row],[اسم الوصفة]])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workbookViewId="0">
      <selection activeCell="A4" sqref="A4:A9"/>
    </sheetView>
  </sheetViews>
  <sheetFormatPr defaultRowHeight="15" x14ac:dyDescent="0.25"/>
  <cols>
    <col min="2" max="2" width="2.7109375" customWidth="1"/>
    <col min="3" max="3" width="15.42578125" bestFit="1" customWidth="1"/>
    <col min="4" max="4" width="2.7109375" customWidth="1"/>
    <col min="5" max="5" width="19.140625" bestFit="1" customWidth="1"/>
    <col min="6" max="6" width="2.7109375" customWidth="1"/>
    <col min="7" max="7" width="21.85546875" bestFit="1" customWidth="1"/>
    <col min="8" max="8" width="2.7109375" customWidth="1"/>
    <col min="9" max="9" width="16.42578125" customWidth="1"/>
    <col min="10" max="10" width="2.7109375" customWidth="1"/>
    <col min="11" max="11" width="17.28515625" bestFit="1" customWidth="1"/>
  </cols>
  <sheetData>
    <row r="1" spans="1:11" x14ac:dyDescent="0.25">
      <c r="A1" t="s">
        <v>212</v>
      </c>
      <c r="C1" t="s">
        <v>252</v>
      </c>
      <c r="E1" s="18" t="s">
        <v>309</v>
      </c>
      <c r="G1" s="18" t="s">
        <v>302</v>
      </c>
      <c r="I1" s="18" t="s">
        <v>317</v>
      </c>
      <c r="K1" t="s">
        <v>215</v>
      </c>
    </row>
    <row r="2" spans="1:11" x14ac:dyDescent="0.25">
      <c r="A2" t="s">
        <v>232</v>
      </c>
      <c r="C2" t="s">
        <v>239</v>
      </c>
      <c r="E2" t="s">
        <v>256</v>
      </c>
      <c r="G2" t="s">
        <v>267</v>
      </c>
      <c r="I2" t="s">
        <v>263</v>
      </c>
      <c r="K2" t="s">
        <v>30</v>
      </c>
    </row>
    <row r="3" spans="1:11" x14ac:dyDescent="0.25">
      <c r="A3" t="s">
        <v>233</v>
      </c>
      <c r="C3" t="s">
        <v>323</v>
      </c>
      <c r="E3" t="s">
        <v>257</v>
      </c>
      <c r="G3" t="s">
        <v>268</v>
      </c>
      <c r="I3" t="s">
        <v>268</v>
      </c>
      <c r="K3" t="s">
        <v>213</v>
      </c>
    </row>
    <row r="4" spans="1:11" x14ac:dyDescent="0.25">
      <c r="A4" t="s">
        <v>234</v>
      </c>
      <c r="C4" t="s">
        <v>324</v>
      </c>
      <c r="E4" t="s">
        <v>258</v>
      </c>
      <c r="G4" t="s">
        <v>269</v>
      </c>
      <c r="I4" t="s">
        <v>318</v>
      </c>
      <c r="K4" t="s">
        <v>108</v>
      </c>
    </row>
    <row r="5" spans="1:11" x14ac:dyDescent="0.25">
      <c r="A5" t="s">
        <v>238</v>
      </c>
      <c r="C5" t="s">
        <v>325</v>
      </c>
      <c r="E5" t="s">
        <v>259</v>
      </c>
      <c r="G5" t="s">
        <v>270</v>
      </c>
      <c r="I5" t="s">
        <v>319</v>
      </c>
      <c r="K5" t="s">
        <v>214</v>
      </c>
    </row>
    <row r="6" spans="1:11" x14ac:dyDescent="0.25">
      <c r="A6" t="s">
        <v>236</v>
      </c>
      <c r="C6" t="s">
        <v>326</v>
      </c>
      <c r="E6" t="s">
        <v>260</v>
      </c>
      <c r="G6" t="s">
        <v>263</v>
      </c>
      <c r="I6" t="s">
        <v>320</v>
      </c>
    </row>
    <row r="7" spans="1:11" x14ac:dyDescent="0.25">
      <c r="A7" t="s">
        <v>237</v>
      </c>
      <c r="C7" t="s">
        <v>327</v>
      </c>
      <c r="E7" t="s">
        <v>261</v>
      </c>
      <c r="G7" t="s">
        <v>297</v>
      </c>
      <c r="I7" t="s">
        <v>267</v>
      </c>
    </row>
    <row r="8" spans="1:11" x14ac:dyDescent="0.25">
      <c r="A8" t="s">
        <v>235</v>
      </c>
      <c r="C8" t="s">
        <v>328</v>
      </c>
      <c r="E8" t="s">
        <v>262</v>
      </c>
      <c r="I8" t="s">
        <v>259</v>
      </c>
    </row>
    <row r="9" spans="1:11" x14ac:dyDescent="0.25">
      <c r="A9" t="s">
        <v>239</v>
      </c>
      <c r="C9" t="s">
        <v>329</v>
      </c>
      <c r="E9" t="s">
        <v>263</v>
      </c>
    </row>
    <row r="10" spans="1:11" x14ac:dyDescent="0.25">
      <c r="A10" t="s">
        <v>240</v>
      </c>
      <c r="C10" t="s">
        <v>330</v>
      </c>
      <c r="E10" t="s">
        <v>264</v>
      </c>
    </row>
    <row r="11" spans="1:11" x14ac:dyDescent="0.25">
      <c r="A11" t="s">
        <v>241</v>
      </c>
      <c r="C11" t="s">
        <v>39</v>
      </c>
      <c r="E11" t="s">
        <v>265</v>
      </c>
    </row>
    <row r="12" spans="1:11" x14ac:dyDescent="0.25">
      <c r="A12" t="s">
        <v>681</v>
      </c>
      <c r="C12" t="s">
        <v>9</v>
      </c>
      <c r="E12" t="s">
        <v>266</v>
      </c>
    </row>
    <row r="13" spans="1:11" x14ac:dyDescent="0.25">
      <c r="A13" t="s">
        <v>242</v>
      </c>
      <c r="C13" t="s">
        <v>331</v>
      </c>
    </row>
    <row r="14" spans="1:11" x14ac:dyDescent="0.25">
      <c r="A14" t="s">
        <v>243</v>
      </c>
    </row>
    <row r="15" spans="1:11" x14ac:dyDescent="0.25">
      <c r="A15" t="s">
        <v>244</v>
      </c>
    </row>
    <row r="16" spans="1:1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17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251</v>
      </c>
    </row>
    <row r="24" spans="1:1" x14ac:dyDescent="0.25">
      <c r="A24" t="s">
        <v>701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topLeftCell="A2" workbookViewId="0"/>
  </sheetViews>
  <sheetFormatPr defaultRowHeight="12.75" x14ac:dyDescent="0.2"/>
  <cols>
    <col min="1" max="1" width="33.5703125" style="50" bestFit="1" customWidth="1"/>
    <col min="2" max="2" width="38.140625" style="50" bestFit="1" customWidth="1"/>
    <col min="3" max="3" width="31.5703125" style="50" bestFit="1" customWidth="1"/>
    <col min="4" max="7" width="14.7109375" style="50" customWidth="1"/>
    <col min="8" max="8" width="34.5703125" style="50" bestFit="1" customWidth="1"/>
    <col min="9" max="16384" width="9.140625" style="50"/>
  </cols>
  <sheetData>
    <row r="1" spans="1:8" s="49" customFormat="1" ht="30" customHeight="1" x14ac:dyDescent="0.25">
      <c r="A1" s="60" t="s">
        <v>332</v>
      </c>
      <c r="B1" s="61" t="s">
        <v>419</v>
      </c>
      <c r="C1" s="61" t="s">
        <v>333</v>
      </c>
      <c r="D1" s="61" t="s">
        <v>334</v>
      </c>
      <c r="E1" s="61" t="s">
        <v>335</v>
      </c>
      <c r="F1" s="61" t="s">
        <v>336</v>
      </c>
      <c r="G1" s="61" t="s">
        <v>337</v>
      </c>
      <c r="H1" s="62" t="s">
        <v>338</v>
      </c>
    </row>
    <row r="2" spans="1:8" ht="15" customHeight="1" x14ac:dyDescent="0.2">
      <c r="A2" s="53" t="s">
        <v>339</v>
      </c>
      <c r="B2" s="51" t="s">
        <v>420</v>
      </c>
      <c r="C2" s="51" t="s">
        <v>340</v>
      </c>
      <c r="D2" s="52" t="s">
        <v>375</v>
      </c>
      <c r="E2" s="52" t="s">
        <v>376</v>
      </c>
      <c r="F2" s="52" t="s">
        <v>377</v>
      </c>
      <c r="G2" s="52"/>
      <c r="H2" s="55" t="s">
        <v>341</v>
      </c>
    </row>
    <row r="3" spans="1:8" ht="15" customHeight="1" x14ac:dyDescent="0.2">
      <c r="A3" s="53" t="s">
        <v>342</v>
      </c>
      <c r="B3" s="51" t="s">
        <v>421</v>
      </c>
      <c r="C3" s="51" t="s">
        <v>343</v>
      </c>
      <c r="D3" s="52" t="s">
        <v>378</v>
      </c>
      <c r="E3" s="52" t="s">
        <v>379</v>
      </c>
      <c r="F3" s="52"/>
      <c r="G3" s="52"/>
      <c r="H3" s="55"/>
    </row>
    <row r="4" spans="1:8" ht="15" customHeight="1" x14ac:dyDescent="0.2">
      <c r="A4" s="53" t="s">
        <v>344</v>
      </c>
      <c r="B4" s="51" t="s">
        <v>422</v>
      </c>
      <c r="C4" s="51" t="s">
        <v>456</v>
      </c>
      <c r="D4" s="52" t="s">
        <v>380</v>
      </c>
      <c r="E4" s="52" t="s">
        <v>457</v>
      </c>
      <c r="F4" s="52"/>
      <c r="G4" s="52"/>
      <c r="H4" s="55"/>
    </row>
    <row r="5" spans="1:8" ht="15" customHeight="1" x14ac:dyDescent="0.2">
      <c r="A5" s="53" t="s">
        <v>345</v>
      </c>
      <c r="B5" s="51" t="s">
        <v>423</v>
      </c>
      <c r="C5" s="51"/>
      <c r="D5" s="52" t="s">
        <v>381</v>
      </c>
      <c r="E5" s="52" t="s">
        <v>382</v>
      </c>
      <c r="F5" s="52" t="s">
        <v>383</v>
      </c>
      <c r="G5" s="52"/>
      <c r="H5" s="55"/>
    </row>
    <row r="6" spans="1:8" ht="15" customHeight="1" x14ac:dyDescent="0.2">
      <c r="A6" s="53" t="s">
        <v>346</v>
      </c>
      <c r="B6" s="51" t="s">
        <v>424</v>
      </c>
      <c r="C6" s="51" t="s">
        <v>347</v>
      </c>
      <c r="D6" s="52" t="s">
        <v>384</v>
      </c>
      <c r="E6" s="52" t="s">
        <v>385</v>
      </c>
      <c r="F6" s="52" t="s">
        <v>386</v>
      </c>
      <c r="G6" s="52"/>
      <c r="H6" s="55"/>
    </row>
    <row r="7" spans="1:8" ht="15" customHeight="1" x14ac:dyDescent="0.2">
      <c r="A7" s="53" t="s">
        <v>348</v>
      </c>
      <c r="B7" s="51" t="s">
        <v>426</v>
      </c>
      <c r="C7" s="51" t="s">
        <v>349</v>
      </c>
      <c r="D7" s="52" t="s">
        <v>387</v>
      </c>
      <c r="E7" s="52" t="s">
        <v>388</v>
      </c>
      <c r="F7" s="52" t="s">
        <v>389</v>
      </c>
      <c r="G7" s="52" t="s">
        <v>388</v>
      </c>
      <c r="H7" s="55" t="s">
        <v>350</v>
      </c>
    </row>
    <row r="8" spans="1:8" ht="15" customHeight="1" x14ac:dyDescent="0.2">
      <c r="A8" s="53" t="s">
        <v>351</v>
      </c>
      <c r="B8" s="51" t="s">
        <v>425</v>
      </c>
      <c r="C8" s="51" t="s">
        <v>352</v>
      </c>
      <c r="D8" s="52" t="s">
        <v>390</v>
      </c>
      <c r="E8" s="52"/>
      <c r="F8" s="52"/>
      <c r="G8" s="52"/>
      <c r="H8" s="55"/>
    </row>
    <row r="9" spans="1:8" ht="15" customHeight="1" x14ac:dyDescent="0.2">
      <c r="A9" s="53" t="s">
        <v>353</v>
      </c>
      <c r="B9" s="51" t="s">
        <v>426</v>
      </c>
      <c r="C9" s="51" t="s">
        <v>354</v>
      </c>
      <c r="D9" s="52" t="s">
        <v>391</v>
      </c>
      <c r="E9" s="52" t="s">
        <v>392</v>
      </c>
      <c r="F9" s="52"/>
      <c r="G9" s="52"/>
      <c r="H9" s="55"/>
    </row>
    <row r="10" spans="1:8" ht="15" customHeight="1" x14ac:dyDescent="0.2">
      <c r="A10" s="53" t="s">
        <v>355</v>
      </c>
      <c r="B10" s="51" t="s">
        <v>427</v>
      </c>
      <c r="C10" s="51" t="s">
        <v>356</v>
      </c>
      <c r="D10" s="52" t="s">
        <v>393</v>
      </c>
      <c r="E10" s="52" t="s">
        <v>394</v>
      </c>
      <c r="F10" s="52"/>
      <c r="G10" s="52"/>
      <c r="H10" s="55"/>
    </row>
    <row r="11" spans="1:8" ht="15" customHeight="1" x14ac:dyDescent="0.2">
      <c r="A11" s="53" t="s">
        <v>357</v>
      </c>
      <c r="B11" s="51" t="s">
        <v>428</v>
      </c>
      <c r="C11" s="51" t="s">
        <v>358</v>
      </c>
      <c r="D11" s="52" t="s">
        <v>395</v>
      </c>
      <c r="E11" s="52"/>
      <c r="F11" s="52"/>
      <c r="G11" s="52"/>
      <c r="H11" s="55" t="s">
        <v>436</v>
      </c>
    </row>
    <row r="12" spans="1:8" ht="15" customHeight="1" x14ac:dyDescent="0.2">
      <c r="A12" s="53" t="s">
        <v>359</v>
      </c>
      <c r="B12" s="51" t="s">
        <v>429</v>
      </c>
      <c r="C12" s="51" t="s">
        <v>360</v>
      </c>
      <c r="D12" s="52" t="s">
        <v>396</v>
      </c>
      <c r="E12" s="52" t="s">
        <v>397</v>
      </c>
      <c r="F12" s="52" t="s">
        <v>398</v>
      </c>
      <c r="G12" s="52"/>
      <c r="H12" s="55" t="s">
        <v>361</v>
      </c>
    </row>
    <row r="13" spans="1:8" ht="15" customHeight="1" x14ac:dyDescent="0.2">
      <c r="A13" s="53" t="s">
        <v>362</v>
      </c>
      <c r="B13" s="51" t="s">
        <v>430</v>
      </c>
      <c r="C13" s="51" t="s">
        <v>354</v>
      </c>
      <c r="D13" s="52" t="s">
        <v>399</v>
      </c>
      <c r="E13" s="52" t="s">
        <v>400</v>
      </c>
      <c r="F13" s="52"/>
      <c r="G13" s="52"/>
      <c r="H13" s="55"/>
    </row>
    <row r="14" spans="1:8" ht="15" customHeight="1" x14ac:dyDescent="0.2">
      <c r="A14" s="53" t="s">
        <v>363</v>
      </c>
      <c r="B14" s="51" t="s">
        <v>426</v>
      </c>
      <c r="C14" s="51" t="s">
        <v>354</v>
      </c>
      <c r="D14" s="52" t="s">
        <v>401</v>
      </c>
      <c r="E14" s="52"/>
      <c r="F14" s="52"/>
      <c r="G14" s="52"/>
      <c r="H14" s="55"/>
    </row>
    <row r="15" spans="1:8" ht="15" customHeight="1" x14ac:dyDescent="0.2">
      <c r="A15" s="53" t="s">
        <v>364</v>
      </c>
      <c r="B15" s="51" t="s">
        <v>431</v>
      </c>
      <c r="C15" s="51" t="s">
        <v>510</v>
      </c>
      <c r="D15" s="52" t="s">
        <v>402</v>
      </c>
      <c r="E15" s="52" t="s">
        <v>403</v>
      </c>
      <c r="F15" s="52" t="s">
        <v>404</v>
      </c>
      <c r="G15" s="52" t="s">
        <v>405</v>
      </c>
      <c r="H15" s="55"/>
    </row>
    <row r="16" spans="1:8" ht="15" customHeight="1" x14ac:dyDescent="0.2">
      <c r="A16" s="53" t="s">
        <v>695</v>
      </c>
      <c r="B16" s="51" t="s">
        <v>431</v>
      </c>
      <c r="C16" s="51" t="s">
        <v>696</v>
      </c>
      <c r="D16" s="52" t="s">
        <v>697</v>
      </c>
      <c r="E16" s="52" t="s">
        <v>698</v>
      </c>
      <c r="F16" s="52" t="s">
        <v>699</v>
      </c>
      <c r="G16" s="52"/>
      <c r="H16" s="55" t="s">
        <v>700</v>
      </c>
    </row>
    <row r="17" spans="1:8" ht="15" customHeight="1" x14ac:dyDescent="0.2">
      <c r="A17" s="53" t="s">
        <v>365</v>
      </c>
      <c r="B17" s="51" t="s">
        <v>431</v>
      </c>
      <c r="C17" s="51" t="s">
        <v>467</v>
      </c>
      <c r="D17" s="52" t="s">
        <v>406</v>
      </c>
      <c r="E17" s="52" t="s">
        <v>407</v>
      </c>
      <c r="F17" s="52" t="s">
        <v>468</v>
      </c>
      <c r="G17" s="52"/>
      <c r="H17" s="55"/>
    </row>
    <row r="18" spans="1:8" ht="15" customHeight="1" x14ac:dyDescent="0.2">
      <c r="A18" s="53" t="s">
        <v>366</v>
      </c>
      <c r="B18" s="51" t="s">
        <v>431</v>
      </c>
      <c r="C18" s="51" t="s">
        <v>367</v>
      </c>
      <c r="D18" s="52" t="s">
        <v>408</v>
      </c>
      <c r="E18" s="52" t="s">
        <v>409</v>
      </c>
      <c r="F18" s="52" t="s">
        <v>410</v>
      </c>
      <c r="G18" s="52"/>
      <c r="H18" s="55"/>
    </row>
    <row r="19" spans="1:8" ht="15" customHeight="1" x14ac:dyDescent="0.2">
      <c r="A19" s="53" t="s">
        <v>368</v>
      </c>
      <c r="B19" s="51" t="s">
        <v>432</v>
      </c>
      <c r="C19" s="51" t="s">
        <v>369</v>
      </c>
      <c r="D19" s="52" t="s">
        <v>411</v>
      </c>
      <c r="E19" s="52" t="s">
        <v>412</v>
      </c>
      <c r="F19" s="52" t="s">
        <v>413</v>
      </c>
      <c r="G19" s="52" t="s">
        <v>414</v>
      </c>
      <c r="H19" s="55" t="s">
        <v>370</v>
      </c>
    </row>
    <row r="20" spans="1:8" ht="15" customHeight="1" x14ac:dyDescent="0.2">
      <c r="A20" s="53" t="s">
        <v>371</v>
      </c>
      <c r="B20" s="51" t="s">
        <v>433</v>
      </c>
      <c r="C20" s="51" t="s">
        <v>372</v>
      </c>
      <c r="D20" s="52" t="s">
        <v>415</v>
      </c>
      <c r="E20" s="52"/>
      <c r="F20" s="52"/>
      <c r="G20" s="52"/>
      <c r="H20" s="55"/>
    </row>
    <row r="21" spans="1:8" ht="15" customHeight="1" x14ac:dyDescent="0.2">
      <c r="A21" s="53" t="s">
        <v>373</v>
      </c>
      <c r="B21" s="51" t="s">
        <v>434</v>
      </c>
      <c r="C21" s="51" t="s">
        <v>519</v>
      </c>
      <c r="D21" s="52" t="s">
        <v>416</v>
      </c>
      <c r="E21" s="52" t="s">
        <v>417</v>
      </c>
      <c r="F21" s="52" t="s">
        <v>418</v>
      </c>
      <c r="G21" s="52" t="s">
        <v>520</v>
      </c>
      <c r="H21" s="55" t="s">
        <v>374</v>
      </c>
    </row>
    <row r="22" spans="1:8" ht="15" customHeight="1" x14ac:dyDescent="0.2">
      <c r="A22" s="53" t="s">
        <v>435</v>
      </c>
      <c r="B22" s="51" t="s">
        <v>256</v>
      </c>
      <c r="C22" s="51" t="s">
        <v>438</v>
      </c>
      <c r="D22" s="52" t="s">
        <v>439</v>
      </c>
      <c r="E22" s="51"/>
      <c r="F22" s="51"/>
      <c r="G22" s="51"/>
      <c r="H22" s="55" t="s">
        <v>437</v>
      </c>
    </row>
    <row r="23" spans="1:8" ht="15" customHeight="1" x14ac:dyDescent="0.2">
      <c r="A23" s="53" t="s">
        <v>440</v>
      </c>
      <c r="B23" s="51" t="s">
        <v>441</v>
      </c>
      <c r="C23" s="51" t="s">
        <v>476</v>
      </c>
      <c r="D23" s="52" t="s">
        <v>442</v>
      </c>
      <c r="E23" s="52" t="s">
        <v>477</v>
      </c>
      <c r="F23" s="52"/>
      <c r="G23" s="52"/>
      <c r="H23" s="55"/>
    </row>
    <row r="24" spans="1:8" ht="15" customHeight="1" x14ac:dyDescent="0.2">
      <c r="A24" s="53" t="s">
        <v>443</v>
      </c>
      <c r="B24" s="51" t="s">
        <v>423</v>
      </c>
      <c r="C24" s="51" t="s">
        <v>444</v>
      </c>
      <c r="D24" s="52" t="s">
        <v>445</v>
      </c>
      <c r="E24" s="52"/>
      <c r="F24" s="52"/>
      <c r="G24" s="52"/>
      <c r="H24" s="55"/>
    </row>
    <row r="25" spans="1:8" ht="15" customHeight="1" x14ac:dyDescent="0.2">
      <c r="A25" s="53" t="s">
        <v>446</v>
      </c>
      <c r="B25" s="51" t="s">
        <v>256</v>
      </c>
      <c r="C25" s="51" t="s">
        <v>447</v>
      </c>
      <c r="D25" s="52" t="s">
        <v>448</v>
      </c>
      <c r="E25" s="52"/>
      <c r="F25" s="52"/>
      <c r="G25" s="52"/>
      <c r="H25" s="55"/>
    </row>
    <row r="26" spans="1:8" ht="15" customHeight="1" x14ac:dyDescent="0.2">
      <c r="A26" s="53" t="s">
        <v>449</v>
      </c>
      <c r="B26" s="51" t="s">
        <v>450</v>
      </c>
      <c r="C26" s="51" t="s">
        <v>523</v>
      </c>
      <c r="D26" s="52" t="s">
        <v>451</v>
      </c>
      <c r="E26" s="52" t="s">
        <v>524</v>
      </c>
      <c r="F26" s="52"/>
      <c r="G26" s="52"/>
      <c r="H26" s="55"/>
    </row>
    <row r="27" spans="1:8" ht="15" customHeight="1" x14ac:dyDescent="0.2">
      <c r="A27" s="53" t="s">
        <v>452</v>
      </c>
      <c r="B27" s="51" t="s">
        <v>453</v>
      </c>
      <c r="C27" s="51" t="s">
        <v>454</v>
      </c>
      <c r="D27" s="52" t="s">
        <v>455</v>
      </c>
      <c r="E27" s="52"/>
      <c r="F27" s="52"/>
      <c r="G27" s="52"/>
      <c r="H27" s="55"/>
    </row>
    <row r="28" spans="1:8" ht="15" customHeight="1" x14ac:dyDescent="0.2">
      <c r="A28" s="53" t="s">
        <v>458</v>
      </c>
      <c r="B28" s="51" t="s">
        <v>256</v>
      </c>
      <c r="C28" s="51" t="s">
        <v>459</v>
      </c>
      <c r="D28" s="52" t="s">
        <v>460</v>
      </c>
      <c r="E28" s="52"/>
      <c r="F28" s="52"/>
      <c r="G28" s="52"/>
      <c r="H28" s="55"/>
    </row>
    <row r="29" spans="1:8" ht="15" customHeight="1" x14ac:dyDescent="0.2">
      <c r="A29" s="53" t="s">
        <v>461</v>
      </c>
      <c r="B29" s="51" t="s">
        <v>463</v>
      </c>
      <c r="C29" s="51" t="s">
        <v>462</v>
      </c>
      <c r="D29" s="52" t="s">
        <v>464</v>
      </c>
      <c r="E29" s="52" t="s">
        <v>465</v>
      </c>
      <c r="F29" s="52" t="s">
        <v>466</v>
      </c>
      <c r="G29" s="52"/>
      <c r="H29" s="55"/>
    </row>
    <row r="30" spans="1:8" ht="15" customHeight="1" x14ac:dyDescent="0.2">
      <c r="A30" s="53" t="s">
        <v>469</v>
      </c>
      <c r="B30" s="51" t="s">
        <v>470</v>
      </c>
      <c r="C30" s="51" t="s">
        <v>471</v>
      </c>
      <c r="D30" s="52" t="s">
        <v>472</v>
      </c>
      <c r="E30" s="52" t="s">
        <v>473</v>
      </c>
      <c r="F30" s="52" t="s">
        <v>474</v>
      </c>
      <c r="G30" s="52"/>
      <c r="H30" s="55" t="s">
        <v>475</v>
      </c>
    </row>
    <row r="31" spans="1:8" ht="15" customHeight="1" x14ac:dyDescent="0.2">
      <c r="A31" s="53" t="s">
        <v>478</v>
      </c>
      <c r="B31" s="51" t="s">
        <v>481</v>
      </c>
      <c r="C31" s="51" t="s">
        <v>479</v>
      </c>
      <c r="D31" s="52" t="s">
        <v>480</v>
      </c>
      <c r="E31" s="52"/>
      <c r="F31" s="52"/>
      <c r="G31" s="52"/>
      <c r="H31" s="55"/>
    </row>
    <row r="32" spans="1:8" ht="15" customHeight="1" x14ac:dyDescent="0.2">
      <c r="A32" s="54" t="s">
        <v>482</v>
      </c>
      <c r="B32" s="51" t="s">
        <v>485</v>
      </c>
      <c r="C32" s="51" t="s">
        <v>483</v>
      </c>
      <c r="D32" s="52" t="s">
        <v>484</v>
      </c>
      <c r="E32" s="52"/>
      <c r="F32" s="52"/>
      <c r="G32" s="52"/>
      <c r="H32" s="55"/>
    </row>
    <row r="33" spans="1:8" ht="15" customHeight="1" x14ac:dyDescent="0.2">
      <c r="A33" s="53" t="s">
        <v>486</v>
      </c>
      <c r="B33" s="51" t="s">
        <v>487</v>
      </c>
      <c r="C33" s="51" t="s">
        <v>529</v>
      </c>
      <c r="D33" s="52" t="s">
        <v>488</v>
      </c>
      <c r="E33" s="52" t="s">
        <v>530</v>
      </c>
      <c r="F33" s="52"/>
      <c r="G33" s="52"/>
      <c r="H33" s="55"/>
    </row>
    <row r="34" spans="1:8" ht="15" customHeight="1" x14ac:dyDescent="0.2">
      <c r="A34" s="53" t="s">
        <v>489</v>
      </c>
      <c r="B34" s="51" t="s">
        <v>490</v>
      </c>
      <c r="C34" s="51" t="s">
        <v>491</v>
      </c>
      <c r="D34" s="52" t="s">
        <v>492</v>
      </c>
      <c r="E34" s="52"/>
      <c r="F34" s="52"/>
      <c r="G34" s="52"/>
      <c r="H34" s="55"/>
    </row>
    <row r="35" spans="1:8" ht="15" customHeight="1" x14ac:dyDescent="0.2">
      <c r="A35" s="53" t="s">
        <v>493</v>
      </c>
      <c r="B35" s="51" t="s">
        <v>494</v>
      </c>
      <c r="C35" s="51" t="s">
        <v>531</v>
      </c>
      <c r="D35" s="52" t="s">
        <v>495</v>
      </c>
      <c r="E35" s="52" t="s">
        <v>532</v>
      </c>
      <c r="F35" s="52"/>
      <c r="G35" s="52"/>
      <c r="H35" s="55"/>
    </row>
    <row r="36" spans="1:8" ht="15" customHeight="1" x14ac:dyDescent="0.2">
      <c r="A36" s="53" t="s">
        <v>496</v>
      </c>
      <c r="B36" s="51" t="s">
        <v>497</v>
      </c>
      <c r="C36" s="51" t="s">
        <v>498</v>
      </c>
      <c r="D36" s="52" t="s">
        <v>499</v>
      </c>
      <c r="E36" s="52" t="s">
        <v>500</v>
      </c>
      <c r="F36" s="52"/>
      <c r="G36" s="52"/>
      <c r="H36" s="55"/>
    </row>
    <row r="37" spans="1:8" ht="15" customHeight="1" x14ac:dyDescent="0.2">
      <c r="A37" s="53" t="s">
        <v>501</v>
      </c>
      <c r="B37" s="51" t="s">
        <v>433</v>
      </c>
      <c r="C37" s="51" t="s">
        <v>521</v>
      </c>
      <c r="D37" s="52" t="s">
        <v>502</v>
      </c>
      <c r="E37" s="52" t="s">
        <v>511</v>
      </c>
      <c r="F37" s="52" t="s">
        <v>512</v>
      </c>
      <c r="G37" s="52" t="s">
        <v>522</v>
      </c>
      <c r="H37" s="55" t="s">
        <v>513</v>
      </c>
    </row>
    <row r="38" spans="1:8" ht="15" customHeight="1" x14ac:dyDescent="0.2">
      <c r="A38" s="53" t="s">
        <v>503</v>
      </c>
      <c r="B38" s="51" t="s">
        <v>504</v>
      </c>
      <c r="C38" s="51" t="s">
        <v>514</v>
      </c>
      <c r="D38" s="52" t="s">
        <v>505</v>
      </c>
      <c r="E38" s="52" t="s">
        <v>515</v>
      </c>
      <c r="F38" s="52"/>
      <c r="G38" s="52"/>
      <c r="H38" s="55"/>
    </row>
    <row r="39" spans="1:8" ht="15" customHeight="1" x14ac:dyDescent="0.2">
      <c r="A39" s="53" t="s">
        <v>506</v>
      </c>
      <c r="B39" s="51" t="s">
        <v>509</v>
      </c>
      <c r="C39" s="51" t="s">
        <v>507</v>
      </c>
      <c r="D39" s="52" t="s">
        <v>508</v>
      </c>
      <c r="E39" s="52"/>
      <c r="F39" s="52"/>
      <c r="G39" s="52"/>
      <c r="H39" s="55"/>
    </row>
    <row r="40" spans="1:8" ht="15" customHeight="1" x14ac:dyDescent="0.2">
      <c r="A40" s="53" t="s">
        <v>446</v>
      </c>
      <c r="B40" s="51" t="s">
        <v>516</v>
      </c>
      <c r="C40" s="51" t="s">
        <v>517</v>
      </c>
      <c r="D40" s="52" t="s">
        <v>518</v>
      </c>
      <c r="E40" s="52"/>
      <c r="F40" s="52"/>
      <c r="G40" s="52"/>
      <c r="H40" s="55"/>
    </row>
    <row r="41" spans="1:8" ht="15" customHeight="1" x14ac:dyDescent="0.2">
      <c r="A41" s="56" t="s">
        <v>525</v>
      </c>
      <c r="B41" s="57" t="s">
        <v>526</v>
      </c>
      <c r="C41" s="57" t="s">
        <v>527</v>
      </c>
      <c r="D41" s="58"/>
      <c r="E41" s="58"/>
      <c r="F41" s="58"/>
      <c r="G41" s="58"/>
      <c r="H41" s="59" t="s">
        <v>528</v>
      </c>
    </row>
    <row r="42" spans="1:8" x14ac:dyDescent="0.2">
      <c r="A42" s="56" t="s">
        <v>682</v>
      </c>
      <c r="B42" s="57" t="s">
        <v>423</v>
      </c>
      <c r="C42" s="57"/>
      <c r="D42" s="58" t="s">
        <v>683</v>
      </c>
      <c r="E42" s="58" t="s">
        <v>685</v>
      </c>
      <c r="F42" s="58" t="s">
        <v>684</v>
      </c>
      <c r="G42" s="58"/>
      <c r="H42" s="59"/>
    </row>
    <row r="43" spans="1:8" x14ac:dyDescent="0.2">
      <c r="A43" s="56" t="s">
        <v>686</v>
      </c>
      <c r="B43" s="57" t="s">
        <v>687</v>
      </c>
      <c r="C43" s="57"/>
      <c r="D43" s="58"/>
      <c r="E43" s="58"/>
      <c r="F43" s="58"/>
      <c r="G43" s="58"/>
      <c r="H43" s="59"/>
    </row>
    <row r="44" spans="1:8" x14ac:dyDescent="0.2">
      <c r="A44" s="56" t="s">
        <v>704</v>
      </c>
      <c r="B44" s="57" t="s">
        <v>705</v>
      </c>
      <c r="C44" s="57"/>
      <c r="D44" s="58"/>
      <c r="E44" s="58"/>
      <c r="F44" s="58"/>
      <c r="G44" s="58"/>
      <c r="H44" s="59"/>
    </row>
    <row r="45" spans="1:8" x14ac:dyDescent="0.2">
      <c r="A45" s="56" t="s">
        <v>706</v>
      </c>
      <c r="B45" s="57" t="s">
        <v>705</v>
      </c>
      <c r="C45" s="57"/>
      <c r="D45" s="58"/>
      <c r="E45" s="58"/>
      <c r="F45" s="58"/>
      <c r="G45" s="58"/>
      <c r="H45" s="59"/>
    </row>
    <row r="46" spans="1:8" x14ac:dyDescent="0.2">
      <c r="A46" s="56" t="s">
        <v>707</v>
      </c>
      <c r="B46" s="57" t="s">
        <v>705</v>
      </c>
      <c r="C46" s="57"/>
      <c r="D46" s="58"/>
      <c r="E46" s="58"/>
      <c r="F46" s="58"/>
      <c r="G46" s="58"/>
      <c r="H46" s="59"/>
    </row>
  </sheetData>
  <printOptions horizontalCentered="1"/>
  <pageMargins left="7.874015748031496E-2" right="7.874015748031496E-2" top="7.874015748031496E-2" bottom="7.874015748031496E-2" header="3.937007874015748E-2" footer="3.937007874015748E-2"/>
  <pageSetup paperSize="9" scale="75"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146"/>
  <sheetViews>
    <sheetView showGridLines="0" zoomScaleNormal="100" zoomScaleSheetLayoutView="100" workbookViewId="0">
      <pane ySplit="1" topLeftCell="A19" activePane="bottomLeft" state="frozen"/>
      <selection activeCell="F1" sqref="F1"/>
      <selection pane="bottomLeft" activeCell="C21" sqref="C21"/>
    </sheetView>
  </sheetViews>
  <sheetFormatPr defaultColWidth="9.140625" defaultRowHeight="15" x14ac:dyDescent="0.25"/>
  <cols>
    <col min="1" max="1" width="9.140625" style="1" customWidth="1"/>
    <col min="2" max="2" width="14.7109375" style="3" bestFit="1" customWidth="1"/>
    <col min="3" max="3" width="14.7109375" style="3" customWidth="1"/>
    <col min="4" max="4" width="16.7109375" style="3" customWidth="1"/>
    <col min="5" max="5" width="23" style="3" bestFit="1" customWidth="1"/>
    <col min="6" max="6" width="6.7109375" style="3" customWidth="1"/>
    <col min="7" max="7" width="7.7109375" style="3" customWidth="1"/>
    <col min="8" max="8" width="6.7109375" style="3" customWidth="1"/>
    <col min="9" max="9" width="7.7109375" style="3" customWidth="1"/>
    <col min="10" max="10" width="6.7109375" style="3" customWidth="1"/>
    <col min="11" max="11" width="7.7109375" style="3" customWidth="1"/>
    <col min="12" max="12" width="6.7109375" style="3" customWidth="1"/>
    <col min="13" max="14" width="7.7109375" style="3" customWidth="1"/>
    <col min="15" max="15" width="10.7109375" style="3" customWidth="1"/>
    <col min="16" max="16" width="9.7109375" style="2" customWidth="1"/>
    <col min="17" max="17" width="9.7109375" style="3" customWidth="1"/>
    <col min="18" max="18" width="10.7109375" style="3" customWidth="1"/>
    <col min="19" max="19" width="15.7109375" style="1" customWidth="1"/>
    <col min="20" max="20" width="15.7109375" style="3" customWidth="1"/>
    <col min="21" max="25" width="15.7109375" style="1" customWidth="1"/>
    <col min="26" max="16384" width="9.140625" style="1"/>
  </cols>
  <sheetData>
    <row r="1" spans="1:25" s="2" customFormat="1" ht="60" customHeight="1" x14ac:dyDescent="0.25">
      <c r="A1" s="7" t="s">
        <v>271</v>
      </c>
      <c r="B1" s="8" t="s">
        <v>216</v>
      </c>
      <c r="C1" s="7" t="s">
        <v>313</v>
      </c>
      <c r="D1" s="8" t="s">
        <v>534</v>
      </c>
      <c r="E1" s="10" t="s">
        <v>533</v>
      </c>
      <c r="F1" s="11" t="s">
        <v>2</v>
      </c>
      <c r="G1" s="14" t="s">
        <v>3</v>
      </c>
      <c r="H1" s="8" t="s">
        <v>4</v>
      </c>
      <c r="I1" s="14" t="s">
        <v>5</v>
      </c>
      <c r="J1" s="8" t="s">
        <v>6</v>
      </c>
      <c r="K1" s="9" t="s">
        <v>7</v>
      </c>
      <c r="L1" s="8" t="s">
        <v>0</v>
      </c>
      <c r="M1" s="8" t="s">
        <v>25</v>
      </c>
      <c r="N1" s="8" t="s">
        <v>27</v>
      </c>
      <c r="O1" s="12" t="s">
        <v>308</v>
      </c>
      <c r="P1" s="8" t="s">
        <v>307</v>
      </c>
      <c r="Q1" s="8" t="s">
        <v>306</v>
      </c>
      <c r="R1" s="12" t="s">
        <v>305</v>
      </c>
      <c r="S1" s="63" t="s">
        <v>688</v>
      </c>
      <c r="T1" s="63" t="s">
        <v>689</v>
      </c>
      <c r="U1" s="63" t="s">
        <v>690</v>
      </c>
      <c r="V1" s="63" t="s">
        <v>691</v>
      </c>
      <c r="W1" s="63" t="s">
        <v>692</v>
      </c>
      <c r="X1" s="63" t="s">
        <v>693</v>
      </c>
      <c r="Y1" s="63" t="s">
        <v>694</v>
      </c>
    </row>
    <row r="2" spans="1:25" ht="15" customHeight="1" x14ac:dyDescent="0.25">
      <c r="A2" s="29" t="s">
        <v>255</v>
      </c>
      <c r="B2" s="28" t="s">
        <v>256</v>
      </c>
      <c r="C2" s="28" t="s">
        <v>176</v>
      </c>
      <c r="D2" s="43" t="s">
        <v>541</v>
      </c>
      <c r="E2" s="71" t="s">
        <v>535</v>
      </c>
      <c r="F2" s="31">
        <v>1</v>
      </c>
      <c r="G2" s="32" t="s">
        <v>245</v>
      </c>
      <c r="H2" s="28">
        <v>1</v>
      </c>
      <c r="I2" s="32" t="s">
        <v>245</v>
      </c>
      <c r="J2" s="28">
        <v>1000</v>
      </c>
      <c r="K2" s="30" t="s">
        <v>246</v>
      </c>
      <c r="L2" s="7">
        <f>IF((PRODUCT(F2,H2,J2))=0,"",(PRODUCT(F2,H2,J2)))</f>
        <v>1000</v>
      </c>
      <c r="M2" s="34">
        <v>1</v>
      </c>
      <c r="N2" s="7">
        <f>IF(M2="","",(M2*L2))</f>
        <v>1000</v>
      </c>
      <c r="O2" s="33">
        <v>29</v>
      </c>
      <c r="P2" s="7">
        <f>IF((OR(H2="",O2="")),"",O2/H2)</f>
        <v>29</v>
      </c>
      <c r="Q2" s="7">
        <f t="shared" ref="Q2:Q33" si="0">IF((OR(L2="",O2="")),"",O2/L2)</f>
        <v>2.9000000000000001E-2</v>
      </c>
      <c r="R2" s="13">
        <f t="shared" ref="R2:R33" si="1">IF(OR(N2="",O2=""),"",O2/N2)</f>
        <v>2.9000000000000001E-2</v>
      </c>
      <c r="S2" s="64" t="s">
        <v>365</v>
      </c>
      <c r="T2" s="64" t="s">
        <v>364</v>
      </c>
      <c r="U2" s="64" t="s">
        <v>695</v>
      </c>
      <c r="V2" s="64" t="s">
        <v>366</v>
      </c>
      <c r="W2" s="64" t="s">
        <v>469</v>
      </c>
      <c r="X2" s="64" t="s">
        <v>478</v>
      </c>
      <c r="Y2" s="64" t="s">
        <v>482</v>
      </c>
    </row>
    <row r="3" spans="1:25" ht="15" customHeight="1" x14ac:dyDescent="0.25">
      <c r="A3" s="29" t="s">
        <v>255</v>
      </c>
      <c r="B3" s="28" t="s">
        <v>256</v>
      </c>
      <c r="C3" s="28" t="s">
        <v>175</v>
      </c>
      <c r="D3" s="43" t="s">
        <v>541</v>
      </c>
      <c r="E3" s="71" t="s">
        <v>536</v>
      </c>
      <c r="F3" s="31">
        <v>1</v>
      </c>
      <c r="G3" s="32" t="s">
        <v>245</v>
      </c>
      <c r="H3" s="28">
        <v>1</v>
      </c>
      <c r="I3" s="32" t="s">
        <v>245</v>
      </c>
      <c r="J3" s="28">
        <v>1000</v>
      </c>
      <c r="K3" s="30" t="s">
        <v>246</v>
      </c>
      <c r="L3" s="7">
        <f t="shared" ref="L3:L66" si="2">IF((PRODUCT(F3,H3,J3))=0,"",(PRODUCT(F3,H3,J3)))</f>
        <v>1000</v>
      </c>
      <c r="M3" s="34">
        <v>1</v>
      </c>
      <c r="N3" s="7">
        <f t="shared" ref="N3:N34" si="3">IF(M3="","",(M3*L3))</f>
        <v>1000</v>
      </c>
      <c r="O3" s="33">
        <v>29</v>
      </c>
      <c r="P3" s="7">
        <f t="shared" ref="P3:P33" si="4">IF((OR(H3="",O3="")),"",O3/H3)</f>
        <v>29</v>
      </c>
      <c r="Q3" s="7">
        <f t="shared" si="0"/>
        <v>2.9000000000000001E-2</v>
      </c>
      <c r="R3" s="13">
        <f t="shared" si="1"/>
        <v>2.9000000000000001E-2</v>
      </c>
      <c r="S3" s="64" t="s">
        <v>365</v>
      </c>
      <c r="T3" s="64" t="s">
        <v>364</v>
      </c>
      <c r="U3" s="64" t="s">
        <v>695</v>
      </c>
      <c r="V3" s="64" t="s">
        <v>366</v>
      </c>
      <c r="W3" s="64" t="s">
        <v>469</v>
      </c>
      <c r="X3" s="64" t="s">
        <v>478</v>
      </c>
      <c r="Y3" s="64" t="s">
        <v>482</v>
      </c>
    </row>
    <row r="4" spans="1:25" ht="15" customHeight="1" x14ac:dyDescent="0.25">
      <c r="A4" s="29" t="s">
        <v>255</v>
      </c>
      <c r="B4" s="28" t="s">
        <v>256</v>
      </c>
      <c r="C4" s="28" t="s">
        <v>185</v>
      </c>
      <c r="D4" s="43" t="s">
        <v>541</v>
      </c>
      <c r="E4" s="71" t="s">
        <v>537</v>
      </c>
      <c r="F4" s="31">
        <v>1</v>
      </c>
      <c r="G4" s="32" t="s">
        <v>232</v>
      </c>
      <c r="H4" s="28">
        <v>4</v>
      </c>
      <c r="I4" s="32" t="s">
        <v>701</v>
      </c>
      <c r="J4" s="28">
        <v>2300</v>
      </c>
      <c r="K4" s="30" t="s">
        <v>246</v>
      </c>
      <c r="L4" s="7">
        <f t="shared" si="2"/>
        <v>9200</v>
      </c>
      <c r="M4" s="34">
        <v>1</v>
      </c>
      <c r="N4" s="7">
        <f t="shared" si="3"/>
        <v>9200</v>
      </c>
      <c r="O4" s="33">
        <v>126</v>
      </c>
      <c r="P4" s="7">
        <f t="shared" si="4"/>
        <v>31.5</v>
      </c>
      <c r="Q4" s="7">
        <f t="shared" si="0"/>
        <v>1.3695652173913043E-2</v>
      </c>
      <c r="R4" s="13">
        <f t="shared" si="1"/>
        <v>1.3695652173913043E-2</v>
      </c>
      <c r="S4" s="64" t="s">
        <v>365</v>
      </c>
      <c r="T4" s="64" t="s">
        <v>364</v>
      </c>
      <c r="U4" s="64" t="s">
        <v>695</v>
      </c>
      <c r="V4" s="64" t="s">
        <v>366</v>
      </c>
      <c r="W4" s="64" t="s">
        <v>469</v>
      </c>
      <c r="X4" s="64" t="s">
        <v>478</v>
      </c>
      <c r="Y4" s="64" t="s">
        <v>482</v>
      </c>
    </row>
    <row r="5" spans="1:25" ht="15" customHeight="1" x14ac:dyDescent="0.25">
      <c r="A5" s="29" t="s">
        <v>255</v>
      </c>
      <c r="B5" s="28" t="s">
        <v>256</v>
      </c>
      <c r="C5" s="28" t="s">
        <v>186</v>
      </c>
      <c r="D5" s="43" t="s">
        <v>541</v>
      </c>
      <c r="E5" s="71" t="s">
        <v>538</v>
      </c>
      <c r="F5" s="31">
        <v>1</v>
      </c>
      <c r="G5" s="32" t="s">
        <v>245</v>
      </c>
      <c r="H5" s="28">
        <v>1</v>
      </c>
      <c r="I5" s="32" t="s">
        <v>245</v>
      </c>
      <c r="J5" s="28">
        <v>1000</v>
      </c>
      <c r="K5" s="30" t="s">
        <v>246</v>
      </c>
      <c r="L5" s="7">
        <f t="shared" si="2"/>
        <v>1000</v>
      </c>
      <c r="M5" s="34">
        <v>1</v>
      </c>
      <c r="N5" s="7">
        <f t="shared" si="3"/>
        <v>1000</v>
      </c>
      <c r="O5" s="33">
        <v>23</v>
      </c>
      <c r="P5" s="7">
        <f t="shared" si="4"/>
        <v>23</v>
      </c>
      <c r="Q5" s="7">
        <f t="shared" si="0"/>
        <v>2.3E-2</v>
      </c>
      <c r="R5" s="13">
        <f t="shared" si="1"/>
        <v>2.3E-2</v>
      </c>
      <c r="S5" s="64" t="s">
        <v>365</v>
      </c>
      <c r="T5" s="64" t="s">
        <v>364</v>
      </c>
      <c r="U5" s="64" t="s">
        <v>695</v>
      </c>
      <c r="V5" s="64" t="s">
        <v>366</v>
      </c>
      <c r="W5" s="64" t="s">
        <v>469</v>
      </c>
      <c r="X5" s="64" t="s">
        <v>478</v>
      </c>
      <c r="Y5" s="64" t="s">
        <v>482</v>
      </c>
    </row>
    <row r="6" spans="1:25" ht="15" customHeight="1" x14ac:dyDescent="0.25">
      <c r="A6" s="29" t="s">
        <v>255</v>
      </c>
      <c r="B6" s="28" t="s">
        <v>256</v>
      </c>
      <c r="C6" s="28" t="s">
        <v>46</v>
      </c>
      <c r="D6" s="43" t="s">
        <v>541</v>
      </c>
      <c r="E6" s="71" t="s">
        <v>539</v>
      </c>
      <c r="F6" s="31">
        <v>1</v>
      </c>
      <c r="G6" s="32" t="s">
        <v>245</v>
      </c>
      <c r="H6" s="28">
        <v>1</v>
      </c>
      <c r="I6" s="32" t="s">
        <v>245</v>
      </c>
      <c r="J6" s="28">
        <v>1000</v>
      </c>
      <c r="K6" s="30" t="s">
        <v>246</v>
      </c>
      <c r="L6" s="7">
        <f t="shared" si="2"/>
        <v>1000</v>
      </c>
      <c r="M6" s="34">
        <v>1</v>
      </c>
      <c r="N6" s="7">
        <f t="shared" si="3"/>
        <v>1000</v>
      </c>
      <c r="O6" s="33">
        <v>55</v>
      </c>
      <c r="P6" s="7">
        <f t="shared" si="4"/>
        <v>55</v>
      </c>
      <c r="Q6" s="7">
        <f t="shared" si="0"/>
        <v>5.5E-2</v>
      </c>
      <c r="R6" s="13">
        <f t="shared" si="1"/>
        <v>5.5E-2</v>
      </c>
      <c r="S6" s="64" t="s">
        <v>364</v>
      </c>
      <c r="T6" s="64" t="s">
        <v>695</v>
      </c>
      <c r="U6" s="64" t="s">
        <v>366</v>
      </c>
      <c r="V6" s="64" t="s">
        <v>368</v>
      </c>
      <c r="W6" s="64" t="s">
        <v>469</v>
      </c>
      <c r="X6" s="64" t="s">
        <v>478</v>
      </c>
      <c r="Y6" s="64" t="s">
        <v>482</v>
      </c>
    </row>
    <row r="7" spans="1:25" ht="15" customHeight="1" x14ac:dyDescent="0.25">
      <c r="A7" s="29" t="s">
        <v>255</v>
      </c>
      <c r="B7" s="28" t="s">
        <v>256</v>
      </c>
      <c r="C7" s="28" t="s">
        <v>142</v>
      </c>
      <c r="D7" s="43" t="s">
        <v>541</v>
      </c>
      <c r="E7" s="71" t="s">
        <v>540</v>
      </c>
      <c r="F7" s="31">
        <v>1</v>
      </c>
      <c r="G7" s="32" t="s">
        <v>245</v>
      </c>
      <c r="H7" s="28">
        <v>1</v>
      </c>
      <c r="I7" s="32" t="s">
        <v>245</v>
      </c>
      <c r="J7" s="28">
        <v>1000</v>
      </c>
      <c r="K7" s="30" t="s">
        <v>246</v>
      </c>
      <c r="L7" s="7">
        <f t="shared" si="2"/>
        <v>1000</v>
      </c>
      <c r="M7" s="34">
        <v>1</v>
      </c>
      <c r="N7" s="7">
        <f t="shared" si="3"/>
        <v>1000</v>
      </c>
      <c r="O7" s="33">
        <v>20</v>
      </c>
      <c r="P7" s="7">
        <f t="shared" si="4"/>
        <v>20</v>
      </c>
      <c r="Q7" s="7">
        <f t="shared" si="0"/>
        <v>0.02</v>
      </c>
      <c r="R7" s="13">
        <f>IF(OR(N7="",O7=""),"",O7/N7)</f>
        <v>0.02</v>
      </c>
      <c r="S7" s="64" t="s">
        <v>371</v>
      </c>
      <c r="T7" s="64" t="s">
        <v>364</v>
      </c>
      <c r="U7" s="64" t="s">
        <v>695</v>
      </c>
      <c r="V7" s="64" t="s">
        <v>469</v>
      </c>
      <c r="W7" s="64" t="s">
        <v>478</v>
      </c>
      <c r="X7" s="64" t="s">
        <v>482</v>
      </c>
      <c r="Y7" s="64"/>
    </row>
    <row r="8" spans="1:25" ht="15" customHeight="1" x14ac:dyDescent="0.25">
      <c r="A8" s="29" t="s">
        <v>255</v>
      </c>
      <c r="B8" s="28" t="s">
        <v>257</v>
      </c>
      <c r="C8" s="28" t="s">
        <v>207</v>
      </c>
      <c r="D8" s="43" t="s">
        <v>680</v>
      </c>
      <c r="E8" s="71" t="s">
        <v>669</v>
      </c>
      <c r="F8" s="31">
        <v>1</v>
      </c>
      <c r="G8" s="32" t="s">
        <v>245</v>
      </c>
      <c r="H8" s="28">
        <v>1</v>
      </c>
      <c r="I8" s="32" t="s">
        <v>245</v>
      </c>
      <c r="J8" s="28">
        <v>1000</v>
      </c>
      <c r="K8" s="30" t="s">
        <v>246</v>
      </c>
      <c r="L8" s="7">
        <f t="shared" si="2"/>
        <v>1000</v>
      </c>
      <c r="M8" s="34">
        <v>1</v>
      </c>
      <c r="N8" s="7">
        <f t="shared" si="3"/>
        <v>1000</v>
      </c>
      <c r="O8" s="33">
        <v>24</v>
      </c>
      <c r="P8" s="7">
        <f t="shared" si="4"/>
        <v>24</v>
      </c>
      <c r="Q8" s="7">
        <f t="shared" si="0"/>
        <v>2.4E-2</v>
      </c>
      <c r="R8" s="13">
        <f t="shared" si="1"/>
        <v>2.4E-2</v>
      </c>
      <c r="S8" s="64" t="s">
        <v>373</v>
      </c>
      <c r="T8" s="64" t="s">
        <v>364</v>
      </c>
      <c r="U8" s="64" t="s">
        <v>695</v>
      </c>
      <c r="V8" s="64" t="s">
        <v>469</v>
      </c>
      <c r="W8" s="64" t="s">
        <v>355</v>
      </c>
      <c r="X8" s="64"/>
      <c r="Y8" s="64"/>
    </row>
    <row r="9" spans="1:25" ht="15" customHeight="1" x14ac:dyDescent="0.25">
      <c r="A9" s="29" t="s">
        <v>255</v>
      </c>
      <c r="B9" s="28" t="s">
        <v>257</v>
      </c>
      <c r="C9" s="28" t="s">
        <v>54</v>
      </c>
      <c r="D9" s="43" t="s">
        <v>680</v>
      </c>
      <c r="E9" s="71" t="s">
        <v>670</v>
      </c>
      <c r="F9" s="31">
        <v>1</v>
      </c>
      <c r="G9" s="32" t="s">
        <v>232</v>
      </c>
      <c r="H9" s="28">
        <v>24</v>
      </c>
      <c r="I9" s="32" t="s">
        <v>239</v>
      </c>
      <c r="J9" s="28">
        <v>340</v>
      </c>
      <c r="K9" s="30" t="s">
        <v>246</v>
      </c>
      <c r="L9" s="7">
        <f t="shared" si="2"/>
        <v>8160</v>
      </c>
      <c r="M9" s="34">
        <f>1850/2250</f>
        <v>0.82222222222222219</v>
      </c>
      <c r="N9" s="7">
        <f t="shared" si="3"/>
        <v>6709.333333333333</v>
      </c>
      <c r="O9" s="33">
        <v>84</v>
      </c>
      <c r="P9" s="7">
        <f t="shared" si="4"/>
        <v>3.5</v>
      </c>
      <c r="Q9" s="7">
        <f t="shared" si="0"/>
        <v>1.0294117647058823E-2</v>
      </c>
      <c r="R9" s="13">
        <f t="shared" si="1"/>
        <v>1.2519872813990461E-2</v>
      </c>
      <c r="S9" s="64" t="s">
        <v>373</v>
      </c>
      <c r="T9" s="64" t="s">
        <v>364</v>
      </c>
      <c r="U9" s="64" t="s">
        <v>695</v>
      </c>
      <c r="V9" s="64" t="s">
        <v>469</v>
      </c>
      <c r="W9" s="64" t="s">
        <v>355</v>
      </c>
      <c r="X9" s="64"/>
      <c r="Y9" s="64"/>
    </row>
    <row r="10" spans="1:25" ht="15" customHeight="1" x14ac:dyDescent="0.25">
      <c r="A10" s="29" t="s">
        <v>255</v>
      </c>
      <c r="B10" s="28" t="s">
        <v>257</v>
      </c>
      <c r="C10" s="28" t="s">
        <v>158</v>
      </c>
      <c r="D10" s="43" t="s">
        <v>680</v>
      </c>
      <c r="E10" s="71" t="s">
        <v>671</v>
      </c>
      <c r="F10" s="31">
        <v>1</v>
      </c>
      <c r="G10" s="32" t="s">
        <v>232</v>
      </c>
      <c r="H10" s="28">
        <v>4</v>
      </c>
      <c r="I10" s="32" t="s">
        <v>239</v>
      </c>
      <c r="J10" s="28">
        <v>2600</v>
      </c>
      <c r="K10" s="30" t="s">
        <v>246</v>
      </c>
      <c r="L10" s="7">
        <f t="shared" si="2"/>
        <v>10400</v>
      </c>
      <c r="M10" s="34">
        <v>1</v>
      </c>
      <c r="N10" s="7">
        <f t="shared" si="3"/>
        <v>10400</v>
      </c>
      <c r="O10" s="33">
        <v>155</v>
      </c>
      <c r="P10" s="7">
        <f t="shared" si="4"/>
        <v>38.75</v>
      </c>
      <c r="Q10" s="7">
        <f t="shared" si="0"/>
        <v>1.4903846153846155E-2</v>
      </c>
      <c r="R10" s="13">
        <f t="shared" si="1"/>
        <v>1.4903846153846155E-2</v>
      </c>
      <c r="S10" s="64" t="s">
        <v>373</v>
      </c>
      <c r="T10" s="64" t="s">
        <v>364</v>
      </c>
      <c r="U10" s="64" t="s">
        <v>695</v>
      </c>
      <c r="V10" s="64"/>
      <c r="W10" s="64"/>
      <c r="X10" s="64"/>
      <c r="Y10" s="64"/>
    </row>
    <row r="11" spans="1:25" ht="15" customHeight="1" x14ac:dyDescent="0.25">
      <c r="A11" s="29" t="s">
        <v>255</v>
      </c>
      <c r="B11" s="28" t="s">
        <v>257</v>
      </c>
      <c r="C11" s="28" t="s">
        <v>43</v>
      </c>
      <c r="D11" s="43" t="s">
        <v>680</v>
      </c>
      <c r="E11" s="71" t="s">
        <v>672</v>
      </c>
      <c r="F11" s="31">
        <v>1</v>
      </c>
      <c r="G11" s="32" t="s">
        <v>232</v>
      </c>
      <c r="H11" s="28">
        <v>12</v>
      </c>
      <c r="I11" s="32" t="s">
        <v>239</v>
      </c>
      <c r="J11" s="28">
        <v>1000</v>
      </c>
      <c r="K11" s="30" t="s">
        <v>248</v>
      </c>
      <c r="L11" s="7">
        <f t="shared" si="2"/>
        <v>12000</v>
      </c>
      <c r="M11" s="34">
        <v>1</v>
      </c>
      <c r="N11" s="7">
        <f t="shared" si="3"/>
        <v>12000</v>
      </c>
      <c r="O11" s="33">
        <v>40</v>
      </c>
      <c r="P11" s="7">
        <f t="shared" si="4"/>
        <v>3.3333333333333335</v>
      </c>
      <c r="Q11" s="7">
        <f t="shared" si="0"/>
        <v>3.3333333333333335E-3</v>
      </c>
      <c r="R11" s="13">
        <f t="shared" si="1"/>
        <v>3.3333333333333335E-3</v>
      </c>
      <c r="S11" s="64" t="s">
        <v>704</v>
      </c>
      <c r="T11" s="64" t="s">
        <v>706</v>
      </c>
      <c r="U11" s="64" t="s">
        <v>707</v>
      </c>
      <c r="V11" s="64"/>
      <c r="W11" s="64"/>
      <c r="X11" s="64"/>
      <c r="Y11" s="64"/>
    </row>
    <row r="12" spans="1:25" ht="15" customHeight="1" x14ac:dyDescent="0.25">
      <c r="A12" s="29" t="s">
        <v>255</v>
      </c>
      <c r="B12" s="28" t="s">
        <v>257</v>
      </c>
      <c r="C12" s="28" t="s">
        <v>77</v>
      </c>
      <c r="D12" s="43" t="s">
        <v>680</v>
      </c>
      <c r="E12" s="71" t="s">
        <v>673</v>
      </c>
      <c r="F12" s="31">
        <v>1</v>
      </c>
      <c r="G12" s="32" t="s">
        <v>232</v>
      </c>
      <c r="H12" s="28">
        <v>6</v>
      </c>
      <c r="I12" s="32" t="s">
        <v>239</v>
      </c>
      <c r="J12" s="28">
        <v>3000</v>
      </c>
      <c r="K12" s="30" t="s">
        <v>246</v>
      </c>
      <c r="L12" s="7">
        <f t="shared" si="2"/>
        <v>18000</v>
      </c>
      <c r="M12" s="34">
        <f>1920/3000</f>
        <v>0.64</v>
      </c>
      <c r="N12" s="7">
        <f t="shared" si="3"/>
        <v>11520</v>
      </c>
      <c r="O12" s="33">
        <v>192</v>
      </c>
      <c r="P12" s="7">
        <f t="shared" si="4"/>
        <v>32</v>
      </c>
      <c r="Q12" s="7">
        <f t="shared" si="0"/>
        <v>1.0666666666666666E-2</v>
      </c>
      <c r="R12" s="13">
        <f t="shared" si="1"/>
        <v>1.6666666666666666E-2</v>
      </c>
      <c r="S12" s="64" t="s">
        <v>373</v>
      </c>
      <c r="T12" s="64" t="s">
        <v>364</v>
      </c>
      <c r="U12" s="64" t="s">
        <v>695</v>
      </c>
      <c r="V12" s="64" t="s">
        <v>344</v>
      </c>
      <c r="W12" s="64"/>
      <c r="X12" s="64"/>
      <c r="Y12" s="64"/>
    </row>
    <row r="13" spans="1:25" ht="15" customHeight="1" x14ac:dyDescent="0.25">
      <c r="A13" s="29" t="s">
        <v>255</v>
      </c>
      <c r="B13" s="28" t="s">
        <v>257</v>
      </c>
      <c r="C13" s="28" t="s">
        <v>166</v>
      </c>
      <c r="D13" s="43" t="s">
        <v>680</v>
      </c>
      <c r="E13" s="71" t="s">
        <v>674</v>
      </c>
      <c r="F13" s="31">
        <v>1</v>
      </c>
      <c r="G13" s="32" t="s">
        <v>232</v>
      </c>
      <c r="H13" s="28">
        <v>24</v>
      </c>
      <c r="I13" s="32" t="s">
        <v>239</v>
      </c>
      <c r="J13" s="28">
        <v>425</v>
      </c>
      <c r="K13" s="30" t="s">
        <v>246</v>
      </c>
      <c r="L13" s="7">
        <f t="shared" si="2"/>
        <v>10200</v>
      </c>
      <c r="M13" s="34">
        <f>255/425</f>
        <v>0.6</v>
      </c>
      <c r="N13" s="7">
        <f t="shared" si="3"/>
        <v>6120</v>
      </c>
      <c r="O13" s="33">
        <v>80</v>
      </c>
      <c r="P13" s="7">
        <f t="shared" si="4"/>
        <v>3.3333333333333335</v>
      </c>
      <c r="Q13" s="7">
        <f t="shared" si="0"/>
        <v>7.8431372549019607E-3</v>
      </c>
      <c r="R13" s="13">
        <f t="shared" si="1"/>
        <v>1.3071895424836602E-2</v>
      </c>
      <c r="S13" s="64" t="s">
        <v>355</v>
      </c>
      <c r="T13" s="64" t="s">
        <v>373</v>
      </c>
      <c r="U13" s="64"/>
      <c r="V13" s="64"/>
      <c r="W13" s="64"/>
      <c r="X13" s="64"/>
      <c r="Y13" s="64"/>
    </row>
    <row r="14" spans="1:25" ht="15" customHeight="1" x14ac:dyDescent="0.25">
      <c r="A14" s="29" t="s">
        <v>255</v>
      </c>
      <c r="B14" s="28" t="s">
        <v>257</v>
      </c>
      <c r="C14" s="28" t="s">
        <v>208</v>
      </c>
      <c r="D14" s="43" t="s">
        <v>680</v>
      </c>
      <c r="E14" s="71" t="s">
        <v>675</v>
      </c>
      <c r="F14" s="31">
        <v>1</v>
      </c>
      <c r="G14" s="32" t="s">
        <v>245</v>
      </c>
      <c r="H14" s="28">
        <v>1</v>
      </c>
      <c r="I14" s="32" t="s">
        <v>245</v>
      </c>
      <c r="J14" s="28">
        <v>1000</v>
      </c>
      <c r="K14" s="30" t="s">
        <v>246</v>
      </c>
      <c r="L14" s="7">
        <f t="shared" si="2"/>
        <v>1000</v>
      </c>
      <c r="M14" s="34">
        <v>1</v>
      </c>
      <c r="N14" s="7">
        <f t="shared" si="3"/>
        <v>1000</v>
      </c>
      <c r="O14" s="33">
        <v>23</v>
      </c>
      <c r="P14" s="7">
        <f t="shared" si="4"/>
        <v>23</v>
      </c>
      <c r="Q14" s="7">
        <f t="shared" si="0"/>
        <v>2.3E-2</v>
      </c>
      <c r="R14" s="13">
        <f t="shared" si="1"/>
        <v>2.3E-2</v>
      </c>
      <c r="S14" s="64" t="s">
        <v>373</v>
      </c>
      <c r="T14" s="64" t="s">
        <v>364</v>
      </c>
      <c r="U14" s="64" t="s">
        <v>695</v>
      </c>
      <c r="V14" s="64" t="s">
        <v>469</v>
      </c>
      <c r="W14" s="64" t="s">
        <v>355</v>
      </c>
      <c r="X14" s="64"/>
      <c r="Y14" s="64"/>
    </row>
    <row r="15" spans="1:25" ht="15" customHeight="1" x14ac:dyDescent="0.25">
      <c r="A15" s="29" t="s">
        <v>255</v>
      </c>
      <c r="B15" s="28" t="s">
        <v>257</v>
      </c>
      <c r="C15" s="28" t="s">
        <v>78</v>
      </c>
      <c r="D15" s="43" t="s">
        <v>680</v>
      </c>
      <c r="E15" s="71" t="s">
        <v>676</v>
      </c>
      <c r="F15" s="31">
        <v>1</v>
      </c>
      <c r="G15" s="32" t="s">
        <v>245</v>
      </c>
      <c r="H15" s="28">
        <v>1</v>
      </c>
      <c r="I15" s="32" t="s">
        <v>245</v>
      </c>
      <c r="J15" s="28">
        <v>1000</v>
      </c>
      <c r="K15" s="30" t="s">
        <v>246</v>
      </c>
      <c r="L15" s="7">
        <f t="shared" si="2"/>
        <v>1000</v>
      </c>
      <c r="M15" s="34">
        <v>1</v>
      </c>
      <c r="N15" s="7">
        <f t="shared" si="3"/>
        <v>1000</v>
      </c>
      <c r="O15" s="33">
        <v>87</v>
      </c>
      <c r="P15" s="7">
        <f t="shared" si="4"/>
        <v>87</v>
      </c>
      <c r="Q15" s="7">
        <f t="shared" si="0"/>
        <v>8.6999999999999994E-2</v>
      </c>
      <c r="R15" s="13">
        <f t="shared" si="1"/>
        <v>8.6999999999999994E-2</v>
      </c>
      <c r="S15" s="64" t="s">
        <v>371</v>
      </c>
      <c r="T15" s="64" t="s">
        <v>364</v>
      </c>
      <c r="U15" s="64" t="s">
        <v>695</v>
      </c>
      <c r="V15" s="64" t="s">
        <v>373</v>
      </c>
      <c r="W15" s="64"/>
      <c r="X15" s="64"/>
      <c r="Y15" s="64"/>
    </row>
    <row r="16" spans="1:25" ht="15" customHeight="1" x14ac:dyDescent="0.25">
      <c r="A16" s="29" t="s">
        <v>255</v>
      </c>
      <c r="B16" s="28" t="s">
        <v>257</v>
      </c>
      <c r="C16" s="28" t="s">
        <v>139</v>
      </c>
      <c r="D16" s="43" t="s">
        <v>680</v>
      </c>
      <c r="E16" s="71" t="s">
        <v>677</v>
      </c>
      <c r="F16" s="31">
        <v>1</v>
      </c>
      <c r="G16" s="32" t="s">
        <v>681</v>
      </c>
      <c r="H16" s="28">
        <v>2.8</v>
      </c>
      <c r="I16" s="32" t="s">
        <v>245</v>
      </c>
      <c r="J16" s="28">
        <v>1000</v>
      </c>
      <c r="K16" s="30" t="s">
        <v>246</v>
      </c>
      <c r="L16" s="7">
        <f t="shared" si="2"/>
        <v>2800</v>
      </c>
      <c r="M16" s="34">
        <f>1800/2800</f>
        <v>0.6428571428571429</v>
      </c>
      <c r="N16" s="7">
        <f t="shared" si="3"/>
        <v>1800.0000000000002</v>
      </c>
      <c r="O16" s="33">
        <v>113</v>
      </c>
      <c r="P16" s="7">
        <f t="shared" si="4"/>
        <v>40.357142857142861</v>
      </c>
      <c r="Q16" s="7">
        <f t="shared" si="0"/>
        <v>4.0357142857142855E-2</v>
      </c>
      <c r="R16" s="13">
        <f t="shared" si="1"/>
        <v>6.2777777777777766E-2</v>
      </c>
      <c r="S16" s="64" t="s">
        <v>364</v>
      </c>
      <c r="T16" s="64" t="s">
        <v>695</v>
      </c>
      <c r="U16" s="64" t="s">
        <v>435</v>
      </c>
      <c r="V16" s="64" t="s">
        <v>501</v>
      </c>
      <c r="W16" s="64"/>
      <c r="X16" s="64"/>
      <c r="Y16" s="64"/>
    </row>
    <row r="17" spans="1:25" ht="15" customHeight="1" x14ac:dyDescent="0.25">
      <c r="A17" s="29" t="s">
        <v>255</v>
      </c>
      <c r="B17" s="28" t="s">
        <v>257</v>
      </c>
      <c r="C17" s="28" t="s">
        <v>53</v>
      </c>
      <c r="D17" s="43" t="s">
        <v>680</v>
      </c>
      <c r="E17" s="71" t="s">
        <v>678</v>
      </c>
      <c r="F17" s="31">
        <v>1</v>
      </c>
      <c r="G17" s="32" t="s">
        <v>232</v>
      </c>
      <c r="H17" s="28">
        <v>12</v>
      </c>
      <c r="I17" s="32" t="s">
        <v>239</v>
      </c>
      <c r="J17" s="28">
        <v>1000</v>
      </c>
      <c r="K17" s="30" t="s">
        <v>248</v>
      </c>
      <c r="L17" s="7">
        <f t="shared" si="2"/>
        <v>12000</v>
      </c>
      <c r="M17" s="34">
        <v>1</v>
      </c>
      <c r="N17" s="7">
        <f t="shared" si="3"/>
        <v>12000</v>
      </c>
      <c r="O17" s="33">
        <v>143</v>
      </c>
      <c r="P17" s="7">
        <f t="shared" si="4"/>
        <v>11.916666666666666</v>
      </c>
      <c r="Q17" s="7">
        <f t="shared" si="0"/>
        <v>1.1916666666666667E-2</v>
      </c>
      <c r="R17" s="13">
        <f t="shared" si="1"/>
        <v>1.1916666666666667E-2</v>
      </c>
      <c r="S17" s="64" t="s">
        <v>368</v>
      </c>
      <c r="T17" s="64" t="s">
        <v>461</v>
      </c>
      <c r="U17" s="64" t="s">
        <v>366</v>
      </c>
      <c r="V17" s="64" t="s">
        <v>364</v>
      </c>
      <c r="W17" s="64" t="s">
        <v>695</v>
      </c>
      <c r="X17" s="64" t="s">
        <v>478</v>
      </c>
      <c r="Y17" s="64" t="s">
        <v>482</v>
      </c>
    </row>
    <row r="18" spans="1:25" ht="15" customHeight="1" x14ac:dyDescent="0.25">
      <c r="A18" s="29" t="s">
        <v>255</v>
      </c>
      <c r="B18" s="28" t="s">
        <v>257</v>
      </c>
      <c r="C18" s="28" t="s">
        <v>68</v>
      </c>
      <c r="D18" s="43" t="s">
        <v>680</v>
      </c>
      <c r="E18" s="71" t="s">
        <v>679</v>
      </c>
      <c r="F18" s="31">
        <v>1</v>
      </c>
      <c r="G18" s="32" t="s">
        <v>239</v>
      </c>
      <c r="H18" s="28">
        <v>1</v>
      </c>
      <c r="I18" s="32" t="s">
        <v>239</v>
      </c>
      <c r="J18" s="28">
        <v>500</v>
      </c>
      <c r="K18" s="30" t="s">
        <v>246</v>
      </c>
      <c r="L18" s="7">
        <f t="shared" si="2"/>
        <v>500</v>
      </c>
      <c r="M18" s="34">
        <v>1</v>
      </c>
      <c r="N18" s="7">
        <f t="shared" si="3"/>
        <v>500</v>
      </c>
      <c r="O18" s="33">
        <v>10</v>
      </c>
      <c r="P18" s="7">
        <f t="shared" si="4"/>
        <v>10</v>
      </c>
      <c r="Q18" s="7">
        <f t="shared" si="0"/>
        <v>0.02</v>
      </c>
      <c r="R18" s="13">
        <f t="shared" si="1"/>
        <v>0.02</v>
      </c>
      <c r="S18" s="64"/>
      <c r="T18" s="64"/>
      <c r="U18" s="64"/>
      <c r="V18" s="64"/>
      <c r="W18" s="64"/>
      <c r="X18" s="64"/>
      <c r="Y18" s="64"/>
    </row>
    <row r="19" spans="1:25" ht="15" customHeight="1" x14ac:dyDescent="0.25">
      <c r="A19" s="29" t="s">
        <v>255</v>
      </c>
      <c r="B19" s="28" t="s">
        <v>258</v>
      </c>
      <c r="C19" s="28" t="s">
        <v>155</v>
      </c>
      <c r="D19" s="43" t="s">
        <v>632</v>
      </c>
      <c r="E19" s="71" t="s">
        <v>608</v>
      </c>
      <c r="F19" s="31">
        <v>1</v>
      </c>
      <c r="G19" s="32" t="s">
        <v>232</v>
      </c>
      <c r="H19" s="28">
        <v>1</v>
      </c>
      <c r="I19" s="32" t="s">
        <v>232</v>
      </c>
      <c r="J19" s="28">
        <v>6</v>
      </c>
      <c r="K19" s="30" t="s">
        <v>239</v>
      </c>
      <c r="L19" s="7">
        <f t="shared" si="2"/>
        <v>6</v>
      </c>
      <c r="M19" s="34">
        <v>1</v>
      </c>
      <c r="N19" s="7">
        <f t="shared" si="3"/>
        <v>6</v>
      </c>
      <c r="O19" s="33">
        <v>200</v>
      </c>
      <c r="P19" s="7">
        <f t="shared" si="4"/>
        <v>200</v>
      </c>
      <c r="Q19" s="7">
        <f t="shared" si="0"/>
        <v>33.333333333333336</v>
      </c>
      <c r="R19" s="13">
        <f t="shared" si="1"/>
        <v>33.333333333333336</v>
      </c>
      <c r="S19" s="64" t="s">
        <v>339</v>
      </c>
      <c r="T19" s="64"/>
      <c r="U19" s="64"/>
      <c r="V19" s="64"/>
      <c r="W19" s="64"/>
      <c r="X19" s="64"/>
      <c r="Y19" s="64"/>
    </row>
    <row r="20" spans="1:25" x14ac:dyDescent="0.25">
      <c r="A20" s="29" t="s">
        <v>255</v>
      </c>
      <c r="B20" s="28" t="s">
        <v>258</v>
      </c>
      <c r="C20" s="28" t="s">
        <v>187</v>
      </c>
      <c r="D20" s="43" t="s">
        <v>632</v>
      </c>
      <c r="E20" s="71" t="s">
        <v>609</v>
      </c>
      <c r="F20" s="31">
        <v>1</v>
      </c>
      <c r="G20" s="32" t="s">
        <v>240</v>
      </c>
      <c r="H20" s="28">
        <v>1</v>
      </c>
      <c r="I20" s="32" t="s">
        <v>240</v>
      </c>
      <c r="J20" s="28">
        <v>1</v>
      </c>
      <c r="K20" s="30" t="s">
        <v>240</v>
      </c>
      <c r="L20" s="7">
        <f t="shared" si="2"/>
        <v>1</v>
      </c>
      <c r="M20" s="34">
        <v>1</v>
      </c>
      <c r="N20" s="7">
        <f t="shared" si="3"/>
        <v>1</v>
      </c>
      <c r="O20" s="33">
        <v>20</v>
      </c>
      <c r="P20" s="7">
        <f t="shared" si="4"/>
        <v>20</v>
      </c>
      <c r="Q20" s="7">
        <f t="shared" si="0"/>
        <v>20</v>
      </c>
      <c r="R20" s="13">
        <f t="shared" si="1"/>
        <v>20</v>
      </c>
      <c r="S20" s="64" t="s">
        <v>342</v>
      </c>
      <c r="T20" s="64" t="s">
        <v>348</v>
      </c>
      <c r="U20" s="64" t="s">
        <v>686</v>
      </c>
      <c r="V20" s="64"/>
      <c r="W20" s="64"/>
      <c r="X20" s="64"/>
      <c r="Y20" s="64"/>
    </row>
    <row r="21" spans="1:25" x14ac:dyDescent="0.25">
      <c r="A21" s="29" t="s">
        <v>255</v>
      </c>
      <c r="B21" s="28" t="s">
        <v>258</v>
      </c>
      <c r="C21" s="28" t="s">
        <v>103</v>
      </c>
      <c r="D21" s="43" t="s">
        <v>632</v>
      </c>
      <c r="E21" s="71" t="s">
        <v>610</v>
      </c>
      <c r="F21" s="31">
        <v>1</v>
      </c>
      <c r="G21" s="32" t="s">
        <v>232</v>
      </c>
      <c r="H21" s="28">
        <v>10</v>
      </c>
      <c r="I21" s="32" t="s">
        <v>237</v>
      </c>
      <c r="J21" s="28">
        <v>100</v>
      </c>
      <c r="K21" s="30" t="s">
        <v>239</v>
      </c>
      <c r="L21" s="7">
        <f t="shared" si="2"/>
        <v>1000</v>
      </c>
      <c r="M21" s="34">
        <v>1</v>
      </c>
      <c r="N21" s="7">
        <f t="shared" si="3"/>
        <v>1000</v>
      </c>
      <c r="O21" s="33">
        <v>60</v>
      </c>
      <c r="P21" s="7">
        <f t="shared" si="4"/>
        <v>6</v>
      </c>
      <c r="Q21" s="7">
        <f t="shared" si="0"/>
        <v>0.06</v>
      </c>
      <c r="R21" s="13">
        <f t="shared" si="1"/>
        <v>0.06</v>
      </c>
      <c r="S21" s="64" t="s">
        <v>342</v>
      </c>
      <c r="T21" s="64" t="s">
        <v>348</v>
      </c>
      <c r="U21" s="64" t="s">
        <v>686</v>
      </c>
      <c r="V21" s="64"/>
      <c r="W21" s="64"/>
      <c r="X21" s="64"/>
      <c r="Y21" s="64"/>
    </row>
    <row r="22" spans="1:25" x14ac:dyDescent="0.25">
      <c r="A22" s="29" t="s">
        <v>255</v>
      </c>
      <c r="B22" s="28" t="s">
        <v>258</v>
      </c>
      <c r="C22" s="28" t="s">
        <v>107</v>
      </c>
      <c r="D22" s="43" t="s">
        <v>632</v>
      </c>
      <c r="E22" s="71" t="s">
        <v>611</v>
      </c>
      <c r="F22" s="31">
        <v>1</v>
      </c>
      <c r="G22" s="32" t="s">
        <v>240</v>
      </c>
      <c r="H22" s="28">
        <v>1</v>
      </c>
      <c r="I22" s="32" t="s">
        <v>240</v>
      </c>
      <c r="J22" s="28">
        <v>475</v>
      </c>
      <c r="K22" s="30" t="s">
        <v>239</v>
      </c>
      <c r="L22" s="7">
        <f t="shared" si="2"/>
        <v>475</v>
      </c>
      <c r="M22" s="34">
        <v>1</v>
      </c>
      <c r="N22" s="7">
        <f t="shared" si="3"/>
        <v>475</v>
      </c>
      <c r="O22" s="33">
        <v>248</v>
      </c>
      <c r="P22" s="7">
        <f t="shared" si="4"/>
        <v>248</v>
      </c>
      <c r="Q22" s="7">
        <f t="shared" si="0"/>
        <v>0.52210526315789474</v>
      </c>
      <c r="R22" s="13">
        <f t="shared" si="1"/>
        <v>0.52210526315789474</v>
      </c>
      <c r="S22" s="64" t="s">
        <v>339</v>
      </c>
      <c r="T22" s="64"/>
      <c r="U22" s="64"/>
      <c r="V22" s="64"/>
      <c r="W22" s="64"/>
      <c r="X22" s="64"/>
      <c r="Y22" s="64"/>
    </row>
    <row r="23" spans="1:25" x14ac:dyDescent="0.25">
      <c r="A23" s="29" t="s">
        <v>255</v>
      </c>
      <c r="B23" s="28" t="s">
        <v>258</v>
      </c>
      <c r="C23" s="28" t="s">
        <v>204</v>
      </c>
      <c r="D23" s="43" t="s">
        <v>632</v>
      </c>
      <c r="E23" s="71" t="s">
        <v>612</v>
      </c>
      <c r="F23" s="31">
        <v>1</v>
      </c>
      <c r="G23" s="32" t="s">
        <v>239</v>
      </c>
      <c r="H23" s="28">
        <v>1</v>
      </c>
      <c r="I23" s="32" t="s">
        <v>239</v>
      </c>
      <c r="J23" s="28">
        <v>1</v>
      </c>
      <c r="K23" s="30" t="s">
        <v>239</v>
      </c>
      <c r="L23" s="7">
        <f t="shared" si="2"/>
        <v>1</v>
      </c>
      <c r="M23" s="34">
        <v>1</v>
      </c>
      <c r="N23" s="7">
        <f t="shared" si="3"/>
        <v>1</v>
      </c>
      <c r="O23" s="33">
        <v>3</v>
      </c>
      <c r="P23" s="7">
        <f t="shared" si="4"/>
        <v>3</v>
      </c>
      <c r="Q23" s="7">
        <f t="shared" si="0"/>
        <v>3</v>
      </c>
      <c r="R23" s="13">
        <f t="shared" si="1"/>
        <v>3</v>
      </c>
      <c r="S23" s="64"/>
      <c r="T23" s="64"/>
      <c r="U23" s="64"/>
      <c r="V23" s="64"/>
      <c r="W23" s="64"/>
      <c r="X23" s="64"/>
      <c r="Y23" s="64"/>
    </row>
    <row r="24" spans="1:25" x14ac:dyDescent="0.25">
      <c r="A24" s="29" t="s">
        <v>255</v>
      </c>
      <c r="B24" s="28" t="s">
        <v>258</v>
      </c>
      <c r="C24" s="28" t="s">
        <v>153</v>
      </c>
      <c r="D24" s="43" t="s">
        <v>632</v>
      </c>
      <c r="E24" s="71" t="s">
        <v>613</v>
      </c>
      <c r="F24" s="31">
        <v>1</v>
      </c>
      <c r="G24" s="32" t="s">
        <v>240</v>
      </c>
      <c r="H24" s="28">
        <v>1</v>
      </c>
      <c r="I24" s="32" t="s">
        <v>240</v>
      </c>
      <c r="J24" s="28">
        <v>1</v>
      </c>
      <c r="K24" s="30" t="s">
        <v>240</v>
      </c>
      <c r="L24" s="7">
        <f t="shared" si="2"/>
        <v>1</v>
      </c>
      <c r="M24" s="34">
        <v>1</v>
      </c>
      <c r="N24" s="7">
        <f t="shared" si="3"/>
        <v>1</v>
      </c>
      <c r="O24" s="33">
        <v>83</v>
      </c>
      <c r="P24" s="7">
        <f t="shared" si="4"/>
        <v>83</v>
      </c>
      <c r="Q24" s="7">
        <f t="shared" si="0"/>
        <v>83</v>
      </c>
      <c r="R24" s="13">
        <f t="shared" si="1"/>
        <v>83</v>
      </c>
      <c r="S24" s="64" t="s">
        <v>342</v>
      </c>
      <c r="T24" s="64" t="s">
        <v>348</v>
      </c>
      <c r="U24" s="64" t="s">
        <v>686</v>
      </c>
      <c r="V24" s="64"/>
      <c r="W24" s="64"/>
      <c r="X24" s="64"/>
      <c r="Y24" s="64"/>
    </row>
    <row r="25" spans="1:25" x14ac:dyDescent="0.25">
      <c r="A25" s="29" t="s">
        <v>255</v>
      </c>
      <c r="B25" s="28" t="s">
        <v>258</v>
      </c>
      <c r="C25" s="28" t="s">
        <v>188</v>
      </c>
      <c r="D25" s="43" t="s">
        <v>632</v>
      </c>
      <c r="E25" s="71" t="s">
        <v>614</v>
      </c>
      <c r="F25" s="31">
        <v>1</v>
      </c>
      <c r="G25" s="32" t="s">
        <v>240</v>
      </c>
      <c r="H25" s="28">
        <v>1</v>
      </c>
      <c r="I25" s="32" t="s">
        <v>240</v>
      </c>
      <c r="J25" s="28">
        <v>1</v>
      </c>
      <c r="K25" s="30" t="s">
        <v>240</v>
      </c>
      <c r="L25" s="7">
        <f t="shared" si="2"/>
        <v>1</v>
      </c>
      <c r="M25" s="34">
        <v>1</v>
      </c>
      <c r="N25" s="7">
        <f t="shared" si="3"/>
        <v>1</v>
      </c>
      <c r="O25" s="33">
        <v>5</v>
      </c>
      <c r="P25" s="7">
        <f t="shared" si="4"/>
        <v>5</v>
      </c>
      <c r="Q25" s="7">
        <f t="shared" si="0"/>
        <v>5</v>
      </c>
      <c r="R25" s="13">
        <f t="shared" si="1"/>
        <v>5</v>
      </c>
      <c r="S25" s="64"/>
      <c r="T25" s="64"/>
      <c r="U25" s="64"/>
      <c r="V25" s="64"/>
      <c r="W25" s="64"/>
      <c r="X25" s="64"/>
      <c r="Y25" s="64"/>
    </row>
    <row r="26" spans="1:25" x14ac:dyDescent="0.25">
      <c r="A26" s="29" t="s">
        <v>255</v>
      </c>
      <c r="B26" s="28" t="s">
        <v>258</v>
      </c>
      <c r="C26" s="28" t="s">
        <v>201</v>
      </c>
      <c r="D26" s="43" t="s">
        <v>632</v>
      </c>
      <c r="E26" s="71" t="s">
        <v>615</v>
      </c>
      <c r="F26" s="31">
        <v>1</v>
      </c>
      <c r="G26" s="32" t="s">
        <v>232</v>
      </c>
      <c r="H26" s="28">
        <v>12</v>
      </c>
      <c r="I26" s="32" t="s">
        <v>236</v>
      </c>
      <c r="J26" s="28">
        <v>1000</v>
      </c>
      <c r="K26" s="30" t="s">
        <v>248</v>
      </c>
      <c r="L26" s="7">
        <f t="shared" si="2"/>
        <v>12000</v>
      </c>
      <c r="M26" s="34">
        <v>1</v>
      </c>
      <c r="N26" s="7">
        <f t="shared" si="3"/>
        <v>12000</v>
      </c>
      <c r="O26" s="33">
        <v>108</v>
      </c>
      <c r="P26" s="7">
        <f t="shared" si="4"/>
        <v>9</v>
      </c>
      <c r="Q26" s="7">
        <f t="shared" si="0"/>
        <v>8.9999999999999993E-3</v>
      </c>
      <c r="R26" s="13">
        <f t="shared" si="1"/>
        <v>8.9999999999999993E-3</v>
      </c>
      <c r="S26" s="64"/>
      <c r="T26" s="64"/>
      <c r="U26" s="64"/>
      <c r="V26" s="64"/>
      <c r="W26" s="64"/>
      <c r="X26" s="64"/>
      <c r="Y26" s="64"/>
    </row>
    <row r="27" spans="1:25" x14ac:dyDescent="0.25">
      <c r="A27" s="29" t="s">
        <v>255</v>
      </c>
      <c r="B27" s="28" t="s">
        <v>258</v>
      </c>
      <c r="C27" s="28" t="s">
        <v>189</v>
      </c>
      <c r="D27" s="43" t="s">
        <v>632</v>
      </c>
      <c r="E27" s="71" t="s">
        <v>616</v>
      </c>
      <c r="F27" s="31">
        <v>1</v>
      </c>
      <c r="G27" s="32" t="s">
        <v>232</v>
      </c>
      <c r="H27" s="28">
        <v>10</v>
      </c>
      <c r="I27" s="32" t="s">
        <v>236</v>
      </c>
      <c r="J27" s="28">
        <v>100</v>
      </c>
      <c r="K27" s="30" t="s">
        <v>239</v>
      </c>
      <c r="L27" s="7">
        <f t="shared" si="2"/>
        <v>1000</v>
      </c>
      <c r="M27" s="34">
        <v>1</v>
      </c>
      <c r="N27" s="7">
        <f t="shared" si="3"/>
        <v>1000</v>
      </c>
      <c r="O27" s="33">
        <v>60</v>
      </c>
      <c r="P27" s="7">
        <f t="shared" si="4"/>
        <v>6</v>
      </c>
      <c r="Q27" s="7">
        <f t="shared" si="0"/>
        <v>0.06</v>
      </c>
      <c r="R27" s="13">
        <f t="shared" si="1"/>
        <v>0.06</v>
      </c>
      <c r="S27" s="64" t="s">
        <v>342</v>
      </c>
      <c r="T27" s="64" t="s">
        <v>348</v>
      </c>
      <c r="U27" s="64" t="s">
        <v>686</v>
      </c>
      <c r="V27" s="64"/>
      <c r="W27" s="64"/>
      <c r="X27" s="64"/>
      <c r="Y27" s="64"/>
    </row>
    <row r="28" spans="1:25" x14ac:dyDescent="0.25">
      <c r="A28" s="29" t="s">
        <v>255</v>
      </c>
      <c r="B28" s="28" t="s">
        <v>258</v>
      </c>
      <c r="C28" s="28" t="s">
        <v>209</v>
      </c>
      <c r="D28" s="43" t="s">
        <v>632</v>
      </c>
      <c r="E28" s="71" t="s">
        <v>617</v>
      </c>
      <c r="F28" s="31">
        <v>1</v>
      </c>
      <c r="G28" s="32" t="s">
        <v>247</v>
      </c>
      <c r="H28" s="28">
        <v>1</v>
      </c>
      <c r="I28" s="32" t="s">
        <v>247</v>
      </c>
      <c r="J28" s="28">
        <v>1000</v>
      </c>
      <c r="K28" s="30" t="s">
        <v>248</v>
      </c>
      <c r="L28" s="7">
        <f t="shared" si="2"/>
        <v>1000</v>
      </c>
      <c r="M28" s="34">
        <v>1</v>
      </c>
      <c r="N28" s="7">
        <f t="shared" si="3"/>
        <v>1000</v>
      </c>
      <c r="O28" s="33">
        <v>5</v>
      </c>
      <c r="P28" s="7">
        <f t="shared" si="4"/>
        <v>5</v>
      </c>
      <c r="Q28" s="7">
        <f t="shared" si="0"/>
        <v>5.0000000000000001E-3</v>
      </c>
      <c r="R28" s="13">
        <f t="shared" si="1"/>
        <v>5.0000000000000001E-3</v>
      </c>
      <c r="S28" s="64" t="s">
        <v>359</v>
      </c>
      <c r="T28" s="64"/>
      <c r="U28" s="64"/>
      <c r="V28" s="64"/>
      <c r="W28" s="64"/>
      <c r="X28" s="64"/>
      <c r="Y28" s="64"/>
    </row>
    <row r="29" spans="1:25" x14ac:dyDescent="0.25">
      <c r="A29" s="29" t="s">
        <v>255</v>
      </c>
      <c r="B29" s="28" t="s">
        <v>258</v>
      </c>
      <c r="C29" s="28" t="s">
        <v>109</v>
      </c>
      <c r="D29" s="43" t="s">
        <v>632</v>
      </c>
      <c r="E29" s="71" t="s">
        <v>618</v>
      </c>
      <c r="F29" s="31">
        <v>1</v>
      </c>
      <c r="G29" s="32" t="s">
        <v>245</v>
      </c>
      <c r="H29" s="28">
        <v>1</v>
      </c>
      <c r="I29" s="32" t="s">
        <v>245</v>
      </c>
      <c r="J29" s="28">
        <v>12</v>
      </c>
      <c r="K29" s="30" t="s">
        <v>239</v>
      </c>
      <c r="L29" s="7">
        <f t="shared" si="2"/>
        <v>12</v>
      </c>
      <c r="M29" s="34">
        <v>1</v>
      </c>
      <c r="N29" s="7">
        <f t="shared" si="3"/>
        <v>12</v>
      </c>
      <c r="O29" s="33">
        <v>90</v>
      </c>
      <c r="P29" s="7">
        <f t="shared" si="4"/>
        <v>90</v>
      </c>
      <c r="Q29" s="7">
        <f t="shared" si="0"/>
        <v>7.5</v>
      </c>
      <c r="R29" s="13">
        <f t="shared" si="1"/>
        <v>7.5</v>
      </c>
      <c r="S29" s="64" t="s">
        <v>342</v>
      </c>
      <c r="T29" s="64" t="s">
        <v>686</v>
      </c>
      <c r="U29" s="64"/>
      <c r="V29" s="64"/>
      <c r="W29" s="64"/>
      <c r="X29" s="64"/>
      <c r="Y29" s="64"/>
    </row>
    <row r="30" spans="1:25" x14ac:dyDescent="0.25">
      <c r="A30" s="29" t="s">
        <v>255</v>
      </c>
      <c r="B30" s="28" t="s">
        <v>258</v>
      </c>
      <c r="C30" s="28" t="s">
        <v>110</v>
      </c>
      <c r="D30" s="43" t="s">
        <v>632</v>
      </c>
      <c r="E30" s="71" t="s">
        <v>619</v>
      </c>
      <c r="F30" s="31">
        <v>1</v>
      </c>
      <c r="G30" s="32" t="s">
        <v>245</v>
      </c>
      <c r="H30" s="28">
        <v>1</v>
      </c>
      <c r="I30" s="32" t="s">
        <v>245</v>
      </c>
      <c r="J30" s="28">
        <v>20</v>
      </c>
      <c r="K30" s="30" t="s">
        <v>239</v>
      </c>
      <c r="L30" s="7">
        <f t="shared" si="2"/>
        <v>20</v>
      </c>
      <c r="M30" s="34">
        <v>1</v>
      </c>
      <c r="N30" s="7">
        <f t="shared" si="3"/>
        <v>20</v>
      </c>
      <c r="O30" s="33">
        <v>90</v>
      </c>
      <c r="P30" s="7">
        <f t="shared" si="4"/>
        <v>90</v>
      </c>
      <c r="Q30" s="7">
        <f t="shared" si="0"/>
        <v>4.5</v>
      </c>
      <c r="R30" s="13">
        <f t="shared" si="1"/>
        <v>4.5</v>
      </c>
      <c r="S30" s="64" t="s">
        <v>342</v>
      </c>
      <c r="T30" s="64" t="s">
        <v>686</v>
      </c>
      <c r="U30" s="64"/>
      <c r="V30" s="64"/>
      <c r="W30" s="64"/>
      <c r="X30" s="64"/>
      <c r="Y30" s="64"/>
    </row>
    <row r="31" spans="1:25" x14ac:dyDescent="0.25">
      <c r="A31" s="29" t="s">
        <v>255</v>
      </c>
      <c r="B31" s="28" t="s">
        <v>258</v>
      </c>
      <c r="C31" s="28" t="s">
        <v>157</v>
      </c>
      <c r="D31" s="43" t="s">
        <v>632</v>
      </c>
      <c r="E31" s="71" t="s">
        <v>620</v>
      </c>
      <c r="F31" s="31">
        <v>1</v>
      </c>
      <c r="G31" s="32" t="s">
        <v>232</v>
      </c>
      <c r="H31" s="28">
        <v>4</v>
      </c>
      <c r="I31" s="32" t="s">
        <v>239</v>
      </c>
      <c r="J31" s="28">
        <v>5</v>
      </c>
      <c r="K31" s="30" t="s">
        <v>247</v>
      </c>
      <c r="L31" s="7">
        <f t="shared" si="2"/>
        <v>20</v>
      </c>
      <c r="M31" s="34">
        <v>1</v>
      </c>
      <c r="N31" s="7">
        <f t="shared" si="3"/>
        <v>20</v>
      </c>
      <c r="O31" s="33">
        <v>136</v>
      </c>
      <c r="P31" s="7">
        <f t="shared" si="4"/>
        <v>34</v>
      </c>
      <c r="Q31" s="7">
        <f t="shared" si="0"/>
        <v>6.8</v>
      </c>
      <c r="R31" s="13">
        <f t="shared" si="1"/>
        <v>6.8</v>
      </c>
      <c r="S31" s="64" t="s">
        <v>359</v>
      </c>
      <c r="T31" s="64"/>
      <c r="U31" s="64"/>
      <c r="V31" s="64"/>
      <c r="W31" s="64"/>
      <c r="X31" s="64"/>
      <c r="Y31" s="64"/>
    </row>
    <row r="32" spans="1:25" x14ac:dyDescent="0.25">
      <c r="A32" s="29" t="s">
        <v>255</v>
      </c>
      <c r="B32" s="28" t="s">
        <v>258</v>
      </c>
      <c r="C32" s="28" t="s">
        <v>104</v>
      </c>
      <c r="D32" s="43" t="s">
        <v>632</v>
      </c>
      <c r="E32" s="71" t="s">
        <v>621</v>
      </c>
      <c r="F32" s="31">
        <v>1</v>
      </c>
      <c r="G32" s="32" t="s">
        <v>232</v>
      </c>
      <c r="H32" s="28">
        <v>10</v>
      </c>
      <c r="I32" s="32" t="s">
        <v>236</v>
      </c>
      <c r="J32" s="28">
        <v>80</v>
      </c>
      <c r="K32" s="30" t="s">
        <v>239</v>
      </c>
      <c r="L32" s="7">
        <f t="shared" si="2"/>
        <v>800</v>
      </c>
      <c r="M32" s="34">
        <v>1</v>
      </c>
      <c r="N32" s="7">
        <f t="shared" si="3"/>
        <v>800</v>
      </c>
      <c r="O32" s="33">
        <v>69</v>
      </c>
      <c r="P32" s="7">
        <f t="shared" si="4"/>
        <v>6.9</v>
      </c>
      <c r="Q32" s="7">
        <f t="shared" si="0"/>
        <v>8.6249999999999993E-2</v>
      </c>
      <c r="R32" s="13">
        <f t="shared" si="1"/>
        <v>8.6249999999999993E-2</v>
      </c>
      <c r="S32" s="64" t="s">
        <v>342</v>
      </c>
      <c r="T32" s="64" t="s">
        <v>686</v>
      </c>
      <c r="U32" s="64"/>
      <c r="V32" s="64"/>
      <c r="W32" s="64"/>
      <c r="X32" s="64"/>
      <c r="Y32" s="64"/>
    </row>
    <row r="33" spans="1:25" x14ac:dyDescent="0.25">
      <c r="A33" s="29" t="s">
        <v>255</v>
      </c>
      <c r="B33" s="28" t="s">
        <v>258</v>
      </c>
      <c r="C33" s="28" t="s">
        <v>203</v>
      </c>
      <c r="D33" s="43" t="s">
        <v>632</v>
      </c>
      <c r="E33" s="71" t="s">
        <v>622</v>
      </c>
      <c r="F33" s="31">
        <v>1</v>
      </c>
      <c r="G33" s="32" t="s">
        <v>239</v>
      </c>
      <c r="H33" s="28">
        <v>1</v>
      </c>
      <c r="I33" s="32" t="s">
        <v>239</v>
      </c>
      <c r="J33" s="28">
        <v>1</v>
      </c>
      <c r="K33" s="30" t="s">
        <v>239</v>
      </c>
      <c r="L33" s="7">
        <f t="shared" si="2"/>
        <v>1</v>
      </c>
      <c r="M33" s="34">
        <v>1</v>
      </c>
      <c r="N33" s="7">
        <f t="shared" si="3"/>
        <v>1</v>
      </c>
      <c r="O33" s="33">
        <v>60</v>
      </c>
      <c r="P33" s="7">
        <f t="shared" si="4"/>
        <v>60</v>
      </c>
      <c r="Q33" s="7">
        <f t="shared" si="0"/>
        <v>60</v>
      </c>
      <c r="R33" s="13">
        <f t="shared" si="1"/>
        <v>60</v>
      </c>
      <c r="S33" s="64"/>
      <c r="T33" s="64"/>
      <c r="U33" s="64"/>
      <c r="V33" s="64"/>
      <c r="W33" s="64"/>
      <c r="X33" s="64"/>
      <c r="Y33" s="64"/>
    </row>
    <row r="34" spans="1:25" x14ac:dyDescent="0.25">
      <c r="A34" s="29" t="s">
        <v>255</v>
      </c>
      <c r="B34" s="28" t="s">
        <v>258</v>
      </c>
      <c r="C34" s="28" t="s">
        <v>154</v>
      </c>
      <c r="D34" s="43" t="s">
        <v>632</v>
      </c>
      <c r="E34" s="71" t="s">
        <v>623</v>
      </c>
      <c r="F34" s="31">
        <v>1</v>
      </c>
      <c r="G34" s="32" t="s">
        <v>232</v>
      </c>
      <c r="H34" s="28">
        <v>1</v>
      </c>
      <c r="I34" s="32" t="s">
        <v>232</v>
      </c>
      <c r="J34" s="28">
        <v>6</v>
      </c>
      <c r="K34" s="30" t="s">
        <v>239</v>
      </c>
      <c r="L34" s="7">
        <f t="shared" si="2"/>
        <v>6</v>
      </c>
      <c r="M34" s="34">
        <v>1</v>
      </c>
      <c r="N34" s="7">
        <f t="shared" si="3"/>
        <v>6</v>
      </c>
      <c r="O34" s="33">
        <v>125</v>
      </c>
      <c r="P34" s="7">
        <f t="shared" ref="P34:P65" si="5">IF((OR(H34="",O34="")),"",O34/H34)</f>
        <v>125</v>
      </c>
      <c r="Q34" s="7">
        <f t="shared" ref="Q34:Q65" si="6">IF((OR(L34="",O34="")),"",O34/L34)</f>
        <v>20.833333333333332</v>
      </c>
      <c r="R34" s="13">
        <f t="shared" ref="R34:R65" si="7">IF(OR(N34="",O34=""),"",O34/N34)</f>
        <v>20.833333333333332</v>
      </c>
      <c r="S34" s="64"/>
      <c r="T34" s="64"/>
      <c r="U34" s="64"/>
      <c r="V34" s="64"/>
      <c r="W34" s="64"/>
      <c r="X34" s="64"/>
      <c r="Y34" s="64"/>
    </row>
    <row r="35" spans="1:25" x14ac:dyDescent="0.25">
      <c r="A35" s="29" t="s">
        <v>255</v>
      </c>
      <c r="B35" s="28" t="s">
        <v>258</v>
      </c>
      <c r="C35" s="28" t="s">
        <v>156</v>
      </c>
      <c r="D35" s="43" t="s">
        <v>632</v>
      </c>
      <c r="E35" s="71" t="s">
        <v>624</v>
      </c>
      <c r="F35" s="31">
        <v>1</v>
      </c>
      <c r="G35" s="32" t="s">
        <v>232</v>
      </c>
      <c r="H35" s="28">
        <v>4</v>
      </c>
      <c r="I35" s="32" t="s">
        <v>239</v>
      </c>
      <c r="J35" s="28">
        <v>5</v>
      </c>
      <c r="K35" s="30" t="s">
        <v>247</v>
      </c>
      <c r="L35" s="7">
        <f t="shared" si="2"/>
        <v>20</v>
      </c>
      <c r="M35" s="34">
        <v>1</v>
      </c>
      <c r="N35" s="7">
        <f t="shared" ref="N35:N66" si="8">IF(M35="","",(M35*L35))</f>
        <v>20</v>
      </c>
      <c r="O35" s="33">
        <v>242</v>
      </c>
      <c r="P35" s="7">
        <f t="shared" si="5"/>
        <v>60.5</v>
      </c>
      <c r="Q35" s="7">
        <f t="shared" si="6"/>
        <v>12.1</v>
      </c>
      <c r="R35" s="13">
        <f t="shared" si="7"/>
        <v>12.1</v>
      </c>
      <c r="S35" s="64" t="s">
        <v>359</v>
      </c>
      <c r="T35" s="64"/>
      <c r="U35" s="64"/>
      <c r="V35" s="64"/>
      <c r="W35" s="64"/>
      <c r="X35" s="64"/>
      <c r="Y35" s="64"/>
    </row>
    <row r="36" spans="1:25" x14ac:dyDescent="0.25">
      <c r="A36" s="29" t="s">
        <v>255</v>
      </c>
      <c r="B36" s="28" t="s">
        <v>258</v>
      </c>
      <c r="C36" s="28" t="s">
        <v>190</v>
      </c>
      <c r="D36" s="43" t="s">
        <v>632</v>
      </c>
      <c r="E36" s="71" t="s">
        <v>625</v>
      </c>
      <c r="F36" s="31">
        <v>1</v>
      </c>
      <c r="G36" s="32" t="s">
        <v>232</v>
      </c>
      <c r="H36" s="28">
        <v>4</v>
      </c>
      <c r="I36" s="32" t="s">
        <v>239</v>
      </c>
      <c r="J36" s="28">
        <v>5</v>
      </c>
      <c r="K36" s="30" t="s">
        <v>247</v>
      </c>
      <c r="L36" s="7">
        <f t="shared" si="2"/>
        <v>20</v>
      </c>
      <c r="M36" s="34">
        <v>1</v>
      </c>
      <c r="N36" s="7">
        <f t="shared" si="8"/>
        <v>20</v>
      </c>
      <c r="O36" s="33">
        <v>241</v>
      </c>
      <c r="P36" s="7">
        <f t="shared" si="5"/>
        <v>60.25</v>
      </c>
      <c r="Q36" s="7">
        <f t="shared" si="6"/>
        <v>12.05</v>
      </c>
      <c r="R36" s="13">
        <f t="shared" si="7"/>
        <v>12.05</v>
      </c>
      <c r="S36" s="64"/>
      <c r="T36" s="64"/>
      <c r="U36" s="64"/>
      <c r="V36" s="64"/>
      <c r="W36" s="64"/>
      <c r="X36" s="64"/>
      <c r="Y36" s="64"/>
    </row>
    <row r="37" spans="1:25" x14ac:dyDescent="0.25">
      <c r="A37" s="29" t="s">
        <v>255</v>
      </c>
      <c r="B37" s="28" t="s">
        <v>258</v>
      </c>
      <c r="C37" s="28" t="s">
        <v>205</v>
      </c>
      <c r="D37" s="43" t="s">
        <v>632</v>
      </c>
      <c r="E37" s="71" t="s">
        <v>626</v>
      </c>
      <c r="F37" s="31">
        <v>1</v>
      </c>
      <c r="G37" s="32" t="s">
        <v>247</v>
      </c>
      <c r="H37" s="28">
        <v>1</v>
      </c>
      <c r="I37" s="32" t="s">
        <v>247</v>
      </c>
      <c r="J37" s="28">
        <v>1000</v>
      </c>
      <c r="K37" s="30" t="s">
        <v>248</v>
      </c>
      <c r="L37" s="7">
        <f t="shared" si="2"/>
        <v>1000</v>
      </c>
      <c r="M37" s="34">
        <v>1</v>
      </c>
      <c r="N37" s="7">
        <f t="shared" si="8"/>
        <v>1000</v>
      </c>
      <c r="O37" s="33">
        <v>0</v>
      </c>
      <c r="P37" s="7">
        <f t="shared" si="5"/>
        <v>0</v>
      </c>
      <c r="Q37" s="7">
        <f t="shared" si="6"/>
        <v>0</v>
      </c>
      <c r="R37" s="13">
        <f t="shared" si="7"/>
        <v>0</v>
      </c>
      <c r="S37" s="64"/>
      <c r="T37" s="64"/>
      <c r="U37" s="64"/>
      <c r="V37" s="64"/>
      <c r="W37" s="64"/>
      <c r="X37" s="64"/>
      <c r="Y37" s="64"/>
    </row>
    <row r="38" spans="1:25" x14ac:dyDescent="0.25">
      <c r="A38" s="29" t="s">
        <v>255</v>
      </c>
      <c r="B38" s="28" t="s">
        <v>258</v>
      </c>
      <c r="C38" s="28" t="s">
        <v>105</v>
      </c>
      <c r="D38" s="43" t="s">
        <v>632</v>
      </c>
      <c r="E38" s="71" t="s">
        <v>627</v>
      </c>
      <c r="F38" s="31">
        <v>1</v>
      </c>
      <c r="G38" s="32" t="s">
        <v>232</v>
      </c>
      <c r="H38" s="28">
        <v>1</v>
      </c>
      <c r="I38" s="32" t="s">
        <v>232</v>
      </c>
      <c r="J38" s="28">
        <v>1000</v>
      </c>
      <c r="K38" s="30" t="s">
        <v>239</v>
      </c>
      <c r="L38" s="7">
        <f t="shared" si="2"/>
        <v>1000</v>
      </c>
      <c r="M38" s="34">
        <v>1</v>
      </c>
      <c r="N38" s="7">
        <f t="shared" si="8"/>
        <v>1000</v>
      </c>
      <c r="O38" s="33">
        <v>60</v>
      </c>
      <c r="P38" s="7">
        <f t="shared" si="5"/>
        <v>60</v>
      </c>
      <c r="Q38" s="7">
        <f t="shared" si="6"/>
        <v>0.06</v>
      </c>
      <c r="R38" s="13">
        <f t="shared" si="7"/>
        <v>0.06</v>
      </c>
      <c r="S38" s="64" t="s">
        <v>342</v>
      </c>
      <c r="T38" s="64" t="s">
        <v>686</v>
      </c>
      <c r="U38" s="64"/>
      <c r="V38" s="64"/>
      <c r="W38" s="64"/>
      <c r="X38" s="64"/>
      <c r="Y38" s="64"/>
    </row>
    <row r="39" spans="1:25" x14ac:dyDescent="0.25">
      <c r="A39" s="29" t="s">
        <v>255</v>
      </c>
      <c r="B39" s="28" t="s">
        <v>258</v>
      </c>
      <c r="C39" s="28" t="s">
        <v>191</v>
      </c>
      <c r="D39" s="43" t="s">
        <v>632</v>
      </c>
      <c r="E39" s="71" t="s">
        <v>628</v>
      </c>
      <c r="F39" s="31">
        <v>1</v>
      </c>
      <c r="G39" s="32" t="s">
        <v>232</v>
      </c>
      <c r="H39" s="28">
        <v>80</v>
      </c>
      <c r="I39" s="32" t="s">
        <v>239</v>
      </c>
      <c r="J39" s="28">
        <v>1</v>
      </c>
      <c r="K39" s="30" t="s">
        <v>239</v>
      </c>
      <c r="L39" s="7">
        <f t="shared" si="2"/>
        <v>80</v>
      </c>
      <c r="M39" s="34">
        <v>1</v>
      </c>
      <c r="N39" s="7">
        <f t="shared" si="8"/>
        <v>80</v>
      </c>
      <c r="O39" s="33">
        <v>150</v>
      </c>
      <c r="P39" s="7">
        <f t="shared" si="5"/>
        <v>1.875</v>
      </c>
      <c r="Q39" s="7">
        <f t="shared" si="6"/>
        <v>1.875</v>
      </c>
      <c r="R39" s="13">
        <f t="shared" si="7"/>
        <v>1.875</v>
      </c>
      <c r="S39" s="64"/>
      <c r="T39" s="64"/>
      <c r="U39" s="64"/>
      <c r="V39" s="64"/>
      <c r="W39" s="64"/>
      <c r="X39" s="64"/>
      <c r="Y39" s="64"/>
    </row>
    <row r="40" spans="1:25" x14ac:dyDescent="0.25">
      <c r="A40" s="29" t="s">
        <v>255</v>
      </c>
      <c r="B40" s="28" t="s">
        <v>258</v>
      </c>
      <c r="C40" s="28" t="s">
        <v>202</v>
      </c>
      <c r="D40" s="43" t="s">
        <v>632</v>
      </c>
      <c r="E40" s="71" t="s">
        <v>629</v>
      </c>
      <c r="F40" s="31">
        <v>1</v>
      </c>
      <c r="G40" s="32" t="s">
        <v>232</v>
      </c>
      <c r="H40" s="28">
        <v>1</v>
      </c>
      <c r="I40" s="32" t="s">
        <v>232</v>
      </c>
      <c r="J40" s="28">
        <v>50</v>
      </c>
      <c r="K40" s="30" t="s">
        <v>239</v>
      </c>
      <c r="L40" s="7">
        <f t="shared" si="2"/>
        <v>50</v>
      </c>
      <c r="M40" s="34">
        <v>1</v>
      </c>
      <c r="N40" s="7">
        <f t="shared" si="8"/>
        <v>50</v>
      </c>
      <c r="O40" s="33">
        <v>130</v>
      </c>
      <c r="P40" s="7">
        <f t="shared" si="5"/>
        <v>130</v>
      </c>
      <c r="Q40" s="7">
        <f t="shared" si="6"/>
        <v>2.6</v>
      </c>
      <c r="R40" s="13">
        <f t="shared" si="7"/>
        <v>2.6</v>
      </c>
      <c r="S40" s="64"/>
      <c r="T40" s="64"/>
      <c r="U40" s="64"/>
      <c r="V40" s="64"/>
      <c r="W40" s="64"/>
      <c r="X40" s="64"/>
      <c r="Y40" s="64"/>
    </row>
    <row r="41" spans="1:25" x14ac:dyDescent="0.25">
      <c r="A41" s="29" t="s">
        <v>255</v>
      </c>
      <c r="B41" s="28" t="s">
        <v>258</v>
      </c>
      <c r="C41" s="28" t="s">
        <v>193</v>
      </c>
      <c r="D41" s="43" t="s">
        <v>632</v>
      </c>
      <c r="E41" s="71" t="s">
        <v>630</v>
      </c>
      <c r="F41" s="31">
        <v>1</v>
      </c>
      <c r="G41" s="32" t="s">
        <v>232</v>
      </c>
      <c r="H41" s="28">
        <v>36</v>
      </c>
      <c r="I41" s="32" t="s">
        <v>239</v>
      </c>
      <c r="J41" s="28">
        <v>1</v>
      </c>
      <c r="K41" s="30" t="s">
        <v>239</v>
      </c>
      <c r="L41" s="7">
        <f t="shared" si="2"/>
        <v>36</v>
      </c>
      <c r="M41" s="34">
        <v>1</v>
      </c>
      <c r="N41" s="7">
        <f t="shared" si="8"/>
        <v>36</v>
      </c>
      <c r="O41" s="33">
        <v>49</v>
      </c>
      <c r="P41" s="7">
        <f t="shared" si="5"/>
        <v>1.3611111111111112</v>
      </c>
      <c r="Q41" s="7">
        <f t="shared" si="6"/>
        <v>1.3611111111111112</v>
      </c>
      <c r="R41" s="13">
        <f t="shared" si="7"/>
        <v>1.3611111111111112</v>
      </c>
      <c r="S41" s="64" t="s">
        <v>342</v>
      </c>
      <c r="T41" s="64" t="s">
        <v>686</v>
      </c>
      <c r="U41" s="64"/>
      <c r="V41" s="64"/>
      <c r="W41" s="64"/>
      <c r="X41" s="64"/>
      <c r="Y41" s="64"/>
    </row>
    <row r="42" spans="1:25" x14ac:dyDescent="0.25">
      <c r="A42" s="29" t="s">
        <v>255</v>
      </c>
      <c r="B42" s="28" t="s">
        <v>258</v>
      </c>
      <c r="C42" s="28" t="s">
        <v>106</v>
      </c>
      <c r="D42" s="43" t="s">
        <v>632</v>
      </c>
      <c r="E42" s="71" t="s">
        <v>631</v>
      </c>
      <c r="F42" s="31">
        <v>1</v>
      </c>
      <c r="G42" s="32" t="s">
        <v>232</v>
      </c>
      <c r="H42" s="28">
        <v>1</v>
      </c>
      <c r="I42" s="32" t="s">
        <v>232</v>
      </c>
      <c r="J42" s="28">
        <v>12</v>
      </c>
      <c r="K42" s="30" t="s">
        <v>239</v>
      </c>
      <c r="L42" s="7">
        <f t="shared" si="2"/>
        <v>12</v>
      </c>
      <c r="M42" s="34">
        <v>1</v>
      </c>
      <c r="N42" s="7">
        <f t="shared" si="8"/>
        <v>12</v>
      </c>
      <c r="O42" s="33">
        <v>218</v>
      </c>
      <c r="P42" s="7">
        <f t="shared" si="5"/>
        <v>218</v>
      </c>
      <c r="Q42" s="7">
        <f t="shared" si="6"/>
        <v>18.166666666666668</v>
      </c>
      <c r="R42" s="13">
        <f t="shared" si="7"/>
        <v>18.166666666666668</v>
      </c>
      <c r="S42" s="64" t="s">
        <v>339</v>
      </c>
      <c r="T42" s="64" t="s">
        <v>359</v>
      </c>
      <c r="U42" s="64"/>
      <c r="V42" s="64"/>
      <c r="W42" s="64"/>
      <c r="X42" s="64"/>
      <c r="Y42" s="64"/>
    </row>
    <row r="43" spans="1:25" x14ac:dyDescent="0.25">
      <c r="A43" s="29" t="s">
        <v>255</v>
      </c>
      <c r="B43" s="28" t="s">
        <v>259</v>
      </c>
      <c r="C43" s="28" t="s">
        <v>183</v>
      </c>
      <c r="D43" s="43" t="s">
        <v>607</v>
      </c>
      <c r="E43" s="71" t="s">
        <v>602</v>
      </c>
      <c r="F43" s="31">
        <v>1</v>
      </c>
      <c r="G43" s="32" t="s">
        <v>232</v>
      </c>
      <c r="H43" s="28">
        <v>1</v>
      </c>
      <c r="I43" s="32" t="s">
        <v>232</v>
      </c>
      <c r="J43" s="28">
        <v>24</v>
      </c>
      <c r="K43" s="30" t="s">
        <v>239</v>
      </c>
      <c r="L43" s="7">
        <f t="shared" si="2"/>
        <v>24</v>
      </c>
      <c r="M43" s="34">
        <v>1</v>
      </c>
      <c r="N43" s="7">
        <f t="shared" si="8"/>
        <v>24</v>
      </c>
      <c r="O43" s="33">
        <v>42</v>
      </c>
      <c r="P43" s="7">
        <f t="shared" si="5"/>
        <v>42</v>
      </c>
      <c r="Q43" s="7">
        <f t="shared" si="6"/>
        <v>1.75</v>
      </c>
      <c r="R43" s="13">
        <f t="shared" si="7"/>
        <v>1.75</v>
      </c>
      <c r="S43" s="64" t="s">
        <v>686</v>
      </c>
      <c r="T43" s="64"/>
      <c r="U43" s="64"/>
      <c r="V43" s="64"/>
      <c r="W43" s="64"/>
      <c r="X43" s="64"/>
      <c r="Y43" s="64"/>
    </row>
    <row r="44" spans="1:25" x14ac:dyDescent="0.25">
      <c r="A44" s="29" t="s">
        <v>255</v>
      </c>
      <c r="B44" s="28" t="s">
        <v>259</v>
      </c>
      <c r="C44" s="28" t="s">
        <v>96</v>
      </c>
      <c r="D44" s="43" t="s">
        <v>607</v>
      </c>
      <c r="E44" s="71" t="s">
        <v>95</v>
      </c>
      <c r="F44" s="31">
        <v>1</v>
      </c>
      <c r="G44" s="32" t="s">
        <v>232</v>
      </c>
      <c r="H44" s="28">
        <v>1</v>
      </c>
      <c r="I44" s="32" t="s">
        <v>232</v>
      </c>
      <c r="J44" s="28">
        <v>24</v>
      </c>
      <c r="K44" s="30" t="s">
        <v>239</v>
      </c>
      <c r="L44" s="7">
        <f t="shared" si="2"/>
        <v>24</v>
      </c>
      <c r="M44" s="34">
        <v>1</v>
      </c>
      <c r="N44" s="7">
        <f t="shared" si="8"/>
        <v>24</v>
      </c>
      <c r="O44" s="33">
        <v>44</v>
      </c>
      <c r="P44" s="7">
        <f t="shared" si="5"/>
        <v>44</v>
      </c>
      <c r="Q44" s="7">
        <f t="shared" si="6"/>
        <v>1.8333333333333333</v>
      </c>
      <c r="R44" s="13">
        <f t="shared" si="7"/>
        <v>1.8333333333333333</v>
      </c>
      <c r="S44" s="64" t="s">
        <v>351</v>
      </c>
      <c r="T44" s="64"/>
      <c r="U44" s="64"/>
      <c r="V44" s="64"/>
      <c r="W44" s="64"/>
      <c r="X44" s="64"/>
      <c r="Y44" s="64"/>
    </row>
    <row r="45" spans="1:25" x14ac:dyDescent="0.25">
      <c r="A45" s="29" t="s">
        <v>255</v>
      </c>
      <c r="B45" s="28" t="s">
        <v>259</v>
      </c>
      <c r="C45" s="28" t="s">
        <v>98</v>
      </c>
      <c r="D45" s="43" t="s">
        <v>607</v>
      </c>
      <c r="E45" s="71" t="s">
        <v>606</v>
      </c>
      <c r="F45" s="31">
        <v>1</v>
      </c>
      <c r="G45" s="32" t="s">
        <v>232</v>
      </c>
      <c r="H45" s="28">
        <v>1</v>
      </c>
      <c r="I45" s="32" t="s">
        <v>232</v>
      </c>
      <c r="J45" s="28">
        <v>24</v>
      </c>
      <c r="K45" s="30" t="s">
        <v>239</v>
      </c>
      <c r="L45" s="7">
        <f t="shared" si="2"/>
        <v>24</v>
      </c>
      <c r="M45" s="34">
        <v>1</v>
      </c>
      <c r="N45" s="7">
        <f t="shared" si="8"/>
        <v>24</v>
      </c>
      <c r="O45" s="33">
        <v>44</v>
      </c>
      <c r="P45" s="7">
        <f t="shared" si="5"/>
        <v>44</v>
      </c>
      <c r="Q45" s="7">
        <f t="shared" si="6"/>
        <v>1.8333333333333333</v>
      </c>
      <c r="R45" s="13">
        <f t="shared" si="7"/>
        <v>1.8333333333333333</v>
      </c>
      <c r="S45" s="64" t="s">
        <v>351</v>
      </c>
      <c r="T45" s="64"/>
      <c r="U45" s="64"/>
      <c r="V45" s="64"/>
      <c r="W45" s="64"/>
      <c r="X45" s="64"/>
      <c r="Y45" s="64"/>
    </row>
    <row r="46" spans="1:25" x14ac:dyDescent="0.25">
      <c r="A46" s="29" t="s">
        <v>255</v>
      </c>
      <c r="B46" s="28" t="s">
        <v>259</v>
      </c>
      <c r="C46" s="28" t="s">
        <v>91</v>
      </c>
      <c r="D46" s="43" t="s">
        <v>607</v>
      </c>
      <c r="E46" s="71" t="s">
        <v>90</v>
      </c>
      <c r="F46" s="31">
        <v>1</v>
      </c>
      <c r="G46" s="32" t="s">
        <v>232</v>
      </c>
      <c r="H46" s="28">
        <v>1</v>
      </c>
      <c r="I46" s="32" t="s">
        <v>232</v>
      </c>
      <c r="J46" s="28">
        <v>24</v>
      </c>
      <c r="K46" s="30" t="s">
        <v>239</v>
      </c>
      <c r="L46" s="7">
        <f t="shared" si="2"/>
        <v>24</v>
      </c>
      <c r="M46" s="34">
        <v>1</v>
      </c>
      <c r="N46" s="7">
        <f t="shared" si="8"/>
        <v>24</v>
      </c>
      <c r="O46" s="33">
        <v>45</v>
      </c>
      <c r="P46" s="7">
        <f t="shared" si="5"/>
        <v>45</v>
      </c>
      <c r="Q46" s="7">
        <f t="shared" si="6"/>
        <v>1.875</v>
      </c>
      <c r="R46" s="13">
        <f t="shared" si="7"/>
        <v>1.875</v>
      </c>
      <c r="S46" s="64" t="s">
        <v>351</v>
      </c>
      <c r="T46" s="64"/>
      <c r="U46" s="64"/>
      <c r="V46" s="64"/>
      <c r="W46" s="64"/>
      <c r="X46" s="64"/>
      <c r="Y46" s="64"/>
    </row>
    <row r="47" spans="1:25" x14ac:dyDescent="0.25">
      <c r="A47" s="29" t="s">
        <v>255</v>
      </c>
      <c r="B47" s="28" t="s">
        <v>259</v>
      </c>
      <c r="C47" s="28" t="s">
        <v>93</v>
      </c>
      <c r="D47" s="43" t="s">
        <v>607</v>
      </c>
      <c r="E47" s="71" t="s">
        <v>92</v>
      </c>
      <c r="F47" s="31">
        <v>1</v>
      </c>
      <c r="G47" s="32" t="s">
        <v>232</v>
      </c>
      <c r="H47" s="28">
        <v>1</v>
      </c>
      <c r="I47" s="32" t="s">
        <v>232</v>
      </c>
      <c r="J47" s="28">
        <v>24</v>
      </c>
      <c r="K47" s="30" t="s">
        <v>239</v>
      </c>
      <c r="L47" s="7">
        <f t="shared" si="2"/>
        <v>24</v>
      </c>
      <c r="M47" s="34">
        <v>1</v>
      </c>
      <c r="N47" s="7">
        <f t="shared" si="8"/>
        <v>24</v>
      </c>
      <c r="O47" s="33">
        <v>45</v>
      </c>
      <c r="P47" s="7">
        <f t="shared" si="5"/>
        <v>45</v>
      </c>
      <c r="Q47" s="7">
        <f t="shared" si="6"/>
        <v>1.875</v>
      </c>
      <c r="R47" s="13">
        <f t="shared" si="7"/>
        <v>1.875</v>
      </c>
      <c r="S47" s="64" t="s">
        <v>351</v>
      </c>
      <c r="T47" s="64"/>
      <c r="U47" s="64"/>
      <c r="V47" s="64"/>
      <c r="W47" s="64"/>
      <c r="X47" s="64"/>
      <c r="Y47" s="64"/>
    </row>
    <row r="48" spans="1:25" x14ac:dyDescent="0.25">
      <c r="A48" s="29" t="s">
        <v>255</v>
      </c>
      <c r="B48" s="28" t="s">
        <v>259</v>
      </c>
      <c r="C48" s="28" t="s">
        <v>94</v>
      </c>
      <c r="D48" s="43" t="s">
        <v>607</v>
      </c>
      <c r="E48" s="71" t="s">
        <v>603</v>
      </c>
      <c r="F48" s="31">
        <v>1</v>
      </c>
      <c r="G48" s="32" t="s">
        <v>232</v>
      </c>
      <c r="H48" s="28">
        <v>1</v>
      </c>
      <c r="I48" s="32" t="s">
        <v>232</v>
      </c>
      <c r="J48" s="28">
        <v>24</v>
      </c>
      <c r="K48" s="30" t="s">
        <v>239</v>
      </c>
      <c r="L48" s="7">
        <f t="shared" si="2"/>
        <v>24</v>
      </c>
      <c r="M48" s="34">
        <v>1</v>
      </c>
      <c r="N48" s="7">
        <f t="shared" si="8"/>
        <v>24</v>
      </c>
      <c r="O48" s="33">
        <v>45</v>
      </c>
      <c r="P48" s="7">
        <f t="shared" si="5"/>
        <v>45</v>
      </c>
      <c r="Q48" s="7">
        <f t="shared" si="6"/>
        <v>1.875</v>
      </c>
      <c r="R48" s="13">
        <f t="shared" si="7"/>
        <v>1.875</v>
      </c>
      <c r="S48" s="64" t="s">
        <v>351</v>
      </c>
      <c r="T48" s="64"/>
      <c r="U48" s="64"/>
      <c r="V48" s="64"/>
      <c r="W48" s="64"/>
      <c r="X48" s="64"/>
      <c r="Y48" s="64"/>
    </row>
    <row r="49" spans="1:25" x14ac:dyDescent="0.25">
      <c r="A49" s="29" t="s">
        <v>255</v>
      </c>
      <c r="B49" s="28" t="s">
        <v>259</v>
      </c>
      <c r="C49" s="28" t="s">
        <v>182</v>
      </c>
      <c r="D49" s="43" t="s">
        <v>607</v>
      </c>
      <c r="E49" s="71" t="s">
        <v>604</v>
      </c>
      <c r="F49" s="31">
        <v>1</v>
      </c>
      <c r="G49" s="32" t="s">
        <v>232</v>
      </c>
      <c r="H49" s="28">
        <v>1</v>
      </c>
      <c r="I49" s="32" t="s">
        <v>232</v>
      </c>
      <c r="J49" s="28">
        <v>24</v>
      </c>
      <c r="K49" s="30" t="s">
        <v>239</v>
      </c>
      <c r="L49" s="7">
        <f t="shared" si="2"/>
        <v>24</v>
      </c>
      <c r="M49" s="34">
        <v>1</v>
      </c>
      <c r="N49" s="7">
        <f t="shared" si="8"/>
        <v>24</v>
      </c>
      <c r="O49" s="33">
        <v>42</v>
      </c>
      <c r="P49" s="7">
        <f t="shared" si="5"/>
        <v>42</v>
      </c>
      <c r="Q49" s="7">
        <f t="shared" si="6"/>
        <v>1.75</v>
      </c>
      <c r="R49" s="13">
        <f t="shared" si="7"/>
        <v>1.75</v>
      </c>
      <c r="S49" s="64" t="s">
        <v>686</v>
      </c>
      <c r="T49" s="64"/>
      <c r="U49" s="64"/>
      <c r="V49" s="64"/>
      <c r="W49" s="64"/>
      <c r="X49" s="64"/>
      <c r="Y49" s="64"/>
    </row>
    <row r="50" spans="1:25" x14ac:dyDescent="0.25">
      <c r="A50" s="29" t="s">
        <v>255</v>
      </c>
      <c r="B50" s="28" t="s">
        <v>259</v>
      </c>
      <c r="C50" s="28" t="s">
        <v>181</v>
      </c>
      <c r="D50" s="43" t="s">
        <v>607</v>
      </c>
      <c r="E50" s="71" t="s">
        <v>605</v>
      </c>
      <c r="F50" s="31">
        <v>1</v>
      </c>
      <c r="G50" s="32" t="s">
        <v>232</v>
      </c>
      <c r="H50" s="28">
        <v>1</v>
      </c>
      <c r="I50" s="32" t="s">
        <v>232</v>
      </c>
      <c r="J50" s="28">
        <v>24</v>
      </c>
      <c r="K50" s="30" t="s">
        <v>239</v>
      </c>
      <c r="L50" s="7">
        <f t="shared" si="2"/>
        <v>24</v>
      </c>
      <c r="M50" s="34">
        <v>1</v>
      </c>
      <c r="N50" s="7">
        <f t="shared" si="8"/>
        <v>24</v>
      </c>
      <c r="O50" s="33">
        <v>42</v>
      </c>
      <c r="P50" s="7">
        <f t="shared" si="5"/>
        <v>42</v>
      </c>
      <c r="Q50" s="7">
        <f t="shared" si="6"/>
        <v>1.75</v>
      </c>
      <c r="R50" s="13">
        <f t="shared" si="7"/>
        <v>1.75</v>
      </c>
      <c r="S50" s="64" t="s">
        <v>686</v>
      </c>
      <c r="T50" s="64"/>
      <c r="U50" s="64"/>
      <c r="V50" s="64"/>
      <c r="W50" s="64"/>
      <c r="X50" s="64"/>
      <c r="Y50" s="64"/>
    </row>
    <row r="51" spans="1:25" x14ac:dyDescent="0.25">
      <c r="A51" s="29" t="s">
        <v>255</v>
      </c>
      <c r="B51" s="28" t="s">
        <v>259</v>
      </c>
      <c r="C51" s="28" t="s">
        <v>89</v>
      </c>
      <c r="D51" s="43" t="s">
        <v>607</v>
      </c>
      <c r="E51" s="71" t="s">
        <v>88</v>
      </c>
      <c r="F51" s="31">
        <v>1</v>
      </c>
      <c r="G51" s="32" t="s">
        <v>232</v>
      </c>
      <c r="H51" s="28">
        <v>1</v>
      </c>
      <c r="I51" s="32" t="s">
        <v>232</v>
      </c>
      <c r="J51" s="28">
        <v>24</v>
      </c>
      <c r="K51" s="30" t="s">
        <v>239</v>
      </c>
      <c r="L51" s="7">
        <f t="shared" si="2"/>
        <v>24</v>
      </c>
      <c r="M51" s="34">
        <v>1</v>
      </c>
      <c r="N51" s="7">
        <f t="shared" si="8"/>
        <v>24</v>
      </c>
      <c r="O51" s="33">
        <v>45</v>
      </c>
      <c r="P51" s="7">
        <f t="shared" si="5"/>
        <v>45</v>
      </c>
      <c r="Q51" s="7">
        <f t="shared" si="6"/>
        <v>1.875</v>
      </c>
      <c r="R51" s="13">
        <f t="shared" si="7"/>
        <v>1.875</v>
      </c>
      <c r="S51" s="64" t="s">
        <v>351</v>
      </c>
      <c r="T51" s="64"/>
      <c r="U51" s="64"/>
      <c r="V51" s="64"/>
      <c r="W51" s="64"/>
      <c r="X51" s="64"/>
      <c r="Y51" s="64"/>
    </row>
    <row r="52" spans="1:25" x14ac:dyDescent="0.25">
      <c r="A52" s="29" t="s">
        <v>255</v>
      </c>
      <c r="B52" s="28" t="s">
        <v>259</v>
      </c>
      <c r="C52" s="28" t="s">
        <v>102</v>
      </c>
      <c r="D52" s="43" t="s">
        <v>607</v>
      </c>
      <c r="E52" s="71" t="s">
        <v>101</v>
      </c>
      <c r="F52" s="31">
        <v>1</v>
      </c>
      <c r="G52" s="32" t="s">
        <v>232</v>
      </c>
      <c r="H52" s="28">
        <v>1</v>
      </c>
      <c r="I52" s="32" t="s">
        <v>232</v>
      </c>
      <c r="J52" s="28">
        <v>24</v>
      </c>
      <c r="K52" s="30" t="s">
        <v>239</v>
      </c>
      <c r="L52" s="7">
        <f t="shared" si="2"/>
        <v>24</v>
      </c>
      <c r="M52" s="34">
        <v>1</v>
      </c>
      <c r="N52" s="7">
        <f t="shared" si="8"/>
        <v>24</v>
      </c>
      <c r="O52" s="33">
        <v>12</v>
      </c>
      <c r="P52" s="7">
        <f t="shared" si="5"/>
        <v>12</v>
      </c>
      <c r="Q52" s="7">
        <f t="shared" si="6"/>
        <v>0.5</v>
      </c>
      <c r="R52" s="13">
        <f t="shared" si="7"/>
        <v>0.5</v>
      </c>
      <c r="S52" s="64" t="s">
        <v>351</v>
      </c>
      <c r="T52" s="64"/>
      <c r="U52" s="64"/>
      <c r="V52" s="64"/>
      <c r="W52" s="64"/>
      <c r="X52" s="64"/>
      <c r="Y52" s="64"/>
    </row>
    <row r="53" spans="1:25" x14ac:dyDescent="0.25">
      <c r="A53" s="29" t="s">
        <v>255</v>
      </c>
      <c r="B53" s="28" t="s">
        <v>259</v>
      </c>
      <c r="C53" s="28" t="s">
        <v>100</v>
      </c>
      <c r="D53" s="43" t="s">
        <v>607</v>
      </c>
      <c r="E53" s="71" t="s">
        <v>99</v>
      </c>
      <c r="F53" s="31">
        <v>1</v>
      </c>
      <c r="G53" s="32" t="s">
        <v>232</v>
      </c>
      <c r="H53" s="28">
        <v>1</v>
      </c>
      <c r="I53" s="32" t="s">
        <v>232</v>
      </c>
      <c r="J53" s="28">
        <v>40</v>
      </c>
      <c r="K53" s="30" t="s">
        <v>239</v>
      </c>
      <c r="L53" s="7">
        <f t="shared" si="2"/>
        <v>40</v>
      </c>
      <c r="M53" s="34">
        <v>1</v>
      </c>
      <c r="N53" s="7">
        <f t="shared" si="8"/>
        <v>40</v>
      </c>
      <c r="O53" s="33">
        <v>15</v>
      </c>
      <c r="P53" s="7">
        <f t="shared" si="5"/>
        <v>15</v>
      </c>
      <c r="Q53" s="7">
        <f t="shared" si="6"/>
        <v>0.375</v>
      </c>
      <c r="R53" s="13">
        <f t="shared" si="7"/>
        <v>0.375</v>
      </c>
      <c r="S53" s="64" t="s">
        <v>351</v>
      </c>
      <c r="T53" s="64"/>
      <c r="U53" s="64"/>
      <c r="V53" s="64"/>
      <c r="W53" s="64"/>
      <c r="X53" s="64"/>
      <c r="Y53" s="64"/>
    </row>
    <row r="54" spans="1:25" x14ac:dyDescent="0.25">
      <c r="A54" s="29" t="s">
        <v>255</v>
      </c>
      <c r="B54" s="28" t="s">
        <v>260</v>
      </c>
      <c r="C54" s="28" t="s">
        <v>22</v>
      </c>
      <c r="D54" s="43" t="s">
        <v>595</v>
      </c>
      <c r="E54" s="71" t="s">
        <v>592</v>
      </c>
      <c r="F54" s="31">
        <v>1</v>
      </c>
      <c r="G54" s="32" t="s">
        <v>245</v>
      </c>
      <c r="H54" s="28">
        <v>1</v>
      </c>
      <c r="I54" s="32" t="s">
        <v>245</v>
      </c>
      <c r="J54" s="28">
        <v>1000</v>
      </c>
      <c r="K54" s="30" t="s">
        <v>246</v>
      </c>
      <c r="L54" s="7">
        <f t="shared" si="2"/>
        <v>1000</v>
      </c>
      <c r="M54" s="34">
        <v>1</v>
      </c>
      <c r="N54" s="7">
        <f t="shared" si="8"/>
        <v>1000</v>
      </c>
      <c r="O54" s="33">
        <v>40</v>
      </c>
      <c r="P54" s="7">
        <f t="shared" si="5"/>
        <v>40</v>
      </c>
      <c r="Q54" s="7">
        <f t="shared" si="6"/>
        <v>0.04</v>
      </c>
      <c r="R54" s="13">
        <f t="shared" si="7"/>
        <v>0.04</v>
      </c>
      <c r="S54" s="64" t="s">
        <v>368</v>
      </c>
      <c r="T54" s="64" t="s">
        <v>366</v>
      </c>
      <c r="U54" s="64" t="s">
        <v>482</v>
      </c>
      <c r="V54" s="64" t="s">
        <v>344</v>
      </c>
      <c r="W54" s="64"/>
      <c r="X54" s="64"/>
      <c r="Y54" s="64"/>
    </row>
    <row r="55" spans="1:25" x14ac:dyDescent="0.25">
      <c r="A55" s="29" t="s">
        <v>255</v>
      </c>
      <c r="B55" s="28" t="s">
        <v>260</v>
      </c>
      <c r="C55" s="28" t="s">
        <v>41</v>
      </c>
      <c r="D55" s="43" t="s">
        <v>595</v>
      </c>
      <c r="E55" s="71" t="s">
        <v>593</v>
      </c>
      <c r="F55" s="31">
        <v>1</v>
      </c>
      <c r="G55" s="32" t="s">
        <v>232</v>
      </c>
      <c r="H55" s="28">
        <v>2</v>
      </c>
      <c r="I55" s="32" t="s">
        <v>235</v>
      </c>
      <c r="J55" s="28">
        <v>10000</v>
      </c>
      <c r="K55" s="30" t="s">
        <v>248</v>
      </c>
      <c r="L55" s="7">
        <f t="shared" si="2"/>
        <v>20000</v>
      </c>
      <c r="M55" s="34">
        <v>1</v>
      </c>
      <c r="N55" s="7">
        <f t="shared" si="8"/>
        <v>20000</v>
      </c>
      <c r="O55" s="33">
        <v>144</v>
      </c>
      <c r="P55" s="7">
        <f t="shared" si="5"/>
        <v>72</v>
      </c>
      <c r="Q55" s="7">
        <f t="shared" si="6"/>
        <v>7.1999999999999998E-3</v>
      </c>
      <c r="R55" s="13">
        <f t="shared" si="7"/>
        <v>7.1999999999999998E-3</v>
      </c>
      <c r="S55" s="64" t="s">
        <v>344</v>
      </c>
      <c r="T55" s="64"/>
      <c r="U55" s="64"/>
      <c r="V55" s="64"/>
      <c r="W55" s="64"/>
      <c r="X55" s="64"/>
      <c r="Y55" s="64"/>
    </row>
    <row r="56" spans="1:25" x14ac:dyDescent="0.25">
      <c r="A56" s="29" t="s">
        <v>255</v>
      </c>
      <c r="B56" s="28" t="s">
        <v>260</v>
      </c>
      <c r="C56" s="28" t="s">
        <v>47</v>
      </c>
      <c r="D56" s="43" t="s">
        <v>595</v>
      </c>
      <c r="E56" s="71" t="s">
        <v>594</v>
      </c>
      <c r="F56" s="31">
        <v>1</v>
      </c>
      <c r="G56" s="32" t="s">
        <v>247</v>
      </c>
      <c r="H56" s="28">
        <v>1</v>
      </c>
      <c r="I56" s="32" t="s">
        <v>247</v>
      </c>
      <c r="J56" s="28">
        <v>10000</v>
      </c>
      <c r="K56" s="30" t="s">
        <v>248</v>
      </c>
      <c r="L56" s="7">
        <f t="shared" si="2"/>
        <v>10000</v>
      </c>
      <c r="M56" s="34">
        <v>1</v>
      </c>
      <c r="N56" s="7">
        <f t="shared" si="8"/>
        <v>10000</v>
      </c>
      <c r="O56" s="33">
        <v>18</v>
      </c>
      <c r="P56" s="7">
        <f t="shared" si="5"/>
        <v>18</v>
      </c>
      <c r="Q56" s="7">
        <f t="shared" si="6"/>
        <v>1.8E-3</v>
      </c>
      <c r="R56" s="13">
        <f t="shared" si="7"/>
        <v>1.8E-3</v>
      </c>
      <c r="S56" s="64" t="s">
        <v>371</v>
      </c>
      <c r="T56" s="64" t="s">
        <v>364</v>
      </c>
      <c r="U56" s="64" t="s">
        <v>695</v>
      </c>
      <c r="V56" s="64"/>
      <c r="W56" s="64"/>
      <c r="X56" s="64"/>
      <c r="Y56" s="64"/>
    </row>
    <row r="57" spans="1:25" x14ac:dyDescent="0.25">
      <c r="A57" s="29" t="s">
        <v>255</v>
      </c>
      <c r="B57" s="28" t="s">
        <v>261</v>
      </c>
      <c r="C57" s="28" t="s">
        <v>151</v>
      </c>
      <c r="D57" s="43" t="s">
        <v>668</v>
      </c>
      <c r="E57" s="71" t="s">
        <v>648</v>
      </c>
      <c r="F57" s="31">
        <v>1</v>
      </c>
      <c r="G57" s="32" t="s">
        <v>232</v>
      </c>
      <c r="H57" s="28">
        <v>12</v>
      </c>
      <c r="I57" s="32" t="s">
        <v>239</v>
      </c>
      <c r="J57" s="28">
        <v>510</v>
      </c>
      <c r="K57" s="30" t="s">
        <v>246</v>
      </c>
      <c r="L57" s="7">
        <f t="shared" si="2"/>
        <v>6120</v>
      </c>
      <c r="M57" s="34">
        <v>1</v>
      </c>
      <c r="N57" s="7">
        <f t="shared" si="8"/>
        <v>6120</v>
      </c>
      <c r="O57" s="33">
        <v>79</v>
      </c>
      <c r="P57" s="7">
        <f t="shared" si="5"/>
        <v>6.583333333333333</v>
      </c>
      <c r="Q57" s="7">
        <f t="shared" si="6"/>
        <v>1.2908496732026143E-2</v>
      </c>
      <c r="R57" s="13">
        <f t="shared" si="7"/>
        <v>1.2908496732026143E-2</v>
      </c>
      <c r="S57" s="64" t="s">
        <v>373</v>
      </c>
      <c r="T57" s="64"/>
      <c r="U57" s="64"/>
      <c r="V57" s="64"/>
      <c r="W57" s="64"/>
      <c r="X57" s="64"/>
      <c r="Y57" s="64"/>
    </row>
    <row r="58" spans="1:25" x14ac:dyDescent="0.25">
      <c r="A58" s="29" t="s">
        <v>255</v>
      </c>
      <c r="B58" s="28" t="s">
        <v>261</v>
      </c>
      <c r="C58" s="28" t="s">
        <v>42</v>
      </c>
      <c r="D58" s="43" t="s">
        <v>668</v>
      </c>
      <c r="E58" s="71" t="s">
        <v>649</v>
      </c>
      <c r="F58" s="31">
        <v>1</v>
      </c>
      <c r="G58" s="32" t="s">
        <v>234</v>
      </c>
      <c r="H58" s="28">
        <v>10</v>
      </c>
      <c r="I58" s="32" t="s">
        <v>237</v>
      </c>
      <c r="J58" s="28">
        <v>1000</v>
      </c>
      <c r="K58" s="30" t="s">
        <v>246</v>
      </c>
      <c r="L58" s="7">
        <f t="shared" si="2"/>
        <v>10000</v>
      </c>
      <c r="M58" s="34">
        <v>1</v>
      </c>
      <c r="N58" s="7">
        <f t="shared" si="8"/>
        <v>10000</v>
      </c>
      <c r="O58" s="33">
        <v>30</v>
      </c>
      <c r="P58" s="7">
        <f t="shared" si="5"/>
        <v>3</v>
      </c>
      <c r="Q58" s="7">
        <f t="shared" si="6"/>
        <v>3.0000000000000001E-3</v>
      </c>
      <c r="R58" s="13">
        <f t="shared" si="7"/>
        <v>3.0000000000000001E-3</v>
      </c>
      <c r="S58" s="64" t="s">
        <v>686</v>
      </c>
      <c r="T58" s="64"/>
      <c r="U58" s="64"/>
      <c r="V58" s="64"/>
      <c r="W58" s="64"/>
      <c r="X58" s="64"/>
      <c r="Y58" s="64"/>
    </row>
    <row r="59" spans="1:25" x14ac:dyDescent="0.25">
      <c r="A59" s="29" t="s">
        <v>255</v>
      </c>
      <c r="B59" s="28" t="s">
        <v>261</v>
      </c>
      <c r="C59" s="28" t="s">
        <v>210</v>
      </c>
      <c r="D59" s="43" t="s">
        <v>668</v>
      </c>
      <c r="E59" s="71" t="s">
        <v>650</v>
      </c>
      <c r="F59" s="31">
        <v>1</v>
      </c>
      <c r="G59" s="32" t="s">
        <v>246</v>
      </c>
      <c r="H59" s="28">
        <v>1</v>
      </c>
      <c r="I59" s="32" t="s">
        <v>246</v>
      </c>
      <c r="J59" s="28">
        <v>1</v>
      </c>
      <c r="K59" s="30" t="s">
        <v>246</v>
      </c>
      <c r="L59" s="7">
        <f t="shared" si="2"/>
        <v>1</v>
      </c>
      <c r="M59" s="34">
        <v>1</v>
      </c>
      <c r="N59" s="7">
        <f t="shared" si="8"/>
        <v>1</v>
      </c>
      <c r="O59" s="33">
        <v>0</v>
      </c>
      <c r="P59" s="7">
        <f t="shared" si="5"/>
        <v>0</v>
      </c>
      <c r="Q59" s="7">
        <f t="shared" si="6"/>
        <v>0</v>
      </c>
      <c r="R59" s="13">
        <f t="shared" si="7"/>
        <v>0</v>
      </c>
      <c r="S59" s="64"/>
      <c r="T59" s="64"/>
      <c r="U59" s="64"/>
      <c r="V59" s="64"/>
      <c r="W59" s="64"/>
      <c r="X59" s="64"/>
      <c r="Y59" s="64"/>
    </row>
    <row r="60" spans="1:25" x14ac:dyDescent="0.25">
      <c r="A60" s="29" t="s">
        <v>255</v>
      </c>
      <c r="B60" s="28" t="s">
        <v>261</v>
      </c>
      <c r="C60" s="28" t="s">
        <v>65</v>
      </c>
      <c r="D60" s="43" t="s">
        <v>668</v>
      </c>
      <c r="E60" s="71" t="s">
        <v>651</v>
      </c>
      <c r="F60" s="31">
        <v>1</v>
      </c>
      <c r="G60" s="32" t="s">
        <v>232</v>
      </c>
      <c r="H60" s="28">
        <v>1</v>
      </c>
      <c r="I60" s="32" t="s">
        <v>232</v>
      </c>
      <c r="J60" s="28">
        <v>1000</v>
      </c>
      <c r="K60" s="30" t="s">
        <v>239</v>
      </c>
      <c r="L60" s="7">
        <f t="shared" si="2"/>
        <v>1000</v>
      </c>
      <c r="M60" s="34">
        <v>1</v>
      </c>
      <c r="N60" s="7">
        <f t="shared" si="8"/>
        <v>1000</v>
      </c>
      <c r="O60" s="33">
        <v>46</v>
      </c>
      <c r="P60" s="7">
        <f t="shared" si="5"/>
        <v>46</v>
      </c>
      <c r="Q60" s="7">
        <f t="shared" si="6"/>
        <v>4.5999999999999999E-2</v>
      </c>
      <c r="R60" s="13">
        <f t="shared" si="7"/>
        <v>4.5999999999999999E-2</v>
      </c>
      <c r="S60" s="64" t="s">
        <v>686</v>
      </c>
      <c r="T60" s="64"/>
      <c r="U60" s="64"/>
      <c r="V60" s="64"/>
      <c r="W60" s="64"/>
      <c r="X60" s="64"/>
      <c r="Y60" s="64"/>
    </row>
    <row r="61" spans="1:25" x14ac:dyDescent="0.25">
      <c r="A61" s="29" t="s">
        <v>255</v>
      </c>
      <c r="B61" s="28" t="s">
        <v>261</v>
      </c>
      <c r="C61" s="28" t="s">
        <v>197</v>
      </c>
      <c r="D61" s="43" t="s">
        <v>668</v>
      </c>
      <c r="E61" s="71" t="s">
        <v>652</v>
      </c>
      <c r="F61" s="31">
        <v>1</v>
      </c>
      <c r="G61" s="32" t="s">
        <v>247</v>
      </c>
      <c r="H61" s="28">
        <v>1</v>
      </c>
      <c r="I61" s="32" t="s">
        <v>247</v>
      </c>
      <c r="J61" s="28">
        <v>1000</v>
      </c>
      <c r="K61" s="30" t="s">
        <v>248</v>
      </c>
      <c r="L61" s="7">
        <f t="shared" si="2"/>
        <v>1000</v>
      </c>
      <c r="M61" s="34">
        <v>0.99</v>
      </c>
      <c r="N61" s="7">
        <f t="shared" si="8"/>
        <v>990</v>
      </c>
      <c r="O61" s="33">
        <v>5</v>
      </c>
      <c r="P61" s="7">
        <f t="shared" si="5"/>
        <v>5</v>
      </c>
      <c r="Q61" s="7">
        <f t="shared" si="6"/>
        <v>5.0000000000000001E-3</v>
      </c>
      <c r="R61" s="13">
        <f t="shared" si="7"/>
        <v>5.0505050505050509E-3</v>
      </c>
      <c r="S61" s="64" t="s">
        <v>373</v>
      </c>
      <c r="T61" s="64" t="s">
        <v>364</v>
      </c>
      <c r="U61" s="64" t="s">
        <v>695</v>
      </c>
      <c r="V61" s="64" t="s">
        <v>469</v>
      </c>
      <c r="W61" s="64" t="s">
        <v>478</v>
      </c>
      <c r="X61" s="64" t="s">
        <v>482</v>
      </c>
      <c r="Y61" s="64"/>
    </row>
    <row r="62" spans="1:25" x14ac:dyDescent="0.25">
      <c r="A62" s="29" t="s">
        <v>255</v>
      </c>
      <c r="B62" s="28" t="s">
        <v>261</v>
      </c>
      <c r="C62" s="28" t="s">
        <v>57</v>
      </c>
      <c r="D62" s="43" t="s">
        <v>668</v>
      </c>
      <c r="E62" s="71" t="s">
        <v>653</v>
      </c>
      <c r="F62" s="31">
        <v>1</v>
      </c>
      <c r="G62" s="32" t="s">
        <v>233</v>
      </c>
      <c r="H62" s="28">
        <v>15</v>
      </c>
      <c r="I62" s="32" t="s">
        <v>245</v>
      </c>
      <c r="J62" s="28">
        <v>1000</v>
      </c>
      <c r="K62" s="30" t="s">
        <v>246</v>
      </c>
      <c r="L62" s="7">
        <f t="shared" si="2"/>
        <v>15000</v>
      </c>
      <c r="M62" s="34">
        <v>1</v>
      </c>
      <c r="N62" s="7">
        <f t="shared" si="8"/>
        <v>15000</v>
      </c>
      <c r="O62" s="33">
        <v>75</v>
      </c>
      <c r="P62" s="7">
        <f t="shared" si="5"/>
        <v>5</v>
      </c>
      <c r="Q62" s="7">
        <f t="shared" si="6"/>
        <v>5.0000000000000001E-3</v>
      </c>
      <c r="R62" s="13">
        <f t="shared" si="7"/>
        <v>5.0000000000000001E-3</v>
      </c>
      <c r="S62" s="64" t="s">
        <v>686</v>
      </c>
      <c r="T62" s="64"/>
      <c r="U62" s="64"/>
      <c r="V62" s="64"/>
      <c r="W62" s="64"/>
      <c r="X62" s="64"/>
      <c r="Y62" s="64"/>
    </row>
    <row r="63" spans="1:25" x14ac:dyDescent="0.25">
      <c r="A63" s="29" t="s">
        <v>255</v>
      </c>
      <c r="B63" s="28" t="s">
        <v>261</v>
      </c>
      <c r="C63" s="28" t="s">
        <v>60</v>
      </c>
      <c r="D63" s="43" t="s">
        <v>668</v>
      </c>
      <c r="E63" s="71" t="s">
        <v>654</v>
      </c>
      <c r="F63" s="31">
        <v>1</v>
      </c>
      <c r="G63" s="32" t="s">
        <v>232</v>
      </c>
      <c r="H63" s="28">
        <v>4</v>
      </c>
      <c r="I63" s="32" t="s">
        <v>239</v>
      </c>
      <c r="J63" s="28">
        <v>3780</v>
      </c>
      <c r="K63" s="30" t="s">
        <v>248</v>
      </c>
      <c r="L63" s="7">
        <f t="shared" si="2"/>
        <v>15120</v>
      </c>
      <c r="M63" s="34">
        <v>0.99</v>
      </c>
      <c r="N63" s="7">
        <f t="shared" si="8"/>
        <v>14968.8</v>
      </c>
      <c r="O63" s="33">
        <v>126</v>
      </c>
      <c r="P63" s="7">
        <f t="shared" si="5"/>
        <v>31.5</v>
      </c>
      <c r="Q63" s="7">
        <f t="shared" si="6"/>
        <v>8.3333333333333332E-3</v>
      </c>
      <c r="R63" s="13">
        <f t="shared" si="7"/>
        <v>8.4175084175084174E-3</v>
      </c>
      <c r="S63" s="64" t="s">
        <v>373</v>
      </c>
      <c r="T63" s="64" t="s">
        <v>364</v>
      </c>
      <c r="U63" s="64" t="s">
        <v>695</v>
      </c>
      <c r="V63" s="64" t="s">
        <v>469</v>
      </c>
      <c r="W63" s="64" t="s">
        <v>478</v>
      </c>
      <c r="X63" s="64" t="s">
        <v>482</v>
      </c>
      <c r="Y63" s="64"/>
    </row>
    <row r="64" spans="1:25" x14ac:dyDescent="0.25">
      <c r="A64" s="29" t="s">
        <v>255</v>
      </c>
      <c r="B64" s="28" t="s">
        <v>261</v>
      </c>
      <c r="C64" s="28" t="s">
        <v>194</v>
      </c>
      <c r="D64" s="43" t="s">
        <v>668</v>
      </c>
      <c r="E64" s="71" t="s">
        <v>655</v>
      </c>
      <c r="F64" s="31">
        <v>1</v>
      </c>
      <c r="G64" s="32" t="s">
        <v>245</v>
      </c>
      <c r="H64" s="28">
        <v>1</v>
      </c>
      <c r="I64" s="32" t="s">
        <v>245</v>
      </c>
      <c r="J64" s="28">
        <v>1000</v>
      </c>
      <c r="K64" s="30" t="s">
        <v>246</v>
      </c>
      <c r="L64" s="7">
        <f t="shared" si="2"/>
        <v>1000</v>
      </c>
      <c r="M64" s="34">
        <v>1</v>
      </c>
      <c r="N64" s="7">
        <f t="shared" si="8"/>
        <v>1000</v>
      </c>
      <c r="O64" s="33">
        <v>27</v>
      </c>
      <c r="P64" s="7">
        <f t="shared" si="5"/>
        <v>27</v>
      </c>
      <c r="Q64" s="7">
        <f t="shared" si="6"/>
        <v>2.7E-2</v>
      </c>
      <c r="R64" s="13">
        <f t="shared" si="7"/>
        <v>2.7E-2</v>
      </c>
      <c r="S64" s="64" t="s">
        <v>704</v>
      </c>
      <c r="T64" s="64" t="s">
        <v>686</v>
      </c>
      <c r="U64" s="64"/>
      <c r="V64" s="64"/>
      <c r="W64" s="64"/>
      <c r="X64" s="64"/>
      <c r="Y64" s="64"/>
    </row>
    <row r="65" spans="1:25" x14ac:dyDescent="0.25">
      <c r="A65" s="29" t="s">
        <v>255</v>
      </c>
      <c r="B65" s="28" t="s">
        <v>261</v>
      </c>
      <c r="C65" s="28" t="s">
        <v>62</v>
      </c>
      <c r="D65" s="43" t="s">
        <v>668</v>
      </c>
      <c r="E65" s="71" t="s">
        <v>656</v>
      </c>
      <c r="F65" s="31">
        <v>1</v>
      </c>
      <c r="G65" s="32" t="s">
        <v>232</v>
      </c>
      <c r="H65" s="28">
        <v>4</v>
      </c>
      <c r="I65" s="32" t="s">
        <v>239</v>
      </c>
      <c r="J65" s="28">
        <v>3780</v>
      </c>
      <c r="K65" s="30" t="s">
        <v>248</v>
      </c>
      <c r="L65" s="7">
        <f t="shared" si="2"/>
        <v>15120</v>
      </c>
      <c r="M65" s="34">
        <v>1</v>
      </c>
      <c r="N65" s="7">
        <f t="shared" si="8"/>
        <v>15120</v>
      </c>
      <c r="O65" s="33">
        <v>122</v>
      </c>
      <c r="P65" s="7">
        <f t="shared" si="5"/>
        <v>30.5</v>
      </c>
      <c r="Q65" s="7">
        <f t="shared" si="6"/>
        <v>8.068783068783069E-3</v>
      </c>
      <c r="R65" s="13">
        <f t="shared" si="7"/>
        <v>8.068783068783069E-3</v>
      </c>
      <c r="S65" s="64" t="s">
        <v>373</v>
      </c>
      <c r="T65" s="64" t="s">
        <v>364</v>
      </c>
      <c r="U65" s="64" t="s">
        <v>695</v>
      </c>
      <c r="V65" s="64" t="s">
        <v>469</v>
      </c>
      <c r="W65" s="64" t="s">
        <v>478</v>
      </c>
      <c r="X65" s="64" t="s">
        <v>482</v>
      </c>
      <c r="Y65" s="64"/>
    </row>
    <row r="66" spans="1:25" x14ac:dyDescent="0.25">
      <c r="A66" s="29" t="s">
        <v>255</v>
      </c>
      <c r="B66" s="28" t="s">
        <v>261</v>
      </c>
      <c r="C66" s="28" t="s">
        <v>150</v>
      </c>
      <c r="D66" s="43" t="s">
        <v>668</v>
      </c>
      <c r="E66" s="71" t="s">
        <v>657</v>
      </c>
      <c r="F66" s="31">
        <v>1</v>
      </c>
      <c r="G66" s="32" t="s">
        <v>232</v>
      </c>
      <c r="H66" s="28">
        <v>4</v>
      </c>
      <c r="I66" s="32" t="s">
        <v>239</v>
      </c>
      <c r="J66" s="28">
        <v>3780</v>
      </c>
      <c r="K66" s="30" t="s">
        <v>248</v>
      </c>
      <c r="L66" s="7">
        <f t="shared" si="2"/>
        <v>15120</v>
      </c>
      <c r="M66" s="34">
        <v>1</v>
      </c>
      <c r="N66" s="7">
        <f t="shared" si="8"/>
        <v>15120</v>
      </c>
      <c r="O66" s="33">
        <v>128</v>
      </c>
      <c r="P66" s="7">
        <f t="shared" ref="P66:P97" si="9">IF((OR(H66="",O66="")),"",O66/H66)</f>
        <v>32</v>
      </c>
      <c r="Q66" s="7">
        <f t="shared" ref="Q66:Q97" si="10">IF((OR(L66="",O66="")),"",O66/L66)</f>
        <v>8.4656084656084662E-3</v>
      </c>
      <c r="R66" s="13">
        <f t="shared" ref="R66:R97" si="11">IF(OR(N66="",O66=""),"",O66/N66)</f>
        <v>8.4656084656084662E-3</v>
      </c>
      <c r="S66" s="64" t="s">
        <v>373</v>
      </c>
      <c r="T66" s="64" t="s">
        <v>364</v>
      </c>
      <c r="U66" s="64" t="s">
        <v>695</v>
      </c>
      <c r="V66" s="64" t="s">
        <v>469</v>
      </c>
      <c r="W66" s="64" t="s">
        <v>478</v>
      </c>
      <c r="X66" s="64" t="s">
        <v>482</v>
      </c>
      <c r="Y66" s="64"/>
    </row>
    <row r="67" spans="1:25" x14ac:dyDescent="0.25">
      <c r="A67" s="29" t="s">
        <v>255</v>
      </c>
      <c r="B67" s="28" t="s">
        <v>261</v>
      </c>
      <c r="C67" s="28" t="s">
        <v>206</v>
      </c>
      <c r="D67" s="43" t="s">
        <v>668</v>
      </c>
      <c r="E67" s="71" t="s">
        <v>658</v>
      </c>
      <c r="F67" s="31">
        <v>1</v>
      </c>
      <c r="G67" s="32" t="s">
        <v>232</v>
      </c>
      <c r="H67" s="28">
        <v>12</v>
      </c>
      <c r="I67" s="32" t="s">
        <v>236</v>
      </c>
      <c r="J67" s="28">
        <v>625</v>
      </c>
      <c r="K67" s="30" t="s">
        <v>248</v>
      </c>
      <c r="L67" s="7">
        <f t="shared" ref="L67:L130" si="12">IF((PRODUCT(F67,H67,J67))=0,"",(PRODUCT(F67,H67,J67)))</f>
        <v>7500</v>
      </c>
      <c r="M67" s="34">
        <v>0.99</v>
      </c>
      <c r="N67" s="7">
        <f t="shared" ref="N67:N98" si="13">IF(M67="","",(M67*L67))</f>
        <v>7425</v>
      </c>
      <c r="O67" s="33">
        <v>142</v>
      </c>
      <c r="P67" s="7">
        <f t="shared" si="9"/>
        <v>11.833333333333334</v>
      </c>
      <c r="Q67" s="7">
        <f t="shared" si="10"/>
        <v>1.8933333333333333E-2</v>
      </c>
      <c r="R67" s="13">
        <f t="shared" si="11"/>
        <v>1.9124579124579124E-2</v>
      </c>
      <c r="S67" s="64" t="s">
        <v>373</v>
      </c>
      <c r="T67" s="64" t="s">
        <v>364</v>
      </c>
      <c r="U67" s="64"/>
      <c r="V67" s="64"/>
      <c r="W67" s="64"/>
      <c r="X67" s="64"/>
      <c r="Y67" s="64"/>
    </row>
    <row r="68" spans="1:25" x14ac:dyDescent="0.25">
      <c r="A68" s="29" t="s">
        <v>255</v>
      </c>
      <c r="B68" s="28" t="s">
        <v>261</v>
      </c>
      <c r="C68" s="28" t="s">
        <v>195</v>
      </c>
      <c r="D68" s="43" t="s">
        <v>668</v>
      </c>
      <c r="E68" s="71" t="s">
        <v>659</v>
      </c>
      <c r="F68" s="31">
        <v>1</v>
      </c>
      <c r="G68" s="32" t="s">
        <v>232</v>
      </c>
      <c r="H68" s="28">
        <v>12</v>
      </c>
      <c r="I68" s="32" t="s">
        <v>239</v>
      </c>
      <c r="J68" s="28">
        <v>60</v>
      </c>
      <c r="K68" s="30" t="s">
        <v>248</v>
      </c>
      <c r="L68" s="7">
        <f t="shared" si="12"/>
        <v>720</v>
      </c>
      <c r="M68" s="34">
        <v>1</v>
      </c>
      <c r="N68" s="7">
        <f t="shared" si="13"/>
        <v>720</v>
      </c>
      <c r="O68" s="33">
        <v>82</v>
      </c>
      <c r="P68" s="7">
        <f t="shared" si="9"/>
        <v>6.833333333333333</v>
      </c>
      <c r="Q68" s="7">
        <f t="shared" si="10"/>
        <v>0.11388888888888889</v>
      </c>
      <c r="R68" s="13">
        <f t="shared" si="11"/>
        <v>0.11388888888888889</v>
      </c>
      <c r="S68" s="64" t="s">
        <v>373</v>
      </c>
      <c r="T68" s="64"/>
      <c r="U68" s="64"/>
      <c r="V68" s="64"/>
      <c r="W68" s="64"/>
      <c r="X68" s="64"/>
      <c r="Y68" s="64"/>
    </row>
    <row r="69" spans="1:25" x14ac:dyDescent="0.25">
      <c r="A69" s="29" t="s">
        <v>255</v>
      </c>
      <c r="B69" s="28" t="s">
        <v>261</v>
      </c>
      <c r="C69" s="28" t="s">
        <v>196</v>
      </c>
      <c r="D69" s="43" t="s">
        <v>668</v>
      </c>
      <c r="E69" s="71" t="s">
        <v>660</v>
      </c>
      <c r="F69" s="31">
        <v>1</v>
      </c>
      <c r="G69" s="32" t="s">
        <v>232</v>
      </c>
      <c r="H69" s="28">
        <v>12</v>
      </c>
      <c r="I69" s="32" t="s">
        <v>239</v>
      </c>
      <c r="J69" s="28">
        <v>60</v>
      </c>
      <c r="K69" s="30" t="s">
        <v>248</v>
      </c>
      <c r="L69" s="7">
        <f t="shared" si="12"/>
        <v>720</v>
      </c>
      <c r="M69" s="34">
        <v>1</v>
      </c>
      <c r="N69" s="7">
        <f t="shared" si="13"/>
        <v>720</v>
      </c>
      <c r="O69" s="33">
        <v>80</v>
      </c>
      <c r="P69" s="7">
        <f t="shared" si="9"/>
        <v>6.666666666666667</v>
      </c>
      <c r="Q69" s="7">
        <f t="shared" si="10"/>
        <v>0.1111111111111111</v>
      </c>
      <c r="R69" s="13">
        <f t="shared" si="11"/>
        <v>0.1111111111111111</v>
      </c>
      <c r="S69" s="64" t="s">
        <v>373</v>
      </c>
      <c r="T69" s="64"/>
      <c r="U69" s="64"/>
      <c r="V69" s="64"/>
      <c r="W69" s="64"/>
      <c r="X69" s="64"/>
      <c r="Y69" s="64"/>
    </row>
    <row r="70" spans="1:25" x14ac:dyDescent="0.25">
      <c r="A70" s="29" t="s">
        <v>255</v>
      </c>
      <c r="B70" s="28" t="s">
        <v>261</v>
      </c>
      <c r="C70" s="28" t="s">
        <v>33</v>
      </c>
      <c r="D70" s="43" t="s">
        <v>668</v>
      </c>
      <c r="E70" s="71" t="s">
        <v>661</v>
      </c>
      <c r="F70" s="31">
        <v>1</v>
      </c>
      <c r="G70" s="32" t="s">
        <v>232</v>
      </c>
      <c r="H70" s="28">
        <v>6</v>
      </c>
      <c r="I70" s="32" t="s">
        <v>239</v>
      </c>
      <c r="J70" s="28">
        <v>4450</v>
      </c>
      <c r="K70" s="30" t="s">
        <v>246</v>
      </c>
      <c r="L70" s="7">
        <f t="shared" si="12"/>
        <v>26700</v>
      </c>
      <c r="M70" s="34">
        <v>1</v>
      </c>
      <c r="N70" s="7">
        <f t="shared" si="13"/>
        <v>26700</v>
      </c>
      <c r="O70" s="33">
        <v>84</v>
      </c>
      <c r="P70" s="7">
        <f t="shared" si="9"/>
        <v>14</v>
      </c>
      <c r="Q70" s="7">
        <f t="shared" si="10"/>
        <v>3.1460674157303371E-3</v>
      </c>
      <c r="R70" s="13">
        <f t="shared" si="11"/>
        <v>3.1460674157303371E-3</v>
      </c>
      <c r="S70" s="64" t="s">
        <v>373</v>
      </c>
      <c r="T70" s="64" t="s">
        <v>364</v>
      </c>
      <c r="U70" s="64" t="s">
        <v>695</v>
      </c>
      <c r="V70" s="64" t="s">
        <v>469</v>
      </c>
      <c r="W70" s="64" t="s">
        <v>478</v>
      </c>
      <c r="X70" s="64" t="s">
        <v>482</v>
      </c>
      <c r="Y70" s="64" t="s">
        <v>344</v>
      </c>
    </row>
    <row r="71" spans="1:25" x14ac:dyDescent="0.25">
      <c r="A71" s="29" t="s">
        <v>255</v>
      </c>
      <c r="B71" s="28" t="s">
        <v>261</v>
      </c>
      <c r="C71" s="28" t="s">
        <v>34</v>
      </c>
      <c r="D71" s="43" t="s">
        <v>668</v>
      </c>
      <c r="E71" s="71" t="s">
        <v>662</v>
      </c>
      <c r="F71" s="31">
        <v>1</v>
      </c>
      <c r="G71" s="32" t="s">
        <v>232</v>
      </c>
      <c r="H71" s="28">
        <v>6</v>
      </c>
      <c r="I71" s="32" t="s">
        <v>239</v>
      </c>
      <c r="J71" s="28">
        <v>2250</v>
      </c>
      <c r="K71" s="30" t="s">
        <v>246</v>
      </c>
      <c r="L71" s="7">
        <f t="shared" si="12"/>
        <v>13500</v>
      </c>
      <c r="M71" s="34">
        <v>1</v>
      </c>
      <c r="N71" s="7">
        <f t="shared" si="13"/>
        <v>13500</v>
      </c>
      <c r="O71" s="33">
        <v>68</v>
      </c>
      <c r="P71" s="7">
        <f t="shared" si="9"/>
        <v>11.333333333333334</v>
      </c>
      <c r="Q71" s="7">
        <f t="shared" si="10"/>
        <v>5.0370370370370369E-3</v>
      </c>
      <c r="R71" s="13">
        <f t="shared" si="11"/>
        <v>5.0370370370370369E-3</v>
      </c>
      <c r="S71" s="64" t="s">
        <v>373</v>
      </c>
      <c r="T71" s="64" t="s">
        <v>364</v>
      </c>
      <c r="U71" s="64" t="s">
        <v>695</v>
      </c>
      <c r="V71" s="64" t="s">
        <v>469</v>
      </c>
      <c r="W71" s="64" t="s">
        <v>478</v>
      </c>
      <c r="X71" s="64" t="s">
        <v>482</v>
      </c>
      <c r="Y71" s="64" t="s">
        <v>344</v>
      </c>
    </row>
    <row r="72" spans="1:25" x14ac:dyDescent="0.25">
      <c r="A72" s="29" t="s">
        <v>255</v>
      </c>
      <c r="B72" s="28" t="s">
        <v>261</v>
      </c>
      <c r="C72" s="28" t="s">
        <v>61</v>
      </c>
      <c r="D72" s="43" t="s">
        <v>668</v>
      </c>
      <c r="E72" s="71" t="s">
        <v>663</v>
      </c>
      <c r="F72" s="31">
        <v>1</v>
      </c>
      <c r="G72" s="32" t="s">
        <v>232</v>
      </c>
      <c r="H72" s="28">
        <v>4</v>
      </c>
      <c r="I72" s="32" t="s">
        <v>235</v>
      </c>
      <c r="J72" s="28">
        <v>3740</v>
      </c>
      <c r="K72" s="30" t="s">
        <v>248</v>
      </c>
      <c r="L72" s="7">
        <f t="shared" si="12"/>
        <v>14960</v>
      </c>
      <c r="M72" s="34">
        <v>1</v>
      </c>
      <c r="N72" s="7">
        <f t="shared" si="13"/>
        <v>14960</v>
      </c>
      <c r="O72" s="33">
        <v>36</v>
      </c>
      <c r="P72" s="7">
        <f t="shared" si="9"/>
        <v>9</v>
      </c>
      <c r="Q72" s="7">
        <f t="shared" si="10"/>
        <v>2.4064171122994654E-3</v>
      </c>
      <c r="R72" s="13">
        <f t="shared" si="11"/>
        <v>2.4064171122994654E-3</v>
      </c>
      <c r="S72" s="64" t="s">
        <v>373</v>
      </c>
      <c r="T72" s="64" t="s">
        <v>364</v>
      </c>
      <c r="U72" s="64" t="s">
        <v>695</v>
      </c>
      <c r="V72" s="64" t="s">
        <v>344</v>
      </c>
      <c r="W72" s="64"/>
      <c r="X72" s="64"/>
      <c r="Y72" s="64"/>
    </row>
    <row r="73" spans="1:25" x14ac:dyDescent="0.25">
      <c r="A73" s="29" t="s">
        <v>255</v>
      </c>
      <c r="B73" s="28" t="s">
        <v>261</v>
      </c>
      <c r="C73" s="28" t="s">
        <v>165</v>
      </c>
      <c r="D73" s="43" t="s">
        <v>668</v>
      </c>
      <c r="E73" s="71" t="s">
        <v>664</v>
      </c>
      <c r="F73" s="31">
        <v>1</v>
      </c>
      <c r="G73" s="32" t="s">
        <v>232</v>
      </c>
      <c r="H73" s="28">
        <v>24</v>
      </c>
      <c r="I73" s="32" t="s">
        <v>239</v>
      </c>
      <c r="J73" s="28">
        <v>473</v>
      </c>
      <c r="K73" s="30" t="s">
        <v>248</v>
      </c>
      <c r="L73" s="7">
        <f t="shared" si="12"/>
        <v>11352</v>
      </c>
      <c r="M73" s="34">
        <v>1</v>
      </c>
      <c r="N73" s="7">
        <f t="shared" si="13"/>
        <v>11352</v>
      </c>
      <c r="O73" s="33">
        <v>66</v>
      </c>
      <c r="P73" s="7">
        <f t="shared" si="9"/>
        <v>2.75</v>
      </c>
      <c r="Q73" s="7">
        <f t="shared" si="10"/>
        <v>5.8139534883720929E-3</v>
      </c>
      <c r="R73" s="13">
        <f t="shared" si="11"/>
        <v>5.8139534883720929E-3</v>
      </c>
      <c r="S73" s="64" t="s">
        <v>373</v>
      </c>
      <c r="T73" s="64" t="s">
        <v>355</v>
      </c>
      <c r="U73" s="64"/>
      <c r="V73" s="64"/>
      <c r="W73" s="64"/>
      <c r="X73" s="64"/>
      <c r="Y73" s="64"/>
    </row>
    <row r="74" spans="1:25" x14ac:dyDescent="0.25">
      <c r="A74" s="29" t="s">
        <v>255</v>
      </c>
      <c r="B74" s="28" t="s">
        <v>261</v>
      </c>
      <c r="C74" s="28" t="s">
        <v>64</v>
      </c>
      <c r="D74" s="43" t="s">
        <v>668</v>
      </c>
      <c r="E74" s="71" t="s">
        <v>665</v>
      </c>
      <c r="F74" s="31">
        <v>1</v>
      </c>
      <c r="G74" s="32" t="s">
        <v>232</v>
      </c>
      <c r="H74" s="28">
        <v>12</v>
      </c>
      <c r="I74" s="32" t="s">
        <v>239</v>
      </c>
      <c r="J74" s="28">
        <v>500</v>
      </c>
      <c r="K74" s="30" t="s">
        <v>248</v>
      </c>
      <c r="L74" s="7">
        <f t="shared" si="12"/>
        <v>6000</v>
      </c>
      <c r="M74" s="34">
        <v>1</v>
      </c>
      <c r="N74" s="7">
        <f t="shared" si="13"/>
        <v>6000</v>
      </c>
      <c r="O74" s="33">
        <v>228</v>
      </c>
      <c r="P74" s="7">
        <f t="shared" si="9"/>
        <v>19</v>
      </c>
      <c r="Q74" s="7">
        <f t="shared" si="10"/>
        <v>3.7999999999999999E-2</v>
      </c>
      <c r="R74" s="13">
        <f t="shared" si="11"/>
        <v>3.7999999999999999E-2</v>
      </c>
      <c r="S74" s="64" t="s">
        <v>364</v>
      </c>
      <c r="T74" s="64" t="s">
        <v>695</v>
      </c>
      <c r="U74" s="64"/>
      <c r="V74" s="64"/>
      <c r="W74" s="64"/>
      <c r="X74" s="64"/>
      <c r="Y74" s="64"/>
    </row>
    <row r="75" spans="1:25" x14ac:dyDescent="0.25">
      <c r="A75" s="29" t="s">
        <v>255</v>
      </c>
      <c r="B75" s="28" t="s">
        <v>261</v>
      </c>
      <c r="C75" s="28" t="s">
        <v>164</v>
      </c>
      <c r="D75" s="43" t="s">
        <v>668</v>
      </c>
      <c r="E75" s="71" t="s">
        <v>666</v>
      </c>
      <c r="F75" s="31">
        <v>1</v>
      </c>
      <c r="G75" s="32" t="s">
        <v>232</v>
      </c>
      <c r="H75" s="28">
        <v>24</v>
      </c>
      <c r="I75" s="32" t="s">
        <v>239</v>
      </c>
      <c r="J75" s="28">
        <v>473</v>
      </c>
      <c r="K75" s="30" t="s">
        <v>248</v>
      </c>
      <c r="L75" s="7">
        <f t="shared" si="12"/>
        <v>11352</v>
      </c>
      <c r="M75" s="34">
        <v>1</v>
      </c>
      <c r="N75" s="7">
        <f t="shared" si="13"/>
        <v>11352</v>
      </c>
      <c r="O75" s="33">
        <v>66</v>
      </c>
      <c r="P75" s="7">
        <f t="shared" si="9"/>
        <v>2.75</v>
      </c>
      <c r="Q75" s="7">
        <f t="shared" si="10"/>
        <v>5.8139534883720929E-3</v>
      </c>
      <c r="R75" s="13">
        <f t="shared" si="11"/>
        <v>5.8139534883720929E-3</v>
      </c>
      <c r="S75" s="64" t="s">
        <v>373</v>
      </c>
      <c r="T75" s="64" t="s">
        <v>355</v>
      </c>
      <c r="U75" s="64"/>
      <c r="V75" s="64"/>
      <c r="W75" s="64"/>
      <c r="X75" s="64"/>
      <c r="Y75" s="64"/>
    </row>
    <row r="76" spans="1:25" x14ac:dyDescent="0.25">
      <c r="A76" s="29" t="s">
        <v>255</v>
      </c>
      <c r="B76" s="28" t="s">
        <v>261</v>
      </c>
      <c r="C76" s="28" t="s">
        <v>163</v>
      </c>
      <c r="D76" s="43" t="s">
        <v>668</v>
      </c>
      <c r="E76" s="71" t="s">
        <v>667</v>
      </c>
      <c r="F76" s="31">
        <v>1</v>
      </c>
      <c r="G76" s="32" t="s">
        <v>232</v>
      </c>
      <c r="H76" s="28">
        <v>12</v>
      </c>
      <c r="I76" s="32" t="s">
        <v>239</v>
      </c>
      <c r="J76" s="28">
        <v>295</v>
      </c>
      <c r="K76" s="30" t="s">
        <v>248</v>
      </c>
      <c r="L76" s="7">
        <f t="shared" si="12"/>
        <v>3540</v>
      </c>
      <c r="M76" s="34">
        <v>1</v>
      </c>
      <c r="N76" s="7">
        <f t="shared" si="13"/>
        <v>3540</v>
      </c>
      <c r="O76" s="33">
        <v>70</v>
      </c>
      <c r="P76" s="7">
        <f t="shared" si="9"/>
        <v>5.833333333333333</v>
      </c>
      <c r="Q76" s="7">
        <f t="shared" si="10"/>
        <v>1.977401129943503E-2</v>
      </c>
      <c r="R76" s="13">
        <f t="shared" si="11"/>
        <v>1.977401129943503E-2</v>
      </c>
      <c r="S76" s="64"/>
      <c r="T76" s="64"/>
      <c r="U76" s="64"/>
      <c r="V76" s="64"/>
      <c r="W76" s="64"/>
      <c r="X76" s="64"/>
      <c r="Y76" s="64"/>
    </row>
    <row r="77" spans="1:25" x14ac:dyDescent="0.25">
      <c r="A77" s="29" t="s">
        <v>255</v>
      </c>
      <c r="B77" s="28" t="s">
        <v>262</v>
      </c>
      <c r="C77" s="28" t="s">
        <v>167</v>
      </c>
      <c r="D77" s="43" t="s">
        <v>647</v>
      </c>
      <c r="E77" s="71" t="s">
        <v>633</v>
      </c>
      <c r="F77" s="31">
        <v>1</v>
      </c>
      <c r="G77" s="32" t="s">
        <v>232</v>
      </c>
      <c r="H77" s="28">
        <v>10</v>
      </c>
      <c r="I77" s="32" t="s">
        <v>234</v>
      </c>
      <c r="J77" s="28">
        <v>100</v>
      </c>
      <c r="K77" s="30" t="s">
        <v>239</v>
      </c>
      <c r="L77" s="7">
        <f t="shared" si="12"/>
        <v>1000</v>
      </c>
      <c r="M77" s="34">
        <v>1</v>
      </c>
      <c r="N77" s="7">
        <f t="shared" si="13"/>
        <v>1000</v>
      </c>
      <c r="O77" s="33">
        <v>205</v>
      </c>
      <c r="P77" s="7">
        <f t="shared" si="9"/>
        <v>20.5</v>
      </c>
      <c r="Q77" s="7">
        <f t="shared" si="10"/>
        <v>0.20499999999999999</v>
      </c>
      <c r="R77" s="13">
        <f t="shared" si="11"/>
        <v>0.20499999999999999</v>
      </c>
      <c r="S77" s="64"/>
      <c r="T77" s="64"/>
      <c r="U77" s="64"/>
      <c r="V77" s="64"/>
      <c r="W77" s="64"/>
      <c r="X77" s="64"/>
      <c r="Y77" s="64"/>
    </row>
    <row r="78" spans="1:25" x14ac:dyDescent="0.25">
      <c r="A78" s="29" t="s">
        <v>255</v>
      </c>
      <c r="B78" s="28" t="s">
        <v>262</v>
      </c>
      <c r="C78" s="28" t="s">
        <v>80</v>
      </c>
      <c r="D78" s="43" t="s">
        <v>647</v>
      </c>
      <c r="E78" s="71" t="s">
        <v>634</v>
      </c>
      <c r="F78" s="31">
        <v>1</v>
      </c>
      <c r="G78" s="32" t="s">
        <v>234</v>
      </c>
      <c r="H78" s="28">
        <v>10</v>
      </c>
      <c r="I78" s="32" t="s">
        <v>245</v>
      </c>
      <c r="J78" s="28">
        <v>24</v>
      </c>
      <c r="K78" s="30" t="s">
        <v>239</v>
      </c>
      <c r="L78" s="7">
        <f t="shared" si="12"/>
        <v>240</v>
      </c>
      <c r="M78" s="34">
        <v>1</v>
      </c>
      <c r="N78" s="7">
        <f t="shared" si="13"/>
        <v>240</v>
      </c>
      <c r="O78" s="33">
        <v>238</v>
      </c>
      <c r="P78" s="7">
        <f t="shared" si="9"/>
        <v>23.8</v>
      </c>
      <c r="Q78" s="7">
        <f t="shared" si="10"/>
        <v>0.9916666666666667</v>
      </c>
      <c r="R78" s="13">
        <f t="shared" si="11"/>
        <v>0.9916666666666667</v>
      </c>
      <c r="S78" s="64"/>
      <c r="T78" s="64"/>
      <c r="U78" s="64"/>
      <c r="V78" s="64"/>
      <c r="W78" s="64"/>
      <c r="X78" s="64"/>
      <c r="Y78" s="64"/>
    </row>
    <row r="79" spans="1:25" x14ac:dyDescent="0.25">
      <c r="A79" s="29" t="s">
        <v>255</v>
      </c>
      <c r="B79" s="28" t="s">
        <v>262</v>
      </c>
      <c r="C79" s="28" t="s">
        <v>81</v>
      </c>
      <c r="D79" s="43" t="s">
        <v>647</v>
      </c>
      <c r="E79" s="71" t="s">
        <v>635</v>
      </c>
      <c r="F79" s="31">
        <v>1</v>
      </c>
      <c r="G79" s="32" t="s">
        <v>234</v>
      </c>
      <c r="H79" s="28">
        <v>10</v>
      </c>
      <c r="I79" s="32" t="s">
        <v>245</v>
      </c>
      <c r="J79" s="28">
        <v>72</v>
      </c>
      <c r="K79" s="30" t="s">
        <v>239</v>
      </c>
      <c r="L79" s="7">
        <f t="shared" si="12"/>
        <v>720</v>
      </c>
      <c r="M79" s="34">
        <v>1</v>
      </c>
      <c r="N79" s="7">
        <f t="shared" si="13"/>
        <v>720</v>
      </c>
      <c r="O79" s="33">
        <v>210</v>
      </c>
      <c r="P79" s="7">
        <f t="shared" si="9"/>
        <v>21</v>
      </c>
      <c r="Q79" s="7">
        <f t="shared" si="10"/>
        <v>0.29166666666666669</v>
      </c>
      <c r="R79" s="13">
        <f t="shared" si="11"/>
        <v>0.29166666666666669</v>
      </c>
      <c r="S79" s="64"/>
      <c r="T79" s="64"/>
      <c r="U79" s="64"/>
      <c r="V79" s="64"/>
      <c r="W79" s="64"/>
      <c r="X79" s="64"/>
      <c r="Y79" s="64"/>
    </row>
    <row r="80" spans="1:25" x14ac:dyDescent="0.25">
      <c r="A80" s="29" t="s">
        <v>255</v>
      </c>
      <c r="B80" s="28" t="s">
        <v>262</v>
      </c>
      <c r="C80" s="28" t="s">
        <v>79</v>
      </c>
      <c r="D80" s="43" t="s">
        <v>647</v>
      </c>
      <c r="E80" s="71" t="s">
        <v>636</v>
      </c>
      <c r="F80" s="31">
        <v>1</v>
      </c>
      <c r="G80" s="32" t="s">
        <v>232</v>
      </c>
      <c r="H80" s="28">
        <v>12</v>
      </c>
      <c r="I80" s="32" t="s">
        <v>234</v>
      </c>
      <c r="J80" s="28">
        <v>50</v>
      </c>
      <c r="K80" s="30" t="s">
        <v>239</v>
      </c>
      <c r="L80" s="7">
        <f t="shared" si="12"/>
        <v>600</v>
      </c>
      <c r="M80" s="34">
        <v>1</v>
      </c>
      <c r="N80" s="7">
        <f t="shared" si="13"/>
        <v>600</v>
      </c>
      <c r="O80" s="33">
        <v>271</v>
      </c>
      <c r="P80" s="7">
        <f t="shared" si="9"/>
        <v>22.583333333333332</v>
      </c>
      <c r="Q80" s="7">
        <f t="shared" si="10"/>
        <v>0.45166666666666666</v>
      </c>
      <c r="R80" s="13">
        <f t="shared" si="11"/>
        <v>0.45166666666666666</v>
      </c>
      <c r="S80" s="64"/>
      <c r="T80" s="64"/>
      <c r="U80" s="64"/>
      <c r="V80" s="64"/>
      <c r="W80" s="64"/>
      <c r="X80" s="64"/>
      <c r="Y80" s="64"/>
    </row>
    <row r="81" spans="1:25" x14ac:dyDescent="0.25">
      <c r="A81" s="29" t="s">
        <v>255</v>
      </c>
      <c r="B81" s="28" t="s">
        <v>262</v>
      </c>
      <c r="C81" s="28" t="s">
        <v>86</v>
      </c>
      <c r="D81" s="43" t="s">
        <v>647</v>
      </c>
      <c r="E81" s="71" t="s">
        <v>637</v>
      </c>
      <c r="F81" s="31">
        <v>1</v>
      </c>
      <c r="G81" s="32" t="s">
        <v>234</v>
      </c>
      <c r="H81" s="28">
        <v>1</v>
      </c>
      <c r="I81" s="32" t="s">
        <v>234</v>
      </c>
      <c r="J81" s="28">
        <v>50</v>
      </c>
      <c r="K81" s="30" t="s">
        <v>239</v>
      </c>
      <c r="L81" s="7">
        <f t="shared" si="12"/>
        <v>50</v>
      </c>
      <c r="M81" s="34">
        <v>1</v>
      </c>
      <c r="N81" s="7">
        <f t="shared" si="13"/>
        <v>50</v>
      </c>
      <c r="O81" s="33">
        <v>37</v>
      </c>
      <c r="P81" s="7">
        <f t="shared" si="9"/>
        <v>37</v>
      </c>
      <c r="Q81" s="7">
        <f t="shared" si="10"/>
        <v>0.74</v>
      </c>
      <c r="R81" s="13">
        <f t="shared" si="11"/>
        <v>0.74</v>
      </c>
      <c r="S81" s="64"/>
      <c r="T81" s="64"/>
      <c r="U81" s="64"/>
      <c r="V81" s="64"/>
      <c r="W81" s="64"/>
      <c r="X81" s="64"/>
      <c r="Y81" s="64"/>
    </row>
    <row r="82" spans="1:25" x14ac:dyDescent="0.25">
      <c r="A82" s="29" t="s">
        <v>255</v>
      </c>
      <c r="B82" s="28" t="s">
        <v>262</v>
      </c>
      <c r="C82" s="28" t="s">
        <v>87</v>
      </c>
      <c r="D82" s="43" t="s">
        <v>647</v>
      </c>
      <c r="E82" s="71" t="s">
        <v>638</v>
      </c>
      <c r="F82" s="31">
        <v>1</v>
      </c>
      <c r="G82" s="32" t="s">
        <v>234</v>
      </c>
      <c r="H82" s="28">
        <v>1</v>
      </c>
      <c r="I82" s="32" t="s">
        <v>234</v>
      </c>
      <c r="J82" s="28">
        <v>50</v>
      </c>
      <c r="K82" s="30" t="s">
        <v>239</v>
      </c>
      <c r="L82" s="7">
        <f t="shared" si="12"/>
        <v>50</v>
      </c>
      <c r="M82" s="34">
        <v>1</v>
      </c>
      <c r="N82" s="7">
        <f t="shared" si="13"/>
        <v>50</v>
      </c>
      <c r="O82" s="33">
        <v>27</v>
      </c>
      <c r="P82" s="7">
        <f t="shared" si="9"/>
        <v>27</v>
      </c>
      <c r="Q82" s="7">
        <f t="shared" si="10"/>
        <v>0.54</v>
      </c>
      <c r="R82" s="13">
        <f t="shared" si="11"/>
        <v>0.54</v>
      </c>
      <c r="S82" s="64"/>
      <c r="T82" s="64"/>
      <c r="U82" s="64"/>
      <c r="V82" s="64"/>
      <c r="W82" s="64"/>
      <c r="X82" s="64"/>
      <c r="Y82" s="64"/>
    </row>
    <row r="83" spans="1:25" x14ac:dyDescent="0.25">
      <c r="A83" s="29" t="s">
        <v>255</v>
      </c>
      <c r="B83" s="28" t="s">
        <v>262</v>
      </c>
      <c r="C83" s="28" t="s">
        <v>82</v>
      </c>
      <c r="D83" s="43" t="s">
        <v>647</v>
      </c>
      <c r="E83" s="71" t="s">
        <v>639</v>
      </c>
      <c r="F83" s="31">
        <v>1</v>
      </c>
      <c r="G83" s="32" t="s">
        <v>232</v>
      </c>
      <c r="H83" s="28">
        <v>1</v>
      </c>
      <c r="I83" s="32" t="s">
        <v>232</v>
      </c>
      <c r="J83" s="28">
        <v>1000</v>
      </c>
      <c r="K83" s="30" t="s">
        <v>239</v>
      </c>
      <c r="L83" s="7">
        <f t="shared" si="12"/>
        <v>1000</v>
      </c>
      <c r="M83" s="34">
        <v>1</v>
      </c>
      <c r="N83" s="7">
        <f t="shared" si="13"/>
        <v>1000</v>
      </c>
      <c r="O83" s="33">
        <v>58</v>
      </c>
      <c r="P83" s="7">
        <f t="shared" si="9"/>
        <v>58</v>
      </c>
      <c r="Q83" s="7">
        <f t="shared" si="10"/>
        <v>5.8000000000000003E-2</v>
      </c>
      <c r="R83" s="13">
        <f t="shared" si="11"/>
        <v>5.8000000000000003E-2</v>
      </c>
      <c r="S83" s="64"/>
      <c r="T83" s="64"/>
      <c r="U83" s="64"/>
      <c r="V83" s="64"/>
      <c r="W83" s="64"/>
      <c r="X83" s="64"/>
      <c r="Y83" s="64"/>
    </row>
    <row r="84" spans="1:25" x14ac:dyDescent="0.25">
      <c r="A84" s="29" t="s">
        <v>255</v>
      </c>
      <c r="B84" s="28" t="s">
        <v>262</v>
      </c>
      <c r="C84" s="28" t="s">
        <v>17</v>
      </c>
      <c r="D84" s="43" t="s">
        <v>647</v>
      </c>
      <c r="E84" s="71" t="s">
        <v>640</v>
      </c>
      <c r="F84" s="31">
        <v>1</v>
      </c>
      <c r="G84" s="32" t="s">
        <v>232</v>
      </c>
      <c r="H84" s="28">
        <v>1</v>
      </c>
      <c r="I84" s="32" t="s">
        <v>232</v>
      </c>
      <c r="J84" s="28">
        <v>1000</v>
      </c>
      <c r="K84" s="30" t="s">
        <v>239</v>
      </c>
      <c r="L84" s="7">
        <f t="shared" si="12"/>
        <v>1000</v>
      </c>
      <c r="M84" s="34">
        <v>1</v>
      </c>
      <c r="N84" s="7">
        <f t="shared" si="13"/>
        <v>1000</v>
      </c>
      <c r="O84" s="33">
        <v>58</v>
      </c>
      <c r="P84" s="7">
        <f t="shared" si="9"/>
        <v>58</v>
      </c>
      <c r="Q84" s="7">
        <f t="shared" si="10"/>
        <v>5.8000000000000003E-2</v>
      </c>
      <c r="R84" s="13">
        <f t="shared" si="11"/>
        <v>5.8000000000000003E-2</v>
      </c>
      <c r="S84" s="64"/>
      <c r="T84" s="64"/>
      <c r="U84" s="64"/>
      <c r="V84" s="64"/>
      <c r="W84" s="64"/>
      <c r="X84" s="64"/>
      <c r="Y84" s="64"/>
    </row>
    <row r="85" spans="1:25" x14ac:dyDescent="0.25">
      <c r="A85" s="29" t="s">
        <v>255</v>
      </c>
      <c r="B85" s="28" t="s">
        <v>262</v>
      </c>
      <c r="C85" s="28" t="s">
        <v>83</v>
      </c>
      <c r="D85" s="43" t="s">
        <v>647</v>
      </c>
      <c r="E85" s="71" t="s">
        <v>641</v>
      </c>
      <c r="F85" s="31">
        <v>1</v>
      </c>
      <c r="G85" s="32" t="s">
        <v>232</v>
      </c>
      <c r="H85" s="28">
        <v>1</v>
      </c>
      <c r="I85" s="32" t="s">
        <v>232</v>
      </c>
      <c r="J85" s="28">
        <v>300</v>
      </c>
      <c r="K85" s="30" t="s">
        <v>239</v>
      </c>
      <c r="L85" s="7">
        <f t="shared" si="12"/>
        <v>300</v>
      </c>
      <c r="M85" s="34">
        <v>1</v>
      </c>
      <c r="N85" s="7">
        <f t="shared" si="13"/>
        <v>300</v>
      </c>
      <c r="O85" s="33">
        <v>219</v>
      </c>
      <c r="P85" s="7">
        <f t="shared" si="9"/>
        <v>219</v>
      </c>
      <c r="Q85" s="7">
        <f t="shared" si="10"/>
        <v>0.73</v>
      </c>
      <c r="R85" s="13">
        <f t="shared" si="11"/>
        <v>0.73</v>
      </c>
      <c r="S85" s="64"/>
      <c r="T85" s="64"/>
      <c r="U85" s="64"/>
      <c r="V85" s="64"/>
      <c r="W85" s="64"/>
      <c r="X85" s="64"/>
      <c r="Y85" s="64"/>
    </row>
    <row r="86" spans="1:25" x14ac:dyDescent="0.25">
      <c r="A86" s="29" t="s">
        <v>255</v>
      </c>
      <c r="B86" s="28" t="s">
        <v>262</v>
      </c>
      <c r="C86" s="28" t="s">
        <v>84</v>
      </c>
      <c r="D86" s="43" t="s">
        <v>647</v>
      </c>
      <c r="E86" s="71" t="s">
        <v>642</v>
      </c>
      <c r="F86" s="31">
        <v>1</v>
      </c>
      <c r="G86" s="32" t="s">
        <v>232</v>
      </c>
      <c r="H86" s="28">
        <v>40</v>
      </c>
      <c r="I86" s="32" t="s">
        <v>237</v>
      </c>
      <c r="J86" s="28">
        <v>50</v>
      </c>
      <c r="K86" s="30" t="s">
        <v>239</v>
      </c>
      <c r="L86" s="7">
        <f t="shared" si="12"/>
        <v>2000</v>
      </c>
      <c r="M86" s="34">
        <v>1</v>
      </c>
      <c r="N86" s="7">
        <f t="shared" si="13"/>
        <v>2000</v>
      </c>
      <c r="O86" s="33">
        <v>95</v>
      </c>
      <c r="P86" s="7">
        <f t="shared" si="9"/>
        <v>2.375</v>
      </c>
      <c r="Q86" s="7">
        <f t="shared" si="10"/>
        <v>4.7500000000000001E-2</v>
      </c>
      <c r="R86" s="13">
        <f t="shared" si="11"/>
        <v>4.7500000000000001E-2</v>
      </c>
      <c r="S86" s="64"/>
      <c r="T86" s="64"/>
      <c r="U86" s="64"/>
      <c r="V86" s="64"/>
      <c r="W86" s="64"/>
      <c r="X86" s="64"/>
      <c r="Y86" s="64"/>
    </row>
    <row r="87" spans="1:25" x14ac:dyDescent="0.25">
      <c r="A87" s="29" t="s">
        <v>255</v>
      </c>
      <c r="B87" s="28" t="s">
        <v>262</v>
      </c>
      <c r="C87" s="28" t="s">
        <v>85</v>
      </c>
      <c r="D87" s="43" t="s">
        <v>647</v>
      </c>
      <c r="E87" s="71" t="s">
        <v>643</v>
      </c>
      <c r="F87" s="31">
        <v>1</v>
      </c>
      <c r="G87" s="32" t="s">
        <v>232</v>
      </c>
      <c r="H87" s="28">
        <v>10</v>
      </c>
      <c r="I87" s="32" t="s">
        <v>234</v>
      </c>
      <c r="J87" s="28">
        <v>25</v>
      </c>
      <c r="K87" s="30" t="s">
        <v>239</v>
      </c>
      <c r="L87" s="7">
        <f t="shared" si="12"/>
        <v>250</v>
      </c>
      <c r="M87" s="34">
        <v>1</v>
      </c>
      <c r="N87" s="7">
        <f t="shared" si="13"/>
        <v>250</v>
      </c>
      <c r="O87" s="33">
        <v>199</v>
      </c>
      <c r="P87" s="7">
        <f t="shared" si="9"/>
        <v>19.899999999999999</v>
      </c>
      <c r="Q87" s="7">
        <f t="shared" si="10"/>
        <v>0.79600000000000004</v>
      </c>
      <c r="R87" s="13">
        <f t="shared" si="11"/>
        <v>0.79600000000000004</v>
      </c>
      <c r="S87" s="64"/>
      <c r="T87" s="64"/>
      <c r="U87" s="64"/>
      <c r="V87" s="64"/>
      <c r="W87" s="64"/>
      <c r="X87" s="64"/>
      <c r="Y87" s="64"/>
    </row>
    <row r="88" spans="1:25" x14ac:dyDescent="0.25">
      <c r="A88" s="29" t="s">
        <v>255</v>
      </c>
      <c r="B88" s="28" t="s">
        <v>262</v>
      </c>
      <c r="C88" s="28" t="s">
        <v>192</v>
      </c>
      <c r="D88" s="43" t="s">
        <v>647</v>
      </c>
      <c r="E88" s="71" t="s">
        <v>644</v>
      </c>
      <c r="F88" s="31">
        <v>1</v>
      </c>
      <c r="G88" s="32" t="s">
        <v>232</v>
      </c>
      <c r="H88" s="28">
        <v>15</v>
      </c>
      <c r="I88" s="32" t="s">
        <v>234</v>
      </c>
      <c r="J88" s="28">
        <v>400</v>
      </c>
      <c r="K88" s="30" t="s">
        <v>239</v>
      </c>
      <c r="L88" s="7">
        <f t="shared" si="12"/>
        <v>6000</v>
      </c>
      <c r="M88" s="34">
        <v>1</v>
      </c>
      <c r="N88" s="7">
        <f t="shared" si="13"/>
        <v>6000</v>
      </c>
      <c r="O88" s="33">
        <v>110</v>
      </c>
      <c r="P88" s="7">
        <f t="shared" si="9"/>
        <v>7.333333333333333</v>
      </c>
      <c r="Q88" s="7">
        <f t="shared" si="10"/>
        <v>1.8333333333333333E-2</v>
      </c>
      <c r="R88" s="13">
        <f t="shared" si="11"/>
        <v>1.8333333333333333E-2</v>
      </c>
      <c r="S88" s="64"/>
      <c r="T88" s="64"/>
      <c r="U88" s="64"/>
      <c r="V88" s="64"/>
      <c r="W88" s="64"/>
      <c r="X88" s="64"/>
      <c r="Y88" s="64"/>
    </row>
    <row r="89" spans="1:25" x14ac:dyDescent="0.25">
      <c r="A89" s="29" t="s">
        <v>255</v>
      </c>
      <c r="B89" s="28" t="s">
        <v>262</v>
      </c>
      <c r="C89" s="28" t="s">
        <v>178</v>
      </c>
      <c r="D89" s="43" t="s">
        <v>647</v>
      </c>
      <c r="E89" s="71" t="s">
        <v>645</v>
      </c>
      <c r="F89" s="31">
        <v>1</v>
      </c>
      <c r="G89" s="32" t="s">
        <v>239</v>
      </c>
      <c r="H89" s="28">
        <v>1</v>
      </c>
      <c r="I89" s="32" t="s">
        <v>239</v>
      </c>
      <c r="J89" s="28">
        <v>1</v>
      </c>
      <c r="K89" s="30" t="s">
        <v>239</v>
      </c>
      <c r="L89" s="7">
        <f t="shared" si="12"/>
        <v>1</v>
      </c>
      <c r="M89" s="34">
        <v>1</v>
      </c>
      <c r="N89" s="7">
        <f t="shared" si="13"/>
        <v>1</v>
      </c>
      <c r="O89" s="33">
        <v>0</v>
      </c>
      <c r="P89" s="7">
        <f t="shared" si="9"/>
        <v>0</v>
      </c>
      <c r="Q89" s="7">
        <f t="shared" si="10"/>
        <v>0</v>
      </c>
      <c r="R89" s="13">
        <f t="shared" si="11"/>
        <v>0</v>
      </c>
      <c r="S89" s="64"/>
      <c r="T89" s="64"/>
      <c r="U89" s="64"/>
      <c r="V89" s="64"/>
      <c r="W89" s="64"/>
      <c r="X89" s="64"/>
      <c r="Y89" s="64"/>
    </row>
    <row r="90" spans="1:25" x14ac:dyDescent="0.25">
      <c r="A90" s="29" t="s">
        <v>255</v>
      </c>
      <c r="B90" s="28" t="s">
        <v>262</v>
      </c>
      <c r="C90" s="28" t="s">
        <v>19</v>
      </c>
      <c r="D90" s="43" t="s">
        <v>647</v>
      </c>
      <c r="E90" s="71" t="s">
        <v>646</v>
      </c>
      <c r="F90" s="31">
        <v>1</v>
      </c>
      <c r="G90" s="32" t="s">
        <v>239</v>
      </c>
      <c r="H90" s="28">
        <v>1</v>
      </c>
      <c r="I90" s="32" t="s">
        <v>239</v>
      </c>
      <c r="J90" s="28">
        <v>1</v>
      </c>
      <c r="K90" s="30" t="s">
        <v>239</v>
      </c>
      <c r="L90" s="7">
        <f t="shared" si="12"/>
        <v>1</v>
      </c>
      <c r="M90" s="34">
        <v>1</v>
      </c>
      <c r="N90" s="7">
        <f t="shared" si="13"/>
        <v>1</v>
      </c>
      <c r="O90" s="33">
        <v>0</v>
      </c>
      <c r="P90" s="7">
        <f t="shared" si="9"/>
        <v>0</v>
      </c>
      <c r="Q90" s="7">
        <f t="shared" si="10"/>
        <v>0</v>
      </c>
      <c r="R90" s="13">
        <f t="shared" si="11"/>
        <v>0</v>
      </c>
      <c r="S90" s="64"/>
      <c r="T90" s="64"/>
      <c r="U90" s="64"/>
      <c r="V90" s="64"/>
      <c r="W90" s="64"/>
      <c r="X90" s="64"/>
      <c r="Y90" s="64"/>
    </row>
    <row r="91" spans="1:25" x14ac:dyDescent="0.25">
      <c r="A91" s="29" t="s">
        <v>255</v>
      </c>
      <c r="B91" s="28" t="s">
        <v>263</v>
      </c>
      <c r="C91" s="28" t="s">
        <v>67</v>
      </c>
      <c r="D91" s="43" t="s">
        <v>547</v>
      </c>
      <c r="E91" s="71" t="s">
        <v>544</v>
      </c>
      <c r="F91" s="31">
        <v>1</v>
      </c>
      <c r="G91" s="32" t="s">
        <v>232</v>
      </c>
      <c r="H91" s="28">
        <v>24</v>
      </c>
      <c r="I91" s="32" t="s">
        <v>239</v>
      </c>
      <c r="J91" s="28">
        <v>500</v>
      </c>
      <c r="K91" s="30" t="s">
        <v>246</v>
      </c>
      <c r="L91" s="7">
        <f t="shared" si="12"/>
        <v>12000</v>
      </c>
      <c r="M91" s="34">
        <v>1</v>
      </c>
      <c r="N91" s="7">
        <f t="shared" si="13"/>
        <v>12000</v>
      </c>
      <c r="O91" s="33">
        <v>131</v>
      </c>
      <c r="P91" s="7">
        <f t="shared" si="9"/>
        <v>5.458333333333333</v>
      </c>
      <c r="Q91" s="7">
        <f t="shared" si="10"/>
        <v>1.0916666666666667E-2</v>
      </c>
      <c r="R91" s="13">
        <f t="shared" si="11"/>
        <v>1.0916666666666667E-2</v>
      </c>
      <c r="S91" s="64"/>
      <c r="T91" s="64"/>
      <c r="U91" s="64"/>
      <c r="V91" s="64"/>
      <c r="W91" s="64"/>
      <c r="X91" s="64"/>
      <c r="Y91" s="64"/>
    </row>
    <row r="92" spans="1:25" x14ac:dyDescent="0.25">
      <c r="A92" s="29" t="s">
        <v>255</v>
      </c>
      <c r="B92" s="28" t="s">
        <v>263</v>
      </c>
      <c r="C92" s="28" t="s">
        <v>51</v>
      </c>
      <c r="D92" s="43" t="s">
        <v>547</v>
      </c>
      <c r="E92" s="71" t="s">
        <v>542</v>
      </c>
      <c r="F92" s="31">
        <v>1</v>
      </c>
      <c r="G92" s="32" t="s">
        <v>232</v>
      </c>
      <c r="H92" s="28">
        <v>20</v>
      </c>
      <c r="I92" s="32" t="s">
        <v>239</v>
      </c>
      <c r="J92" s="28">
        <v>500</v>
      </c>
      <c r="K92" s="30" t="s">
        <v>246</v>
      </c>
      <c r="L92" s="7">
        <f t="shared" si="12"/>
        <v>10000</v>
      </c>
      <c r="M92" s="34">
        <v>1</v>
      </c>
      <c r="N92" s="7">
        <f t="shared" si="13"/>
        <v>10000</v>
      </c>
      <c r="O92" s="33">
        <v>147</v>
      </c>
      <c r="P92" s="7">
        <f t="shared" si="9"/>
        <v>7.35</v>
      </c>
      <c r="Q92" s="7">
        <f t="shared" si="10"/>
        <v>1.47E-2</v>
      </c>
      <c r="R92" s="13">
        <f t="shared" si="11"/>
        <v>1.47E-2</v>
      </c>
      <c r="S92" s="64"/>
      <c r="T92" s="64"/>
      <c r="U92" s="64"/>
      <c r="V92" s="64"/>
      <c r="W92" s="64"/>
      <c r="X92" s="64"/>
      <c r="Y92" s="64"/>
    </row>
    <row r="93" spans="1:25" x14ac:dyDescent="0.25">
      <c r="A93" s="29" t="s">
        <v>255</v>
      </c>
      <c r="B93" s="28" t="s">
        <v>263</v>
      </c>
      <c r="C93" s="28" t="s">
        <v>50</v>
      </c>
      <c r="D93" s="43" t="s">
        <v>547</v>
      </c>
      <c r="E93" s="71" t="s">
        <v>545</v>
      </c>
      <c r="F93" s="31">
        <v>1</v>
      </c>
      <c r="G93" s="32" t="s">
        <v>232</v>
      </c>
      <c r="H93" s="28">
        <v>20</v>
      </c>
      <c r="I93" s="32" t="s">
        <v>239</v>
      </c>
      <c r="J93" s="28">
        <v>500</v>
      </c>
      <c r="K93" s="30" t="s">
        <v>246</v>
      </c>
      <c r="L93" s="7">
        <f t="shared" si="12"/>
        <v>10000</v>
      </c>
      <c r="M93" s="34">
        <v>1</v>
      </c>
      <c r="N93" s="7">
        <f t="shared" si="13"/>
        <v>10000</v>
      </c>
      <c r="O93" s="33">
        <v>64</v>
      </c>
      <c r="P93" s="7">
        <f t="shared" si="9"/>
        <v>3.2</v>
      </c>
      <c r="Q93" s="7">
        <f t="shared" si="10"/>
        <v>6.4000000000000003E-3</v>
      </c>
      <c r="R93" s="13">
        <f t="shared" si="11"/>
        <v>6.4000000000000003E-3</v>
      </c>
      <c r="S93" s="64"/>
      <c r="T93" s="64"/>
      <c r="U93" s="64"/>
      <c r="V93" s="64"/>
      <c r="W93" s="64"/>
      <c r="X93" s="64"/>
      <c r="Y93" s="64"/>
    </row>
    <row r="94" spans="1:25" x14ac:dyDescent="0.25">
      <c r="A94" s="29" t="s">
        <v>255</v>
      </c>
      <c r="B94" s="28" t="s">
        <v>263</v>
      </c>
      <c r="C94" s="28" t="s">
        <v>49</v>
      </c>
      <c r="D94" s="43" t="s">
        <v>547</v>
      </c>
      <c r="E94" s="71" t="s">
        <v>546</v>
      </c>
      <c r="F94" s="31">
        <v>1</v>
      </c>
      <c r="G94" s="32" t="s">
        <v>232</v>
      </c>
      <c r="H94" s="28">
        <v>20</v>
      </c>
      <c r="I94" s="32" t="s">
        <v>239</v>
      </c>
      <c r="J94" s="28">
        <v>500</v>
      </c>
      <c r="K94" s="30" t="s">
        <v>246</v>
      </c>
      <c r="L94" s="7">
        <f t="shared" si="12"/>
        <v>10000</v>
      </c>
      <c r="M94" s="34">
        <v>1</v>
      </c>
      <c r="N94" s="7">
        <f t="shared" si="13"/>
        <v>10000</v>
      </c>
      <c r="O94" s="33">
        <v>66</v>
      </c>
      <c r="P94" s="7">
        <f t="shared" si="9"/>
        <v>3.3</v>
      </c>
      <c r="Q94" s="7">
        <f t="shared" si="10"/>
        <v>6.6E-3</v>
      </c>
      <c r="R94" s="13">
        <f t="shared" si="11"/>
        <v>6.6E-3</v>
      </c>
      <c r="S94" s="64"/>
      <c r="T94" s="64"/>
      <c r="U94" s="64"/>
      <c r="V94" s="64"/>
      <c r="W94" s="64"/>
      <c r="X94" s="64"/>
      <c r="Y94" s="64"/>
    </row>
    <row r="95" spans="1:25" x14ac:dyDescent="0.25">
      <c r="A95" s="29" t="s">
        <v>255</v>
      </c>
      <c r="B95" s="28" t="s">
        <v>263</v>
      </c>
      <c r="C95" s="28" t="s">
        <v>52</v>
      </c>
      <c r="D95" s="43" t="s">
        <v>547</v>
      </c>
      <c r="E95" s="71" t="s">
        <v>543</v>
      </c>
      <c r="F95" s="31">
        <v>1</v>
      </c>
      <c r="G95" s="32" t="s">
        <v>232</v>
      </c>
      <c r="H95" s="28">
        <v>20</v>
      </c>
      <c r="I95" s="32" t="s">
        <v>239</v>
      </c>
      <c r="J95" s="28">
        <v>450</v>
      </c>
      <c r="K95" s="30" t="s">
        <v>246</v>
      </c>
      <c r="L95" s="7">
        <f t="shared" si="12"/>
        <v>9000</v>
      </c>
      <c r="M95" s="34">
        <v>1</v>
      </c>
      <c r="N95" s="7">
        <f t="shared" si="13"/>
        <v>9000</v>
      </c>
      <c r="O95" s="33">
        <v>65</v>
      </c>
      <c r="P95" s="7">
        <f t="shared" si="9"/>
        <v>3.25</v>
      </c>
      <c r="Q95" s="7">
        <f t="shared" si="10"/>
        <v>7.2222222222222219E-3</v>
      </c>
      <c r="R95" s="13">
        <f t="shared" si="11"/>
        <v>7.2222222222222219E-3</v>
      </c>
      <c r="S95" s="64"/>
      <c r="T95" s="64"/>
      <c r="U95" s="64"/>
      <c r="V95" s="64"/>
      <c r="W95" s="64"/>
      <c r="X95" s="64"/>
      <c r="Y95" s="64"/>
    </row>
    <row r="96" spans="1:25" x14ac:dyDescent="0.25">
      <c r="A96" s="29" t="s">
        <v>255</v>
      </c>
      <c r="B96" s="28" t="s">
        <v>264</v>
      </c>
      <c r="C96" s="28" t="s">
        <v>121</v>
      </c>
      <c r="D96" s="43" t="s">
        <v>601</v>
      </c>
      <c r="E96" s="71" t="s">
        <v>596</v>
      </c>
      <c r="F96" s="31">
        <v>1</v>
      </c>
      <c r="G96" s="32" t="s">
        <v>232</v>
      </c>
      <c r="H96" s="28">
        <v>20</v>
      </c>
      <c r="I96" s="32" t="s">
        <v>239</v>
      </c>
      <c r="J96" s="28">
        <v>500</v>
      </c>
      <c r="K96" s="30" t="s">
        <v>246</v>
      </c>
      <c r="L96" s="7">
        <f t="shared" si="12"/>
        <v>10000</v>
      </c>
      <c r="M96" s="34">
        <v>0.85</v>
      </c>
      <c r="N96" s="7">
        <f t="shared" si="13"/>
        <v>8500</v>
      </c>
      <c r="O96" s="33">
        <v>450</v>
      </c>
      <c r="P96" s="7">
        <f t="shared" si="9"/>
        <v>22.5</v>
      </c>
      <c r="Q96" s="7">
        <f t="shared" si="10"/>
        <v>4.4999999999999998E-2</v>
      </c>
      <c r="R96" s="13">
        <f t="shared" si="11"/>
        <v>5.2941176470588235E-2</v>
      </c>
      <c r="S96" s="64"/>
      <c r="T96" s="64"/>
      <c r="U96" s="64"/>
      <c r="V96" s="64"/>
      <c r="W96" s="64"/>
      <c r="X96" s="64"/>
      <c r="Y96" s="64"/>
    </row>
    <row r="97" spans="1:25" x14ac:dyDescent="0.25">
      <c r="A97" s="29" t="s">
        <v>255</v>
      </c>
      <c r="B97" s="28" t="s">
        <v>264</v>
      </c>
      <c r="C97" s="28" t="s">
        <v>23</v>
      </c>
      <c r="D97" s="43" t="s">
        <v>601</v>
      </c>
      <c r="E97" s="71" t="s">
        <v>597</v>
      </c>
      <c r="F97" s="31">
        <v>1</v>
      </c>
      <c r="G97" s="32" t="s">
        <v>232</v>
      </c>
      <c r="H97" s="28">
        <v>10</v>
      </c>
      <c r="I97" s="32" t="s">
        <v>245</v>
      </c>
      <c r="J97" s="28">
        <v>1000</v>
      </c>
      <c r="K97" s="30" t="s">
        <v>246</v>
      </c>
      <c r="L97" s="7">
        <f t="shared" si="12"/>
        <v>10000</v>
      </c>
      <c r="M97" s="34">
        <f>4586/5075</f>
        <v>0.90364532019704435</v>
      </c>
      <c r="N97" s="7">
        <f t="shared" si="13"/>
        <v>9036.4532019704438</v>
      </c>
      <c r="O97" s="33">
        <v>118</v>
      </c>
      <c r="P97" s="7">
        <f t="shared" si="9"/>
        <v>11.8</v>
      </c>
      <c r="Q97" s="7">
        <f t="shared" si="10"/>
        <v>1.18E-2</v>
      </c>
      <c r="R97" s="13">
        <f t="shared" si="11"/>
        <v>1.3058220671609245E-2</v>
      </c>
      <c r="S97" s="64"/>
      <c r="T97" s="64"/>
      <c r="U97" s="64"/>
      <c r="V97" s="64"/>
      <c r="W97" s="64"/>
      <c r="X97" s="64"/>
      <c r="Y97" s="64"/>
    </row>
    <row r="98" spans="1:25" x14ac:dyDescent="0.25">
      <c r="A98" s="29" t="s">
        <v>255</v>
      </c>
      <c r="B98" s="28" t="s">
        <v>264</v>
      </c>
      <c r="C98" s="28" t="s">
        <v>70</v>
      </c>
      <c r="D98" s="43" t="s">
        <v>601</v>
      </c>
      <c r="E98" s="71" t="s">
        <v>72</v>
      </c>
      <c r="F98" s="31">
        <v>1</v>
      </c>
      <c r="G98" s="32" t="s">
        <v>232</v>
      </c>
      <c r="H98" s="28">
        <v>10</v>
      </c>
      <c r="I98" s="32" t="s">
        <v>237</v>
      </c>
      <c r="J98" s="28">
        <v>1000</v>
      </c>
      <c r="K98" s="30" t="s">
        <v>246</v>
      </c>
      <c r="L98" s="7">
        <f t="shared" si="12"/>
        <v>10000</v>
      </c>
      <c r="M98" s="34">
        <f>1566/2147</f>
        <v>0.72938984629715886</v>
      </c>
      <c r="N98" s="7">
        <f t="shared" si="13"/>
        <v>7293.8984629715887</v>
      </c>
      <c r="O98" s="33">
        <v>92</v>
      </c>
      <c r="P98" s="7">
        <f t="shared" ref="P98:P129" si="14">IF((OR(H98="",O98="")),"",O98/H98)</f>
        <v>9.1999999999999993</v>
      </c>
      <c r="Q98" s="7">
        <f t="shared" ref="Q98:Q129" si="15">IF((OR(L98="",O98="")),"",O98/L98)</f>
        <v>9.1999999999999998E-3</v>
      </c>
      <c r="R98" s="13">
        <f t="shared" ref="R98:R129" si="16">IF(OR(N98="",O98=""),"",O98/N98)</f>
        <v>1.2613282247765006E-2</v>
      </c>
      <c r="S98" s="64"/>
      <c r="T98" s="64"/>
      <c r="U98" s="64"/>
      <c r="V98" s="64"/>
      <c r="W98" s="64"/>
      <c r="X98" s="64"/>
      <c r="Y98" s="64"/>
    </row>
    <row r="99" spans="1:25" x14ac:dyDescent="0.25">
      <c r="A99" s="29" t="s">
        <v>255</v>
      </c>
      <c r="B99" s="28" t="s">
        <v>264</v>
      </c>
      <c r="C99" s="28" t="s">
        <v>69</v>
      </c>
      <c r="D99" s="43" t="s">
        <v>601</v>
      </c>
      <c r="E99" s="71" t="s">
        <v>598</v>
      </c>
      <c r="F99" s="31">
        <v>1</v>
      </c>
      <c r="G99" s="32" t="s">
        <v>232</v>
      </c>
      <c r="H99" s="28">
        <v>20</v>
      </c>
      <c r="I99" s="32" t="s">
        <v>237</v>
      </c>
      <c r="J99" s="28">
        <v>500</v>
      </c>
      <c r="K99" s="30" t="s">
        <v>246</v>
      </c>
      <c r="L99" s="7">
        <f t="shared" si="12"/>
        <v>10000</v>
      </c>
      <c r="M99" s="34">
        <f>495/500</f>
        <v>0.99</v>
      </c>
      <c r="N99" s="7">
        <f t="shared" ref="N99:N130" si="17">IF(M99="","",(M99*L99))</f>
        <v>9900</v>
      </c>
      <c r="O99" s="33">
        <v>179</v>
      </c>
      <c r="P99" s="7">
        <f t="shared" si="14"/>
        <v>8.9499999999999993</v>
      </c>
      <c r="Q99" s="7">
        <f t="shared" si="15"/>
        <v>1.7899999999999999E-2</v>
      </c>
      <c r="R99" s="13">
        <f t="shared" si="16"/>
        <v>1.8080808080808079E-2</v>
      </c>
      <c r="S99" s="64"/>
      <c r="T99" s="64"/>
      <c r="U99" s="64"/>
      <c r="V99" s="64"/>
      <c r="W99" s="64"/>
      <c r="X99" s="64"/>
      <c r="Y99" s="64"/>
    </row>
    <row r="100" spans="1:25" x14ac:dyDescent="0.25">
      <c r="A100" s="29" t="s">
        <v>255</v>
      </c>
      <c r="B100" s="28" t="s">
        <v>264</v>
      </c>
      <c r="C100" s="28" t="s">
        <v>24</v>
      </c>
      <c r="D100" s="43" t="s">
        <v>601</v>
      </c>
      <c r="E100" s="71" t="s">
        <v>599</v>
      </c>
      <c r="F100" s="31">
        <v>1</v>
      </c>
      <c r="G100" s="32" t="s">
        <v>232</v>
      </c>
      <c r="H100" s="28">
        <v>25</v>
      </c>
      <c r="I100" s="32" t="s">
        <v>239</v>
      </c>
      <c r="J100" s="28">
        <v>400</v>
      </c>
      <c r="K100" s="30" t="s">
        <v>246</v>
      </c>
      <c r="L100" s="7">
        <f t="shared" si="12"/>
        <v>10000</v>
      </c>
      <c r="M100" s="34">
        <v>1</v>
      </c>
      <c r="N100" s="7">
        <f t="shared" si="17"/>
        <v>10000</v>
      </c>
      <c r="O100" s="33">
        <v>34</v>
      </c>
      <c r="P100" s="7">
        <f t="shared" si="14"/>
        <v>1.36</v>
      </c>
      <c r="Q100" s="7">
        <f t="shared" si="15"/>
        <v>3.3999999999999998E-3</v>
      </c>
      <c r="R100" s="13">
        <f t="shared" si="16"/>
        <v>3.3999999999999998E-3</v>
      </c>
      <c r="S100" s="64"/>
      <c r="T100" s="64"/>
      <c r="U100" s="64"/>
      <c r="V100" s="64"/>
      <c r="W100" s="64"/>
      <c r="X100" s="64"/>
      <c r="Y100" s="64"/>
    </row>
    <row r="101" spans="1:25" x14ac:dyDescent="0.25">
      <c r="A101" s="29" t="s">
        <v>255</v>
      </c>
      <c r="B101" s="28" t="s">
        <v>264</v>
      </c>
      <c r="C101" s="28" t="s">
        <v>149</v>
      </c>
      <c r="D101" s="43" t="s">
        <v>601</v>
      </c>
      <c r="E101" s="71" t="s">
        <v>148</v>
      </c>
      <c r="F101" s="31">
        <v>1</v>
      </c>
      <c r="G101" s="32" t="s">
        <v>245</v>
      </c>
      <c r="H101" s="28">
        <v>1</v>
      </c>
      <c r="I101" s="32" t="s">
        <v>245</v>
      </c>
      <c r="J101" s="28">
        <v>1000</v>
      </c>
      <c r="K101" s="30" t="s">
        <v>246</v>
      </c>
      <c r="L101" s="7">
        <f t="shared" si="12"/>
        <v>1000</v>
      </c>
      <c r="M101" s="34">
        <v>0.9</v>
      </c>
      <c r="N101" s="7">
        <f t="shared" si="17"/>
        <v>900</v>
      </c>
      <c r="O101" s="33">
        <v>36</v>
      </c>
      <c r="P101" s="7">
        <f t="shared" si="14"/>
        <v>36</v>
      </c>
      <c r="Q101" s="7">
        <f t="shared" si="15"/>
        <v>3.5999999999999997E-2</v>
      </c>
      <c r="R101" s="13">
        <f t="shared" si="16"/>
        <v>0.04</v>
      </c>
      <c r="S101" s="64"/>
      <c r="T101" s="64"/>
      <c r="U101" s="64"/>
      <c r="V101" s="64"/>
      <c r="W101" s="64"/>
      <c r="X101" s="64"/>
      <c r="Y101" s="64"/>
    </row>
    <row r="102" spans="1:25" x14ac:dyDescent="0.25">
      <c r="A102" s="29" t="s">
        <v>255</v>
      </c>
      <c r="B102" s="28" t="s">
        <v>264</v>
      </c>
      <c r="C102" s="28" t="s">
        <v>55</v>
      </c>
      <c r="D102" s="43" t="s">
        <v>601</v>
      </c>
      <c r="E102" s="71" t="s">
        <v>600</v>
      </c>
      <c r="F102" s="31">
        <v>1</v>
      </c>
      <c r="G102" s="32" t="s">
        <v>232</v>
      </c>
      <c r="H102" s="28">
        <v>10</v>
      </c>
      <c r="I102" s="32" t="s">
        <v>237</v>
      </c>
      <c r="J102" s="28">
        <v>1000</v>
      </c>
      <c r="K102" s="30" t="s">
        <v>246</v>
      </c>
      <c r="L102" s="7">
        <f t="shared" si="12"/>
        <v>10000</v>
      </c>
      <c r="M102" s="34">
        <v>0.85</v>
      </c>
      <c r="N102" s="7">
        <f t="shared" si="17"/>
        <v>8500</v>
      </c>
      <c r="O102" s="33">
        <v>180</v>
      </c>
      <c r="P102" s="7">
        <f t="shared" si="14"/>
        <v>18</v>
      </c>
      <c r="Q102" s="7">
        <f t="shared" si="15"/>
        <v>1.7999999999999999E-2</v>
      </c>
      <c r="R102" s="13">
        <f t="shared" si="16"/>
        <v>2.1176470588235293E-2</v>
      </c>
      <c r="S102" s="64"/>
      <c r="T102" s="64"/>
      <c r="U102" s="64"/>
      <c r="V102" s="64"/>
      <c r="W102" s="64"/>
      <c r="X102" s="64"/>
      <c r="Y102" s="64"/>
    </row>
    <row r="103" spans="1:25" x14ac:dyDescent="0.25">
      <c r="A103" s="29" t="s">
        <v>255</v>
      </c>
      <c r="B103" s="28" t="s">
        <v>264</v>
      </c>
      <c r="C103" s="28" t="s">
        <v>71</v>
      </c>
      <c r="D103" s="43" t="s">
        <v>601</v>
      </c>
      <c r="E103" s="71" t="s">
        <v>73</v>
      </c>
      <c r="F103" s="31">
        <v>1</v>
      </c>
      <c r="G103" s="32" t="s">
        <v>232</v>
      </c>
      <c r="H103" s="28">
        <v>10</v>
      </c>
      <c r="I103" s="32" t="s">
        <v>237</v>
      </c>
      <c r="J103" s="28">
        <v>1000</v>
      </c>
      <c r="K103" s="30" t="s">
        <v>245</v>
      </c>
      <c r="L103" s="7">
        <f t="shared" si="12"/>
        <v>10000</v>
      </c>
      <c r="M103" s="34">
        <f>768/1032</f>
        <v>0.7441860465116279</v>
      </c>
      <c r="N103" s="7">
        <f t="shared" si="17"/>
        <v>7441.8604651162786</v>
      </c>
      <c r="O103" s="33">
        <v>320</v>
      </c>
      <c r="P103" s="7">
        <f t="shared" si="14"/>
        <v>32</v>
      </c>
      <c r="Q103" s="7">
        <f t="shared" si="15"/>
        <v>3.2000000000000001E-2</v>
      </c>
      <c r="R103" s="13">
        <f t="shared" si="16"/>
        <v>4.3000000000000003E-2</v>
      </c>
      <c r="S103" s="64"/>
      <c r="T103" s="64"/>
      <c r="U103" s="64"/>
      <c r="V103" s="64"/>
      <c r="W103" s="64"/>
      <c r="X103" s="64"/>
      <c r="Y103" s="64"/>
    </row>
    <row r="104" spans="1:25" x14ac:dyDescent="0.25">
      <c r="A104" s="29" t="s">
        <v>255</v>
      </c>
      <c r="B104" s="28" t="s">
        <v>265</v>
      </c>
      <c r="C104" s="28" t="s">
        <v>44</v>
      </c>
      <c r="D104" s="43" t="s">
        <v>563</v>
      </c>
      <c r="E104" s="71" t="s">
        <v>548</v>
      </c>
      <c r="F104" s="31">
        <v>1</v>
      </c>
      <c r="G104" s="32" t="s">
        <v>245</v>
      </c>
      <c r="H104" s="28">
        <v>1</v>
      </c>
      <c r="I104" s="32" t="s">
        <v>245</v>
      </c>
      <c r="J104" s="28">
        <v>1000</v>
      </c>
      <c r="K104" s="30" t="s">
        <v>246</v>
      </c>
      <c r="L104" s="7">
        <f t="shared" si="12"/>
        <v>1000</v>
      </c>
      <c r="M104" s="34">
        <v>1</v>
      </c>
      <c r="N104" s="7">
        <f t="shared" si="17"/>
        <v>1000</v>
      </c>
      <c r="O104" s="33">
        <v>6</v>
      </c>
      <c r="P104" s="7">
        <f t="shared" si="14"/>
        <v>6</v>
      </c>
      <c r="Q104" s="7">
        <f t="shared" si="15"/>
        <v>6.0000000000000001E-3</v>
      </c>
      <c r="R104" s="13">
        <f t="shared" si="16"/>
        <v>6.0000000000000001E-3</v>
      </c>
      <c r="S104" s="64"/>
      <c r="T104" s="64"/>
      <c r="U104" s="64"/>
      <c r="V104" s="64"/>
      <c r="W104" s="64"/>
      <c r="X104" s="64"/>
      <c r="Y104" s="64"/>
    </row>
    <row r="105" spans="1:25" x14ac:dyDescent="0.25">
      <c r="A105" s="29" t="s">
        <v>255</v>
      </c>
      <c r="B105" s="28" t="s">
        <v>265</v>
      </c>
      <c r="C105" s="28" t="s">
        <v>11</v>
      </c>
      <c r="D105" s="43" t="s">
        <v>563</v>
      </c>
      <c r="E105" s="71" t="s">
        <v>549</v>
      </c>
      <c r="F105" s="31">
        <v>1</v>
      </c>
      <c r="G105" s="32" t="s">
        <v>245</v>
      </c>
      <c r="H105" s="28">
        <v>1</v>
      </c>
      <c r="I105" s="32" t="s">
        <v>245</v>
      </c>
      <c r="J105" s="28">
        <v>1000</v>
      </c>
      <c r="K105" s="30" t="s">
        <v>246</v>
      </c>
      <c r="L105" s="7">
        <f t="shared" si="12"/>
        <v>1000</v>
      </c>
      <c r="M105" s="34">
        <v>1</v>
      </c>
      <c r="N105" s="7">
        <f t="shared" si="17"/>
        <v>1000</v>
      </c>
      <c r="O105" s="33">
        <v>30</v>
      </c>
      <c r="P105" s="7">
        <f t="shared" si="14"/>
        <v>30</v>
      </c>
      <c r="Q105" s="7">
        <f t="shared" si="15"/>
        <v>0.03</v>
      </c>
      <c r="R105" s="13">
        <f t="shared" si="16"/>
        <v>0.03</v>
      </c>
      <c r="S105" s="64"/>
      <c r="T105" s="64"/>
      <c r="U105" s="64"/>
      <c r="V105" s="64"/>
      <c r="W105" s="64"/>
      <c r="X105" s="64"/>
      <c r="Y105" s="64"/>
    </row>
    <row r="106" spans="1:25" x14ac:dyDescent="0.25">
      <c r="A106" s="29" t="s">
        <v>255</v>
      </c>
      <c r="B106" s="28" t="s">
        <v>265</v>
      </c>
      <c r="C106" s="28" t="s">
        <v>32</v>
      </c>
      <c r="D106" s="43" t="s">
        <v>563</v>
      </c>
      <c r="E106" s="71" t="s">
        <v>550</v>
      </c>
      <c r="F106" s="31">
        <v>1</v>
      </c>
      <c r="G106" s="32" t="s">
        <v>232</v>
      </c>
      <c r="H106" s="28">
        <v>6</v>
      </c>
      <c r="I106" s="32" t="s">
        <v>239</v>
      </c>
      <c r="J106" s="28">
        <v>340</v>
      </c>
      <c r="K106" s="30" t="s">
        <v>246</v>
      </c>
      <c r="L106" s="7">
        <f t="shared" si="12"/>
        <v>2040</v>
      </c>
      <c r="M106" s="34">
        <v>1</v>
      </c>
      <c r="N106" s="7">
        <f t="shared" si="17"/>
        <v>2040</v>
      </c>
      <c r="O106" s="33">
        <v>135</v>
      </c>
      <c r="P106" s="7">
        <f t="shared" si="14"/>
        <v>22.5</v>
      </c>
      <c r="Q106" s="7">
        <f t="shared" si="15"/>
        <v>6.6176470588235295E-2</v>
      </c>
      <c r="R106" s="13">
        <f t="shared" si="16"/>
        <v>6.6176470588235295E-2</v>
      </c>
      <c r="S106" s="64"/>
      <c r="T106" s="64"/>
      <c r="U106" s="64"/>
      <c r="V106" s="64"/>
      <c r="W106" s="64"/>
      <c r="X106" s="64"/>
      <c r="Y106" s="64"/>
    </row>
    <row r="107" spans="1:25" x14ac:dyDescent="0.25">
      <c r="A107" s="29" t="s">
        <v>255</v>
      </c>
      <c r="B107" s="28" t="s">
        <v>265</v>
      </c>
      <c r="C107" s="28" t="s">
        <v>45</v>
      </c>
      <c r="D107" s="43" t="s">
        <v>563</v>
      </c>
      <c r="E107" s="71" t="s">
        <v>551</v>
      </c>
      <c r="F107" s="31">
        <v>1</v>
      </c>
      <c r="G107" s="32" t="s">
        <v>245</v>
      </c>
      <c r="H107" s="28">
        <v>1</v>
      </c>
      <c r="I107" s="32" t="s">
        <v>245</v>
      </c>
      <c r="J107" s="28">
        <v>1000</v>
      </c>
      <c r="K107" s="30" t="s">
        <v>246</v>
      </c>
      <c r="L107" s="7">
        <f t="shared" si="12"/>
        <v>1000</v>
      </c>
      <c r="M107" s="34">
        <v>1</v>
      </c>
      <c r="N107" s="7">
        <f t="shared" si="17"/>
        <v>1000</v>
      </c>
      <c r="O107" s="33">
        <v>103</v>
      </c>
      <c r="P107" s="7">
        <f t="shared" si="14"/>
        <v>103</v>
      </c>
      <c r="Q107" s="7">
        <f t="shared" si="15"/>
        <v>0.10299999999999999</v>
      </c>
      <c r="R107" s="13">
        <f t="shared" si="16"/>
        <v>0.10299999999999999</v>
      </c>
      <c r="S107" s="64"/>
      <c r="T107" s="64"/>
      <c r="U107" s="64"/>
      <c r="V107" s="64"/>
      <c r="W107" s="64"/>
      <c r="X107" s="64"/>
      <c r="Y107" s="64"/>
    </row>
    <row r="108" spans="1:25" x14ac:dyDescent="0.25">
      <c r="A108" s="29" t="s">
        <v>255</v>
      </c>
      <c r="B108" s="28" t="s">
        <v>265</v>
      </c>
      <c r="C108" s="28" t="s">
        <v>145</v>
      </c>
      <c r="D108" s="43" t="s">
        <v>563</v>
      </c>
      <c r="E108" s="71" t="s">
        <v>552</v>
      </c>
      <c r="F108" s="31">
        <v>1</v>
      </c>
      <c r="G108" s="32" t="s">
        <v>245</v>
      </c>
      <c r="H108" s="28">
        <v>1</v>
      </c>
      <c r="I108" s="32" t="s">
        <v>245</v>
      </c>
      <c r="J108" s="28">
        <v>1000</v>
      </c>
      <c r="K108" s="30" t="s">
        <v>246</v>
      </c>
      <c r="L108" s="7">
        <f t="shared" si="12"/>
        <v>1000</v>
      </c>
      <c r="M108" s="34">
        <v>1</v>
      </c>
      <c r="N108" s="7">
        <f t="shared" si="17"/>
        <v>1000</v>
      </c>
      <c r="O108" s="33">
        <v>30</v>
      </c>
      <c r="P108" s="7">
        <f t="shared" si="14"/>
        <v>30</v>
      </c>
      <c r="Q108" s="7">
        <f t="shared" si="15"/>
        <v>0.03</v>
      </c>
      <c r="R108" s="13">
        <f t="shared" si="16"/>
        <v>0.03</v>
      </c>
      <c r="S108" s="64"/>
      <c r="T108" s="64"/>
      <c r="U108" s="64"/>
      <c r="V108" s="64"/>
      <c r="W108" s="64"/>
      <c r="X108" s="64"/>
      <c r="Y108" s="64"/>
    </row>
    <row r="109" spans="1:25" x14ac:dyDescent="0.25">
      <c r="A109" s="29" t="s">
        <v>255</v>
      </c>
      <c r="B109" s="28" t="s">
        <v>265</v>
      </c>
      <c r="C109" s="28" t="s">
        <v>14</v>
      </c>
      <c r="D109" s="43" t="s">
        <v>563</v>
      </c>
      <c r="E109" s="71" t="s">
        <v>553</v>
      </c>
      <c r="F109" s="31">
        <v>1</v>
      </c>
      <c r="G109" s="32" t="s">
        <v>232</v>
      </c>
      <c r="H109" s="28">
        <v>24</v>
      </c>
      <c r="I109" s="32" t="s">
        <v>236</v>
      </c>
      <c r="J109" s="28">
        <v>2</v>
      </c>
      <c r="K109" s="30" t="s">
        <v>239</v>
      </c>
      <c r="L109" s="7">
        <f t="shared" si="12"/>
        <v>48</v>
      </c>
      <c r="M109" s="34">
        <v>1</v>
      </c>
      <c r="N109" s="7">
        <f t="shared" si="17"/>
        <v>48</v>
      </c>
      <c r="O109" s="33">
        <v>13</v>
      </c>
      <c r="P109" s="7">
        <f t="shared" si="14"/>
        <v>0.54166666666666663</v>
      </c>
      <c r="Q109" s="7">
        <f t="shared" si="15"/>
        <v>0.27083333333333331</v>
      </c>
      <c r="R109" s="13">
        <f t="shared" si="16"/>
        <v>0.27083333333333331</v>
      </c>
      <c r="S109" s="64"/>
      <c r="T109" s="64"/>
      <c r="U109" s="64"/>
      <c r="V109" s="64"/>
      <c r="W109" s="64"/>
      <c r="X109" s="64"/>
      <c r="Y109" s="64"/>
    </row>
    <row r="110" spans="1:25" x14ac:dyDescent="0.25">
      <c r="A110" s="29" t="s">
        <v>255</v>
      </c>
      <c r="B110" s="28" t="s">
        <v>265</v>
      </c>
      <c r="C110" s="28" t="s">
        <v>37</v>
      </c>
      <c r="D110" s="43" t="s">
        <v>563</v>
      </c>
      <c r="E110" s="71" t="s">
        <v>554</v>
      </c>
      <c r="F110" s="31">
        <v>1</v>
      </c>
      <c r="G110" s="32" t="s">
        <v>232</v>
      </c>
      <c r="H110" s="28">
        <v>6</v>
      </c>
      <c r="I110" s="32" t="s">
        <v>239</v>
      </c>
      <c r="J110" s="28">
        <v>130</v>
      </c>
      <c r="K110" s="30" t="s">
        <v>246</v>
      </c>
      <c r="L110" s="7">
        <f t="shared" si="12"/>
        <v>780</v>
      </c>
      <c r="M110" s="34">
        <v>1</v>
      </c>
      <c r="N110" s="7">
        <f t="shared" si="17"/>
        <v>780</v>
      </c>
      <c r="O110" s="33">
        <v>125</v>
      </c>
      <c r="P110" s="7">
        <f t="shared" si="14"/>
        <v>20.833333333333332</v>
      </c>
      <c r="Q110" s="7">
        <f t="shared" si="15"/>
        <v>0.16025641025641027</v>
      </c>
      <c r="R110" s="13">
        <f t="shared" si="16"/>
        <v>0.16025641025641027</v>
      </c>
      <c r="S110" s="64"/>
      <c r="T110" s="64"/>
      <c r="U110" s="64"/>
      <c r="V110" s="64"/>
      <c r="W110" s="64"/>
      <c r="X110" s="64"/>
      <c r="Y110" s="64"/>
    </row>
    <row r="111" spans="1:25" x14ac:dyDescent="0.25">
      <c r="A111" s="29" t="s">
        <v>255</v>
      </c>
      <c r="B111" s="28" t="s">
        <v>265</v>
      </c>
      <c r="C111" s="28" t="s">
        <v>21</v>
      </c>
      <c r="D111" s="43" t="s">
        <v>563</v>
      </c>
      <c r="E111" s="71" t="s">
        <v>555</v>
      </c>
      <c r="F111" s="31">
        <v>1</v>
      </c>
      <c r="G111" s="32" t="s">
        <v>245</v>
      </c>
      <c r="H111" s="28">
        <v>1</v>
      </c>
      <c r="I111" s="32" t="s">
        <v>245</v>
      </c>
      <c r="J111" s="28">
        <v>1000</v>
      </c>
      <c r="K111" s="30" t="s">
        <v>246</v>
      </c>
      <c r="L111" s="7">
        <f t="shared" si="12"/>
        <v>1000</v>
      </c>
      <c r="M111" s="34">
        <v>1</v>
      </c>
      <c r="N111" s="7">
        <f t="shared" si="17"/>
        <v>1000</v>
      </c>
      <c r="O111" s="33">
        <v>170</v>
      </c>
      <c r="P111" s="7">
        <f t="shared" si="14"/>
        <v>170</v>
      </c>
      <c r="Q111" s="7">
        <f t="shared" si="15"/>
        <v>0.17</v>
      </c>
      <c r="R111" s="13">
        <f t="shared" si="16"/>
        <v>0.17</v>
      </c>
      <c r="S111" s="64"/>
      <c r="T111" s="64"/>
      <c r="U111" s="64"/>
      <c r="V111" s="64"/>
      <c r="W111" s="64"/>
      <c r="X111" s="64"/>
      <c r="Y111" s="64"/>
    </row>
    <row r="112" spans="1:25" x14ac:dyDescent="0.25">
      <c r="A112" s="29" t="s">
        <v>255</v>
      </c>
      <c r="B112" s="28" t="s">
        <v>265</v>
      </c>
      <c r="C112" s="28" t="s">
        <v>36</v>
      </c>
      <c r="D112" s="43" t="s">
        <v>563</v>
      </c>
      <c r="E112" s="71" t="s">
        <v>556</v>
      </c>
      <c r="F112" s="31">
        <v>1</v>
      </c>
      <c r="G112" s="32" t="s">
        <v>232</v>
      </c>
      <c r="H112" s="28">
        <v>20</v>
      </c>
      <c r="I112" s="32" t="s">
        <v>236</v>
      </c>
      <c r="J112" s="28">
        <v>700</v>
      </c>
      <c r="K112" s="30" t="s">
        <v>246</v>
      </c>
      <c r="L112" s="7">
        <f t="shared" si="12"/>
        <v>14000</v>
      </c>
      <c r="M112" s="34">
        <v>1</v>
      </c>
      <c r="N112" s="7">
        <f t="shared" si="17"/>
        <v>14000</v>
      </c>
      <c r="O112" s="33">
        <v>21</v>
      </c>
      <c r="P112" s="7">
        <f t="shared" si="14"/>
        <v>1.05</v>
      </c>
      <c r="Q112" s="7">
        <f t="shared" si="15"/>
        <v>1.5E-3</v>
      </c>
      <c r="R112" s="13">
        <f t="shared" si="16"/>
        <v>1.5E-3</v>
      </c>
      <c r="S112" s="64"/>
      <c r="T112" s="64"/>
      <c r="U112" s="64"/>
      <c r="V112" s="64"/>
      <c r="W112" s="64"/>
      <c r="X112" s="64"/>
      <c r="Y112" s="64"/>
    </row>
    <row r="113" spans="1:25" x14ac:dyDescent="0.25">
      <c r="A113" s="29" t="s">
        <v>255</v>
      </c>
      <c r="B113" s="28" t="s">
        <v>265</v>
      </c>
      <c r="C113" s="28" t="s">
        <v>35</v>
      </c>
      <c r="D113" s="43" t="s">
        <v>563</v>
      </c>
      <c r="E113" s="71" t="s">
        <v>557</v>
      </c>
      <c r="F113" s="31">
        <v>1</v>
      </c>
      <c r="G113" s="32" t="s">
        <v>233</v>
      </c>
      <c r="H113" s="28">
        <v>2.5</v>
      </c>
      <c r="I113" s="32" t="s">
        <v>245</v>
      </c>
      <c r="J113" s="28">
        <v>1000</v>
      </c>
      <c r="K113" s="30" t="s">
        <v>246</v>
      </c>
      <c r="L113" s="7">
        <f t="shared" si="12"/>
        <v>2500</v>
      </c>
      <c r="M113" s="34">
        <v>1</v>
      </c>
      <c r="N113" s="7">
        <f t="shared" si="17"/>
        <v>2500</v>
      </c>
      <c r="O113" s="33">
        <v>5</v>
      </c>
      <c r="P113" s="7">
        <f t="shared" si="14"/>
        <v>2</v>
      </c>
      <c r="Q113" s="7">
        <f t="shared" si="15"/>
        <v>2E-3</v>
      </c>
      <c r="R113" s="13">
        <f t="shared" si="16"/>
        <v>2E-3</v>
      </c>
      <c r="S113" s="64"/>
      <c r="T113" s="64"/>
      <c r="U113" s="64"/>
      <c r="V113" s="64"/>
      <c r="W113" s="64"/>
      <c r="X113" s="64"/>
      <c r="Y113" s="64"/>
    </row>
    <row r="114" spans="1:25" x14ac:dyDescent="0.25">
      <c r="A114" s="29" t="s">
        <v>255</v>
      </c>
      <c r="B114" s="28" t="s">
        <v>265</v>
      </c>
      <c r="C114" s="28" t="s">
        <v>10</v>
      </c>
      <c r="D114" s="43" t="s">
        <v>563</v>
      </c>
      <c r="E114" s="71" t="s">
        <v>558</v>
      </c>
      <c r="F114" s="31">
        <v>1</v>
      </c>
      <c r="G114" s="32" t="s">
        <v>245</v>
      </c>
      <c r="H114" s="28">
        <v>1</v>
      </c>
      <c r="I114" s="32" t="s">
        <v>245</v>
      </c>
      <c r="J114" s="28">
        <v>1000</v>
      </c>
      <c r="K114" s="30" t="s">
        <v>246</v>
      </c>
      <c r="L114" s="7">
        <f t="shared" si="12"/>
        <v>1000</v>
      </c>
      <c r="M114" s="34">
        <v>1</v>
      </c>
      <c r="N114" s="7">
        <f t="shared" si="17"/>
        <v>1000</v>
      </c>
      <c r="O114" s="33">
        <v>3</v>
      </c>
      <c r="P114" s="7">
        <f t="shared" si="14"/>
        <v>3</v>
      </c>
      <c r="Q114" s="7">
        <f t="shared" si="15"/>
        <v>3.0000000000000001E-3</v>
      </c>
      <c r="R114" s="13">
        <f t="shared" si="16"/>
        <v>3.0000000000000001E-3</v>
      </c>
      <c r="S114" s="64"/>
      <c r="T114" s="64"/>
      <c r="U114" s="64"/>
      <c r="V114" s="64"/>
      <c r="W114" s="64"/>
      <c r="X114" s="64"/>
      <c r="Y114" s="64"/>
    </row>
    <row r="115" spans="1:25" x14ac:dyDescent="0.25">
      <c r="A115" s="29" t="s">
        <v>255</v>
      </c>
      <c r="B115" s="28" t="s">
        <v>265</v>
      </c>
      <c r="C115" s="28" t="s">
        <v>12</v>
      </c>
      <c r="D115" s="43" t="s">
        <v>563</v>
      </c>
      <c r="E115" s="71" t="s">
        <v>559</v>
      </c>
      <c r="F115" s="31">
        <v>1</v>
      </c>
      <c r="G115" s="32" t="s">
        <v>245</v>
      </c>
      <c r="H115" s="28">
        <v>1</v>
      </c>
      <c r="I115" s="32" t="s">
        <v>245</v>
      </c>
      <c r="J115" s="28">
        <v>1000</v>
      </c>
      <c r="K115" s="30" t="s">
        <v>246</v>
      </c>
      <c r="L115" s="7">
        <f t="shared" si="12"/>
        <v>1000</v>
      </c>
      <c r="M115" s="34">
        <v>1</v>
      </c>
      <c r="N115" s="7">
        <f t="shared" si="17"/>
        <v>1000</v>
      </c>
      <c r="O115" s="33">
        <v>45</v>
      </c>
      <c r="P115" s="7">
        <f t="shared" si="14"/>
        <v>45</v>
      </c>
      <c r="Q115" s="7">
        <f t="shared" si="15"/>
        <v>4.4999999999999998E-2</v>
      </c>
      <c r="R115" s="13">
        <f t="shared" si="16"/>
        <v>4.4999999999999998E-2</v>
      </c>
      <c r="S115" s="64"/>
      <c r="T115" s="64"/>
      <c r="U115" s="64"/>
      <c r="V115" s="64"/>
      <c r="W115" s="64"/>
      <c r="X115" s="64"/>
      <c r="Y115" s="64"/>
    </row>
    <row r="116" spans="1:25" x14ac:dyDescent="0.25">
      <c r="A116" s="29" t="s">
        <v>255</v>
      </c>
      <c r="B116" s="28" t="s">
        <v>265</v>
      </c>
      <c r="C116" s="28" t="s">
        <v>8</v>
      </c>
      <c r="D116" s="43" t="s">
        <v>563</v>
      </c>
      <c r="E116" s="71" t="s">
        <v>560</v>
      </c>
      <c r="F116" s="31">
        <v>1</v>
      </c>
      <c r="G116" s="32" t="s">
        <v>238</v>
      </c>
      <c r="H116" s="28">
        <v>10</v>
      </c>
      <c r="I116" s="32" t="s">
        <v>245</v>
      </c>
      <c r="J116" s="28">
        <v>1000</v>
      </c>
      <c r="K116" s="30" t="s">
        <v>246</v>
      </c>
      <c r="L116" s="7">
        <f t="shared" si="12"/>
        <v>10000</v>
      </c>
      <c r="M116" s="34">
        <v>1</v>
      </c>
      <c r="N116" s="7">
        <f t="shared" si="17"/>
        <v>10000</v>
      </c>
      <c r="O116" s="33">
        <v>140</v>
      </c>
      <c r="P116" s="7">
        <f t="shared" si="14"/>
        <v>14</v>
      </c>
      <c r="Q116" s="7">
        <f t="shared" si="15"/>
        <v>1.4E-2</v>
      </c>
      <c r="R116" s="13">
        <f t="shared" si="16"/>
        <v>1.4E-2</v>
      </c>
      <c r="S116" s="64"/>
      <c r="T116" s="64"/>
      <c r="U116" s="64"/>
      <c r="V116" s="64"/>
      <c r="W116" s="64"/>
      <c r="X116" s="64"/>
      <c r="Y116" s="64"/>
    </row>
    <row r="117" spans="1:25" x14ac:dyDescent="0.25">
      <c r="A117" s="29" t="s">
        <v>255</v>
      </c>
      <c r="B117" s="28" t="s">
        <v>265</v>
      </c>
      <c r="C117" s="28" t="s">
        <v>143</v>
      </c>
      <c r="D117" s="43" t="s">
        <v>563</v>
      </c>
      <c r="E117" s="71" t="s">
        <v>561</v>
      </c>
      <c r="F117" s="31">
        <v>1</v>
      </c>
      <c r="G117" s="32" t="s">
        <v>245</v>
      </c>
      <c r="H117" s="28">
        <v>1</v>
      </c>
      <c r="I117" s="32" t="s">
        <v>245</v>
      </c>
      <c r="J117" s="28">
        <v>1000</v>
      </c>
      <c r="K117" s="30" t="s">
        <v>246</v>
      </c>
      <c r="L117" s="7">
        <f t="shared" si="12"/>
        <v>1000</v>
      </c>
      <c r="M117" s="34">
        <v>1</v>
      </c>
      <c r="N117" s="7">
        <f t="shared" si="17"/>
        <v>1000</v>
      </c>
      <c r="O117" s="33">
        <v>45</v>
      </c>
      <c r="P117" s="7">
        <f t="shared" si="14"/>
        <v>45</v>
      </c>
      <c r="Q117" s="7">
        <f t="shared" si="15"/>
        <v>4.4999999999999998E-2</v>
      </c>
      <c r="R117" s="13">
        <f t="shared" si="16"/>
        <v>4.4999999999999998E-2</v>
      </c>
      <c r="S117" s="64"/>
      <c r="T117" s="64"/>
      <c r="U117" s="64"/>
      <c r="V117" s="64"/>
      <c r="W117" s="64"/>
      <c r="X117" s="64"/>
      <c r="Y117" s="64"/>
    </row>
    <row r="118" spans="1:25" x14ac:dyDescent="0.25">
      <c r="A118" s="29" t="s">
        <v>255</v>
      </c>
      <c r="B118" s="28" t="s">
        <v>265</v>
      </c>
      <c r="C118" s="28" t="s">
        <v>162</v>
      </c>
      <c r="D118" s="43" t="s">
        <v>563</v>
      </c>
      <c r="E118" s="71" t="s">
        <v>562</v>
      </c>
      <c r="F118" s="31">
        <v>1</v>
      </c>
      <c r="G118" s="32" t="s">
        <v>245</v>
      </c>
      <c r="H118" s="28">
        <v>1</v>
      </c>
      <c r="I118" s="32" t="s">
        <v>245</v>
      </c>
      <c r="J118" s="28">
        <v>1000</v>
      </c>
      <c r="K118" s="30" t="s">
        <v>246</v>
      </c>
      <c r="L118" s="7">
        <f t="shared" si="12"/>
        <v>1000</v>
      </c>
      <c r="M118" s="34">
        <v>1</v>
      </c>
      <c r="N118" s="7">
        <f t="shared" si="17"/>
        <v>1000</v>
      </c>
      <c r="O118" s="33">
        <v>53</v>
      </c>
      <c r="P118" s="7">
        <f t="shared" si="14"/>
        <v>53</v>
      </c>
      <c r="Q118" s="7">
        <f t="shared" si="15"/>
        <v>5.2999999999999999E-2</v>
      </c>
      <c r="R118" s="13">
        <f t="shared" si="16"/>
        <v>5.2999999999999999E-2</v>
      </c>
      <c r="S118" s="64"/>
      <c r="T118" s="64"/>
      <c r="U118" s="64"/>
      <c r="V118" s="64"/>
      <c r="W118" s="64"/>
      <c r="X118" s="64"/>
      <c r="Y118" s="64"/>
    </row>
    <row r="119" spans="1:25" x14ac:dyDescent="0.25">
      <c r="A119" s="29" t="s">
        <v>255</v>
      </c>
      <c r="B119" s="28" t="s">
        <v>266</v>
      </c>
      <c r="C119" s="28" t="s">
        <v>140</v>
      </c>
      <c r="D119" s="43" t="s">
        <v>591</v>
      </c>
      <c r="E119" s="71" t="s">
        <v>564</v>
      </c>
      <c r="F119" s="31">
        <v>1</v>
      </c>
      <c r="G119" s="32" t="s">
        <v>245</v>
      </c>
      <c r="H119" s="28">
        <v>1</v>
      </c>
      <c r="I119" s="32" t="s">
        <v>245</v>
      </c>
      <c r="J119" s="28">
        <v>1000</v>
      </c>
      <c r="K119" s="30" t="s">
        <v>246</v>
      </c>
      <c r="L119" s="7">
        <f t="shared" si="12"/>
        <v>1000</v>
      </c>
      <c r="M119" s="34">
        <v>0.9</v>
      </c>
      <c r="N119" s="7">
        <f t="shared" si="17"/>
        <v>900</v>
      </c>
      <c r="O119" s="33">
        <v>7</v>
      </c>
      <c r="P119" s="7">
        <f t="shared" si="14"/>
        <v>7</v>
      </c>
      <c r="Q119" s="7">
        <f t="shared" si="15"/>
        <v>7.0000000000000001E-3</v>
      </c>
      <c r="R119" s="13">
        <f t="shared" si="16"/>
        <v>7.7777777777777776E-3</v>
      </c>
      <c r="S119" s="64"/>
      <c r="T119" s="64"/>
      <c r="U119" s="64"/>
      <c r="V119" s="64"/>
      <c r="W119" s="64"/>
      <c r="X119" s="64"/>
      <c r="Y119" s="64"/>
    </row>
    <row r="120" spans="1:25" x14ac:dyDescent="0.25">
      <c r="A120" s="29" t="s">
        <v>255</v>
      </c>
      <c r="B120" s="28" t="s">
        <v>266</v>
      </c>
      <c r="C120" s="28" t="s">
        <v>38</v>
      </c>
      <c r="D120" s="43" t="s">
        <v>591</v>
      </c>
      <c r="E120" s="71" t="s">
        <v>565</v>
      </c>
      <c r="F120" s="31">
        <v>1</v>
      </c>
      <c r="G120" s="32" t="s">
        <v>246</v>
      </c>
      <c r="H120" s="28">
        <v>1</v>
      </c>
      <c r="I120" s="32" t="s">
        <v>246</v>
      </c>
      <c r="J120" s="28">
        <v>1</v>
      </c>
      <c r="K120" s="30" t="s">
        <v>246</v>
      </c>
      <c r="L120" s="7">
        <f t="shared" si="12"/>
        <v>1</v>
      </c>
      <c r="M120" s="34">
        <f>AVERAGE((70/95),(93/145))</f>
        <v>0.68911070780399264</v>
      </c>
      <c r="N120" s="7">
        <f t="shared" si="17"/>
        <v>0.68911070780399264</v>
      </c>
      <c r="O120" s="33">
        <v>0</v>
      </c>
      <c r="P120" s="7">
        <f t="shared" si="14"/>
        <v>0</v>
      </c>
      <c r="Q120" s="7">
        <f t="shared" si="15"/>
        <v>0</v>
      </c>
      <c r="R120" s="13">
        <f t="shared" si="16"/>
        <v>0</v>
      </c>
      <c r="S120" s="64"/>
      <c r="T120" s="64"/>
      <c r="U120" s="64"/>
      <c r="V120" s="64"/>
      <c r="W120" s="64"/>
      <c r="X120" s="64"/>
      <c r="Y120" s="64"/>
    </row>
    <row r="121" spans="1:25" x14ac:dyDescent="0.25">
      <c r="A121" s="29" t="s">
        <v>255</v>
      </c>
      <c r="B121" s="28" t="s">
        <v>266</v>
      </c>
      <c r="C121" s="28" t="s">
        <v>56</v>
      </c>
      <c r="D121" s="43" t="s">
        <v>591</v>
      </c>
      <c r="E121" s="71" t="s">
        <v>566</v>
      </c>
      <c r="F121" s="31">
        <v>1</v>
      </c>
      <c r="G121" s="32" t="s">
        <v>245</v>
      </c>
      <c r="H121" s="28">
        <v>1</v>
      </c>
      <c r="I121" s="32" t="s">
        <v>245</v>
      </c>
      <c r="J121" s="28">
        <v>1000</v>
      </c>
      <c r="K121" s="30" t="s">
        <v>246</v>
      </c>
      <c r="L121" s="7">
        <f t="shared" si="12"/>
        <v>1000</v>
      </c>
      <c r="M121" s="34">
        <f>494/620</f>
        <v>0.79677419354838708</v>
      </c>
      <c r="N121" s="7">
        <f t="shared" si="17"/>
        <v>796.77419354838707</v>
      </c>
      <c r="O121" s="33">
        <v>15</v>
      </c>
      <c r="P121" s="7">
        <f t="shared" si="14"/>
        <v>15</v>
      </c>
      <c r="Q121" s="7">
        <f t="shared" si="15"/>
        <v>1.4999999999999999E-2</v>
      </c>
      <c r="R121" s="13">
        <f t="shared" si="16"/>
        <v>1.882591093117409E-2</v>
      </c>
      <c r="S121" s="64"/>
      <c r="T121" s="64"/>
      <c r="U121" s="64"/>
      <c r="V121" s="64"/>
      <c r="W121" s="64"/>
      <c r="X121" s="64"/>
      <c r="Y121" s="64"/>
    </row>
    <row r="122" spans="1:25" x14ac:dyDescent="0.25">
      <c r="A122" s="29" t="s">
        <v>255</v>
      </c>
      <c r="B122" s="28" t="s">
        <v>266</v>
      </c>
      <c r="C122" s="28" t="s">
        <v>59</v>
      </c>
      <c r="D122" s="43" t="s">
        <v>591</v>
      </c>
      <c r="E122" s="71" t="s">
        <v>567</v>
      </c>
      <c r="F122" s="31">
        <v>1</v>
      </c>
      <c r="G122" s="32" t="s">
        <v>245</v>
      </c>
      <c r="H122" s="28">
        <v>1</v>
      </c>
      <c r="I122" s="32" t="s">
        <v>245</v>
      </c>
      <c r="J122" s="28">
        <v>1000</v>
      </c>
      <c r="K122" s="30" t="s">
        <v>246</v>
      </c>
      <c r="L122" s="7">
        <f t="shared" si="12"/>
        <v>1000</v>
      </c>
      <c r="M122" s="34">
        <v>0.85</v>
      </c>
      <c r="N122" s="7">
        <f t="shared" si="17"/>
        <v>850</v>
      </c>
      <c r="O122" s="33">
        <v>3</v>
      </c>
      <c r="P122" s="7">
        <f t="shared" si="14"/>
        <v>3</v>
      </c>
      <c r="Q122" s="7">
        <f t="shared" si="15"/>
        <v>3.0000000000000001E-3</v>
      </c>
      <c r="R122" s="13">
        <f t="shared" si="16"/>
        <v>3.5294117647058825E-3</v>
      </c>
      <c r="S122" s="64"/>
      <c r="T122" s="64"/>
      <c r="U122" s="64"/>
      <c r="V122" s="64"/>
      <c r="W122" s="64"/>
      <c r="X122" s="64"/>
      <c r="Y122" s="64"/>
    </row>
    <row r="123" spans="1:25" x14ac:dyDescent="0.25">
      <c r="A123" s="29" t="s">
        <v>255</v>
      </c>
      <c r="B123" s="28" t="s">
        <v>266</v>
      </c>
      <c r="C123" s="28" t="s">
        <v>74</v>
      </c>
      <c r="D123" s="43" t="s">
        <v>591</v>
      </c>
      <c r="E123" s="71" t="s">
        <v>568</v>
      </c>
      <c r="F123" s="31">
        <v>1</v>
      </c>
      <c r="G123" s="32" t="s">
        <v>245</v>
      </c>
      <c r="H123" s="28">
        <v>1</v>
      </c>
      <c r="I123" s="32" t="s">
        <v>245</v>
      </c>
      <c r="J123" s="28">
        <v>1000</v>
      </c>
      <c r="K123" s="30" t="s">
        <v>246</v>
      </c>
      <c r="L123" s="7">
        <f t="shared" si="12"/>
        <v>1000</v>
      </c>
      <c r="M123" s="34">
        <f>AVERAGE((0.823),(0.75),(800/920))</f>
        <v>0.81418840579710139</v>
      </c>
      <c r="N123" s="7">
        <f t="shared" si="17"/>
        <v>814.18840579710138</v>
      </c>
      <c r="O123" s="33">
        <v>6</v>
      </c>
      <c r="P123" s="7">
        <f t="shared" si="14"/>
        <v>6</v>
      </c>
      <c r="Q123" s="7">
        <f t="shared" si="15"/>
        <v>6.0000000000000001E-3</v>
      </c>
      <c r="R123" s="13">
        <f t="shared" si="16"/>
        <v>7.3693016963634105E-3</v>
      </c>
      <c r="S123" s="64"/>
      <c r="T123" s="64"/>
      <c r="U123" s="64"/>
      <c r="V123" s="64"/>
      <c r="W123" s="64"/>
      <c r="X123" s="64"/>
      <c r="Y123" s="64"/>
    </row>
    <row r="124" spans="1:25" x14ac:dyDescent="0.25">
      <c r="A124" s="29" t="s">
        <v>255</v>
      </c>
      <c r="B124" s="28" t="s">
        <v>266</v>
      </c>
      <c r="C124" s="28" t="s">
        <v>75</v>
      </c>
      <c r="D124" s="43" t="s">
        <v>591</v>
      </c>
      <c r="E124" s="71" t="s">
        <v>569</v>
      </c>
      <c r="F124" s="31">
        <v>1</v>
      </c>
      <c r="G124" s="32" t="s">
        <v>245</v>
      </c>
      <c r="H124" s="28">
        <v>1</v>
      </c>
      <c r="I124" s="32" t="s">
        <v>245</v>
      </c>
      <c r="J124" s="28">
        <v>1000</v>
      </c>
      <c r="K124" s="30" t="s">
        <v>246</v>
      </c>
      <c r="L124" s="7">
        <f t="shared" si="12"/>
        <v>1000</v>
      </c>
      <c r="M124" s="34">
        <f>227/248</f>
        <v>0.91532258064516125</v>
      </c>
      <c r="N124" s="7">
        <f t="shared" si="17"/>
        <v>915.32258064516122</v>
      </c>
      <c r="O124" s="33">
        <v>13</v>
      </c>
      <c r="P124" s="7">
        <f t="shared" si="14"/>
        <v>13</v>
      </c>
      <c r="Q124" s="7">
        <f t="shared" si="15"/>
        <v>1.2999999999999999E-2</v>
      </c>
      <c r="R124" s="13">
        <f t="shared" si="16"/>
        <v>1.4202643171806169E-2</v>
      </c>
      <c r="S124" s="64"/>
      <c r="T124" s="64"/>
      <c r="U124" s="64"/>
      <c r="V124" s="64"/>
      <c r="W124" s="64"/>
      <c r="X124" s="64"/>
      <c r="Y124" s="64"/>
    </row>
    <row r="125" spans="1:25" x14ac:dyDescent="0.25">
      <c r="A125" s="29" t="s">
        <v>255</v>
      </c>
      <c r="B125" s="28" t="s">
        <v>266</v>
      </c>
      <c r="C125" s="28" t="s">
        <v>48</v>
      </c>
      <c r="D125" s="43" t="s">
        <v>591</v>
      </c>
      <c r="E125" s="71" t="s">
        <v>570</v>
      </c>
      <c r="F125" s="31">
        <v>1</v>
      </c>
      <c r="G125" s="32" t="s">
        <v>245</v>
      </c>
      <c r="H125" s="28">
        <v>1</v>
      </c>
      <c r="I125" s="32" t="s">
        <v>245</v>
      </c>
      <c r="J125" s="28">
        <v>1000</v>
      </c>
      <c r="K125" s="30" t="s">
        <v>246</v>
      </c>
      <c r="L125" s="7">
        <f t="shared" si="12"/>
        <v>1000</v>
      </c>
      <c r="M125" s="34">
        <f>AVERAGE((0.9),(417/580))</f>
        <v>0.80948275862068964</v>
      </c>
      <c r="N125" s="7">
        <f t="shared" si="17"/>
        <v>809.48275862068965</v>
      </c>
      <c r="O125" s="33">
        <v>6</v>
      </c>
      <c r="P125" s="7">
        <f t="shared" si="14"/>
        <v>6</v>
      </c>
      <c r="Q125" s="7">
        <f t="shared" si="15"/>
        <v>6.0000000000000001E-3</v>
      </c>
      <c r="R125" s="13">
        <f t="shared" si="16"/>
        <v>7.412140575079872E-3</v>
      </c>
      <c r="S125" s="64"/>
      <c r="T125" s="64"/>
      <c r="U125" s="64"/>
      <c r="V125" s="64"/>
      <c r="W125" s="64"/>
      <c r="X125" s="64"/>
      <c r="Y125" s="64"/>
    </row>
    <row r="126" spans="1:25" x14ac:dyDescent="0.25">
      <c r="A126" s="29" t="s">
        <v>255</v>
      </c>
      <c r="B126" s="28" t="s">
        <v>266</v>
      </c>
      <c r="C126" s="28" t="s">
        <v>31</v>
      </c>
      <c r="D126" s="43" t="s">
        <v>591</v>
      </c>
      <c r="E126" s="71" t="s">
        <v>571</v>
      </c>
      <c r="F126" s="31">
        <v>1</v>
      </c>
      <c r="G126" s="32" t="s">
        <v>245</v>
      </c>
      <c r="H126" s="28">
        <v>1</v>
      </c>
      <c r="I126" s="32" t="s">
        <v>245</v>
      </c>
      <c r="J126" s="28">
        <v>1000</v>
      </c>
      <c r="K126" s="30" t="s">
        <v>246</v>
      </c>
      <c r="L126" s="7">
        <f t="shared" si="12"/>
        <v>1000</v>
      </c>
      <c r="M126" s="34">
        <f>AVERAGE((477/730),(50/60))</f>
        <v>0.74337899543378994</v>
      </c>
      <c r="N126" s="7">
        <f t="shared" si="17"/>
        <v>743.3789954337899</v>
      </c>
      <c r="O126" s="33">
        <v>10</v>
      </c>
      <c r="P126" s="7">
        <f t="shared" si="14"/>
        <v>10</v>
      </c>
      <c r="Q126" s="7">
        <f t="shared" si="15"/>
        <v>0.01</v>
      </c>
      <c r="R126" s="13">
        <f t="shared" si="16"/>
        <v>1.3452088452088453E-2</v>
      </c>
      <c r="S126" s="64"/>
      <c r="T126" s="64"/>
      <c r="U126" s="64"/>
      <c r="V126" s="64"/>
      <c r="W126" s="64"/>
      <c r="X126" s="64"/>
      <c r="Y126" s="64"/>
    </row>
    <row r="127" spans="1:25" x14ac:dyDescent="0.25">
      <c r="A127" s="29" t="s">
        <v>255</v>
      </c>
      <c r="B127" s="28" t="s">
        <v>266</v>
      </c>
      <c r="C127" s="28" t="s">
        <v>138</v>
      </c>
      <c r="D127" s="43" t="s">
        <v>591</v>
      </c>
      <c r="E127" s="71" t="s">
        <v>572</v>
      </c>
      <c r="F127" s="31">
        <v>1</v>
      </c>
      <c r="G127" s="32" t="s">
        <v>245</v>
      </c>
      <c r="H127" s="28">
        <v>1</v>
      </c>
      <c r="I127" s="32" t="s">
        <v>245</v>
      </c>
      <c r="J127" s="28">
        <v>1000</v>
      </c>
      <c r="K127" s="30" t="s">
        <v>246</v>
      </c>
      <c r="L127" s="7">
        <f t="shared" si="12"/>
        <v>1000</v>
      </c>
      <c r="M127" s="34">
        <v>0.9</v>
      </c>
      <c r="N127" s="7">
        <f t="shared" si="17"/>
        <v>900</v>
      </c>
      <c r="O127" s="33">
        <v>4</v>
      </c>
      <c r="P127" s="7">
        <f t="shared" si="14"/>
        <v>4</v>
      </c>
      <c r="Q127" s="7">
        <f t="shared" si="15"/>
        <v>4.0000000000000001E-3</v>
      </c>
      <c r="R127" s="13">
        <f t="shared" si="16"/>
        <v>4.4444444444444444E-3</v>
      </c>
      <c r="S127" s="64"/>
      <c r="T127" s="64"/>
      <c r="U127" s="64"/>
      <c r="V127" s="64"/>
      <c r="W127" s="64"/>
      <c r="X127" s="64"/>
      <c r="Y127" s="64"/>
    </row>
    <row r="128" spans="1:25" x14ac:dyDescent="0.25">
      <c r="A128" s="29" t="s">
        <v>255</v>
      </c>
      <c r="B128" s="28" t="s">
        <v>266</v>
      </c>
      <c r="C128" s="28" t="s">
        <v>144</v>
      </c>
      <c r="D128" s="43" t="s">
        <v>591</v>
      </c>
      <c r="E128" s="71" t="s">
        <v>573</v>
      </c>
      <c r="F128" s="31">
        <v>1</v>
      </c>
      <c r="G128" s="32" t="s">
        <v>245</v>
      </c>
      <c r="H128" s="28">
        <v>1</v>
      </c>
      <c r="I128" s="32" t="s">
        <v>245</v>
      </c>
      <c r="J128" s="28">
        <v>1000</v>
      </c>
      <c r="K128" s="30" t="s">
        <v>246</v>
      </c>
      <c r="L128" s="7">
        <f t="shared" si="12"/>
        <v>1000</v>
      </c>
      <c r="M128" s="34">
        <v>0.85</v>
      </c>
      <c r="N128" s="7">
        <f t="shared" si="17"/>
        <v>850</v>
      </c>
      <c r="O128" s="33">
        <v>13</v>
      </c>
      <c r="P128" s="7">
        <f t="shared" si="14"/>
        <v>13</v>
      </c>
      <c r="Q128" s="7">
        <f t="shared" si="15"/>
        <v>1.2999999999999999E-2</v>
      </c>
      <c r="R128" s="13">
        <f t="shared" si="16"/>
        <v>1.5294117647058824E-2</v>
      </c>
      <c r="S128" s="64"/>
      <c r="T128" s="64"/>
      <c r="U128" s="64"/>
      <c r="V128" s="64"/>
      <c r="W128" s="64"/>
      <c r="X128" s="64"/>
      <c r="Y128" s="64"/>
    </row>
    <row r="129" spans="1:25" x14ac:dyDescent="0.25">
      <c r="A129" s="29" t="s">
        <v>255</v>
      </c>
      <c r="B129" s="28" t="s">
        <v>266</v>
      </c>
      <c r="C129" s="28" t="s">
        <v>1</v>
      </c>
      <c r="D129" s="43" t="s">
        <v>591</v>
      </c>
      <c r="E129" s="71" t="s">
        <v>574</v>
      </c>
      <c r="F129" s="31">
        <v>1</v>
      </c>
      <c r="G129" s="32" t="s">
        <v>245</v>
      </c>
      <c r="H129" s="28">
        <v>1</v>
      </c>
      <c r="I129" s="32" t="s">
        <v>245</v>
      </c>
      <c r="J129" s="28">
        <v>1000</v>
      </c>
      <c r="K129" s="30" t="s">
        <v>246</v>
      </c>
      <c r="L129" s="7">
        <f t="shared" si="12"/>
        <v>1000</v>
      </c>
      <c r="M129" s="34">
        <f>AVERAGE((145/171),(280/458))</f>
        <v>0.729653464082331</v>
      </c>
      <c r="N129" s="7">
        <f t="shared" si="17"/>
        <v>729.65346408233097</v>
      </c>
      <c r="O129" s="33">
        <v>10</v>
      </c>
      <c r="P129" s="7">
        <f t="shared" si="14"/>
        <v>10</v>
      </c>
      <c r="Q129" s="7">
        <f t="shared" si="15"/>
        <v>0.01</v>
      </c>
      <c r="R129" s="13">
        <f t="shared" si="16"/>
        <v>1.3705136057397848E-2</v>
      </c>
      <c r="S129" s="64"/>
      <c r="T129" s="64"/>
      <c r="U129" s="64"/>
      <c r="V129" s="64"/>
      <c r="W129" s="64"/>
      <c r="X129" s="64"/>
      <c r="Y129" s="64"/>
    </row>
    <row r="130" spans="1:25" x14ac:dyDescent="0.25">
      <c r="A130" s="29" t="s">
        <v>255</v>
      </c>
      <c r="B130" s="28" t="s">
        <v>266</v>
      </c>
      <c r="C130" s="28" t="s">
        <v>141</v>
      </c>
      <c r="D130" s="43" t="s">
        <v>591</v>
      </c>
      <c r="E130" s="71" t="s">
        <v>575</v>
      </c>
      <c r="F130" s="31">
        <v>1</v>
      </c>
      <c r="G130" s="32" t="s">
        <v>245</v>
      </c>
      <c r="H130" s="28">
        <v>1</v>
      </c>
      <c r="I130" s="32" t="s">
        <v>245</v>
      </c>
      <c r="J130" s="28">
        <v>1000</v>
      </c>
      <c r="K130" s="30" t="s">
        <v>246</v>
      </c>
      <c r="L130" s="7">
        <f t="shared" si="12"/>
        <v>1000</v>
      </c>
      <c r="M130" s="34">
        <v>1</v>
      </c>
      <c r="N130" s="7">
        <f t="shared" si="17"/>
        <v>1000</v>
      </c>
      <c r="O130" s="33">
        <v>15</v>
      </c>
      <c r="P130" s="7">
        <f t="shared" ref="P130:P145" si="18">IF((OR(H130="",O130="")),"",O130/H130)</f>
        <v>15</v>
      </c>
      <c r="Q130" s="7">
        <f t="shared" ref="Q130:Q145" si="19">IF((OR(L130="",O130="")),"",O130/L130)</f>
        <v>1.4999999999999999E-2</v>
      </c>
      <c r="R130" s="13">
        <f t="shared" ref="R130:R145" si="20">IF(OR(N130="",O130=""),"",O130/N130)</f>
        <v>1.4999999999999999E-2</v>
      </c>
      <c r="S130" s="64"/>
      <c r="T130" s="64"/>
      <c r="U130" s="64"/>
      <c r="V130" s="64"/>
      <c r="W130" s="64"/>
      <c r="X130" s="64"/>
      <c r="Y130" s="64"/>
    </row>
    <row r="131" spans="1:25" x14ac:dyDescent="0.25">
      <c r="A131" s="29" t="s">
        <v>255</v>
      </c>
      <c r="B131" s="28" t="s">
        <v>266</v>
      </c>
      <c r="C131" s="28" t="s">
        <v>76</v>
      </c>
      <c r="D131" s="43" t="s">
        <v>591</v>
      </c>
      <c r="E131" s="71" t="s">
        <v>576</v>
      </c>
      <c r="F131" s="31">
        <v>1</v>
      </c>
      <c r="G131" s="32" t="s">
        <v>245</v>
      </c>
      <c r="H131" s="28">
        <v>1</v>
      </c>
      <c r="I131" s="32" t="s">
        <v>245</v>
      </c>
      <c r="J131" s="28">
        <v>1000</v>
      </c>
      <c r="K131" s="30" t="s">
        <v>246</v>
      </c>
      <c r="L131" s="7">
        <f t="shared" ref="L131:L145" si="21">IF((PRODUCT(F131,H131,J131))=0,"",(PRODUCT(F131,H131,J131)))</f>
        <v>1000</v>
      </c>
      <c r="M131" s="34">
        <v>0.97</v>
      </c>
      <c r="N131" s="7">
        <f t="shared" ref="N131:N145" si="22">IF(M131="","",(M131*L131))</f>
        <v>970</v>
      </c>
      <c r="O131" s="33">
        <v>14</v>
      </c>
      <c r="P131" s="7">
        <f t="shared" si="18"/>
        <v>14</v>
      </c>
      <c r="Q131" s="7">
        <f t="shared" si="19"/>
        <v>1.4E-2</v>
      </c>
      <c r="R131" s="13">
        <f t="shared" si="20"/>
        <v>1.443298969072165E-2</v>
      </c>
      <c r="S131" s="64"/>
      <c r="T131" s="64"/>
      <c r="U131" s="64"/>
      <c r="V131" s="64"/>
      <c r="W131" s="64"/>
      <c r="X131" s="64"/>
      <c r="Y131" s="64"/>
    </row>
    <row r="132" spans="1:25" x14ac:dyDescent="0.25">
      <c r="A132" s="29" t="s">
        <v>255</v>
      </c>
      <c r="B132" s="28" t="s">
        <v>266</v>
      </c>
      <c r="C132" s="28" t="s">
        <v>66</v>
      </c>
      <c r="D132" s="43" t="s">
        <v>591</v>
      </c>
      <c r="E132" s="71" t="s">
        <v>577</v>
      </c>
      <c r="F132" s="31">
        <v>1</v>
      </c>
      <c r="G132" s="32" t="s">
        <v>245</v>
      </c>
      <c r="H132" s="28">
        <v>1</v>
      </c>
      <c r="I132" s="32" t="s">
        <v>245</v>
      </c>
      <c r="J132" s="28">
        <v>1000</v>
      </c>
      <c r="K132" s="30" t="s">
        <v>246</v>
      </c>
      <c r="L132" s="7">
        <f t="shared" si="21"/>
        <v>1000</v>
      </c>
      <c r="M132" s="34">
        <v>1</v>
      </c>
      <c r="N132" s="7">
        <f t="shared" si="22"/>
        <v>1000</v>
      </c>
      <c r="O132" s="33">
        <v>7</v>
      </c>
      <c r="P132" s="7">
        <f t="shared" si="18"/>
        <v>7</v>
      </c>
      <c r="Q132" s="7">
        <f t="shared" si="19"/>
        <v>7.0000000000000001E-3</v>
      </c>
      <c r="R132" s="13">
        <f t="shared" si="20"/>
        <v>7.0000000000000001E-3</v>
      </c>
      <c r="S132" s="64"/>
      <c r="T132" s="64"/>
      <c r="U132" s="64"/>
      <c r="V132" s="64"/>
      <c r="W132" s="64"/>
      <c r="X132" s="64"/>
      <c r="Y132" s="64"/>
    </row>
    <row r="133" spans="1:25" x14ac:dyDescent="0.25">
      <c r="A133" s="29" t="s">
        <v>255</v>
      </c>
      <c r="B133" s="28" t="s">
        <v>266</v>
      </c>
      <c r="C133" s="28" t="s">
        <v>200</v>
      </c>
      <c r="D133" s="43" t="s">
        <v>591</v>
      </c>
      <c r="E133" s="71" t="s">
        <v>578</v>
      </c>
      <c r="F133" s="31">
        <v>1</v>
      </c>
      <c r="G133" s="32" t="s">
        <v>245</v>
      </c>
      <c r="H133" s="28">
        <v>1</v>
      </c>
      <c r="I133" s="32" t="s">
        <v>245</v>
      </c>
      <c r="J133" s="28">
        <v>1000</v>
      </c>
      <c r="K133" s="30" t="s">
        <v>246</v>
      </c>
      <c r="L133" s="7">
        <f t="shared" si="21"/>
        <v>1000</v>
      </c>
      <c r="M133" s="34">
        <v>0.74</v>
      </c>
      <c r="N133" s="7">
        <f t="shared" si="22"/>
        <v>740</v>
      </c>
      <c r="O133" s="33">
        <v>10</v>
      </c>
      <c r="P133" s="7">
        <f t="shared" si="18"/>
        <v>10</v>
      </c>
      <c r="Q133" s="7">
        <f t="shared" si="19"/>
        <v>0.01</v>
      </c>
      <c r="R133" s="13">
        <f t="shared" si="20"/>
        <v>1.3513513513513514E-2</v>
      </c>
      <c r="S133" s="64"/>
      <c r="T133" s="64"/>
      <c r="U133" s="64"/>
      <c r="V133" s="64"/>
      <c r="W133" s="64"/>
      <c r="X133" s="64"/>
      <c r="Y133" s="64"/>
    </row>
    <row r="134" spans="1:25" x14ac:dyDescent="0.25">
      <c r="A134" s="29" t="s">
        <v>255</v>
      </c>
      <c r="B134" s="28" t="s">
        <v>266</v>
      </c>
      <c r="C134" s="28" t="s">
        <v>18</v>
      </c>
      <c r="D134" s="43" t="s">
        <v>591</v>
      </c>
      <c r="E134" s="71" t="s">
        <v>579</v>
      </c>
      <c r="F134" s="31">
        <v>1</v>
      </c>
      <c r="G134" s="32" t="s">
        <v>245</v>
      </c>
      <c r="H134" s="28">
        <v>1</v>
      </c>
      <c r="I134" s="32" t="s">
        <v>245</v>
      </c>
      <c r="J134" s="28">
        <v>1000</v>
      </c>
      <c r="K134" s="30" t="s">
        <v>246</v>
      </c>
      <c r="L134" s="7">
        <f t="shared" si="21"/>
        <v>1000</v>
      </c>
      <c r="M134" s="34">
        <f>AVERAGE(55.11%,70%)</f>
        <v>0.62555000000000005</v>
      </c>
      <c r="N134" s="7">
        <f t="shared" si="22"/>
        <v>625.55000000000007</v>
      </c>
      <c r="O134" s="33">
        <v>10</v>
      </c>
      <c r="P134" s="7">
        <f t="shared" si="18"/>
        <v>10</v>
      </c>
      <c r="Q134" s="7">
        <f t="shared" si="19"/>
        <v>0.01</v>
      </c>
      <c r="R134" s="13">
        <f t="shared" si="20"/>
        <v>1.5985932379506032E-2</v>
      </c>
      <c r="S134" s="64"/>
      <c r="T134" s="64"/>
      <c r="U134" s="64"/>
      <c r="V134" s="64"/>
      <c r="W134" s="64"/>
      <c r="X134" s="64"/>
      <c r="Y134" s="64"/>
    </row>
    <row r="135" spans="1:25" x14ac:dyDescent="0.25">
      <c r="A135" s="29" t="s">
        <v>255</v>
      </c>
      <c r="B135" s="28" t="s">
        <v>266</v>
      </c>
      <c r="C135" s="28" t="s">
        <v>198</v>
      </c>
      <c r="D135" s="43" t="s">
        <v>591</v>
      </c>
      <c r="E135" s="71" t="s">
        <v>580</v>
      </c>
      <c r="F135" s="31">
        <v>1</v>
      </c>
      <c r="G135" s="32" t="s">
        <v>245</v>
      </c>
      <c r="H135" s="28">
        <v>1</v>
      </c>
      <c r="I135" s="32" t="s">
        <v>245</v>
      </c>
      <c r="J135" s="28">
        <v>1000</v>
      </c>
      <c r="K135" s="30" t="s">
        <v>246</v>
      </c>
      <c r="L135" s="7">
        <f t="shared" si="21"/>
        <v>1000</v>
      </c>
      <c r="M135" s="34">
        <f>AVERAGE((2294/5000),(1551/1752),(375/466))</f>
        <v>0.71626500088188605</v>
      </c>
      <c r="N135" s="7">
        <f t="shared" si="22"/>
        <v>716.26500088188607</v>
      </c>
      <c r="O135" s="33">
        <v>3</v>
      </c>
      <c r="P135" s="7">
        <f t="shared" si="18"/>
        <v>3</v>
      </c>
      <c r="Q135" s="7">
        <f t="shared" si="19"/>
        <v>3.0000000000000001E-3</v>
      </c>
      <c r="R135" s="13">
        <f t="shared" si="20"/>
        <v>4.1883939551790378E-3</v>
      </c>
      <c r="S135" s="64"/>
      <c r="T135" s="64"/>
      <c r="U135" s="64"/>
      <c r="V135" s="64"/>
      <c r="W135" s="64"/>
      <c r="X135" s="64"/>
      <c r="Y135" s="64"/>
    </row>
    <row r="136" spans="1:25" x14ac:dyDescent="0.25">
      <c r="A136" s="29" t="s">
        <v>255</v>
      </c>
      <c r="B136" s="28" t="s">
        <v>266</v>
      </c>
      <c r="C136" s="28" t="s">
        <v>199</v>
      </c>
      <c r="D136" s="43" t="s">
        <v>591</v>
      </c>
      <c r="E136" s="71" t="s">
        <v>581</v>
      </c>
      <c r="F136" s="31">
        <v>1</v>
      </c>
      <c r="G136" s="32" t="s">
        <v>245</v>
      </c>
      <c r="H136" s="28">
        <v>1</v>
      </c>
      <c r="I136" s="32" t="s">
        <v>245</v>
      </c>
      <c r="J136" s="28">
        <v>1000</v>
      </c>
      <c r="K136" s="30" t="s">
        <v>246</v>
      </c>
      <c r="L136" s="7">
        <f t="shared" si="21"/>
        <v>1000</v>
      </c>
      <c r="M136" s="34">
        <f>AVERAGE((2294/5000),(1551/1752),(375/466))</f>
        <v>0.71626500088188605</v>
      </c>
      <c r="N136" s="7">
        <f t="shared" si="22"/>
        <v>716.26500088188607</v>
      </c>
      <c r="O136" s="33">
        <v>4</v>
      </c>
      <c r="P136" s="7">
        <f t="shared" si="18"/>
        <v>4</v>
      </c>
      <c r="Q136" s="7">
        <f t="shared" si="19"/>
        <v>4.0000000000000001E-3</v>
      </c>
      <c r="R136" s="13">
        <f t="shared" si="20"/>
        <v>5.5845252735720512E-3</v>
      </c>
      <c r="S136" s="64"/>
      <c r="T136" s="64"/>
      <c r="U136" s="64"/>
      <c r="V136" s="64"/>
      <c r="W136" s="64"/>
      <c r="X136" s="64"/>
      <c r="Y136" s="64"/>
    </row>
    <row r="137" spans="1:25" x14ac:dyDescent="0.25">
      <c r="A137" s="29" t="s">
        <v>255</v>
      </c>
      <c r="B137" s="28" t="s">
        <v>266</v>
      </c>
      <c r="C137" s="28" t="s">
        <v>13</v>
      </c>
      <c r="D137" s="43" t="s">
        <v>591</v>
      </c>
      <c r="E137" s="71" t="s">
        <v>582</v>
      </c>
      <c r="F137" s="31">
        <v>1</v>
      </c>
      <c r="G137" s="32" t="s">
        <v>245</v>
      </c>
      <c r="H137" s="28">
        <v>1</v>
      </c>
      <c r="I137" s="32" t="s">
        <v>245</v>
      </c>
      <c r="J137" s="28">
        <v>1000</v>
      </c>
      <c r="K137" s="30" t="s">
        <v>246</v>
      </c>
      <c r="L137" s="7">
        <f t="shared" si="21"/>
        <v>1000</v>
      </c>
      <c r="M137" s="34">
        <v>0.51990000000000003</v>
      </c>
      <c r="N137" s="7">
        <f t="shared" si="22"/>
        <v>519.9</v>
      </c>
      <c r="O137" s="33">
        <v>9</v>
      </c>
      <c r="P137" s="7">
        <f t="shared" si="18"/>
        <v>9</v>
      </c>
      <c r="Q137" s="7">
        <f t="shared" si="19"/>
        <v>8.9999999999999993E-3</v>
      </c>
      <c r="R137" s="13">
        <f t="shared" si="20"/>
        <v>1.7311021350259664E-2</v>
      </c>
      <c r="S137" s="64"/>
      <c r="T137" s="64"/>
      <c r="U137" s="64"/>
      <c r="V137" s="64"/>
      <c r="W137" s="64"/>
      <c r="X137" s="64"/>
      <c r="Y137" s="64"/>
    </row>
    <row r="138" spans="1:25" x14ac:dyDescent="0.25">
      <c r="A138" s="29" t="s">
        <v>255</v>
      </c>
      <c r="B138" s="28" t="s">
        <v>266</v>
      </c>
      <c r="C138" s="28" t="s">
        <v>211</v>
      </c>
      <c r="D138" s="43" t="s">
        <v>591</v>
      </c>
      <c r="E138" s="71" t="s">
        <v>583</v>
      </c>
      <c r="F138" s="31">
        <v>1</v>
      </c>
      <c r="G138" s="32" t="s">
        <v>245</v>
      </c>
      <c r="H138" s="28">
        <v>1</v>
      </c>
      <c r="I138" s="32" t="s">
        <v>245</v>
      </c>
      <c r="J138" s="28">
        <v>1000</v>
      </c>
      <c r="K138" s="30" t="s">
        <v>246</v>
      </c>
      <c r="L138" s="7">
        <f t="shared" si="21"/>
        <v>1000</v>
      </c>
      <c r="M138" s="34">
        <v>0.8</v>
      </c>
      <c r="N138" s="7">
        <f t="shared" si="22"/>
        <v>800</v>
      </c>
      <c r="O138" s="33">
        <v>7</v>
      </c>
      <c r="P138" s="7">
        <f t="shared" si="18"/>
        <v>7</v>
      </c>
      <c r="Q138" s="7">
        <f t="shared" si="19"/>
        <v>7.0000000000000001E-3</v>
      </c>
      <c r="R138" s="13">
        <f t="shared" si="20"/>
        <v>8.7500000000000008E-3</v>
      </c>
      <c r="S138" s="64"/>
      <c r="T138" s="64"/>
      <c r="U138" s="64"/>
      <c r="V138" s="64"/>
      <c r="W138" s="64"/>
      <c r="X138" s="64"/>
      <c r="Y138" s="64"/>
    </row>
    <row r="139" spans="1:25" x14ac:dyDescent="0.25">
      <c r="A139" s="29" t="s">
        <v>255</v>
      </c>
      <c r="B139" s="28" t="s">
        <v>266</v>
      </c>
      <c r="C139" s="28" t="s">
        <v>16</v>
      </c>
      <c r="D139" s="43" t="s">
        <v>591</v>
      </c>
      <c r="E139" s="71" t="s">
        <v>584</v>
      </c>
      <c r="F139" s="31">
        <v>1</v>
      </c>
      <c r="G139" s="32" t="s">
        <v>245</v>
      </c>
      <c r="H139" s="28">
        <v>1</v>
      </c>
      <c r="I139" s="32" t="s">
        <v>245</v>
      </c>
      <c r="J139" s="28">
        <v>1000</v>
      </c>
      <c r="K139" s="30" t="s">
        <v>246</v>
      </c>
      <c r="L139" s="7">
        <f t="shared" si="21"/>
        <v>1000</v>
      </c>
      <c r="M139" s="34">
        <f>AVERAGE(88.44%,95%)</f>
        <v>0.91720000000000002</v>
      </c>
      <c r="N139" s="7">
        <f t="shared" si="22"/>
        <v>917.2</v>
      </c>
      <c r="O139" s="33">
        <v>3</v>
      </c>
      <c r="P139" s="7">
        <f t="shared" si="18"/>
        <v>3</v>
      </c>
      <c r="Q139" s="7">
        <f t="shared" si="19"/>
        <v>3.0000000000000001E-3</v>
      </c>
      <c r="R139" s="13">
        <f t="shared" si="20"/>
        <v>3.2708242477104228E-3</v>
      </c>
      <c r="S139" s="64"/>
      <c r="T139" s="64"/>
      <c r="U139" s="64"/>
      <c r="V139" s="64"/>
      <c r="W139" s="64"/>
      <c r="X139" s="64"/>
      <c r="Y139" s="64"/>
    </row>
    <row r="140" spans="1:25" x14ac:dyDescent="0.25">
      <c r="A140" s="29" t="s">
        <v>255</v>
      </c>
      <c r="B140" s="28" t="s">
        <v>266</v>
      </c>
      <c r="C140" s="28" t="s">
        <v>58</v>
      </c>
      <c r="D140" s="43" t="s">
        <v>591</v>
      </c>
      <c r="E140" s="71" t="s">
        <v>585</v>
      </c>
      <c r="F140" s="31">
        <v>1</v>
      </c>
      <c r="G140" s="32" t="s">
        <v>245</v>
      </c>
      <c r="H140" s="28">
        <v>1</v>
      </c>
      <c r="I140" s="32" t="s">
        <v>245</v>
      </c>
      <c r="J140" s="28">
        <v>1000</v>
      </c>
      <c r="K140" s="30" t="s">
        <v>246</v>
      </c>
      <c r="L140" s="7">
        <f t="shared" si="21"/>
        <v>1000</v>
      </c>
      <c r="M140" s="34">
        <f>AVERAGE((0.7656),(0.81),(569/698))</f>
        <v>0.79692874880611286</v>
      </c>
      <c r="N140" s="7">
        <f t="shared" si="22"/>
        <v>796.92874880611282</v>
      </c>
      <c r="O140" s="33">
        <v>7</v>
      </c>
      <c r="P140" s="7">
        <f t="shared" si="18"/>
        <v>7</v>
      </c>
      <c r="Q140" s="7">
        <f t="shared" si="19"/>
        <v>7.0000000000000001E-3</v>
      </c>
      <c r="R140" s="13">
        <f t="shared" si="20"/>
        <v>8.7837212680390471E-3</v>
      </c>
      <c r="S140" s="64"/>
      <c r="T140" s="64"/>
      <c r="U140" s="64"/>
      <c r="V140" s="64"/>
      <c r="W140" s="64"/>
      <c r="X140" s="64"/>
      <c r="Y140" s="64"/>
    </row>
    <row r="141" spans="1:25" x14ac:dyDescent="0.25">
      <c r="A141" s="29" t="s">
        <v>255</v>
      </c>
      <c r="B141" s="28" t="s">
        <v>266</v>
      </c>
      <c r="C141" s="28" t="s">
        <v>20</v>
      </c>
      <c r="D141" s="43" t="s">
        <v>591</v>
      </c>
      <c r="E141" s="71" t="s">
        <v>586</v>
      </c>
      <c r="F141" s="31">
        <v>1</v>
      </c>
      <c r="G141" s="32" t="s">
        <v>245</v>
      </c>
      <c r="H141" s="28">
        <v>1</v>
      </c>
      <c r="I141" s="32" t="s">
        <v>245</v>
      </c>
      <c r="J141" s="28">
        <v>1000</v>
      </c>
      <c r="K141" s="30" t="s">
        <v>246</v>
      </c>
      <c r="L141" s="7">
        <f t="shared" si="21"/>
        <v>1000</v>
      </c>
      <c r="M141" s="34">
        <f>AVERAGE((0.84),(150/360))</f>
        <v>0.6283333333333333</v>
      </c>
      <c r="N141" s="7">
        <f t="shared" si="22"/>
        <v>628.33333333333326</v>
      </c>
      <c r="O141" s="33">
        <v>10</v>
      </c>
      <c r="P141" s="7">
        <f t="shared" si="18"/>
        <v>10</v>
      </c>
      <c r="Q141" s="7">
        <f t="shared" si="19"/>
        <v>0.01</v>
      </c>
      <c r="R141" s="13">
        <f t="shared" si="20"/>
        <v>1.5915119363395229E-2</v>
      </c>
      <c r="S141" s="64"/>
      <c r="T141" s="64"/>
      <c r="U141" s="64"/>
      <c r="V141" s="64"/>
      <c r="W141" s="64"/>
      <c r="X141" s="64"/>
      <c r="Y141" s="64"/>
    </row>
    <row r="142" spans="1:25" x14ac:dyDescent="0.25">
      <c r="A142" s="29" t="s">
        <v>255</v>
      </c>
      <c r="B142" s="28" t="s">
        <v>266</v>
      </c>
      <c r="C142" s="28" t="s">
        <v>160</v>
      </c>
      <c r="D142" s="43" t="s">
        <v>591</v>
      </c>
      <c r="E142" s="71" t="s">
        <v>587</v>
      </c>
      <c r="F142" s="31">
        <v>1</v>
      </c>
      <c r="G142" s="32" t="s">
        <v>245</v>
      </c>
      <c r="H142" s="28">
        <v>1</v>
      </c>
      <c r="I142" s="32" t="s">
        <v>245</v>
      </c>
      <c r="J142" s="28">
        <v>1000</v>
      </c>
      <c r="K142" s="30" t="s">
        <v>246</v>
      </c>
      <c r="L142" s="7">
        <f t="shared" si="21"/>
        <v>1000</v>
      </c>
      <c r="M142" s="34">
        <v>1</v>
      </c>
      <c r="N142" s="7">
        <f t="shared" si="22"/>
        <v>1000</v>
      </c>
      <c r="O142" s="33">
        <v>107</v>
      </c>
      <c r="P142" s="7">
        <f t="shared" si="18"/>
        <v>107</v>
      </c>
      <c r="Q142" s="7">
        <f t="shared" si="19"/>
        <v>0.107</v>
      </c>
      <c r="R142" s="13">
        <f t="shared" si="20"/>
        <v>0.107</v>
      </c>
      <c r="S142" s="64"/>
      <c r="T142" s="64"/>
      <c r="U142" s="64"/>
      <c r="V142" s="64"/>
      <c r="W142" s="64"/>
      <c r="X142" s="64"/>
      <c r="Y142" s="64"/>
    </row>
    <row r="143" spans="1:25" x14ac:dyDescent="0.25">
      <c r="A143" s="29" t="s">
        <v>255</v>
      </c>
      <c r="B143" s="28" t="s">
        <v>266</v>
      </c>
      <c r="C143" s="28" t="s">
        <v>159</v>
      </c>
      <c r="D143" s="43" t="s">
        <v>591</v>
      </c>
      <c r="E143" s="71" t="s">
        <v>588</v>
      </c>
      <c r="F143" s="31">
        <v>1</v>
      </c>
      <c r="G143" s="32" t="s">
        <v>245</v>
      </c>
      <c r="H143" s="28">
        <v>1</v>
      </c>
      <c r="I143" s="32" t="s">
        <v>245</v>
      </c>
      <c r="J143" s="28">
        <v>1000</v>
      </c>
      <c r="K143" s="30" t="s">
        <v>246</v>
      </c>
      <c r="L143" s="7">
        <f t="shared" si="21"/>
        <v>1000</v>
      </c>
      <c r="M143" s="34">
        <v>1</v>
      </c>
      <c r="N143" s="7">
        <f t="shared" si="22"/>
        <v>1000</v>
      </c>
      <c r="O143" s="33">
        <v>113</v>
      </c>
      <c r="P143" s="7">
        <f t="shared" si="18"/>
        <v>113</v>
      </c>
      <c r="Q143" s="7">
        <f t="shared" si="19"/>
        <v>0.113</v>
      </c>
      <c r="R143" s="13">
        <f t="shared" si="20"/>
        <v>0.113</v>
      </c>
      <c r="S143" s="64"/>
      <c r="T143" s="64"/>
      <c r="U143" s="64"/>
      <c r="V143" s="64"/>
      <c r="W143" s="64"/>
      <c r="X143" s="64"/>
      <c r="Y143" s="64"/>
    </row>
    <row r="144" spans="1:25" x14ac:dyDescent="0.25">
      <c r="A144" s="29" t="s">
        <v>255</v>
      </c>
      <c r="B144" s="28" t="s">
        <v>266</v>
      </c>
      <c r="C144" s="28" t="s">
        <v>161</v>
      </c>
      <c r="D144" s="43" t="s">
        <v>591</v>
      </c>
      <c r="E144" s="71" t="s">
        <v>589</v>
      </c>
      <c r="F144" s="31">
        <v>1</v>
      </c>
      <c r="G144" s="32" t="s">
        <v>245</v>
      </c>
      <c r="H144" s="28">
        <v>1</v>
      </c>
      <c r="I144" s="32" t="s">
        <v>245</v>
      </c>
      <c r="J144" s="28">
        <v>1000</v>
      </c>
      <c r="K144" s="30" t="s">
        <v>246</v>
      </c>
      <c r="L144" s="7">
        <f t="shared" si="21"/>
        <v>1000</v>
      </c>
      <c r="M144" s="34">
        <v>0.95</v>
      </c>
      <c r="N144" s="7">
        <f t="shared" si="22"/>
        <v>950</v>
      </c>
      <c r="O144" s="33">
        <v>4</v>
      </c>
      <c r="P144" s="7">
        <f t="shared" si="18"/>
        <v>4</v>
      </c>
      <c r="Q144" s="7">
        <f t="shared" si="19"/>
        <v>4.0000000000000001E-3</v>
      </c>
      <c r="R144" s="13">
        <f t="shared" si="20"/>
        <v>4.2105263157894736E-3</v>
      </c>
      <c r="S144" s="64"/>
      <c r="T144" s="64"/>
      <c r="U144" s="64"/>
      <c r="V144" s="64"/>
      <c r="W144" s="64"/>
      <c r="X144" s="64"/>
      <c r="Y144" s="64"/>
    </row>
    <row r="145" spans="1:25" x14ac:dyDescent="0.25">
      <c r="A145" s="29" t="s">
        <v>255</v>
      </c>
      <c r="B145" s="28" t="s">
        <v>266</v>
      </c>
      <c r="C145" s="28" t="s">
        <v>147</v>
      </c>
      <c r="D145" s="43" t="s">
        <v>591</v>
      </c>
      <c r="E145" s="71" t="s">
        <v>590</v>
      </c>
      <c r="F145" s="31">
        <v>1</v>
      </c>
      <c r="G145" s="32" t="s">
        <v>245</v>
      </c>
      <c r="H145" s="28">
        <v>1</v>
      </c>
      <c r="I145" s="32" t="s">
        <v>245</v>
      </c>
      <c r="J145" s="28">
        <v>1000</v>
      </c>
      <c r="K145" s="30" t="s">
        <v>246</v>
      </c>
      <c r="L145" s="7">
        <f t="shared" si="21"/>
        <v>1000</v>
      </c>
      <c r="M145" s="34">
        <v>0.85</v>
      </c>
      <c r="N145" s="7">
        <f t="shared" si="22"/>
        <v>850</v>
      </c>
      <c r="O145" s="33">
        <v>5</v>
      </c>
      <c r="P145" s="7">
        <f t="shared" si="18"/>
        <v>5</v>
      </c>
      <c r="Q145" s="7">
        <f t="shared" si="19"/>
        <v>5.0000000000000001E-3</v>
      </c>
      <c r="R145" s="13">
        <f t="shared" si="20"/>
        <v>5.8823529411764705E-3</v>
      </c>
      <c r="S145" s="64"/>
      <c r="T145" s="64"/>
      <c r="U145" s="64"/>
      <c r="V145" s="64"/>
      <c r="W145" s="64"/>
      <c r="X145" s="64"/>
      <c r="Y145" s="64"/>
    </row>
    <row r="146" spans="1:25" x14ac:dyDescent="0.25">
      <c r="A146" s="65" t="s">
        <v>255</v>
      </c>
      <c r="B146" s="35" t="s">
        <v>257</v>
      </c>
      <c r="C146" s="35" t="s">
        <v>702</v>
      </c>
      <c r="D146" s="47" t="s">
        <v>680</v>
      </c>
      <c r="E146" s="71" t="s">
        <v>703</v>
      </c>
      <c r="F146" s="31">
        <v>1</v>
      </c>
      <c r="G146" s="32" t="s">
        <v>232</v>
      </c>
      <c r="H146" s="35">
        <v>12</v>
      </c>
      <c r="I146" s="32" t="s">
        <v>236</v>
      </c>
      <c r="J146" s="35">
        <v>1000</v>
      </c>
      <c r="K146" s="30" t="s">
        <v>248</v>
      </c>
      <c r="L146" s="66">
        <f>IF((PRODUCT(F146,H146,J146))=0,"",(PRODUCT(F146,H146,J146)))</f>
        <v>12000</v>
      </c>
      <c r="M146" s="67">
        <v>1</v>
      </c>
      <c r="N146" s="10">
        <f>IF(M146="","",(M146*L146))</f>
        <v>12000</v>
      </c>
      <c r="O146" s="33">
        <v>82</v>
      </c>
      <c r="P146" s="68">
        <f>IF((OR(H146="",O146="")),"",O146/H146)</f>
        <v>6.833333333333333</v>
      </c>
      <c r="Q146" s="66">
        <f>IF((OR(L146="",O146="")),"",O146/L146)</f>
        <v>6.8333333333333336E-3</v>
      </c>
      <c r="R146" s="68">
        <f>IF(OR(N146="",O146=""),"",O146/N146)</f>
        <v>6.8333333333333336E-3</v>
      </c>
      <c r="S146" s="69" t="e">
        <f ca="1">INDIRECT("suppliers[supplier name]")</f>
        <v>#VALUE!</v>
      </c>
      <c r="T146" s="70"/>
      <c r="U146" s="70"/>
      <c r="V146" s="70"/>
      <c r="W146" s="70"/>
      <c r="X146" s="70"/>
      <c r="Y146" s="70"/>
    </row>
  </sheetData>
  <dataValidations count="5">
    <dataValidation type="list" allowBlank="1" showInputMessage="1" showErrorMessage="1" sqref="A2:A146">
      <formula1>"مواد_خام"</formula1>
    </dataValidation>
    <dataValidation type="list" allowBlank="1" showInputMessage="1" showErrorMessage="1" sqref="K2:K146 G2:G146 I2:I146">
      <formula1>INDIRECT("Units[Units]")</formula1>
    </dataValidation>
    <dataValidation type="list" allowBlank="1" showInputMessage="1" showErrorMessage="1" sqref="B2:B146">
      <formula1>INDIRECT(A2)</formula1>
    </dataValidation>
    <dataValidation type="decimal" allowBlank="1" showInputMessage="1" showErrorMessage="1" sqref="M2:M146">
      <formula1>0</formula1>
      <formula2>1</formula2>
    </dataValidation>
    <dataValidation type="list" allowBlank="1" showInputMessage="1" showErrorMessage="1" sqref="S2:Y146">
      <formula1>INDIRECT("suppliers[supplier name]")</formula1>
    </dataValidation>
  </dataValidations>
  <printOptions horizontalCentered="1"/>
  <pageMargins left="7.874015748031496E-2" right="7.874015748031496E-2" top="3.937007874015748E-2" bottom="3.937007874015748E-2" header="7.874015748031496E-2" footer="7.874015748031496E-2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showGridLines="0" zoomScaleNormal="100" workbookViewId="0">
      <selection activeCell="A3" sqref="A3:A6"/>
    </sheetView>
  </sheetViews>
  <sheetFormatPr defaultColWidth="9.140625" defaultRowHeight="15" customHeight="1" x14ac:dyDescent="0.25"/>
  <cols>
    <col min="1" max="1" width="14.42578125" customWidth="1"/>
    <col min="2" max="3" width="11.7109375" style="19" customWidth="1"/>
    <col min="4" max="4" width="15.140625" style="19" bestFit="1" customWidth="1"/>
    <col min="5" max="5" width="14.28515625" style="19" customWidth="1"/>
    <col min="6" max="6" width="15.42578125" style="19" bestFit="1" customWidth="1"/>
    <col min="7" max="16384" width="9.140625" style="19"/>
  </cols>
  <sheetData>
    <row r="1" spans="1:6" s="20" customFormat="1" ht="54.95" customHeight="1" x14ac:dyDescent="0.25">
      <c r="A1" s="24" t="s">
        <v>303</v>
      </c>
      <c r="B1" s="24" t="s">
        <v>271</v>
      </c>
      <c r="C1" s="24" t="s">
        <v>216</v>
      </c>
      <c r="D1" s="24" t="s">
        <v>314</v>
      </c>
      <c r="E1" s="25" t="s">
        <v>299</v>
      </c>
      <c r="F1" s="24" t="s">
        <v>304</v>
      </c>
    </row>
    <row r="2" spans="1:6" ht="18" customHeight="1" x14ac:dyDescent="0.2">
      <c r="A2" s="27" t="str">
        <f>"Prep_recipe"&amp;"_"&amp;(ROW(A2)-ROW($A$1))</f>
        <v>Prep_recipe_1</v>
      </c>
      <c r="B2" s="26" t="s">
        <v>298</v>
      </c>
      <c r="C2" s="35" t="s">
        <v>267</v>
      </c>
      <c r="D2" s="42" t="s">
        <v>274</v>
      </c>
      <c r="E2" s="15" t="s">
        <v>242</v>
      </c>
      <c r="F2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3" spans="1:6" ht="18" customHeight="1" x14ac:dyDescent="0.2">
      <c r="A3" s="27" t="str">
        <f t="shared" ref="A3:A24" si="0">"Prep_recipe"&amp;"_"&amp;(ROW(A3)-ROW($A$1))</f>
        <v>Prep_recipe_2</v>
      </c>
      <c r="B3" s="26" t="s">
        <v>298</v>
      </c>
      <c r="C3" s="35" t="s">
        <v>267</v>
      </c>
      <c r="D3" s="42" t="s">
        <v>275</v>
      </c>
      <c r="E3" s="15" t="s">
        <v>242</v>
      </c>
      <c r="F3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4" spans="1:6" ht="18" customHeight="1" x14ac:dyDescent="0.2">
      <c r="A4" s="27" t="str">
        <f t="shared" si="0"/>
        <v>Prep_recipe_3</v>
      </c>
      <c r="B4" s="26" t="s">
        <v>298</v>
      </c>
      <c r="C4" s="35" t="s">
        <v>263</v>
      </c>
      <c r="D4" s="42" t="s">
        <v>276</v>
      </c>
      <c r="E4" s="15" t="s">
        <v>246</v>
      </c>
      <c r="F4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5" spans="1:6" ht="18" customHeight="1" x14ac:dyDescent="0.2">
      <c r="A5" s="27" t="str">
        <f t="shared" si="0"/>
        <v>Prep_recipe_4</v>
      </c>
      <c r="B5" s="26" t="s">
        <v>298</v>
      </c>
      <c r="C5" s="35" t="s">
        <v>263</v>
      </c>
      <c r="D5" s="42" t="s">
        <v>277</v>
      </c>
      <c r="E5" s="15" t="s">
        <v>246</v>
      </c>
      <c r="F5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6" spans="1:6" ht="18" customHeight="1" x14ac:dyDescent="0.2">
      <c r="A6" s="27" t="str">
        <f t="shared" si="0"/>
        <v>Prep_recipe_5</v>
      </c>
      <c r="B6" s="26" t="s">
        <v>298</v>
      </c>
      <c r="C6" s="35" t="s">
        <v>263</v>
      </c>
      <c r="D6" s="42" t="s">
        <v>278</v>
      </c>
      <c r="E6" s="15" t="s">
        <v>246</v>
      </c>
      <c r="F6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7" spans="1:6" ht="18" customHeight="1" x14ac:dyDescent="0.2">
      <c r="A7" s="27" t="str">
        <f t="shared" si="0"/>
        <v>Prep_recipe_6</v>
      </c>
      <c r="B7" s="26" t="s">
        <v>298</v>
      </c>
      <c r="C7" s="35" t="s">
        <v>263</v>
      </c>
      <c r="D7" s="42" t="s">
        <v>279</v>
      </c>
      <c r="E7" s="15" t="s">
        <v>246</v>
      </c>
      <c r="F7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8" spans="1:6" ht="18" customHeight="1" x14ac:dyDescent="0.2">
      <c r="A8" s="27" t="str">
        <f t="shared" si="0"/>
        <v>Prep_recipe_7</v>
      </c>
      <c r="B8" s="26" t="s">
        <v>298</v>
      </c>
      <c r="C8" s="35" t="s">
        <v>263</v>
      </c>
      <c r="D8" s="42" t="s">
        <v>280</v>
      </c>
      <c r="E8" s="15" t="s">
        <v>246</v>
      </c>
      <c r="F8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9" spans="1:6" ht="18" customHeight="1" x14ac:dyDescent="0.2">
      <c r="A9" s="27" t="str">
        <f t="shared" si="0"/>
        <v>Prep_recipe_8</v>
      </c>
      <c r="B9" s="26" t="s">
        <v>298</v>
      </c>
      <c r="C9" s="35" t="s">
        <v>270</v>
      </c>
      <c r="D9" s="42" t="s">
        <v>281</v>
      </c>
      <c r="E9" s="15" t="s">
        <v>246</v>
      </c>
      <c r="F9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10" spans="1:6" ht="18" customHeight="1" x14ac:dyDescent="0.2">
      <c r="A10" s="27" t="str">
        <f t="shared" si="0"/>
        <v>Prep_recipe_9</v>
      </c>
      <c r="B10" s="26" t="s">
        <v>298</v>
      </c>
      <c r="C10" s="35" t="s">
        <v>270</v>
      </c>
      <c r="D10" s="42" t="s">
        <v>282</v>
      </c>
      <c r="E10" s="15" t="s">
        <v>242</v>
      </c>
      <c r="F10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11" spans="1:6" ht="18" customHeight="1" x14ac:dyDescent="0.2">
      <c r="A11" s="27" t="str">
        <f t="shared" si="0"/>
        <v>Prep_recipe_10</v>
      </c>
      <c r="B11" s="26" t="s">
        <v>298</v>
      </c>
      <c r="C11" s="35" t="s">
        <v>270</v>
      </c>
      <c r="D11" s="42" t="s">
        <v>283</v>
      </c>
      <c r="E11" s="15" t="s">
        <v>242</v>
      </c>
      <c r="F11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12" spans="1:6" ht="18" customHeight="1" x14ac:dyDescent="0.2">
      <c r="A12" s="27" t="str">
        <f t="shared" si="0"/>
        <v>Prep_recipe_11</v>
      </c>
      <c r="B12" s="26" t="s">
        <v>298</v>
      </c>
      <c r="C12" s="35" t="s">
        <v>270</v>
      </c>
      <c r="D12" s="42" t="s">
        <v>285</v>
      </c>
      <c r="E12" s="15" t="s">
        <v>246</v>
      </c>
      <c r="F12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13" spans="1:6" ht="18" customHeight="1" x14ac:dyDescent="0.2">
      <c r="A13" s="27" t="str">
        <f t="shared" si="0"/>
        <v>Prep_recipe_12</v>
      </c>
      <c r="B13" s="26" t="s">
        <v>298</v>
      </c>
      <c r="C13" s="35" t="s">
        <v>270</v>
      </c>
      <c r="D13" s="42" t="s">
        <v>288</v>
      </c>
      <c r="E13" s="15" t="s">
        <v>248</v>
      </c>
      <c r="F13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14" spans="1:6" ht="18" customHeight="1" x14ac:dyDescent="0.2">
      <c r="A14" s="27" t="str">
        <f t="shared" si="0"/>
        <v>Prep_recipe_13</v>
      </c>
      <c r="B14" s="26" t="s">
        <v>298</v>
      </c>
      <c r="C14" s="35" t="s">
        <v>270</v>
      </c>
      <c r="D14" s="42" t="s">
        <v>289</v>
      </c>
      <c r="E14" s="15" t="s">
        <v>248</v>
      </c>
      <c r="F14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15" spans="1:6" ht="18" customHeight="1" x14ac:dyDescent="0.2">
      <c r="A15" s="27" t="str">
        <f t="shared" si="0"/>
        <v>Prep_recipe_14</v>
      </c>
      <c r="B15" s="26" t="s">
        <v>298</v>
      </c>
      <c r="C15" s="35" t="s">
        <v>270</v>
      </c>
      <c r="D15" s="42" t="s">
        <v>296</v>
      </c>
      <c r="E15" s="15" t="s">
        <v>248</v>
      </c>
      <c r="F15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16" spans="1:6" ht="18" customHeight="1" x14ac:dyDescent="0.2">
      <c r="A16" s="27" t="str">
        <f t="shared" si="0"/>
        <v>Prep_recipe_15</v>
      </c>
      <c r="B16" s="26" t="s">
        <v>298</v>
      </c>
      <c r="C16" s="35" t="s">
        <v>269</v>
      </c>
      <c r="D16" s="42" t="s">
        <v>284</v>
      </c>
      <c r="E16" s="15" t="s">
        <v>242</v>
      </c>
      <c r="F16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17" spans="1:6" ht="18" customHeight="1" x14ac:dyDescent="0.2">
      <c r="A17" s="27" t="str">
        <f t="shared" si="0"/>
        <v>Prep_recipe_16</v>
      </c>
      <c r="B17" s="26" t="s">
        <v>298</v>
      </c>
      <c r="C17" s="35" t="s">
        <v>297</v>
      </c>
      <c r="D17" s="42" t="s">
        <v>286</v>
      </c>
      <c r="E17" s="15" t="s">
        <v>239</v>
      </c>
      <c r="F17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18" spans="1:6" ht="18" customHeight="1" x14ac:dyDescent="0.2">
      <c r="A18" s="27" t="str">
        <f t="shared" si="0"/>
        <v>Prep_recipe_17</v>
      </c>
      <c r="B18" s="26" t="s">
        <v>298</v>
      </c>
      <c r="C18" s="35" t="s">
        <v>297</v>
      </c>
      <c r="D18" s="42" t="s">
        <v>287</v>
      </c>
      <c r="E18" s="15" t="s">
        <v>239</v>
      </c>
      <c r="F18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19" spans="1:6" ht="18" customHeight="1" x14ac:dyDescent="0.2">
      <c r="A19" s="27" t="str">
        <f t="shared" si="0"/>
        <v>Prep_recipe_18</v>
      </c>
      <c r="B19" s="26" t="s">
        <v>298</v>
      </c>
      <c r="C19" s="35" t="s">
        <v>268</v>
      </c>
      <c r="D19" s="42" t="s">
        <v>290</v>
      </c>
      <c r="E19" s="15" t="s">
        <v>242</v>
      </c>
      <c r="F19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20" spans="1:6" ht="18" customHeight="1" x14ac:dyDescent="0.2">
      <c r="A20" s="27" t="str">
        <f t="shared" si="0"/>
        <v>Prep_recipe_19</v>
      </c>
      <c r="B20" s="26" t="s">
        <v>298</v>
      </c>
      <c r="C20" s="35" t="s">
        <v>268</v>
      </c>
      <c r="D20" s="42" t="s">
        <v>291</v>
      </c>
      <c r="E20" s="15" t="s">
        <v>242</v>
      </c>
      <c r="F20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21" spans="1:6" ht="18" customHeight="1" x14ac:dyDescent="0.2">
      <c r="A21" s="27" t="str">
        <f t="shared" si="0"/>
        <v>Prep_recipe_20</v>
      </c>
      <c r="B21" s="26" t="s">
        <v>298</v>
      </c>
      <c r="C21" s="35" t="s">
        <v>268</v>
      </c>
      <c r="D21" s="42" t="s">
        <v>292</v>
      </c>
      <c r="E21" s="15" t="s">
        <v>242</v>
      </c>
      <c r="F21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22" spans="1:6" ht="18" customHeight="1" x14ac:dyDescent="0.2">
      <c r="A22" s="27" t="str">
        <f t="shared" si="0"/>
        <v>Prep_recipe_21</v>
      </c>
      <c r="B22" s="26" t="s">
        <v>298</v>
      </c>
      <c r="C22" s="35" t="s">
        <v>268</v>
      </c>
      <c r="D22" s="42" t="s">
        <v>293</v>
      </c>
      <c r="E22" s="15" t="s">
        <v>242</v>
      </c>
      <c r="F22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23" spans="1:6" ht="18" customHeight="1" x14ac:dyDescent="0.2">
      <c r="A23" s="27" t="str">
        <f t="shared" si="0"/>
        <v>Prep_recipe_22</v>
      </c>
      <c r="B23" s="26" t="s">
        <v>298</v>
      </c>
      <c r="C23" s="35" t="s">
        <v>268</v>
      </c>
      <c r="D23" s="42" t="s">
        <v>294</v>
      </c>
      <c r="E23" s="15" t="s">
        <v>242</v>
      </c>
      <c r="F23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24" spans="1:6" ht="18" customHeight="1" x14ac:dyDescent="0.2">
      <c r="A24" s="27" t="str">
        <f t="shared" si="0"/>
        <v>Prep_recipe_23</v>
      </c>
      <c r="B24" s="26" t="s">
        <v>298</v>
      </c>
      <c r="C24" s="35" t="s">
        <v>268</v>
      </c>
      <c r="D24" s="42" t="s">
        <v>295</v>
      </c>
      <c r="E24" s="15" t="s">
        <v>242</v>
      </c>
      <c r="F24" s="46">
        <f>SUMIFS(DATA[الكلفه / وحده],DATA[No.],Prep[[#This Row],[رقم الوصفة]],DATA[Type],Prep[[#This Row],[النوع]],DATA[Cat],Prep[[#This Row],[الفئة]],DATA[Name],Prep[[#This Row],[اسم الوصفة]])</f>
        <v>0</v>
      </c>
    </row>
    <row r="25" spans="1:6" ht="15" customHeight="1" x14ac:dyDescent="0.25">
      <c r="E25" s="21"/>
      <c r="F25" s="22"/>
    </row>
    <row r="26" spans="1:6" ht="15" customHeight="1" x14ac:dyDescent="0.25">
      <c r="E26" s="21"/>
      <c r="F26" s="22"/>
    </row>
    <row r="27" spans="1:6" ht="15" customHeight="1" x14ac:dyDescent="0.25">
      <c r="E27" s="21"/>
      <c r="F27" s="22"/>
    </row>
    <row r="28" spans="1:6" ht="15" customHeight="1" x14ac:dyDescent="0.25">
      <c r="E28" s="21"/>
      <c r="F28" s="22"/>
    </row>
    <row r="29" spans="1:6" ht="15" customHeight="1" x14ac:dyDescent="0.25">
      <c r="E29" s="21"/>
      <c r="F29" s="22"/>
    </row>
    <row r="30" spans="1:6" ht="15" customHeight="1" x14ac:dyDescent="0.25">
      <c r="E30" s="21"/>
      <c r="F30" s="22"/>
    </row>
    <row r="31" spans="1:6" ht="15" customHeight="1" x14ac:dyDescent="0.25">
      <c r="E31" s="21"/>
      <c r="F31" s="22"/>
    </row>
    <row r="32" spans="1:6" ht="15" customHeight="1" x14ac:dyDescent="0.25">
      <c r="E32" s="21"/>
      <c r="F32" s="22"/>
    </row>
    <row r="33" spans="5:6" ht="15" customHeight="1" x14ac:dyDescent="0.25">
      <c r="E33" s="21"/>
      <c r="F33" s="22"/>
    </row>
    <row r="34" spans="5:6" ht="15" customHeight="1" x14ac:dyDescent="0.25">
      <c r="E34" s="21"/>
      <c r="F34" s="22"/>
    </row>
    <row r="35" spans="5:6" ht="15" customHeight="1" x14ac:dyDescent="0.25">
      <c r="E35" s="21"/>
      <c r="F35" s="22"/>
    </row>
    <row r="36" spans="5:6" ht="15" customHeight="1" x14ac:dyDescent="0.25">
      <c r="E36" s="21"/>
      <c r="F36" s="22"/>
    </row>
    <row r="37" spans="5:6" ht="15" customHeight="1" x14ac:dyDescent="0.25">
      <c r="E37" s="21"/>
      <c r="F37" s="22"/>
    </row>
    <row r="38" spans="5:6" ht="15" customHeight="1" x14ac:dyDescent="0.25">
      <c r="E38" s="21"/>
      <c r="F38" s="22"/>
    </row>
    <row r="39" spans="5:6" ht="15" customHeight="1" x14ac:dyDescent="0.25">
      <c r="E39" s="21"/>
      <c r="F39" s="22"/>
    </row>
    <row r="40" spans="5:6" ht="15" customHeight="1" x14ac:dyDescent="0.25">
      <c r="E40" s="21"/>
      <c r="F40" s="22"/>
    </row>
    <row r="41" spans="5:6" ht="15" customHeight="1" x14ac:dyDescent="0.25">
      <c r="E41" s="21"/>
      <c r="F41" s="22"/>
    </row>
    <row r="42" spans="5:6" ht="15" customHeight="1" x14ac:dyDescent="0.25">
      <c r="E42" s="21"/>
      <c r="F42" s="22"/>
    </row>
    <row r="43" spans="5:6" ht="15" customHeight="1" x14ac:dyDescent="0.25">
      <c r="E43" s="21"/>
      <c r="F43" s="22"/>
    </row>
    <row r="44" spans="5:6" ht="15" customHeight="1" x14ac:dyDescent="0.25">
      <c r="E44" s="21"/>
      <c r="F44" s="22"/>
    </row>
    <row r="45" spans="5:6" ht="15" customHeight="1" x14ac:dyDescent="0.25">
      <c r="E45" s="21"/>
      <c r="F45" s="22"/>
    </row>
    <row r="46" spans="5:6" ht="15" customHeight="1" x14ac:dyDescent="0.25">
      <c r="E46" s="21"/>
      <c r="F46" s="22"/>
    </row>
    <row r="47" spans="5:6" ht="15" customHeight="1" x14ac:dyDescent="0.25">
      <c r="E47" s="21"/>
      <c r="F47" s="22"/>
    </row>
    <row r="48" spans="5:6" ht="15" customHeight="1" x14ac:dyDescent="0.25">
      <c r="E48" s="21"/>
      <c r="F48" s="22"/>
    </row>
    <row r="49" spans="5:6" ht="15" customHeight="1" x14ac:dyDescent="0.25">
      <c r="E49" s="21"/>
      <c r="F49" s="22"/>
    </row>
    <row r="50" spans="5:6" ht="15" customHeight="1" x14ac:dyDescent="0.25">
      <c r="E50" s="21"/>
      <c r="F50" s="22"/>
    </row>
    <row r="51" spans="5:6" ht="15" customHeight="1" x14ac:dyDescent="0.25">
      <c r="E51" s="21"/>
      <c r="F51" s="22"/>
    </row>
    <row r="52" spans="5:6" ht="15" customHeight="1" x14ac:dyDescent="0.25">
      <c r="E52" s="21"/>
      <c r="F52" s="22"/>
    </row>
    <row r="53" spans="5:6" ht="15" customHeight="1" x14ac:dyDescent="0.25">
      <c r="E53" s="21"/>
      <c r="F53" s="22"/>
    </row>
    <row r="54" spans="5:6" ht="15" customHeight="1" x14ac:dyDescent="0.25">
      <c r="E54" s="21"/>
      <c r="F54" s="22"/>
    </row>
    <row r="55" spans="5:6" ht="15" customHeight="1" x14ac:dyDescent="0.25">
      <c r="E55" s="21"/>
      <c r="F55" s="22"/>
    </row>
    <row r="56" spans="5:6" ht="15" customHeight="1" x14ac:dyDescent="0.25">
      <c r="E56" s="21"/>
      <c r="F56" s="22"/>
    </row>
    <row r="57" spans="5:6" ht="15" customHeight="1" x14ac:dyDescent="0.25">
      <c r="E57" s="21"/>
      <c r="F57" s="22"/>
    </row>
    <row r="58" spans="5:6" ht="15" customHeight="1" x14ac:dyDescent="0.25">
      <c r="E58" s="21"/>
      <c r="F58" s="22"/>
    </row>
    <row r="59" spans="5:6" ht="15" customHeight="1" x14ac:dyDescent="0.25">
      <c r="E59" s="21"/>
      <c r="F59" s="22"/>
    </row>
    <row r="60" spans="5:6" ht="15" customHeight="1" x14ac:dyDescent="0.25">
      <c r="E60" s="21"/>
      <c r="F60" s="22"/>
    </row>
    <row r="61" spans="5:6" ht="15" customHeight="1" x14ac:dyDescent="0.25">
      <c r="E61" s="21"/>
      <c r="F61" s="22"/>
    </row>
    <row r="62" spans="5:6" ht="15" customHeight="1" x14ac:dyDescent="0.25">
      <c r="E62" s="21"/>
      <c r="F62" s="22"/>
    </row>
    <row r="63" spans="5:6" ht="15" customHeight="1" x14ac:dyDescent="0.25">
      <c r="E63" s="21"/>
      <c r="F63" s="22"/>
    </row>
    <row r="64" spans="5:6" ht="15" customHeight="1" x14ac:dyDescent="0.25">
      <c r="E64" s="21"/>
      <c r="F64" s="22"/>
    </row>
    <row r="65" spans="5:6" ht="15" customHeight="1" x14ac:dyDescent="0.25">
      <c r="E65" s="21"/>
      <c r="F65" s="22"/>
    </row>
    <row r="66" spans="5:6" ht="15" customHeight="1" x14ac:dyDescent="0.25">
      <c r="E66" s="21"/>
      <c r="F66" s="22"/>
    </row>
    <row r="67" spans="5:6" ht="15" customHeight="1" x14ac:dyDescent="0.25">
      <c r="E67" s="21"/>
      <c r="F67" s="22"/>
    </row>
    <row r="68" spans="5:6" ht="15" customHeight="1" x14ac:dyDescent="0.25">
      <c r="E68" s="21"/>
      <c r="F68" s="22"/>
    </row>
    <row r="69" spans="5:6" ht="15" customHeight="1" x14ac:dyDescent="0.25">
      <c r="E69" s="21"/>
      <c r="F69" s="22"/>
    </row>
    <row r="70" spans="5:6" ht="15" customHeight="1" x14ac:dyDescent="0.25">
      <c r="E70" s="21"/>
      <c r="F70" s="22"/>
    </row>
    <row r="71" spans="5:6" ht="15" customHeight="1" x14ac:dyDescent="0.25">
      <c r="E71" s="21"/>
      <c r="F71" s="22"/>
    </row>
    <row r="72" spans="5:6" ht="15" customHeight="1" x14ac:dyDescent="0.25">
      <c r="E72" s="21"/>
      <c r="F72" s="22"/>
    </row>
  </sheetData>
  <dataValidations count="3">
    <dataValidation type="list" allowBlank="1" showInputMessage="1" showErrorMessage="1" sqref="E2:E24">
      <formula1>INDIRECT("Units[Units]")</formula1>
    </dataValidation>
    <dataValidation type="list" allowBlank="1" showInputMessage="1" showErrorMessage="1" sqref="B2:B24">
      <formula1>"وصفات_أولية"</formula1>
    </dataValidation>
    <dataValidation type="list" allowBlank="1" showInputMessage="1" showErrorMessage="1" sqref="C2:C24">
      <formula1>INDIRECT(B2)</formula1>
    </dataValidation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showGridLines="0" zoomScale="90" zoomScaleNormal="90" workbookViewId="0">
      <selection activeCell="A2" sqref="A2:A5"/>
    </sheetView>
  </sheetViews>
  <sheetFormatPr defaultColWidth="9.140625" defaultRowHeight="15" customHeight="1" x14ac:dyDescent="0.2"/>
  <cols>
    <col min="1" max="2" width="9.140625" style="16" customWidth="1"/>
    <col min="3" max="3" width="9.140625" style="16"/>
    <col min="4" max="4" width="29.28515625" style="16" customWidth="1"/>
    <col min="5" max="5" width="16.5703125" style="16" bestFit="1" customWidth="1"/>
    <col min="6" max="6" width="12.42578125" style="16" bestFit="1" customWidth="1"/>
    <col min="7" max="7" width="16.28515625" style="16" bestFit="1" customWidth="1"/>
    <col min="8" max="8" width="9.140625" style="16" customWidth="1"/>
    <col min="9" max="21" width="10.7109375" style="16" customWidth="1"/>
    <col min="22" max="16384" width="9.140625" style="16"/>
  </cols>
  <sheetData>
    <row r="1" spans="1:21" s="17" customFormat="1" ht="48" x14ac:dyDescent="0.25">
      <c r="A1" s="37" t="s">
        <v>315</v>
      </c>
      <c r="B1" s="37" t="s">
        <v>271</v>
      </c>
      <c r="C1" s="37" t="s">
        <v>216</v>
      </c>
      <c r="D1" s="37" t="s">
        <v>322</v>
      </c>
      <c r="E1" s="37" t="s">
        <v>273</v>
      </c>
      <c r="F1" s="37" t="s">
        <v>217</v>
      </c>
      <c r="G1" s="37" t="s">
        <v>218</v>
      </c>
      <c r="H1" s="37" t="s">
        <v>316</v>
      </c>
      <c r="I1" s="37" t="s">
        <v>222</v>
      </c>
      <c r="J1" s="39" t="s">
        <v>714</v>
      </c>
      <c r="K1" s="39" t="s">
        <v>228</v>
      </c>
      <c r="L1" s="37" t="s">
        <v>219</v>
      </c>
      <c r="M1" s="37" t="s">
        <v>220</v>
      </c>
      <c r="N1" s="37" t="s">
        <v>229</v>
      </c>
      <c r="O1" s="37" t="s">
        <v>224</v>
      </c>
      <c r="P1" s="37" t="s">
        <v>221</v>
      </c>
      <c r="Q1" s="37" t="s">
        <v>225</v>
      </c>
      <c r="R1" s="39" t="s">
        <v>223</v>
      </c>
      <c r="S1" s="39" t="s">
        <v>227</v>
      </c>
      <c r="T1" s="39" t="s">
        <v>226</v>
      </c>
      <c r="U1" s="39" t="s">
        <v>230</v>
      </c>
    </row>
    <row r="2" spans="1:21" ht="15" customHeight="1" x14ac:dyDescent="0.2">
      <c r="A2" s="41" t="str">
        <f t="shared" ref="A2:A33" si="0">"Menu"&amp;"_"&amp;(ROW(A2)-ROW($A$1))</f>
        <v>Menu_1</v>
      </c>
      <c r="B2" s="23" t="s">
        <v>321</v>
      </c>
      <c r="C2" s="28" t="s">
        <v>263</v>
      </c>
      <c r="D2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Red Sauce, Vegetable</v>
      </c>
      <c r="E2" s="43" t="s">
        <v>111</v>
      </c>
      <c r="F2" s="43" t="s">
        <v>28</v>
      </c>
      <c r="G2" s="43" t="s">
        <v>40</v>
      </c>
      <c r="H2" s="43"/>
      <c r="I2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2" s="44"/>
      <c r="K2" s="45"/>
      <c r="L2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2" s="44"/>
      <c r="N2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2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2" s="28"/>
      <c r="Q2" s="36" t="str">
        <f>IF(P2="","",(P2/((5/100)+1)))</f>
        <v/>
      </c>
      <c r="R2" s="36" t="str">
        <f>IF(OR(Q2="",L2=""),"",(Q2-L2))</f>
        <v/>
      </c>
      <c r="S2" s="38" t="str">
        <f>IF(OR(L2="",R2=""),"",(R2/L2))</f>
        <v/>
      </c>
      <c r="T2" s="38" t="str">
        <f>IF(OR(R2="",Q2=""),"",(R2/Q2))</f>
        <v/>
      </c>
      <c r="U2" s="38" t="str">
        <f>IF(OR(L2="",Q2=""),"",(L2/Q2))</f>
        <v/>
      </c>
    </row>
    <row r="3" spans="1:21" ht="15" customHeight="1" x14ac:dyDescent="0.2">
      <c r="A3" s="41" t="str">
        <f t="shared" si="0"/>
        <v>Menu_2</v>
      </c>
      <c r="B3" s="23" t="s">
        <v>321</v>
      </c>
      <c r="C3" s="28" t="s">
        <v>263</v>
      </c>
      <c r="D3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Red Sauce, Chicken</v>
      </c>
      <c r="E3" s="43" t="s">
        <v>111</v>
      </c>
      <c r="F3" s="43" t="s">
        <v>28</v>
      </c>
      <c r="G3" s="43" t="s">
        <v>114</v>
      </c>
      <c r="H3" s="43"/>
      <c r="I3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3" s="44"/>
      <c r="K3" s="45"/>
      <c r="L3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3" s="44"/>
      <c r="N3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3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3" s="28"/>
      <c r="Q3" s="36" t="str">
        <f t="shared" ref="Q3:Q66" si="1">IF(P3="","",(P3/((5/100)+1)))</f>
        <v/>
      </c>
      <c r="R3" s="36" t="str">
        <f t="shared" ref="R3:R66" si="2">IF(OR(Q3="",L3=""),"",(Q3-L3))</f>
        <v/>
      </c>
      <c r="S3" s="38" t="str">
        <f t="shared" ref="S3:S66" si="3">IF(OR(L3="",R3=""),"",(R3/L3))</f>
        <v/>
      </c>
      <c r="T3" s="38" t="str">
        <f t="shared" ref="T3:T66" si="4">IF(OR(R3="",Q3=""),"",(R3/Q3))</f>
        <v/>
      </c>
      <c r="U3" s="38" t="str">
        <f t="shared" ref="U3:U66" si="5">IF(OR(L3="",Q3=""),"",(L3/Q3))</f>
        <v/>
      </c>
    </row>
    <row r="4" spans="1:21" ht="15" customHeight="1" x14ac:dyDescent="0.2">
      <c r="A4" s="41" t="str">
        <f t="shared" si="0"/>
        <v>Menu_3</v>
      </c>
      <c r="B4" s="23" t="s">
        <v>321</v>
      </c>
      <c r="C4" s="28" t="s">
        <v>263</v>
      </c>
      <c r="D4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Red Sauce, meat</v>
      </c>
      <c r="E4" s="43" t="s">
        <v>111</v>
      </c>
      <c r="F4" s="43" t="s">
        <v>28</v>
      </c>
      <c r="G4" s="43" t="s">
        <v>115</v>
      </c>
      <c r="H4" s="43"/>
      <c r="I4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4" s="44"/>
      <c r="K4" s="45"/>
      <c r="L4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4" s="44"/>
      <c r="N4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4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4" s="28"/>
      <c r="Q4" s="36" t="str">
        <f t="shared" si="1"/>
        <v/>
      </c>
      <c r="R4" s="36" t="str">
        <f t="shared" si="2"/>
        <v/>
      </c>
      <c r="S4" s="38" t="str">
        <f t="shared" si="3"/>
        <v/>
      </c>
      <c r="T4" s="38" t="str">
        <f t="shared" si="4"/>
        <v/>
      </c>
      <c r="U4" s="38" t="str">
        <f t="shared" si="5"/>
        <v/>
      </c>
    </row>
    <row r="5" spans="1:21" ht="15" customHeight="1" x14ac:dyDescent="0.2">
      <c r="A5" s="41" t="str">
        <f t="shared" si="0"/>
        <v>Menu_4</v>
      </c>
      <c r="B5" s="23" t="s">
        <v>321</v>
      </c>
      <c r="C5" s="28" t="s">
        <v>263</v>
      </c>
      <c r="D5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Red Sauce, Fish</v>
      </c>
      <c r="E5" s="43" t="s">
        <v>111</v>
      </c>
      <c r="F5" s="43" t="s">
        <v>28</v>
      </c>
      <c r="G5" s="43" t="s">
        <v>72</v>
      </c>
      <c r="H5" s="43"/>
      <c r="I5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5" s="44"/>
      <c r="K5" s="45"/>
      <c r="L5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5" s="44"/>
      <c r="N5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5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5" s="28"/>
      <c r="Q5" s="36" t="str">
        <f t="shared" si="1"/>
        <v/>
      </c>
      <c r="R5" s="36" t="str">
        <f t="shared" si="2"/>
        <v/>
      </c>
      <c r="S5" s="38" t="str">
        <f t="shared" si="3"/>
        <v/>
      </c>
      <c r="T5" s="38" t="str">
        <f t="shared" si="4"/>
        <v/>
      </c>
      <c r="U5" s="38" t="str">
        <f t="shared" si="5"/>
        <v/>
      </c>
    </row>
    <row r="6" spans="1:21" ht="15" customHeight="1" x14ac:dyDescent="0.2">
      <c r="A6" s="41" t="str">
        <f t="shared" si="0"/>
        <v>Menu_5</v>
      </c>
      <c r="B6" s="23" t="s">
        <v>321</v>
      </c>
      <c r="C6" s="28" t="s">
        <v>263</v>
      </c>
      <c r="D6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Red Sauce, Shrimp</v>
      </c>
      <c r="E6" s="43" t="s">
        <v>111</v>
      </c>
      <c r="F6" s="43" t="s">
        <v>28</v>
      </c>
      <c r="G6" s="43" t="s">
        <v>73</v>
      </c>
      <c r="H6" s="43"/>
      <c r="I6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6" s="44"/>
      <c r="K6" s="45"/>
      <c r="L6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6" s="44"/>
      <c r="N6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6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6" s="28"/>
      <c r="Q6" s="36" t="str">
        <f t="shared" si="1"/>
        <v/>
      </c>
      <c r="R6" s="36" t="str">
        <f t="shared" si="2"/>
        <v/>
      </c>
      <c r="S6" s="38" t="str">
        <f t="shared" si="3"/>
        <v/>
      </c>
      <c r="T6" s="38" t="str">
        <f t="shared" si="4"/>
        <v/>
      </c>
      <c r="U6" s="38" t="str">
        <f t="shared" si="5"/>
        <v/>
      </c>
    </row>
    <row r="7" spans="1:21" ht="15" customHeight="1" x14ac:dyDescent="0.2">
      <c r="A7" s="41" t="str">
        <f t="shared" si="0"/>
        <v>Menu_6</v>
      </c>
      <c r="B7" s="23" t="s">
        <v>321</v>
      </c>
      <c r="C7" s="28" t="s">
        <v>263</v>
      </c>
      <c r="D7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Red Sauce, mix protein</v>
      </c>
      <c r="E7" s="43" t="s">
        <v>111</v>
      </c>
      <c r="F7" s="43" t="s">
        <v>28</v>
      </c>
      <c r="G7" s="43" t="s">
        <v>112</v>
      </c>
      <c r="H7" s="43"/>
      <c r="I7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7" s="44"/>
      <c r="K7" s="45"/>
      <c r="L7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7" s="44"/>
      <c r="N7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7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7" s="28"/>
      <c r="Q7" s="36" t="str">
        <f t="shared" si="1"/>
        <v/>
      </c>
      <c r="R7" s="36" t="str">
        <f t="shared" si="2"/>
        <v/>
      </c>
      <c r="S7" s="38" t="str">
        <f t="shared" si="3"/>
        <v/>
      </c>
      <c r="T7" s="38" t="str">
        <f t="shared" si="4"/>
        <v/>
      </c>
      <c r="U7" s="38" t="str">
        <f t="shared" si="5"/>
        <v/>
      </c>
    </row>
    <row r="8" spans="1:21" ht="15" customHeight="1" x14ac:dyDescent="0.2">
      <c r="A8" s="41" t="str">
        <f t="shared" si="0"/>
        <v>Menu_7</v>
      </c>
      <c r="B8" s="23" t="s">
        <v>321</v>
      </c>
      <c r="C8" s="28" t="s">
        <v>263</v>
      </c>
      <c r="D8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White Sauce, Vegetable</v>
      </c>
      <c r="E8" s="43" t="s">
        <v>111</v>
      </c>
      <c r="F8" s="43" t="s">
        <v>29</v>
      </c>
      <c r="G8" s="43" t="s">
        <v>40</v>
      </c>
      <c r="H8" s="43"/>
      <c r="I8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8" s="44"/>
      <c r="K8" s="45"/>
      <c r="L8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8" s="44"/>
      <c r="N8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8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8" s="28"/>
      <c r="Q8" s="36" t="str">
        <f t="shared" si="1"/>
        <v/>
      </c>
      <c r="R8" s="36" t="str">
        <f t="shared" si="2"/>
        <v/>
      </c>
      <c r="S8" s="38" t="str">
        <f t="shared" si="3"/>
        <v/>
      </c>
      <c r="T8" s="38" t="str">
        <f t="shared" si="4"/>
        <v/>
      </c>
      <c r="U8" s="38" t="str">
        <f t="shared" si="5"/>
        <v/>
      </c>
    </row>
    <row r="9" spans="1:21" ht="15" customHeight="1" x14ac:dyDescent="0.2">
      <c r="A9" s="41" t="str">
        <f t="shared" si="0"/>
        <v>Menu_8</v>
      </c>
      <c r="B9" s="23" t="s">
        <v>321</v>
      </c>
      <c r="C9" s="28" t="s">
        <v>263</v>
      </c>
      <c r="D9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White Sauce, Chicken</v>
      </c>
      <c r="E9" s="43" t="s">
        <v>111</v>
      </c>
      <c r="F9" s="43" t="s">
        <v>29</v>
      </c>
      <c r="G9" s="43" t="s">
        <v>114</v>
      </c>
      <c r="H9" s="43"/>
      <c r="I9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9" s="44"/>
      <c r="K9" s="45"/>
      <c r="L9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9" s="44"/>
      <c r="N9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9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9" s="28"/>
      <c r="Q9" s="36" t="str">
        <f t="shared" si="1"/>
        <v/>
      </c>
      <c r="R9" s="36" t="str">
        <f t="shared" si="2"/>
        <v/>
      </c>
      <c r="S9" s="38" t="str">
        <f t="shared" si="3"/>
        <v/>
      </c>
      <c r="T9" s="38" t="str">
        <f t="shared" si="4"/>
        <v/>
      </c>
      <c r="U9" s="38" t="str">
        <f t="shared" si="5"/>
        <v/>
      </c>
    </row>
    <row r="10" spans="1:21" ht="15" customHeight="1" x14ac:dyDescent="0.2">
      <c r="A10" s="41" t="str">
        <f t="shared" si="0"/>
        <v>Menu_9</v>
      </c>
      <c r="B10" s="23" t="s">
        <v>321</v>
      </c>
      <c r="C10" s="28" t="s">
        <v>263</v>
      </c>
      <c r="D10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White Sauce, meat</v>
      </c>
      <c r="E10" s="43" t="s">
        <v>111</v>
      </c>
      <c r="F10" s="43" t="s">
        <v>29</v>
      </c>
      <c r="G10" s="43" t="s">
        <v>115</v>
      </c>
      <c r="H10" s="43"/>
      <c r="I10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10" s="44"/>
      <c r="K10" s="45"/>
      <c r="L10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10" s="44"/>
      <c r="N10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10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10" s="28"/>
      <c r="Q10" s="36" t="str">
        <f t="shared" si="1"/>
        <v/>
      </c>
      <c r="R10" s="36" t="str">
        <f t="shared" si="2"/>
        <v/>
      </c>
      <c r="S10" s="38" t="str">
        <f t="shared" si="3"/>
        <v/>
      </c>
      <c r="T10" s="38" t="str">
        <f t="shared" si="4"/>
        <v/>
      </c>
      <c r="U10" s="38" t="str">
        <f t="shared" si="5"/>
        <v/>
      </c>
    </row>
    <row r="11" spans="1:21" ht="15" customHeight="1" x14ac:dyDescent="0.2">
      <c r="A11" s="41" t="str">
        <f t="shared" si="0"/>
        <v>Menu_10</v>
      </c>
      <c r="B11" s="23" t="s">
        <v>321</v>
      </c>
      <c r="C11" s="28" t="s">
        <v>263</v>
      </c>
      <c r="D11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White Sauce, Fish</v>
      </c>
      <c r="E11" s="43" t="s">
        <v>111</v>
      </c>
      <c r="F11" s="43" t="s">
        <v>29</v>
      </c>
      <c r="G11" s="43" t="s">
        <v>72</v>
      </c>
      <c r="H11" s="43"/>
      <c r="I11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11" s="44"/>
      <c r="K11" s="45"/>
      <c r="L11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11" s="44"/>
      <c r="N11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11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11" s="28"/>
      <c r="Q11" s="36" t="str">
        <f t="shared" si="1"/>
        <v/>
      </c>
      <c r="R11" s="36" t="str">
        <f t="shared" si="2"/>
        <v/>
      </c>
      <c r="S11" s="38" t="str">
        <f t="shared" si="3"/>
        <v/>
      </c>
      <c r="T11" s="38" t="str">
        <f t="shared" si="4"/>
        <v/>
      </c>
      <c r="U11" s="38" t="str">
        <f t="shared" si="5"/>
        <v/>
      </c>
    </row>
    <row r="12" spans="1:21" ht="15" customHeight="1" x14ac:dyDescent="0.2">
      <c r="A12" s="41" t="str">
        <f t="shared" si="0"/>
        <v>Menu_11</v>
      </c>
      <c r="B12" s="23" t="s">
        <v>321</v>
      </c>
      <c r="C12" s="28" t="s">
        <v>263</v>
      </c>
      <c r="D12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White Sauce, Shrimp</v>
      </c>
      <c r="E12" s="43" t="s">
        <v>111</v>
      </c>
      <c r="F12" s="43" t="s">
        <v>29</v>
      </c>
      <c r="G12" s="43" t="s">
        <v>73</v>
      </c>
      <c r="H12" s="43"/>
      <c r="I12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12" s="44"/>
      <c r="K12" s="45"/>
      <c r="L12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12" s="44"/>
      <c r="N12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12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12" s="28"/>
      <c r="Q12" s="36" t="str">
        <f t="shared" si="1"/>
        <v/>
      </c>
      <c r="R12" s="36" t="str">
        <f t="shared" si="2"/>
        <v/>
      </c>
      <c r="S12" s="38" t="str">
        <f t="shared" si="3"/>
        <v/>
      </c>
      <c r="T12" s="38" t="str">
        <f t="shared" si="4"/>
        <v/>
      </c>
      <c r="U12" s="38" t="str">
        <f t="shared" si="5"/>
        <v/>
      </c>
    </row>
    <row r="13" spans="1:21" ht="15" customHeight="1" x14ac:dyDescent="0.2">
      <c r="A13" s="41" t="str">
        <f t="shared" si="0"/>
        <v>Menu_12</v>
      </c>
      <c r="B13" s="23" t="s">
        <v>321</v>
      </c>
      <c r="C13" s="28" t="s">
        <v>263</v>
      </c>
      <c r="D13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White Sauce, mix protein</v>
      </c>
      <c r="E13" s="43" t="s">
        <v>111</v>
      </c>
      <c r="F13" s="43" t="s">
        <v>29</v>
      </c>
      <c r="G13" s="43" t="s">
        <v>112</v>
      </c>
      <c r="H13" s="43"/>
      <c r="I13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13" s="44"/>
      <c r="K13" s="45"/>
      <c r="L13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13" s="44"/>
      <c r="N13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13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13" s="28"/>
      <c r="Q13" s="36" t="str">
        <f t="shared" si="1"/>
        <v/>
      </c>
      <c r="R13" s="36" t="str">
        <f t="shared" si="2"/>
        <v/>
      </c>
      <c r="S13" s="38" t="str">
        <f t="shared" si="3"/>
        <v/>
      </c>
      <c r="T13" s="38" t="str">
        <f t="shared" si="4"/>
        <v/>
      </c>
      <c r="U13" s="38" t="str">
        <f t="shared" si="5"/>
        <v/>
      </c>
    </row>
    <row r="14" spans="1:21" ht="15" customHeight="1" x14ac:dyDescent="0.2">
      <c r="A14" s="41" t="str">
        <f t="shared" si="0"/>
        <v>Menu_13</v>
      </c>
      <c r="B14" s="23" t="s">
        <v>321</v>
      </c>
      <c r="C14" s="28" t="s">
        <v>263</v>
      </c>
      <c r="D14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Mix Sauce, Vegetable</v>
      </c>
      <c r="E14" s="43" t="s">
        <v>111</v>
      </c>
      <c r="F14" s="43" t="s">
        <v>113</v>
      </c>
      <c r="G14" s="43" t="s">
        <v>40</v>
      </c>
      <c r="H14" s="43"/>
      <c r="I14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14" s="44"/>
      <c r="K14" s="45"/>
      <c r="L14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14" s="44"/>
      <c r="N14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14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14" s="28"/>
      <c r="Q14" s="36" t="str">
        <f t="shared" si="1"/>
        <v/>
      </c>
      <c r="R14" s="36" t="str">
        <f t="shared" si="2"/>
        <v/>
      </c>
      <c r="S14" s="38" t="str">
        <f t="shared" si="3"/>
        <v/>
      </c>
      <c r="T14" s="38" t="str">
        <f t="shared" si="4"/>
        <v/>
      </c>
      <c r="U14" s="38" t="str">
        <f t="shared" si="5"/>
        <v/>
      </c>
    </row>
    <row r="15" spans="1:21" ht="15" customHeight="1" x14ac:dyDescent="0.2">
      <c r="A15" s="41" t="str">
        <f t="shared" si="0"/>
        <v>Menu_14</v>
      </c>
      <c r="B15" s="23" t="s">
        <v>321</v>
      </c>
      <c r="C15" s="28" t="s">
        <v>263</v>
      </c>
      <c r="D15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Mix Sauce, Chicken</v>
      </c>
      <c r="E15" s="43" t="s">
        <v>111</v>
      </c>
      <c r="F15" s="43" t="s">
        <v>113</v>
      </c>
      <c r="G15" s="43" t="s">
        <v>114</v>
      </c>
      <c r="H15" s="43"/>
      <c r="I15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15" s="44"/>
      <c r="K15" s="45"/>
      <c r="L15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15" s="44"/>
      <c r="N15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15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15" s="28"/>
      <c r="Q15" s="36" t="str">
        <f t="shared" si="1"/>
        <v/>
      </c>
      <c r="R15" s="36" t="str">
        <f t="shared" si="2"/>
        <v/>
      </c>
      <c r="S15" s="38" t="str">
        <f t="shared" si="3"/>
        <v/>
      </c>
      <c r="T15" s="38" t="str">
        <f t="shared" si="4"/>
        <v/>
      </c>
      <c r="U15" s="38" t="str">
        <f t="shared" si="5"/>
        <v/>
      </c>
    </row>
    <row r="16" spans="1:21" ht="15" customHeight="1" x14ac:dyDescent="0.2">
      <c r="A16" s="41" t="str">
        <f t="shared" si="0"/>
        <v>Menu_15</v>
      </c>
      <c r="B16" s="23" t="s">
        <v>321</v>
      </c>
      <c r="C16" s="28" t="s">
        <v>263</v>
      </c>
      <c r="D16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Mix Sauce, meat</v>
      </c>
      <c r="E16" s="43" t="s">
        <v>111</v>
      </c>
      <c r="F16" s="43" t="s">
        <v>113</v>
      </c>
      <c r="G16" s="43" t="s">
        <v>115</v>
      </c>
      <c r="H16" s="43"/>
      <c r="I16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16" s="44"/>
      <c r="K16" s="45"/>
      <c r="L16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16" s="44"/>
      <c r="N16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16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16" s="28"/>
      <c r="Q16" s="36" t="str">
        <f t="shared" si="1"/>
        <v/>
      </c>
      <c r="R16" s="36" t="str">
        <f t="shared" si="2"/>
        <v/>
      </c>
      <c r="S16" s="38" t="str">
        <f t="shared" si="3"/>
        <v/>
      </c>
      <c r="T16" s="38" t="str">
        <f t="shared" si="4"/>
        <v/>
      </c>
      <c r="U16" s="38" t="str">
        <f t="shared" si="5"/>
        <v/>
      </c>
    </row>
    <row r="17" spans="1:21" ht="15" customHeight="1" x14ac:dyDescent="0.2">
      <c r="A17" s="41" t="str">
        <f t="shared" si="0"/>
        <v>Menu_16</v>
      </c>
      <c r="B17" s="23" t="s">
        <v>321</v>
      </c>
      <c r="C17" s="28" t="s">
        <v>263</v>
      </c>
      <c r="D17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Mix Sauce, Fish</v>
      </c>
      <c r="E17" s="43" t="s">
        <v>111</v>
      </c>
      <c r="F17" s="43" t="s">
        <v>113</v>
      </c>
      <c r="G17" s="43" t="s">
        <v>72</v>
      </c>
      <c r="H17" s="43"/>
      <c r="I17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17" s="44"/>
      <c r="K17" s="45"/>
      <c r="L17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17" s="44"/>
      <c r="N17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17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17" s="28"/>
      <c r="Q17" s="36" t="str">
        <f t="shared" si="1"/>
        <v/>
      </c>
      <c r="R17" s="36" t="str">
        <f t="shared" si="2"/>
        <v/>
      </c>
      <c r="S17" s="38" t="str">
        <f t="shared" si="3"/>
        <v/>
      </c>
      <c r="T17" s="38" t="str">
        <f t="shared" si="4"/>
        <v/>
      </c>
      <c r="U17" s="38" t="str">
        <f t="shared" si="5"/>
        <v/>
      </c>
    </row>
    <row r="18" spans="1:21" ht="15" customHeight="1" x14ac:dyDescent="0.2">
      <c r="A18" s="41" t="str">
        <f t="shared" si="0"/>
        <v>Menu_17</v>
      </c>
      <c r="B18" s="23" t="s">
        <v>321</v>
      </c>
      <c r="C18" s="28" t="s">
        <v>263</v>
      </c>
      <c r="D18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Mix Sauce, Shrimp</v>
      </c>
      <c r="E18" s="43" t="s">
        <v>111</v>
      </c>
      <c r="F18" s="43" t="s">
        <v>113</v>
      </c>
      <c r="G18" s="43" t="s">
        <v>73</v>
      </c>
      <c r="H18" s="43"/>
      <c r="I18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18" s="44"/>
      <c r="K18" s="45"/>
      <c r="L18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18" s="44"/>
      <c r="N18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18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18" s="28"/>
      <c r="Q18" s="36" t="str">
        <f t="shared" si="1"/>
        <v/>
      </c>
      <c r="R18" s="36" t="str">
        <f t="shared" si="2"/>
        <v/>
      </c>
      <c r="S18" s="38" t="str">
        <f t="shared" si="3"/>
        <v/>
      </c>
      <c r="T18" s="38" t="str">
        <f t="shared" si="4"/>
        <v/>
      </c>
      <c r="U18" s="38" t="str">
        <f t="shared" si="5"/>
        <v/>
      </c>
    </row>
    <row r="19" spans="1:21" ht="15" customHeight="1" x14ac:dyDescent="0.2">
      <c r="A19" s="41" t="str">
        <f t="shared" si="0"/>
        <v>Menu_18</v>
      </c>
      <c r="B19" s="23" t="s">
        <v>321</v>
      </c>
      <c r="C19" s="28" t="s">
        <v>263</v>
      </c>
      <c r="D19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Mix Pasta, Mix Sauce, mix protein</v>
      </c>
      <c r="E19" s="43" t="s">
        <v>111</v>
      </c>
      <c r="F19" s="43" t="s">
        <v>113</v>
      </c>
      <c r="G19" s="43" t="s">
        <v>112</v>
      </c>
      <c r="H19" s="43"/>
      <c r="I19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19" s="44"/>
      <c r="K19" s="45"/>
      <c r="L19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19" s="44"/>
      <c r="N19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19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19" s="28"/>
      <c r="Q19" s="36" t="str">
        <f t="shared" si="1"/>
        <v/>
      </c>
      <c r="R19" s="36" t="str">
        <f t="shared" si="2"/>
        <v/>
      </c>
      <c r="S19" s="38" t="str">
        <f t="shared" si="3"/>
        <v/>
      </c>
      <c r="T19" s="38" t="str">
        <f t="shared" si="4"/>
        <v/>
      </c>
      <c r="U19" s="38" t="str">
        <f t="shared" si="5"/>
        <v/>
      </c>
    </row>
    <row r="20" spans="1:21" ht="15" customHeight="1" x14ac:dyDescent="0.2">
      <c r="A20" s="41" t="str">
        <f t="shared" si="0"/>
        <v>Menu_19</v>
      </c>
      <c r="B20" s="23" t="s">
        <v>321</v>
      </c>
      <c r="C20" s="28" t="s">
        <v>263</v>
      </c>
      <c r="D20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Chinese pasta, Vegtable</v>
      </c>
      <c r="E20" s="43" t="s">
        <v>116</v>
      </c>
      <c r="F20" s="43"/>
      <c r="G20" s="43" t="s">
        <v>117</v>
      </c>
      <c r="H20" s="43"/>
      <c r="I20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20" s="44"/>
      <c r="K20" s="45"/>
      <c r="L20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20" s="44"/>
      <c r="N20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20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20" s="28"/>
      <c r="Q20" s="36" t="str">
        <f t="shared" si="1"/>
        <v/>
      </c>
      <c r="R20" s="36" t="str">
        <f t="shared" si="2"/>
        <v/>
      </c>
      <c r="S20" s="38" t="str">
        <f t="shared" si="3"/>
        <v/>
      </c>
      <c r="T20" s="38" t="str">
        <f t="shared" si="4"/>
        <v/>
      </c>
      <c r="U20" s="38" t="str">
        <f t="shared" si="5"/>
        <v/>
      </c>
    </row>
    <row r="21" spans="1:21" ht="15" customHeight="1" x14ac:dyDescent="0.2">
      <c r="A21" s="41" t="str">
        <f t="shared" si="0"/>
        <v>Menu_20</v>
      </c>
      <c r="B21" s="23" t="s">
        <v>321</v>
      </c>
      <c r="C21" s="28" t="s">
        <v>263</v>
      </c>
      <c r="D21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Chinese pasta, Chicken</v>
      </c>
      <c r="E21" s="43" t="s">
        <v>116</v>
      </c>
      <c r="F21" s="43"/>
      <c r="G21" s="43" t="s">
        <v>114</v>
      </c>
      <c r="H21" s="43"/>
      <c r="I21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21" s="44"/>
      <c r="K21" s="45"/>
      <c r="L21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21" s="44"/>
      <c r="N21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21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21" s="28"/>
      <c r="Q21" s="36" t="str">
        <f t="shared" si="1"/>
        <v/>
      </c>
      <c r="R21" s="36" t="str">
        <f t="shared" si="2"/>
        <v/>
      </c>
      <c r="S21" s="38" t="str">
        <f t="shared" si="3"/>
        <v/>
      </c>
      <c r="T21" s="38" t="str">
        <f t="shared" si="4"/>
        <v/>
      </c>
      <c r="U21" s="38" t="str">
        <f t="shared" si="5"/>
        <v/>
      </c>
    </row>
    <row r="22" spans="1:21" ht="15" customHeight="1" x14ac:dyDescent="0.2">
      <c r="A22" s="41" t="str">
        <f t="shared" si="0"/>
        <v>Menu_21</v>
      </c>
      <c r="B22" s="23" t="s">
        <v>321</v>
      </c>
      <c r="C22" s="28" t="s">
        <v>263</v>
      </c>
      <c r="D22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Chinese pasta, Fish</v>
      </c>
      <c r="E22" s="43" t="s">
        <v>116</v>
      </c>
      <c r="F22" s="43"/>
      <c r="G22" s="43" t="s">
        <v>72</v>
      </c>
      <c r="H22" s="43"/>
      <c r="I22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22" s="44"/>
      <c r="K22" s="45"/>
      <c r="L22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22" s="44"/>
      <c r="N22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22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22" s="28"/>
      <c r="Q22" s="36" t="str">
        <f t="shared" si="1"/>
        <v/>
      </c>
      <c r="R22" s="36" t="str">
        <f t="shared" si="2"/>
        <v/>
      </c>
      <c r="S22" s="38" t="str">
        <f t="shared" si="3"/>
        <v/>
      </c>
      <c r="T22" s="38" t="str">
        <f t="shared" si="4"/>
        <v/>
      </c>
      <c r="U22" s="38" t="str">
        <f t="shared" si="5"/>
        <v/>
      </c>
    </row>
    <row r="23" spans="1:21" ht="15" customHeight="1" x14ac:dyDescent="0.2">
      <c r="A23" s="41" t="str">
        <f t="shared" si="0"/>
        <v>Menu_22</v>
      </c>
      <c r="B23" s="23" t="s">
        <v>321</v>
      </c>
      <c r="C23" s="28" t="s">
        <v>263</v>
      </c>
      <c r="D23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Chinese pasta, Shrimp</v>
      </c>
      <c r="E23" s="43" t="s">
        <v>116</v>
      </c>
      <c r="F23" s="43"/>
      <c r="G23" s="43" t="s">
        <v>73</v>
      </c>
      <c r="H23" s="43"/>
      <c r="I23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23" s="44"/>
      <c r="K23" s="45"/>
      <c r="L23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23" s="44"/>
      <c r="N23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23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23" s="28"/>
      <c r="Q23" s="36" t="str">
        <f t="shared" si="1"/>
        <v/>
      </c>
      <c r="R23" s="36" t="str">
        <f t="shared" si="2"/>
        <v/>
      </c>
      <c r="S23" s="38" t="str">
        <f t="shared" si="3"/>
        <v/>
      </c>
      <c r="T23" s="38" t="str">
        <f t="shared" si="4"/>
        <v/>
      </c>
      <c r="U23" s="38" t="str">
        <f t="shared" si="5"/>
        <v/>
      </c>
    </row>
    <row r="24" spans="1:21" ht="15" customHeight="1" x14ac:dyDescent="0.2">
      <c r="A24" s="41" t="str">
        <f t="shared" si="0"/>
        <v>Menu_23</v>
      </c>
      <c r="B24" s="23" t="s">
        <v>321</v>
      </c>
      <c r="C24" s="28" t="s">
        <v>263</v>
      </c>
      <c r="D24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Chinese pasta, Mixed White meats</v>
      </c>
      <c r="E24" s="43" t="s">
        <v>116</v>
      </c>
      <c r="F24" s="43"/>
      <c r="G24" s="43" t="s">
        <v>118</v>
      </c>
      <c r="H24" s="43"/>
      <c r="I24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24" s="44"/>
      <c r="K24" s="45"/>
      <c r="L24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24" s="44"/>
      <c r="N24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24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24" s="28"/>
      <c r="Q24" s="36" t="str">
        <f t="shared" si="1"/>
        <v/>
      </c>
      <c r="R24" s="36" t="str">
        <f t="shared" si="2"/>
        <v/>
      </c>
      <c r="S24" s="38" t="str">
        <f t="shared" si="3"/>
        <v/>
      </c>
      <c r="T24" s="38" t="str">
        <f t="shared" si="4"/>
        <v/>
      </c>
      <c r="U24" s="38" t="str">
        <f t="shared" si="5"/>
        <v/>
      </c>
    </row>
    <row r="25" spans="1:21" ht="15" customHeight="1" x14ac:dyDescent="0.2">
      <c r="A25" s="41" t="str">
        <f t="shared" si="0"/>
        <v>Menu_24</v>
      </c>
      <c r="B25" s="23" t="s">
        <v>321</v>
      </c>
      <c r="C25" s="28" t="s">
        <v>263</v>
      </c>
      <c r="D25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Fettuccine pasta, Plain</v>
      </c>
      <c r="E25" s="43" t="s">
        <v>125</v>
      </c>
      <c r="F25" s="43"/>
      <c r="G25" s="43" t="s">
        <v>120</v>
      </c>
      <c r="H25" s="43"/>
      <c r="I25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25" s="44"/>
      <c r="K25" s="45"/>
      <c r="L25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25" s="44"/>
      <c r="N25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25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25" s="28"/>
      <c r="Q25" s="36" t="str">
        <f t="shared" si="1"/>
        <v/>
      </c>
      <c r="R25" s="36" t="str">
        <f t="shared" si="2"/>
        <v/>
      </c>
      <c r="S25" s="38" t="str">
        <f t="shared" si="3"/>
        <v/>
      </c>
      <c r="T25" s="38" t="str">
        <f t="shared" si="4"/>
        <v/>
      </c>
      <c r="U25" s="38" t="str">
        <f t="shared" si="5"/>
        <v/>
      </c>
    </row>
    <row r="26" spans="1:21" ht="15" customHeight="1" x14ac:dyDescent="0.2">
      <c r="A26" s="41" t="str">
        <f t="shared" si="0"/>
        <v>Menu_25</v>
      </c>
      <c r="B26" s="23" t="s">
        <v>321</v>
      </c>
      <c r="C26" s="28" t="s">
        <v>263</v>
      </c>
      <c r="D26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Fettuccine pasta, Chicken</v>
      </c>
      <c r="E26" s="43" t="s">
        <v>125</v>
      </c>
      <c r="F26" s="43"/>
      <c r="G26" s="43" t="s">
        <v>114</v>
      </c>
      <c r="H26" s="43"/>
      <c r="I26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26" s="44"/>
      <c r="K26" s="45"/>
      <c r="L26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26" s="44"/>
      <c r="N26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26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26" s="28"/>
      <c r="Q26" s="36" t="str">
        <f t="shared" si="1"/>
        <v/>
      </c>
      <c r="R26" s="36" t="str">
        <f t="shared" si="2"/>
        <v/>
      </c>
      <c r="S26" s="38" t="str">
        <f t="shared" si="3"/>
        <v/>
      </c>
      <c r="T26" s="38" t="str">
        <f t="shared" si="4"/>
        <v/>
      </c>
      <c r="U26" s="38" t="str">
        <f t="shared" si="5"/>
        <v/>
      </c>
    </row>
    <row r="27" spans="1:21" ht="15" customHeight="1" x14ac:dyDescent="0.2">
      <c r="A27" s="41" t="str">
        <f t="shared" si="0"/>
        <v>Menu_26</v>
      </c>
      <c r="B27" s="23" t="s">
        <v>321</v>
      </c>
      <c r="C27" s="28" t="s">
        <v>263</v>
      </c>
      <c r="D27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Fettuccine pasta, Shrimp</v>
      </c>
      <c r="E27" s="43" t="s">
        <v>125</v>
      </c>
      <c r="F27" s="43"/>
      <c r="G27" s="43" t="s">
        <v>73</v>
      </c>
      <c r="H27" s="43"/>
      <c r="I27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27" s="44"/>
      <c r="K27" s="45"/>
      <c r="L27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27" s="44"/>
      <c r="N27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27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27" s="28"/>
      <c r="Q27" s="36" t="str">
        <f t="shared" si="1"/>
        <v/>
      </c>
      <c r="R27" s="36" t="str">
        <f t="shared" si="2"/>
        <v/>
      </c>
      <c r="S27" s="38" t="str">
        <f t="shared" si="3"/>
        <v/>
      </c>
      <c r="T27" s="38" t="str">
        <f t="shared" si="4"/>
        <v/>
      </c>
      <c r="U27" s="38" t="str">
        <f t="shared" si="5"/>
        <v/>
      </c>
    </row>
    <row r="28" spans="1:21" ht="15" customHeight="1" x14ac:dyDescent="0.2">
      <c r="A28" s="41" t="str">
        <f t="shared" si="0"/>
        <v>Menu_27</v>
      </c>
      <c r="B28" s="23" t="s">
        <v>321</v>
      </c>
      <c r="C28" s="28" t="s">
        <v>263</v>
      </c>
      <c r="D28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Fettuccine pasta, Chicken &amp; Shrimp</v>
      </c>
      <c r="E28" s="43" t="s">
        <v>125</v>
      </c>
      <c r="F28" s="43"/>
      <c r="G28" s="43" t="s">
        <v>122</v>
      </c>
      <c r="H28" s="43"/>
      <c r="I28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28" s="44"/>
      <c r="K28" s="45"/>
      <c r="L28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28" s="44"/>
      <c r="N28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28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28" s="28"/>
      <c r="Q28" s="36" t="str">
        <f t="shared" si="1"/>
        <v/>
      </c>
      <c r="R28" s="36" t="str">
        <f t="shared" si="2"/>
        <v/>
      </c>
      <c r="S28" s="38" t="str">
        <f t="shared" si="3"/>
        <v/>
      </c>
      <c r="T28" s="38" t="str">
        <f t="shared" si="4"/>
        <v/>
      </c>
      <c r="U28" s="38" t="str">
        <f t="shared" si="5"/>
        <v/>
      </c>
    </row>
    <row r="29" spans="1:21" ht="15" customHeight="1" x14ac:dyDescent="0.2">
      <c r="A29" s="41" t="str">
        <f t="shared" si="0"/>
        <v>Menu_28</v>
      </c>
      <c r="B29" s="23" t="s">
        <v>321</v>
      </c>
      <c r="C29" s="28" t="s">
        <v>263</v>
      </c>
      <c r="D29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Bolognese pasta</v>
      </c>
      <c r="E29" s="43" t="s">
        <v>152</v>
      </c>
      <c r="F29" s="43"/>
      <c r="G29" s="43"/>
      <c r="H29" s="43"/>
      <c r="I29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29" s="44"/>
      <c r="K29" s="45"/>
      <c r="L29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29" s="44"/>
      <c r="N29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29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29" s="28"/>
      <c r="Q29" s="36" t="str">
        <f t="shared" si="1"/>
        <v/>
      </c>
      <c r="R29" s="36" t="str">
        <f t="shared" si="2"/>
        <v/>
      </c>
      <c r="S29" s="38" t="str">
        <f t="shared" si="3"/>
        <v/>
      </c>
      <c r="T29" s="38" t="str">
        <f t="shared" si="4"/>
        <v/>
      </c>
      <c r="U29" s="38" t="str">
        <f t="shared" si="5"/>
        <v/>
      </c>
    </row>
    <row r="30" spans="1:21" ht="15" customHeight="1" x14ac:dyDescent="0.2">
      <c r="A30" s="41" t="str">
        <f t="shared" si="0"/>
        <v>Menu_29</v>
      </c>
      <c r="B30" s="23" t="s">
        <v>321</v>
      </c>
      <c r="C30" s="28" t="s">
        <v>263</v>
      </c>
      <c r="D30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Pesto pasta, Plain</v>
      </c>
      <c r="E30" s="43" t="s">
        <v>119</v>
      </c>
      <c r="F30" s="43"/>
      <c r="G30" s="43" t="s">
        <v>120</v>
      </c>
      <c r="H30" s="43"/>
      <c r="I30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30" s="44"/>
      <c r="K30" s="45"/>
      <c r="L30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30" s="44"/>
      <c r="N30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30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30" s="28"/>
      <c r="Q30" s="36" t="str">
        <f t="shared" si="1"/>
        <v/>
      </c>
      <c r="R30" s="36" t="str">
        <f t="shared" si="2"/>
        <v/>
      </c>
      <c r="S30" s="38" t="str">
        <f t="shared" si="3"/>
        <v/>
      </c>
      <c r="T30" s="38" t="str">
        <f t="shared" si="4"/>
        <v/>
      </c>
      <c r="U30" s="38" t="str">
        <f t="shared" si="5"/>
        <v/>
      </c>
    </row>
    <row r="31" spans="1:21" ht="15" customHeight="1" x14ac:dyDescent="0.2">
      <c r="A31" s="41" t="str">
        <f t="shared" si="0"/>
        <v>Menu_30</v>
      </c>
      <c r="B31" s="23" t="s">
        <v>321</v>
      </c>
      <c r="C31" s="28" t="s">
        <v>263</v>
      </c>
      <c r="D31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Pasta Margherita, Plain</v>
      </c>
      <c r="E31" s="43" t="s">
        <v>123</v>
      </c>
      <c r="F31" s="43"/>
      <c r="G31" s="43" t="s">
        <v>120</v>
      </c>
      <c r="H31" s="43"/>
      <c r="I31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31" s="44"/>
      <c r="K31" s="45"/>
      <c r="L31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31" s="44"/>
      <c r="N31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31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31" s="28"/>
      <c r="Q31" s="36" t="str">
        <f t="shared" si="1"/>
        <v/>
      </c>
      <c r="R31" s="36" t="str">
        <f t="shared" si="2"/>
        <v/>
      </c>
      <c r="S31" s="38" t="str">
        <f t="shared" si="3"/>
        <v/>
      </c>
      <c r="T31" s="38" t="str">
        <f t="shared" si="4"/>
        <v/>
      </c>
      <c r="U31" s="38" t="str">
        <f t="shared" si="5"/>
        <v/>
      </c>
    </row>
    <row r="32" spans="1:21" ht="15" customHeight="1" x14ac:dyDescent="0.2">
      <c r="A32" s="41" t="str">
        <f t="shared" si="0"/>
        <v>Menu_31</v>
      </c>
      <c r="B32" s="23" t="s">
        <v>321</v>
      </c>
      <c r="C32" s="28" t="s">
        <v>263</v>
      </c>
      <c r="D32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Alfredo pasta, Plain</v>
      </c>
      <c r="E32" s="43" t="s">
        <v>124</v>
      </c>
      <c r="F32" s="43"/>
      <c r="G32" s="43" t="s">
        <v>120</v>
      </c>
      <c r="H32" s="43"/>
      <c r="I32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32" s="44"/>
      <c r="K32" s="45"/>
      <c r="L32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32" s="44"/>
      <c r="N32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32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32" s="28"/>
      <c r="Q32" s="36" t="str">
        <f t="shared" si="1"/>
        <v/>
      </c>
      <c r="R32" s="36" t="str">
        <f t="shared" si="2"/>
        <v/>
      </c>
      <c r="S32" s="38" t="str">
        <f t="shared" si="3"/>
        <v/>
      </c>
      <c r="T32" s="38" t="str">
        <f t="shared" si="4"/>
        <v/>
      </c>
      <c r="U32" s="38" t="str">
        <f t="shared" si="5"/>
        <v/>
      </c>
    </row>
    <row r="33" spans="1:21" ht="15" customHeight="1" x14ac:dyDescent="0.2">
      <c r="A33" s="41" t="str">
        <f t="shared" si="0"/>
        <v>Menu_32</v>
      </c>
      <c r="B33" s="23" t="s">
        <v>321</v>
      </c>
      <c r="C33" s="28" t="s">
        <v>268</v>
      </c>
      <c r="D33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Pumpkin soup</v>
      </c>
      <c r="E33" s="43" t="s">
        <v>126</v>
      </c>
      <c r="F33" s="43"/>
      <c r="G33" s="43"/>
      <c r="H33" s="43"/>
      <c r="I33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33" s="44"/>
      <c r="K33" s="45"/>
      <c r="L33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33" s="44"/>
      <c r="N33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33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33" s="28"/>
      <c r="Q33" s="36" t="str">
        <f t="shared" si="1"/>
        <v/>
      </c>
      <c r="R33" s="36" t="str">
        <f t="shared" si="2"/>
        <v/>
      </c>
      <c r="S33" s="38" t="str">
        <f t="shared" si="3"/>
        <v/>
      </c>
      <c r="T33" s="38" t="str">
        <f t="shared" si="4"/>
        <v/>
      </c>
      <c r="U33" s="38" t="str">
        <f t="shared" si="5"/>
        <v/>
      </c>
    </row>
    <row r="34" spans="1:21" ht="15" customHeight="1" x14ac:dyDescent="0.2">
      <c r="A34" s="41" t="str">
        <f t="shared" ref="A34:A65" si="6">"Menu"&amp;"_"&amp;(ROW(A34)-ROW($A$1))</f>
        <v>Menu_33</v>
      </c>
      <c r="B34" s="23" t="s">
        <v>321</v>
      </c>
      <c r="C34" s="28" t="s">
        <v>268</v>
      </c>
      <c r="D34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Seafood soup</v>
      </c>
      <c r="E34" s="43" t="s">
        <v>127</v>
      </c>
      <c r="F34" s="43"/>
      <c r="G34" s="43"/>
      <c r="H34" s="43"/>
      <c r="I34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34" s="44"/>
      <c r="K34" s="45"/>
      <c r="L34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34" s="44"/>
      <c r="N34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34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34" s="28"/>
      <c r="Q34" s="36" t="str">
        <f t="shared" si="1"/>
        <v/>
      </c>
      <c r="R34" s="36" t="str">
        <f t="shared" si="2"/>
        <v/>
      </c>
      <c r="S34" s="38" t="str">
        <f t="shared" si="3"/>
        <v/>
      </c>
      <c r="T34" s="38" t="str">
        <f t="shared" si="4"/>
        <v/>
      </c>
      <c r="U34" s="38" t="str">
        <f t="shared" si="5"/>
        <v/>
      </c>
    </row>
    <row r="35" spans="1:21" ht="15" customHeight="1" x14ac:dyDescent="0.2">
      <c r="A35" s="41" t="str">
        <f t="shared" si="6"/>
        <v>Menu_34</v>
      </c>
      <c r="B35" s="23" t="s">
        <v>321</v>
      </c>
      <c r="C35" s="28" t="s">
        <v>268</v>
      </c>
      <c r="D35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Broccoli soup</v>
      </c>
      <c r="E35" s="43" t="s">
        <v>128</v>
      </c>
      <c r="F35" s="43"/>
      <c r="G35" s="43"/>
      <c r="H35" s="43"/>
      <c r="I35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35" s="44"/>
      <c r="K35" s="45"/>
      <c r="L35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35" s="44"/>
      <c r="N35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35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35" s="28"/>
      <c r="Q35" s="36" t="str">
        <f t="shared" si="1"/>
        <v/>
      </c>
      <c r="R35" s="36" t="str">
        <f t="shared" si="2"/>
        <v/>
      </c>
      <c r="S35" s="38" t="str">
        <f t="shared" si="3"/>
        <v/>
      </c>
      <c r="T35" s="38" t="str">
        <f t="shared" si="4"/>
        <v/>
      </c>
      <c r="U35" s="38" t="str">
        <f t="shared" si="5"/>
        <v/>
      </c>
    </row>
    <row r="36" spans="1:21" ht="15" customHeight="1" x14ac:dyDescent="0.2">
      <c r="A36" s="41" t="str">
        <f t="shared" si="6"/>
        <v>Menu_35</v>
      </c>
      <c r="B36" s="23" t="s">
        <v>321</v>
      </c>
      <c r="C36" s="28" t="s">
        <v>268</v>
      </c>
      <c r="D36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Chicken cream soup</v>
      </c>
      <c r="E36" s="43" t="s">
        <v>129</v>
      </c>
      <c r="F36" s="43"/>
      <c r="G36" s="43"/>
      <c r="H36" s="43"/>
      <c r="I36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36" s="44"/>
      <c r="K36" s="45"/>
      <c r="L36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36" s="44"/>
      <c r="N36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36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36" s="28"/>
      <c r="Q36" s="36" t="str">
        <f t="shared" si="1"/>
        <v/>
      </c>
      <c r="R36" s="36" t="str">
        <f t="shared" si="2"/>
        <v/>
      </c>
      <c r="S36" s="38" t="str">
        <f t="shared" si="3"/>
        <v/>
      </c>
      <c r="T36" s="38" t="str">
        <f t="shared" si="4"/>
        <v/>
      </c>
      <c r="U36" s="38" t="str">
        <f t="shared" si="5"/>
        <v/>
      </c>
    </row>
    <row r="37" spans="1:21" ht="15" customHeight="1" x14ac:dyDescent="0.2">
      <c r="A37" s="41" t="str">
        <f t="shared" si="6"/>
        <v>Menu_36</v>
      </c>
      <c r="B37" s="23" t="s">
        <v>321</v>
      </c>
      <c r="C37" s="28" t="s">
        <v>268</v>
      </c>
      <c r="D37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Minestrone soup</v>
      </c>
      <c r="E37" s="43" t="s">
        <v>130</v>
      </c>
      <c r="F37" s="43"/>
      <c r="G37" s="43"/>
      <c r="H37" s="43"/>
      <c r="I37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37" s="44"/>
      <c r="K37" s="45"/>
      <c r="L37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37" s="44"/>
      <c r="N37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37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37" s="28"/>
      <c r="Q37" s="36" t="str">
        <f t="shared" si="1"/>
        <v/>
      </c>
      <c r="R37" s="36" t="str">
        <f t="shared" si="2"/>
        <v/>
      </c>
      <c r="S37" s="38" t="str">
        <f t="shared" si="3"/>
        <v/>
      </c>
      <c r="T37" s="38" t="str">
        <f t="shared" si="4"/>
        <v/>
      </c>
      <c r="U37" s="38" t="str">
        <f t="shared" si="5"/>
        <v/>
      </c>
    </row>
    <row r="38" spans="1:21" ht="15" customHeight="1" x14ac:dyDescent="0.2">
      <c r="A38" s="41" t="str">
        <f t="shared" si="6"/>
        <v>Menu_37</v>
      </c>
      <c r="B38" s="23" t="s">
        <v>321</v>
      </c>
      <c r="C38" s="28" t="s">
        <v>268</v>
      </c>
      <c r="D38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French onion soup</v>
      </c>
      <c r="E38" s="43" t="s">
        <v>131</v>
      </c>
      <c r="F38" s="43"/>
      <c r="G38" s="43"/>
      <c r="H38" s="43"/>
      <c r="I38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38" s="44"/>
      <c r="K38" s="45"/>
      <c r="L38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38" s="44"/>
      <c r="N38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38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38" s="28"/>
      <c r="Q38" s="36" t="str">
        <f t="shared" si="1"/>
        <v/>
      </c>
      <c r="R38" s="36" t="str">
        <f t="shared" si="2"/>
        <v/>
      </c>
      <c r="S38" s="38" t="str">
        <f t="shared" si="3"/>
        <v/>
      </c>
      <c r="T38" s="38" t="str">
        <f t="shared" si="4"/>
        <v/>
      </c>
      <c r="U38" s="38" t="str">
        <f t="shared" si="5"/>
        <v/>
      </c>
    </row>
    <row r="39" spans="1:21" ht="15" customHeight="1" x14ac:dyDescent="0.2">
      <c r="A39" s="41" t="str">
        <f t="shared" si="6"/>
        <v>Menu_38</v>
      </c>
      <c r="B39" s="23" t="s">
        <v>321</v>
      </c>
      <c r="C39" s="28" t="s">
        <v>318</v>
      </c>
      <c r="D39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caesar salad, Plain</v>
      </c>
      <c r="E39" s="43" t="s">
        <v>133</v>
      </c>
      <c r="F39" s="43" t="s">
        <v>120</v>
      </c>
      <c r="G39" s="43"/>
      <c r="H39" s="43"/>
      <c r="I39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39" s="44"/>
      <c r="K39" s="45"/>
      <c r="L39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39" s="44"/>
      <c r="N39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39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39" s="28"/>
      <c r="Q39" s="36" t="str">
        <f t="shared" si="1"/>
        <v/>
      </c>
      <c r="R39" s="36" t="str">
        <f t="shared" si="2"/>
        <v/>
      </c>
      <c r="S39" s="38" t="str">
        <f t="shared" si="3"/>
        <v/>
      </c>
      <c r="T39" s="38" t="str">
        <f t="shared" si="4"/>
        <v/>
      </c>
      <c r="U39" s="38" t="str">
        <f t="shared" si="5"/>
        <v/>
      </c>
    </row>
    <row r="40" spans="1:21" ht="15" customHeight="1" x14ac:dyDescent="0.2">
      <c r="A40" s="41" t="str">
        <f t="shared" si="6"/>
        <v>Menu_39</v>
      </c>
      <c r="B40" s="23" t="s">
        <v>321</v>
      </c>
      <c r="C40" s="28" t="s">
        <v>318</v>
      </c>
      <c r="D40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caesar salad, grilled chicken</v>
      </c>
      <c r="E40" s="43" t="s">
        <v>133</v>
      </c>
      <c r="F40" s="43" t="s">
        <v>132</v>
      </c>
      <c r="G40" s="43"/>
      <c r="H40" s="43"/>
      <c r="I40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40" s="44"/>
      <c r="K40" s="45"/>
      <c r="L40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40" s="44"/>
      <c r="N40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40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40" s="28"/>
      <c r="Q40" s="36" t="str">
        <f t="shared" si="1"/>
        <v/>
      </c>
      <c r="R40" s="36" t="str">
        <f t="shared" si="2"/>
        <v/>
      </c>
      <c r="S40" s="38" t="str">
        <f t="shared" si="3"/>
        <v/>
      </c>
      <c r="T40" s="38" t="str">
        <f t="shared" si="4"/>
        <v/>
      </c>
      <c r="U40" s="38" t="str">
        <f t="shared" si="5"/>
        <v/>
      </c>
    </row>
    <row r="41" spans="1:21" ht="15" customHeight="1" x14ac:dyDescent="0.2">
      <c r="A41" s="41" t="str">
        <f t="shared" si="6"/>
        <v>Menu_40</v>
      </c>
      <c r="B41" s="23" t="s">
        <v>321</v>
      </c>
      <c r="C41" s="28" t="s">
        <v>318</v>
      </c>
      <c r="D41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caesar salad, halloumi</v>
      </c>
      <c r="E41" s="43" t="s">
        <v>133</v>
      </c>
      <c r="F41" s="43" t="s">
        <v>134</v>
      </c>
      <c r="G41" s="43"/>
      <c r="H41" s="43"/>
      <c r="I41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41" s="44"/>
      <c r="K41" s="45"/>
      <c r="L41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41" s="44"/>
      <c r="N41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41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41" s="28"/>
      <c r="Q41" s="36" t="str">
        <f t="shared" si="1"/>
        <v/>
      </c>
      <c r="R41" s="36" t="str">
        <f t="shared" si="2"/>
        <v/>
      </c>
      <c r="S41" s="38" t="str">
        <f t="shared" si="3"/>
        <v/>
      </c>
      <c r="T41" s="38" t="str">
        <f t="shared" si="4"/>
        <v/>
      </c>
      <c r="U41" s="38" t="str">
        <f t="shared" si="5"/>
        <v/>
      </c>
    </row>
    <row r="42" spans="1:21" ht="15" customHeight="1" x14ac:dyDescent="0.2">
      <c r="A42" s="41" t="str">
        <f t="shared" si="6"/>
        <v>Menu_41</v>
      </c>
      <c r="B42" s="23" t="s">
        <v>321</v>
      </c>
      <c r="C42" s="28" t="s">
        <v>318</v>
      </c>
      <c r="D42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rocca salad</v>
      </c>
      <c r="E42" s="43" t="s">
        <v>135</v>
      </c>
      <c r="F42" s="43"/>
      <c r="G42" s="43"/>
      <c r="H42" s="43"/>
      <c r="I42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42" s="44"/>
      <c r="K42" s="45"/>
      <c r="L42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42" s="44"/>
      <c r="N42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42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42" s="28"/>
      <c r="Q42" s="36" t="str">
        <f t="shared" si="1"/>
        <v/>
      </c>
      <c r="R42" s="36" t="str">
        <f t="shared" si="2"/>
        <v/>
      </c>
      <c r="S42" s="38" t="str">
        <f t="shared" si="3"/>
        <v/>
      </c>
      <c r="T42" s="38" t="str">
        <f t="shared" si="4"/>
        <v/>
      </c>
      <c r="U42" s="38" t="str">
        <f t="shared" si="5"/>
        <v/>
      </c>
    </row>
    <row r="43" spans="1:21" ht="15" customHeight="1" x14ac:dyDescent="0.2">
      <c r="A43" s="41" t="str">
        <f t="shared" si="6"/>
        <v>Menu_42</v>
      </c>
      <c r="B43" s="23" t="s">
        <v>321</v>
      </c>
      <c r="C43" s="28" t="s">
        <v>318</v>
      </c>
      <c r="D43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Pasta salad</v>
      </c>
      <c r="E43" s="43" t="s">
        <v>136</v>
      </c>
      <c r="F43" s="43"/>
      <c r="G43" s="43"/>
      <c r="H43" s="43"/>
      <c r="I43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43" s="44"/>
      <c r="K43" s="45"/>
      <c r="L43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43" s="44"/>
      <c r="N43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43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43" s="28"/>
      <c r="Q43" s="36" t="str">
        <f t="shared" si="1"/>
        <v/>
      </c>
      <c r="R43" s="36" t="str">
        <f t="shared" si="2"/>
        <v/>
      </c>
      <c r="S43" s="38" t="str">
        <f t="shared" si="3"/>
        <v/>
      </c>
      <c r="T43" s="38" t="str">
        <f t="shared" si="4"/>
        <v/>
      </c>
      <c r="U43" s="38" t="str">
        <f t="shared" si="5"/>
        <v/>
      </c>
    </row>
    <row r="44" spans="1:21" ht="15" customHeight="1" x14ac:dyDescent="0.2">
      <c r="A44" s="41" t="str">
        <f t="shared" si="6"/>
        <v>Menu_43</v>
      </c>
      <c r="B44" s="23" t="s">
        <v>321</v>
      </c>
      <c r="C44" s="28" t="s">
        <v>318</v>
      </c>
      <c r="D44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Fruit salad</v>
      </c>
      <c r="E44" s="43" t="s">
        <v>137</v>
      </c>
      <c r="F44" s="43"/>
      <c r="G44" s="43"/>
      <c r="H44" s="43"/>
      <c r="I44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44" s="44"/>
      <c r="K44" s="45"/>
      <c r="L44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44" s="44"/>
      <c r="N44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44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44" s="28"/>
      <c r="Q44" s="36" t="str">
        <f t="shared" si="1"/>
        <v/>
      </c>
      <c r="R44" s="36" t="str">
        <f t="shared" si="2"/>
        <v/>
      </c>
      <c r="S44" s="38" t="str">
        <f t="shared" si="3"/>
        <v/>
      </c>
      <c r="T44" s="38" t="str">
        <f t="shared" si="4"/>
        <v/>
      </c>
      <c r="U44" s="38" t="str">
        <f t="shared" si="5"/>
        <v/>
      </c>
    </row>
    <row r="45" spans="1:21" ht="15" customHeight="1" x14ac:dyDescent="0.2">
      <c r="A45" s="41" t="str">
        <f t="shared" si="6"/>
        <v>Menu_44</v>
      </c>
      <c r="B45" s="23" t="s">
        <v>321</v>
      </c>
      <c r="C45" s="28" t="s">
        <v>319</v>
      </c>
      <c r="D45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Kumpir</v>
      </c>
      <c r="E45" s="43" t="s">
        <v>146</v>
      </c>
      <c r="F45" s="43"/>
      <c r="G45" s="43"/>
      <c r="H45" s="43"/>
      <c r="I45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45" s="44"/>
      <c r="K45" s="45"/>
      <c r="L45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45" s="44"/>
      <c r="N45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45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45" s="28"/>
      <c r="Q45" s="36" t="str">
        <f t="shared" si="1"/>
        <v/>
      </c>
      <c r="R45" s="36" t="str">
        <f t="shared" si="2"/>
        <v/>
      </c>
      <c r="S45" s="38" t="str">
        <f t="shared" si="3"/>
        <v/>
      </c>
      <c r="T45" s="38" t="str">
        <f t="shared" si="4"/>
        <v/>
      </c>
      <c r="U45" s="38" t="str">
        <f t="shared" si="5"/>
        <v/>
      </c>
    </row>
    <row r="46" spans="1:21" ht="15" customHeight="1" x14ac:dyDescent="0.2">
      <c r="A46" s="41" t="str">
        <f t="shared" si="6"/>
        <v>Menu_45</v>
      </c>
      <c r="B46" s="23" t="s">
        <v>321</v>
      </c>
      <c r="C46" s="28" t="s">
        <v>320</v>
      </c>
      <c r="D46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Margherita, big</v>
      </c>
      <c r="E46" s="43" t="s">
        <v>168</v>
      </c>
      <c r="F46" s="43"/>
      <c r="G46" s="43" t="s">
        <v>173</v>
      </c>
      <c r="H46" s="43"/>
      <c r="I46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46" s="44"/>
      <c r="K46" s="45"/>
      <c r="L46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46" s="44"/>
      <c r="N46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46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46" s="28"/>
      <c r="Q46" s="36" t="str">
        <f t="shared" si="1"/>
        <v/>
      </c>
      <c r="R46" s="36" t="str">
        <f t="shared" si="2"/>
        <v/>
      </c>
      <c r="S46" s="38" t="str">
        <f t="shared" si="3"/>
        <v/>
      </c>
      <c r="T46" s="38" t="str">
        <f t="shared" si="4"/>
        <v/>
      </c>
      <c r="U46" s="38" t="str">
        <f t="shared" si="5"/>
        <v/>
      </c>
    </row>
    <row r="47" spans="1:21" ht="15" customHeight="1" x14ac:dyDescent="0.2">
      <c r="A47" s="41" t="str">
        <f t="shared" si="6"/>
        <v>Menu_46</v>
      </c>
      <c r="B47" s="23" t="s">
        <v>321</v>
      </c>
      <c r="C47" s="28" t="s">
        <v>320</v>
      </c>
      <c r="D47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Pepperoni, big</v>
      </c>
      <c r="E47" s="43" t="s">
        <v>148</v>
      </c>
      <c r="F47" s="43"/>
      <c r="G47" s="43" t="s">
        <v>173</v>
      </c>
      <c r="H47" s="43"/>
      <c r="I47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47" s="44"/>
      <c r="K47" s="45"/>
      <c r="L47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47" s="44"/>
      <c r="N47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47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47" s="28"/>
      <c r="Q47" s="36" t="str">
        <f t="shared" si="1"/>
        <v/>
      </c>
      <c r="R47" s="36" t="str">
        <f t="shared" si="2"/>
        <v/>
      </c>
      <c r="S47" s="38" t="str">
        <f t="shared" si="3"/>
        <v/>
      </c>
      <c r="T47" s="38" t="str">
        <f t="shared" si="4"/>
        <v/>
      </c>
      <c r="U47" s="38" t="str">
        <f t="shared" si="5"/>
        <v/>
      </c>
    </row>
    <row r="48" spans="1:21" ht="15" customHeight="1" x14ac:dyDescent="0.2">
      <c r="A48" s="41" t="str">
        <f t="shared" si="6"/>
        <v>Menu_47</v>
      </c>
      <c r="B48" s="23" t="s">
        <v>321</v>
      </c>
      <c r="C48" s="28" t="s">
        <v>320</v>
      </c>
      <c r="D48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Quattro, big</v>
      </c>
      <c r="E48" s="43" t="s">
        <v>169</v>
      </c>
      <c r="F48" s="43"/>
      <c r="G48" s="43" t="s">
        <v>173</v>
      </c>
      <c r="H48" s="43"/>
      <c r="I48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48" s="44"/>
      <c r="K48" s="45"/>
      <c r="L48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48" s="44"/>
      <c r="N48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48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48" s="28"/>
      <c r="Q48" s="36" t="str">
        <f t="shared" si="1"/>
        <v/>
      </c>
      <c r="R48" s="36" t="str">
        <f t="shared" si="2"/>
        <v/>
      </c>
      <c r="S48" s="38" t="str">
        <f t="shared" si="3"/>
        <v/>
      </c>
      <c r="T48" s="38" t="str">
        <f t="shared" si="4"/>
        <v/>
      </c>
      <c r="U48" s="38" t="str">
        <f t="shared" si="5"/>
        <v/>
      </c>
    </row>
    <row r="49" spans="1:21" ht="15" customHeight="1" x14ac:dyDescent="0.2">
      <c r="A49" s="41" t="str">
        <f t="shared" si="6"/>
        <v>Menu_48</v>
      </c>
      <c r="B49" s="23" t="s">
        <v>321</v>
      </c>
      <c r="C49" s="28" t="s">
        <v>320</v>
      </c>
      <c r="D49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Greek, big</v>
      </c>
      <c r="E49" s="43" t="s">
        <v>170</v>
      </c>
      <c r="F49" s="43"/>
      <c r="G49" s="43" t="s">
        <v>173</v>
      </c>
      <c r="H49" s="43"/>
      <c r="I49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49" s="44"/>
      <c r="K49" s="45"/>
      <c r="L49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49" s="44"/>
      <c r="N49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49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49" s="28"/>
      <c r="Q49" s="36" t="str">
        <f t="shared" si="1"/>
        <v/>
      </c>
      <c r="R49" s="36" t="str">
        <f t="shared" si="2"/>
        <v/>
      </c>
      <c r="S49" s="38" t="str">
        <f t="shared" si="3"/>
        <v/>
      </c>
      <c r="T49" s="38" t="str">
        <f t="shared" si="4"/>
        <v/>
      </c>
      <c r="U49" s="38" t="str">
        <f t="shared" si="5"/>
        <v/>
      </c>
    </row>
    <row r="50" spans="1:21" ht="15" customHeight="1" x14ac:dyDescent="0.2">
      <c r="A50" s="41" t="str">
        <f t="shared" si="6"/>
        <v>Menu_49</v>
      </c>
      <c r="B50" s="23" t="s">
        <v>321</v>
      </c>
      <c r="C50" s="28" t="s">
        <v>320</v>
      </c>
      <c r="D50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Grilled Chicken, big</v>
      </c>
      <c r="E50" s="43" t="s">
        <v>171</v>
      </c>
      <c r="F50" s="43"/>
      <c r="G50" s="43" t="s">
        <v>173</v>
      </c>
      <c r="H50" s="43"/>
      <c r="I50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50" s="44"/>
      <c r="K50" s="45"/>
      <c r="L50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50" s="44"/>
      <c r="N50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50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50" s="28"/>
      <c r="Q50" s="36" t="str">
        <f t="shared" si="1"/>
        <v/>
      </c>
      <c r="R50" s="36" t="str">
        <f t="shared" si="2"/>
        <v/>
      </c>
      <c r="S50" s="38" t="str">
        <f t="shared" si="3"/>
        <v/>
      </c>
      <c r="T50" s="38" t="str">
        <f t="shared" si="4"/>
        <v/>
      </c>
      <c r="U50" s="38" t="str">
        <f t="shared" si="5"/>
        <v/>
      </c>
    </row>
    <row r="51" spans="1:21" ht="15" customHeight="1" x14ac:dyDescent="0.2">
      <c r="A51" s="41" t="str">
        <f t="shared" si="6"/>
        <v>Menu_50</v>
      </c>
      <c r="B51" s="23" t="s">
        <v>321</v>
      </c>
      <c r="C51" s="28" t="s">
        <v>320</v>
      </c>
      <c r="D51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Meats, big</v>
      </c>
      <c r="E51" s="43" t="s">
        <v>177</v>
      </c>
      <c r="F51" s="43"/>
      <c r="G51" s="43" t="s">
        <v>173</v>
      </c>
      <c r="H51" s="43"/>
      <c r="I51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51" s="44"/>
      <c r="K51" s="45"/>
      <c r="L51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51" s="44"/>
      <c r="N51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51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51" s="28"/>
      <c r="Q51" s="36" t="str">
        <f t="shared" si="1"/>
        <v/>
      </c>
      <c r="R51" s="36" t="str">
        <f t="shared" si="2"/>
        <v/>
      </c>
      <c r="S51" s="38" t="str">
        <f t="shared" si="3"/>
        <v/>
      </c>
      <c r="T51" s="38" t="str">
        <f t="shared" si="4"/>
        <v/>
      </c>
      <c r="U51" s="38" t="str">
        <f t="shared" si="5"/>
        <v/>
      </c>
    </row>
    <row r="52" spans="1:21" ht="15" customHeight="1" x14ac:dyDescent="0.2">
      <c r="A52" s="41" t="str">
        <f t="shared" si="6"/>
        <v>Menu_51</v>
      </c>
      <c r="B52" s="23" t="s">
        <v>321</v>
      </c>
      <c r="C52" s="28" t="s">
        <v>320</v>
      </c>
      <c r="D52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Vegetable, big</v>
      </c>
      <c r="E52" s="43" t="s">
        <v>40</v>
      </c>
      <c r="F52" s="43"/>
      <c r="G52" s="43" t="s">
        <v>173</v>
      </c>
      <c r="H52" s="43"/>
      <c r="I52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52" s="44"/>
      <c r="K52" s="45"/>
      <c r="L52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52" s="44"/>
      <c r="N52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52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52" s="28"/>
      <c r="Q52" s="36" t="str">
        <f t="shared" si="1"/>
        <v/>
      </c>
      <c r="R52" s="36" t="str">
        <f t="shared" si="2"/>
        <v/>
      </c>
      <c r="S52" s="38" t="str">
        <f t="shared" si="3"/>
        <v/>
      </c>
      <c r="T52" s="38" t="str">
        <f t="shared" si="4"/>
        <v/>
      </c>
      <c r="U52" s="38" t="str">
        <f t="shared" si="5"/>
        <v/>
      </c>
    </row>
    <row r="53" spans="1:21" ht="15" customHeight="1" x14ac:dyDescent="0.2">
      <c r="A53" s="41" t="str">
        <f t="shared" si="6"/>
        <v>Menu_52</v>
      </c>
      <c r="B53" s="23" t="s">
        <v>321</v>
      </c>
      <c r="C53" s="28" t="s">
        <v>320</v>
      </c>
      <c r="D53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Arabic, big</v>
      </c>
      <c r="E53" s="43" t="s">
        <v>172</v>
      </c>
      <c r="F53" s="43"/>
      <c r="G53" s="43" t="s">
        <v>173</v>
      </c>
      <c r="H53" s="43"/>
      <c r="I53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53" s="44"/>
      <c r="K53" s="45"/>
      <c r="L53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53" s="44"/>
      <c r="N53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53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53" s="28"/>
      <c r="Q53" s="36" t="str">
        <f t="shared" si="1"/>
        <v/>
      </c>
      <c r="R53" s="36" t="str">
        <f t="shared" si="2"/>
        <v/>
      </c>
      <c r="S53" s="38" t="str">
        <f t="shared" si="3"/>
        <v/>
      </c>
      <c r="T53" s="38" t="str">
        <f t="shared" si="4"/>
        <v/>
      </c>
      <c r="U53" s="38" t="str">
        <f t="shared" si="5"/>
        <v/>
      </c>
    </row>
    <row r="54" spans="1:21" ht="15" customHeight="1" x14ac:dyDescent="0.2">
      <c r="A54" s="41" t="str">
        <f t="shared" si="6"/>
        <v>Menu_53</v>
      </c>
      <c r="B54" s="23" t="s">
        <v>321</v>
      </c>
      <c r="C54" s="28" t="s">
        <v>320</v>
      </c>
      <c r="D54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Pesto Pizza, big</v>
      </c>
      <c r="E54" s="43" t="s">
        <v>184</v>
      </c>
      <c r="F54" s="43"/>
      <c r="G54" s="43" t="s">
        <v>173</v>
      </c>
      <c r="H54" s="43"/>
      <c r="I54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54" s="44"/>
      <c r="K54" s="45"/>
      <c r="L54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54" s="44"/>
      <c r="N54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54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54" s="28"/>
      <c r="Q54" s="36" t="str">
        <f t="shared" si="1"/>
        <v/>
      </c>
      <c r="R54" s="36" t="str">
        <f t="shared" si="2"/>
        <v/>
      </c>
      <c r="S54" s="38" t="str">
        <f t="shared" si="3"/>
        <v/>
      </c>
      <c r="T54" s="38" t="str">
        <f t="shared" si="4"/>
        <v/>
      </c>
      <c r="U54" s="38" t="str">
        <f t="shared" si="5"/>
        <v/>
      </c>
    </row>
    <row r="55" spans="1:21" ht="15" customHeight="1" x14ac:dyDescent="0.2">
      <c r="A55" s="41" t="str">
        <f t="shared" si="6"/>
        <v>Menu_54</v>
      </c>
      <c r="B55" s="23" t="s">
        <v>321</v>
      </c>
      <c r="C55" s="28" t="s">
        <v>320</v>
      </c>
      <c r="D55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Margherita, small</v>
      </c>
      <c r="E55" s="43" t="s">
        <v>168</v>
      </c>
      <c r="F55" s="43"/>
      <c r="G55" s="43" t="s">
        <v>174</v>
      </c>
      <c r="H55" s="43"/>
      <c r="I55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55" s="44"/>
      <c r="K55" s="45"/>
      <c r="L55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55" s="44"/>
      <c r="N55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55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55" s="28"/>
      <c r="Q55" s="36" t="str">
        <f t="shared" si="1"/>
        <v/>
      </c>
      <c r="R55" s="36" t="str">
        <f t="shared" si="2"/>
        <v/>
      </c>
      <c r="S55" s="38" t="str">
        <f t="shared" si="3"/>
        <v/>
      </c>
      <c r="T55" s="38" t="str">
        <f t="shared" si="4"/>
        <v/>
      </c>
      <c r="U55" s="38" t="str">
        <f t="shared" si="5"/>
        <v/>
      </c>
    </row>
    <row r="56" spans="1:21" ht="15" customHeight="1" x14ac:dyDescent="0.2">
      <c r="A56" s="41" t="str">
        <f t="shared" si="6"/>
        <v>Menu_55</v>
      </c>
      <c r="B56" s="23" t="s">
        <v>321</v>
      </c>
      <c r="C56" s="28" t="s">
        <v>320</v>
      </c>
      <c r="D56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Pepperoni, small</v>
      </c>
      <c r="E56" s="43" t="s">
        <v>148</v>
      </c>
      <c r="F56" s="43"/>
      <c r="G56" s="43" t="s">
        <v>174</v>
      </c>
      <c r="H56" s="43"/>
      <c r="I56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56" s="44"/>
      <c r="K56" s="45"/>
      <c r="L56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56" s="44"/>
      <c r="N56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56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56" s="28"/>
      <c r="Q56" s="36" t="str">
        <f t="shared" si="1"/>
        <v/>
      </c>
      <c r="R56" s="36" t="str">
        <f t="shared" si="2"/>
        <v/>
      </c>
      <c r="S56" s="38" t="str">
        <f t="shared" si="3"/>
        <v/>
      </c>
      <c r="T56" s="38" t="str">
        <f t="shared" si="4"/>
        <v/>
      </c>
      <c r="U56" s="38" t="str">
        <f t="shared" si="5"/>
        <v/>
      </c>
    </row>
    <row r="57" spans="1:21" ht="15" customHeight="1" x14ac:dyDescent="0.2">
      <c r="A57" s="41" t="str">
        <f t="shared" si="6"/>
        <v>Menu_56</v>
      </c>
      <c r="B57" s="23" t="s">
        <v>321</v>
      </c>
      <c r="C57" s="28" t="s">
        <v>320</v>
      </c>
      <c r="D57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Quattro, small</v>
      </c>
      <c r="E57" s="43" t="s">
        <v>169</v>
      </c>
      <c r="F57" s="43"/>
      <c r="G57" s="43" t="s">
        <v>174</v>
      </c>
      <c r="H57" s="43"/>
      <c r="I57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57" s="44"/>
      <c r="K57" s="45"/>
      <c r="L57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57" s="44"/>
      <c r="N57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57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57" s="28"/>
      <c r="Q57" s="36" t="str">
        <f t="shared" si="1"/>
        <v/>
      </c>
      <c r="R57" s="36" t="str">
        <f t="shared" si="2"/>
        <v/>
      </c>
      <c r="S57" s="38" t="str">
        <f t="shared" si="3"/>
        <v/>
      </c>
      <c r="T57" s="38" t="str">
        <f t="shared" si="4"/>
        <v/>
      </c>
      <c r="U57" s="38" t="str">
        <f t="shared" si="5"/>
        <v/>
      </c>
    </row>
    <row r="58" spans="1:21" ht="15" customHeight="1" x14ac:dyDescent="0.2">
      <c r="A58" s="41" t="str">
        <f t="shared" si="6"/>
        <v>Menu_57</v>
      </c>
      <c r="B58" s="23" t="s">
        <v>321</v>
      </c>
      <c r="C58" s="28" t="s">
        <v>320</v>
      </c>
      <c r="D58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Greek, small</v>
      </c>
      <c r="E58" s="43" t="s">
        <v>170</v>
      </c>
      <c r="F58" s="43"/>
      <c r="G58" s="43" t="s">
        <v>174</v>
      </c>
      <c r="H58" s="43"/>
      <c r="I58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58" s="44"/>
      <c r="K58" s="45"/>
      <c r="L58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58" s="44"/>
      <c r="N58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58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58" s="28"/>
      <c r="Q58" s="36" t="str">
        <f t="shared" si="1"/>
        <v/>
      </c>
      <c r="R58" s="36" t="str">
        <f t="shared" si="2"/>
        <v/>
      </c>
      <c r="S58" s="38" t="str">
        <f t="shared" si="3"/>
        <v/>
      </c>
      <c r="T58" s="38" t="str">
        <f t="shared" si="4"/>
        <v/>
      </c>
      <c r="U58" s="38" t="str">
        <f t="shared" si="5"/>
        <v/>
      </c>
    </row>
    <row r="59" spans="1:21" ht="15" customHeight="1" x14ac:dyDescent="0.2">
      <c r="A59" s="41" t="str">
        <f t="shared" si="6"/>
        <v>Menu_58</v>
      </c>
      <c r="B59" s="23" t="s">
        <v>321</v>
      </c>
      <c r="C59" s="28" t="s">
        <v>320</v>
      </c>
      <c r="D59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Grilled Chicken, small</v>
      </c>
      <c r="E59" s="43" t="s">
        <v>171</v>
      </c>
      <c r="F59" s="43"/>
      <c r="G59" s="43" t="s">
        <v>174</v>
      </c>
      <c r="H59" s="43"/>
      <c r="I59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59" s="44"/>
      <c r="K59" s="45"/>
      <c r="L59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59" s="44"/>
      <c r="N59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59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59" s="28"/>
      <c r="Q59" s="36" t="str">
        <f t="shared" si="1"/>
        <v/>
      </c>
      <c r="R59" s="36" t="str">
        <f t="shared" si="2"/>
        <v/>
      </c>
      <c r="S59" s="38" t="str">
        <f t="shared" si="3"/>
        <v/>
      </c>
      <c r="T59" s="38" t="str">
        <f t="shared" si="4"/>
        <v/>
      </c>
      <c r="U59" s="38" t="str">
        <f t="shared" si="5"/>
        <v/>
      </c>
    </row>
    <row r="60" spans="1:21" ht="15" customHeight="1" x14ac:dyDescent="0.2">
      <c r="A60" s="41" t="str">
        <f t="shared" si="6"/>
        <v>Menu_59</v>
      </c>
      <c r="B60" s="23" t="s">
        <v>321</v>
      </c>
      <c r="C60" s="28" t="s">
        <v>320</v>
      </c>
      <c r="D60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Meats, small</v>
      </c>
      <c r="E60" s="43" t="s">
        <v>177</v>
      </c>
      <c r="F60" s="43"/>
      <c r="G60" s="43" t="s">
        <v>174</v>
      </c>
      <c r="H60" s="43"/>
      <c r="I60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60" s="44"/>
      <c r="K60" s="45"/>
      <c r="L60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60" s="44"/>
      <c r="N60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60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60" s="28"/>
      <c r="Q60" s="36" t="str">
        <f t="shared" si="1"/>
        <v/>
      </c>
      <c r="R60" s="36" t="str">
        <f t="shared" si="2"/>
        <v/>
      </c>
      <c r="S60" s="38" t="str">
        <f t="shared" si="3"/>
        <v/>
      </c>
      <c r="T60" s="38" t="str">
        <f t="shared" si="4"/>
        <v/>
      </c>
      <c r="U60" s="38" t="str">
        <f t="shared" si="5"/>
        <v/>
      </c>
    </row>
    <row r="61" spans="1:21" ht="15" customHeight="1" x14ac:dyDescent="0.2">
      <c r="A61" s="41" t="str">
        <f t="shared" si="6"/>
        <v>Menu_60</v>
      </c>
      <c r="B61" s="23" t="s">
        <v>321</v>
      </c>
      <c r="C61" s="28" t="s">
        <v>320</v>
      </c>
      <c r="D61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Vegetable, small</v>
      </c>
      <c r="E61" s="43" t="s">
        <v>40</v>
      </c>
      <c r="F61" s="43"/>
      <c r="G61" s="43" t="s">
        <v>174</v>
      </c>
      <c r="H61" s="43"/>
      <c r="I61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61" s="44"/>
      <c r="K61" s="45"/>
      <c r="L61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61" s="44"/>
      <c r="N61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61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61" s="28"/>
      <c r="Q61" s="36" t="str">
        <f t="shared" si="1"/>
        <v/>
      </c>
      <c r="R61" s="36" t="str">
        <f t="shared" si="2"/>
        <v/>
      </c>
      <c r="S61" s="38" t="str">
        <f t="shared" si="3"/>
        <v/>
      </c>
      <c r="T61" s="38" t="str">
        <f t="shared" si="4"/>
        <v/>
      </c>
      <c r="U61" s="38" t="str">
        <f t="shared" si="5"/>
        <v/>
      </c>
    </row>
    <row r="62" spans="1:21" ht="15" customHeight="1" x14ac:dyDescent="0.2">
      <c r="A62" s="41" t="str">
        <f t="shared" si="6"/>
        <v>Menu_61</v>
      </c>
      <c r="B62" s="23" t="s">
        <v>321</v>
      </c>
      <c r="C62" s="28" t="s">
        <v>320</v>
      </c>
      <c r="D62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Arabic, small</v>
      </c>
      <c r="E62" s="43" t="s">
        <v>172</v>
      </c>
      <c r="F62" s="43"/>
      <c r="G62" s="43" t="s">
        <v>174</v>
      </c>
      <c r="H62" s="43"/>
      <c r="I62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62" s="44"/>
      <c r="K62" s="45"/>
      <c r="L62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62" s="44"/>
      <c r="N62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62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62" s="28"/>
      <c r="Q62" s="36" t="str">
        <f t="shared" si="1"/>
        <v/>
      </c>
      <c r="R62" s="36" t="str">
        <f t="shared" si="2"/>
        <v/>
      </c>
      <c r="S62" s="38" t="str">
        <f t="shared" si="3"/>
        <v/>
      </c>
      <c r="T62" s="38" t="str">
        <f t="shared" si="4"/>
        <v/>
      </c>
      <c r="U62" s="38" t="str">
        <f t="shared" si="5"/>
        <v/>
      </c>
    </row>
    <row r="63" spans="1:21" ht="15" customHeight="1" x14ac:dyDescent="0.2">
      <c r="A63" s="41" t="str">
        <f t="shared" si="6"/>
        <v>Menu_62</v>
      </c>
      <c r="B63" s="23" t="s">
        <v>321</v>
      </c>
      <c r="C63" s="28" t="s">
        <v>320</v>
      </c>
      <c r="D63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Pesto Pizza, small</v>
      </c>
      <c r="E63" s="43" t="s">
        <v>184</v>
      </c>
      <c r="F63" s="43"/>
      <c r="G63" s="43" t="s">
        <v>174</v>
      </c>
      <c r="H63" s="43"/>
      <c r="I63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63" s="44"/>
      <c r="K63" s="45"/>
      <c r="L63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63" s="44"/>
      <c r="N63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63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63" s="28"/>
      <c r="Q63" s="36" t="str">
        <f t="shared" si="1"/>
        <v/>
      </c>
      <c r="R63" s="36" t="str">
        <f t="shared" si="2"/>
        <v/>
      </c>
      <c r="S63" s="38" t="str">
        <f t="shared" si="3"/>
        <v/>
      </c>
      <c r="T63" s="38" t="str">
        <f t="shared" si="4"/>
        <v/>
      </c>
      <c r="U63" s="38" t="str">
        <f t="shared" si="5"/>
        <v/>
      </c>
    </row>
    <row r="64" spans="1:21" ht="15" customHeight="1" x14ac:dyDescent="0.2">
      <c r="A64" s="41" t="str">
        <f t="shared" si="6"/>
        <v>Menu_63</v>
      </c>
      <c r="B64" s="23" t="s">
        <v>321</v>
      </c>
      <c r="C64" s="28" t="s">
        <v>267</v>
      </c>
      <c r="D64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caesar salad, sauce</v>
      </c>
      <c r="E64" s="43" t="s">
        <v>133</v>
      </c>
      <c r="F64" s="43"/>
      <c r="G64" s="43" t="s">
        <v>179</v>
      </c>
      <c r="H64" s="43"/>
      <c r="I64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64" s="44"/>
      <c r="K64" s="45"/>
      <c r="L64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64" s="44"/>
      <c r="N64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64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64" s="28"/>
      <c r="Q64" s="36" t="str">
        <f t="shared" si="1"/>
        <v/>
      </c>
      <c r="R64" s="36" t="str">
        <f t="shared" si="2"/>
        <v/>
      </c>
      <c r="S64" s="38" t="str">
        <f t="shared" si="3"/>
        <v/>
      </c>
      <c r="T64" s="38" t="str">
        <f t="shared" si="4"/>
        <v/>
      </c>
      <c r="U64" s="38" t="str">
        <f t="shared" si="5"/>
        <v/>
      </c>
    </row>
    <row r="65" spans="1:21" ht="15" customHeight="1" x14ac:dyDescent="0.2">
      <c r="A65" s="41" t="str">
        <f t="shared" si="6"/>
        <v>Menu_64</v>
      </c>
      <c r="B65" s="23" t="s">
        <v>321</v>
      </c>
      <c r="C65" s="28" t="s">
        <v>267</v>
      </c>
      <c r="D65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Balsamic sauce, sauce</v>
      </c>
      <c r="E65" s="43" t="s">
        <v>63</v>
      </c>
      <c r="F65" s="43"/>
      <c r="G65" s="43" t="s">
        <v>179</v>
      </c>
      <c r="H65" s="43"/>
      <c r="I65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65" s="44"/>
      <c r="K65" s="45"/>
      <c r="L65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65" s="44"/>
      <c r="N65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65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65" s="28"/>
      <c r="Q65" s="36" t="str">
        <f t="shared" si="1"/>
        <v/>
      </c>
      <c r="R65" s="36" t="str">
        <f t="shared" si="2"/>
        <v/>
      </c>
      <c r="S65" s="38" t="str">
        <f t="shared" si="3"/>
        <v/>
      </c>
      <c r="T65" s="38" t="str">
        <f t="shared" si="4"/>
        <v/>
      </c>
      <c r="U65" s="38" t="str">
        <f t="shared" si="5"/>
        <v/>
      </c>
    </row>
    <row r="66" spans="1:21" ht="15" customHeight="1" x14ac:dyDescent="0.2">
      <c r="A66" s="41" t="str">
        <f t="shared" ref="A66:A74" si="7">"Menu"&amp;"_"&amp;(ROW(A66)-ROW($A$1))</f>
        <v>Menu_65</v>
      </c>
      <c r="B66" s="23" t="s">
        <v>321</v>
      </c>
      <c r="C66" s="28" t="s">
        <v>267</v>
      </c>
      <c r="D66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1000 Island, sauce</v>
      </c>
      <c r="E66" s="43" t="s">
        <v>180</v>
      </c>
      <c r="F66" s="43"/>
      <c r="G66" s="43" t="s">
        <v>179</v>
      </c>
      <c r="H66" s="43"/>
      <c r="I66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66" s="44"/>
      <c r="K66" s="45"/>
      <c r="L66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66" s="44"/>
      <c r="N66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66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66" s="28"/>
      <c r="Q66" s="36" t="str">
        <f t="shared" si="1"/>
        <v/>
      </c>
      <c r="R66" s="36" t="str">
        <f t="shared" si="2"/>
        <v/>
      </c>
      <c r="S66" s="38" t="str">
        <f t="shared" si="3"/>
        <v/>
      </c>
      <c r="T66" s="38" t="str">
        <f t="shared" si="4"/>
        <v/>
      </c>
      <c r="U66" s="38" t="str">
        <f t="shared" si="5"/>
        <v/>
      </c>
    </row>
    <row r="67" spans="1:21" ht="15" customHeight="1" x14ac:dyDescent="0.2">
      <c r="A67" s="41" t="str">
        <f t="shared" si="7"/>
        <v>Menu_66</v>
      </c>
      <c r="B67" s="23" t="s">
        <v>321</v>
      </c>
      <c r="C67" s="28" t="s">
        <v>267</v>
      </c>
      <c r="D67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Fruit salad, sauce</v>
      </c>
      <c r="E67" s="43" t="s">
        <v>137</v>
      </c>
      <c r="F67" s="43"/>
      <c r="G67" s="43" t="s">
        <v>179</v>
      </c>
      <c r="H67" s="43"/>
      <c r="I67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67" s="44"/>
      <c r="K67" s="45"/>
      <c r="L67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67" s="44"/>
      <c r="N67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67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67" s="28"/>
      <c r="Q67" s="36" t="str">
        <f t="shared" ref="Q67:Q74" si="8">IF(P67="","",(P67/((5/100)+1)))</f>
        <v/>
      </c>
      <c r="R67" s="36" t="str">
        <f t="shared" ref="R67:R74" si="9">IF(OR(Q67="",L67=""),"",(Q67-L67))</f>
        <v/>
      </c>
      <c r="S67" s="38" t="str">
        <f t="shared" ref="S67:S74" si="10">IF(OR(L67="",R67=""),"",(R67/L67))</f>
        <v/>
      </c>
      <c r="T67" s="38" t="str">
        <f t="shared" ref="T67:T74" si="11">IF(OR(R67="",Q67=""),"",(R67/Q67))</f>
        <v/>
      </c>
      <c r="U67" s="38" t="str">
        <f t="shared" ref="U67:U74" si="12">IF(OR(L67="",Q67=""),"",(L67/Q67))</f>
        <v/>
      </c>
    </row>
    <row r="68" spans="1:21" ht="15" customHeight="1" x14ac:dyDescent="0.2">
      <c r="A68" s="41" t="str">
        <f t="shared" si="7"/>
        <v>Menu_67</v>
      </c>
      <c r="B68" s="23" t="s">
        <v>321</v>
      </c>
      <c r="C68" s="28" t="s">
        <v>267</v>
      </c>
      <c r="D68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Coca Cola</v>
      </c>
      <c r="E68" s="43" t="s">
        <v>95</v>
      </c>
      <c r="F68" s="43"/>
      <c r="G68" s="43"/>
      <c r="H68" s="43"/>
      <c r="I68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68" s="44"/>
      <c r="K68" s="45"/>
      <c r="L68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68" s="44"/>
      <c r="N68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68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68" s="28"/>
      <c r="Q68" s="36" t="str">
        <f t="shared" si="8"/>
        <v/>
      </c>
      <c r="R68" s="36" t="str">
        <f t="shared" si="9"/>
        <v/>
      </c>
      <c r="S68" s="38" t="str">
        <f t="shared" si="10"/>
        <v/>
      </c>
      <c r="T68" s="38" t="str">
        <f t="shared" si="11"/>
        <v/>
      </c>
      <c r="U68" s="38" t="str">
        <f t="shared" si="12"/>
        <v/>
      </c>
    </row>
    <row r="69" spans="1:21" ht="15" customHeight="1" x14ac:dyDescent="0.2">
      <c r="A69" s="41" t="str">
        <f t="shared" si="7"/>
        <v>Menu_68</v>
      </c>
      <c r="B69" s="23" t="s">
        <v>321</v>
      </c>
      <c r="C69" s="28" t="s">
        <v>267</v>
      </c>
      <c r="D69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Cola Diet</v>
      </c>
      <c r="E69" s="43" t="s">
        <v>97</v>
      </c>
      <c r="F69" s="43"/>
      <c r="G69" s="43"/>
      <c r="H69" s="43"/>
      <c r="I69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69" s="44"/>
      <c r="K69" s="45"/>
      <c r="L69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69" s="44"/>
      <c r="N69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69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69" s="28"/>
      <c r="Q69" s="36" t="str">
        <f t="shared" si="8"/>
        <v/>
      </c>
      <c r="R69" s="36" t="str">
        <f t="shared" si="9"/>
        <v/>
      </c>
      <c r="S69" s="38" t="str">
        <f t="shared" si="10"/>
        <v/>
      </c>
      <c r="T69" s="38" t="str">
        <f t="shared" si="11"/>
        <v/>
      </c>
      <c r="U69" s="38" t="str">
        <f t="shared" si="12"/>
        <v/>
      </c>
    </row>
    <row r="70" spans="1:21" ht="15" customHeight="1" x14ac:dyDescent="0.2">
      <c r="A70" s="41" t="str">
        <f t="shared" si="7"/>
        <v>Menu_69</v>
      </c>
      <c r="B70" s="23" t="s">
        <v>321</v>
      </c>
      <c r="C70" s="28" t="s">
        <v>267</v>
      </c>
      <c r="D70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Fanta citrus</v>
      </c>
      <c r="E70" s="43" t="s">
        <v>90</v>
      </c>
      <c r="F70" s="43"/>
      <c r="G70" s="43"/>
      <c r="H70" s="43"/>
      <c r="I70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70" s="44"/>
      <c r="K70" s="45"/>
      <c r="L70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70" s="44"/>
      <c r="N70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70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70" s="28"/>
      <c r="Q70" s="36" t="str">
        <f t="shared" si="8"/>
        <v/>
      </c>
      <c r="R70" s="36" t="str">
        <f t="shared" si="9"/>
        <v/>
      </c>
      <c r="S70" s="38" t="str">
        <f t="shared" si="10"/>
        <v/>
      </c>
      <c r="T70" s="38" t="str">
        <f t="shared" si="11"/>
        <v/>
      </c>
      <c r="U70" s="38" t="str">
        <f t="shared" si="12"/>
        <v/>
      </c>
    </row>
    <row r="71" spans="1:21" ht="15" customHeight="1" x14ac:dyDescent="0.2">
      <c r="A71" s="41" t="str">
        <f t="shared" si="7"/>
        <v>Menu_70</v>
      </c>
      <c r="B71" s="23" t="s">
        <v>321</v>
      </c>
      <c r="C71" s="28" t="s">
        <v>267</v>
      </c>
      <c r="D71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Fanta orange</v>
      </c>
      <c r="E71" s="43" t="s">
        <v>92</v>
      </c>
      <c r="F71" s="43"/>
      <c r="G71" s="43"/>
      <c r="H71" s="43"/>
      <c r="I71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71" s="44"/>
      <c r="K71" s="45"/>
      <c r="L71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71" s="44"/>
      <c r="N71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71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71" s="28"/>
      <c r="Q71" s="36" t="str">
        <f t="shared" si="8"/>
        <v/>
      </c>
      <c r="R71" s="36" t="str">
        <f t="shared" si="9"/>
        <v/>
      </c>
      <c r="S71" s="38" t="str">
        <f t="shared" si="10"/>
        <v/>
      </c>
      <c r="T71" s="38" t="str">
        <f t="shared" si="11"/>
        <v/>
      </c>
      <c r="U71" s="38" t="str">
        <f t="shared" si="12"/>
        <v/>
      </c>
    </row>
    <row r="72" spans="1:21" ht="15" customHeight="1" x14ac:dyDescent="0.2">
      <c r="A72" s="41" t="str">
        <f t="shared" si="7"/>
        <v>Menu_71</v>
      </c>
      <c r="B72" s="23" t="s">
        <v>321</v>
      </c>
      <c r="C72" s="28" t="s">
        <v>267</v>
      </c>
      <c r="D72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Sprite</v>
      </c>
      <c r="E72" s="43" t="s">
        <v>88</v>
      </c>
      <c r="F72" s="43"/>
      <c r="G72" s="43"/>
      <c r="H72" s="43"/>
      <c r="I72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72" s="44"/>
      <c r="K72" s="45"/>
      <c r="L72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72" s="44"/>
      <c r="N72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72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72" s="28"/>
      <c r="Q72" s="36" t="str">
        <f t="shared" si="8"/>
        <v/>
      </c>
      <c r="R72" s="36" t="str">
        <f t="shared" si="9"/>
        <v/>
      </c>
      <c r="S72" s="38" t="str">
        <f t="shared" si="10"/>
        <v/>
      </c>
      <c r="T72" s="38" t="str">
        <f t="shared" si="11"/>
        <v/>
      </c>
      <c r="U72" s="38" t="str">
        <f t="shared" si="12"/>
        <v/>
      </c>
    </row>
    <row r="73" spans="1:21" ht="15" customHeight="1" x14ac:dyDescent="0.2">
      <c r="A73" s="41" t="str">
        <f t="shared" si="7"/>
        <v>Menu_72</v>
      </c>
      <c r="B73" s="23" t="s">
        <v>321</v>
      </c>
      <c r="C73" s="28" t="s">
        <v>267</v>
      </c>
      <c r="D73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Water-large</v>
      </c>
      <c r="E73" s="43" t="s">
        <v>101</v>
      </c>
      <c r="F73" s="43"/>
      <c r="G73" s="43"/>
      <c r="H73" s="43"/>
      <c r="I73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73" s="44"/>
      <c r="K73" s="45"/>
      <c r="L73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73" s="44"/>
      <c r="N73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73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73" s="28"/>
      <c r="Q73" s="36" t="str">
        <f t="shared" si="8"/>
        <v/>
      </c>
      <c r="R73" s="36" t="str">
        <f t="shared" si="9"/>
        <v/>
      </c>
      <c r="S73" s="38" t="str">
        <f t="shared" si="10"/>
        <v/>
      </c>
      <c r="T73" s="38" t="str">
        <f t="shared" si="11"/>
        <v/>
      </c>
      <c r="U73" s="38" t="str">
        <f t="shared" si="12"/>
        <v/>
      </c>
    </row>
    <row r="74" spans="1:21" ht="15" customHeight="1" x14ac:dyDescent="0.2">
      <c r="A74" s="41" t="str">
        <f t="shared" si="7"/>
        <v>Menu_73</v>
      </c>
      <c r="B74" s="23" t="s">
        <v>321</v>
      </c>
      <c r="C74" s="28" t="s">
        <v>267</v>
      </c>
      <c r="D74" s="41" t="str">
        <f>(IF(Menu[[#This Row],[اسم الطبق]]&lt;&gt;"",Menu[[#This Row],[اسم الطبق]],""))&amp;(IF(Menu[[#This Row],[إضافات 1]]&lt;&gt;"",", "&amp;Menu[[#This Row],[إضافات 1]],""))&amp;(IF(Menu[[#This Row],[إضافات 2]]&lt;&gt;"",", "&amp;Menu[[#This Row],[إضافات 2]],""))&amp;(IF(Menu[[#This Row],[إضافات 3]]&lt;&gt;"",", "&amp;Menu[[#This Row],[إضافات 3]],""))</f>
        <v>Water-small</v>
      </c>
      <c r="E74" s="43" t="s">
        <v>99</v>
      </c>
      <c r="F74" s="43"/>
      <c r="G74" s="43"/>
      <c r="H74" s="43"/>
      <c r="I74" s="23">
        <f>SUMIFS(DATA[الكلفه / وحده],DATA[No.],Menu[[#This Row],[رقم الطبق]],DATA[Type],Menu[[#This Row],[النوع]],DATA[Cat],Menu[[#This Row],[الفئة]],DATA[Name],Menu[[#This Row],[اسم الطبق بالإضافات]])</f>
        <v>0</v>
      </c>
      <c r="J74" s="44"/>
      <c r="K74" s="45"/>
      <c r="L74" s="40" t="str">
        <f>IF(Menu[[#This Row],[التكلفة المباشرة]]&gt;0,((Menu[[#This Row],[التكلفة المباشرة]]*Menu[[#This Row],[تكلفه متغيرة على الطبق مثل أجور عمال أو إيجارات الخ..]])+(Menu[[#This Row],[التكلفة المباشرة]]+Menu[[#This Row],[تكلفة ثابته على الطبق مثل أجور عمال أو إيجارات الخ...]])),"")</f>
        <v/>
      </c>
      <c r="M74" s="44"/>
      <c r="N74" s="36" t="str">
        <f>IF(OR(Menu[[#This Row],[التكلفة الإجمالية للطبق]]="",Menu[[#This Row],[نسبة الربح المطلوبه]]=""),"",((Menu[[#This Row],[التكلفة الإجمالية للطبق]]*Menu[[#This Row],[نسبة الربح المطلوبه]])+Menu[[#This Row],[التكلفة الإجمالية للطبق]]))</f>
        <v/>
      </c>
      <c r="O74" s="36" t="str">
        <f>IF(Menu[[#This Row],[سعر البيع المقترح بناء على نسبة الربح المطلوبة]]="","",(Menu[[#This Row],[سعر البيع المقترح بناء على نسبة الربح المطلوبة]]*0.05)+Menu[[#This Row],[سعر البيع المقترح بناء على نسبة الربح المطلوبة]])</f>
        <v/>
      </c>
      <c r="P74" s="28"/>
      <c r="Q74" s="36" t="str">
        <f t="shared" si="8"/>
        <v/>
      </c>
      <c r="R74" s="36" t="str">
        <f t="shared" si="9"/>
        <v/>
      </c>
      <c r="S74" s="38" t="str">
        <f t="shared" si="10"/>
        <v/>
      </c>
      <c r="T74" s="38" t="str">
        <f t="shared" si="11"/>
        <v/>
      </c>
      <c r="U74" s="38" t="str">
        <f t="shared" si="12"/>
        <v/>
      </c>
    </row>
  </sheetData>
  <dataValidations count="2">
    <dataValidation type="list" allowBlank="1" showInputMessage="1" showErrorMessage="1" sqref="B2:B74">
      <formula1>"صنف_بيع"</formula1>
    </dataValidation>
    <dataValidation type="list" allowBlank="1" showInputMessage="1" showErrorMessage="1" sqref="C2:C74">
      <formula1>INDIRECT(B2)</formula1>
    </dataValidation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3"/>
  <sheetViews>
    <sheetView showGridLines="0" tabSelected="1" topLeftCell="C1" workbookViewId="0">
      <selection activeCell="F9" sqref="F9:H12"/>
    </sheetView>
  </sheetViews>
  <sheetFormatPr defaultColWidth="9.140625" defaultRowHeight="15" customHeight="1" x14ac:dyDescent="0.25"/>
  <cols>
    <col min="1" max="1" width="9.140625" style="5" customWidth="1"/>
    <col min="2" max="2" width="12.7109375" style="5" customWidth="1"/>
    <col min="3" max="3" width="14.7109375" style="5" customWidth="1"/>
    <col min="4" max="4" width="24.5703125" style="5" customWidth="1"/>
    <col min="5" max="5" width="12.7109375" style="5" customWidth="1"/>
    <col min="6" max="6" width="8.7109375" style="5" bestFit="1" customWidth="1"/>
    <col min="7" max="7" width="10.42578125" style="5" bestFit="1" customWidth="1"/>
    <col min="8" max="8" width="14.7109375" style="5" bestFit="1" customWidth="1"/>
    <col min="9" max="9" width="9.140625" style="5"/>
    <col min="10" max="10" width="9.140625" style="5" customWidth="1"/>
    <col min="11" max="13" width="9.140625" style="5"/>
    <col min="15" max="16384" width="9.140625" style="5"/>
  </cols>
  <sheetData>
    <row r="1" spans="1:18" ht="15" customHeight="1" x14ac:dyDescent="0.2">
      <c r="F1" s="76" t="s">
        <v>708</v>
      </c>
      <c r="G1" s="87" t="s">
        <v>321</v>
      </c>
      <c r="H1" s="88"/>
      <c r="N1" s="5"/>
    </row>
    <row r="2" spans="1:18" ht="15" customHeight="1" x14ac:dyDescent="0.2">
      <c r="F2" s="77" t="s">
        <v>710</v>
      </c>
      <c r="G2" s="85" t="s">
        <v>715</v>
      </c>
      <c r="H2" s="86"/>
      <c r="N2" s="5"/>
    </row>
    <row r="3" spans="1:18" ht="15" customHeight="1" x14ac:dyDescent="0.2">
      <c r="F3" s="77" t="s">
        <v>711</v>
      </c>
      <c r="G3" s="81" t="str">
        <f>IF(G1="وصفات_أولية",VLOOKUP(G2,Prep[[#All],[رقم الوصفة]:[اسم الوصفة]],3,0),IF(G1="صنف_بيع",VLOOKUP(G2,Menu[[#All],[رقم الطبق]:[اسم الطبق بالإضافات]],3,0),0))</f>
        <v>باستا</v>
      </c>
      <c r="H3" s="82"/>
      <c r="N3" s="5"/>
    </row>
    <row r="4" spans="1:18" ht="15" customHeight="1" x14ac:dyDescent="0.2">
      <c r="F4" s="77" t="s">
        <v>709</v>
      </c>
      <c r="G4" s="83" t="str">
        <f>IF(G1="وصفات_أولية",VLOOKUP(G2,Prep[[#All],[رقم الوصفة]:[اسم الوصفة]],4,0),IF(G1="صنف_بيع",VLOOKUP(G2,Menu[[#All],[رقم الطبق]:[اسم الطبق بالإضافات]],4,0),0))</f>
        <v>Mix Pasta, Red Sauce, mix protein</v>
      </c>
      <c r="H4" s="84"/>
      <c r="N4" s="5"/>
    </row>
    <row r="5" spans="1:18" ht="15" customHeight="1" x14ac:dyDescent="0.2">
      <c r="F5" s="78" t="s">
        <v>712</v>
      </c>
      <c r="G5" s="89">
        <v>1</v>
      </c>
      <c r="H5" s="90"/>
      <c r="N5" s="5"/>
    </row>
    <row r="6" spans="1:18" ht="15" customHeight="1" x14ac:dyDescent="0.2">
      <c r="F6" s="79"/>
      <c r="G6" s="72"/>
      <c r="H6" s="80"/>
      <c r="N6" s="5"/>
    </row>
    <row r="7" spans="1:18" ht="15" customHeight="1" x14ac:dyDescent="0.2">
      <c r="N7" s="5"/>
    </row>
    <row r="8" spans="1:18" s="6" customFormat="1" ht="36" x14ac:dyDescent="0.25">
      <c r="A8" s="48" t="s">
        <v>708</v>
      </c>
      <c r="B8" s="48" t="s">
        <v>710</v>
      </c>
      <c r="C8" s="48" t="s">
        <v>711</v>
      </c>
      <c r="D8" s="48" t="s">
        <v>709</v>
      </c>
      <c r="E8" s="48" t="s">
        <v>712</v>
      </c>
      <c r="F8" s="48" t="s">
        <v>271</v>
      </c>
      <c r="G8" s="48" t="s">
        <v>272</v>
      </c>
      <c r="H8" s="48" t="s">
        <v>26</v>
      </c>
      <c r="I8" s="48" t="s">
        <v>231</v>
      </c>
      <c r="J8" s="48" t="s">
        <v>312</v>
      </c>
      <c r="K8" s="48" t="s">
        <v>253</v>
      </c>
      <c r="L8" s="48" t="s">
        <v>254</v>
      </c>
      <c r="M8" s="48" t="s">
        <v>311</v>
      </c>
      <c r="N8" s="48" t="s">
        <v>301</v>
      </c>
      <c r="O8" s="4" t="s">
        <v>310</v>
      </c>
      <c r="P8" s="4" t="s">
        <v>300</v>
      </c>
      <c r="Q8" s="4" t="s">
        <v>713</v>
      </c>
      <c r="R8" s="4" t="s">
        <v>15</v>
      </c>
    </row>
    <row r="9" spans="1:18" s="6" customFormat="1" ht="15" customHeight="1" x14ac:dyDescent="0.25">
      <c r="A9" s="72" t="str">
        <f>IF(OR(ISERROR($G$3),ISERROR($G$4)),"",IF(OR($G$1=0,$G$2=0,$G$3=0,$G$4=0,$G$5&lt;=0),"",$G$1))</f>
        <v>صنف_بيع</v>
      </c>
      <c r="B9" s="72" t="str">
        <f>IF(OR(ISERROR($G$3),ISERROR($G$4)),"",IF(OR($G$1=0,$G$2=0,$G$3=0,$G$4=0,$G$5&lt;=0),"",$G$2))</f>
        <v>Menu_6</v>
      </c>
      <c r="C9" s="72" t="str">
        <f>IF(OR(ISERROR($G$3),ISERROR($G$4)),"",IF(OR($G$1=0,$G$2=0,$G$3=0,$G$4=0,$G$5&lt;=0),"",$G$3))</f>
        <v>باستا</v>
      </c>
      <c r="D9" s="72" t="str">
        <f>IF(OR(ISERROR($G$3),ISERROR($G$4)),"",IF(OR($G$1=0,$G$2=0,$G$3=0,$G$4=0,$G$5&lt;=0),"",$G$4))</f>
        <v>Mix Pasta, Red Sauce, mix protein</v>
      </c>
      <c r="E9" s="72">
        <f>IF(OR(ISERROR($G$3),ISERROR($G$4)),"",IF(OR($G$1=0,$G$2=0,$G$3=0,$G$4=0,$G$5&lt;=0),"",$G$5))</f>
        <v>1</v>
      </c>
      <c r="F9" s="28" t="s">
        <v>255</v>
      </c>
      <c r="G9" s="28" t="s">
        <v>257</v>
      </c>
      <c r="H9" s="28" t="s">
        <v>158</v>
      </c>
      <c r="I9" s="74"/>
      <c r="J9" s="74"/>
      <c r="K9" s="28">
        <v>3</v>
      </c>
      <c r="L9" s="28">
        <v>2</v>
      </c>
      <c r="M9" s="23">
        <f>IF((OR(Input_Form[[#This Row],[النوع]]="",Input_Form[[#This Row],[الفئه]]="",Input_Form[[#This Row],[البند]]="",Input_Form[[#This Row],[البداية]]="",Input_Form[[#This Row],[المتبقي]]&gt;=Input_Form[[#This Row],[البداية]])),"",(Input_Form[[#This Row],[البداية]]-Input_Form[[#This Row],[المتبقي]]))</f>
        <v>1</v>
      </c>
      <c r="N9" s="23" t="str">
        <f>IF((OR(Input_Form[[#This Row],[النوع]]="",Input_Form[[#This Row],[الفئه]]="",Input_Form[[#This Row],[البند]]="")),"",IF(Input_Form[[#This Row],[النوع]]="مواد_خام",(LOOKUP(2,1/(rowM[الفئة]=Input_Form[[#This Row],[الفئه]])/(rowM[اسم الماده]=Input_Form[[#This Row],[البند]]),(rowM[وحدة الوصفه وصفا]))),IF(Input_Form[[#This Row],[النوع]]="وصفات_أولية",(LOOKUP(2,1/(Prep[الفئة]=Input_Form[[#This Row],[الفئه]])/(Prep[اسم الوصفة]=Input_Form[[#This Row],[البند]]),(Prep[وحدة الوصفه]))),"وحدة بيع")))</f>
        <v>جم</v>
      </c>
      <c r="O9" s="6">
        <f>IF((OR(Input_Form[[#This Row],[النوع]]="",Input_Form[[#This Row],[الفئه]]="",Input_Form[[#This Row],[البند]]="",Input_Form[[#This Row],[الكمية المستخدمه للوصفة]]="")),"",(((SUMIFS(rowM[سعر وحده الوصفة الصافي],rowM[النوع],Input_Form[[#This Row],[النوع]],rowM[الفئة],Input_Form[[#This Row],[الفئه]],rowM[اسم الماده],Input_Form[[#This Row],[البند]]))*(Input_Form[[#This Row],[الكمية المستخدمه للوصفة]]))+((SUMIFS(Prep[التكلفه/ وحده],Prep[النوع],Input_Form[[#This Row],[النوع]],Prep[الفئة],Input_Form[[#This Row],[الفئه]],Prep[اسم الوصفة],Input_Form[[#This Row],[البند]]))*(Input_Form[[#This Row],[الكمية المستخدمه للوصفة]]))+((SUMIFS(Menu[التكلفة المباشرة],Menu[النوع],Input_Form[[#This Row],[النوع]],Menu[الفئة],Input_Form[[#This Row],[الفئه]],Menu[اسم الطبق بالإضافات],Input_Form[[#This Row],[البند]]))*(Input_Form[[#This Row],[الكمية المستخدمه للوصفة]]))))</f>
        <v>1.4903846153846155E-2</v>
      </c>
      <c r="P9" s="6">
        <f>IF(OR(Input_Form[[#This Row],[النوع]]="",Input_Form[[#This Row],[الفئه]]="",Input_Form[[#This Row],[البند]]="",Input_Form[[#This Row],[Qty]]="",Input_Form[[#This Row],[Qty]]=0,Input_Form[[#This Row],[الكمية المستخدمه للوصفة]]=""),"",(Input_Form[[#This Row],[الكمية المستخدمه للوصفة]]/Input_Form[[#This Row],[Qty]]))</f>
        <v>1</v>
      </c>
      <c r="Q9" s="6">
        <f>IF((OR(Input_Form[[#This Row],[النوع]]="",Input_Form[[#This Row],[الفئه]]="",Input_Form[[#This Row],[البند]]="",Input_Form[[#This Row],[المقدار المستهلك / وحدة]]="")),"",(((SUMIFS(rowM[سعر وحده الوصفة الصافي],rowM[النوع],Input_Form[[#This Row],[النوع]],rowM[الفئة],Input_Form[[#This Row],[الفئه]],rowM[اسم الماده],Input_Form[[#This Row],[البند]]))*(Input_Form[[#This Row],[المقدار المستهلك / وحدة]]))+((SUMIFS(Prep[التكلفه/ وحده],Prep[النوع],Input_Form[[#This Row],[النوع]],Prep[الفئة],Input_Form[[#This Row],[الفئه]],Prep[اسم الوصفة],Input_Form[[#This Row],[البند]]))*(Input_Form[[#This Row],[المقدار المستهلك / وحدة]]))+((SUMIFS(Menu[التكلفة المباشرة],Menu[النوع],Input_Form[[#This Row],[النوع]],Menu[الفئة],Input_Form[[#This Row],[الفئه]],Menu[اسم الطبق بالإضافات],Input_Form[[#This Row],[البند]]))*(Input_Form[[#This Row],[المقدار المستهلك / وحدة]]))))</f>
        <v>1.4903846153846155E-2</v>
      </c>
      <c r="R9" s="92">
        <f>IF(OR(SUM(Input_Form[كلفة الكمية المستخدمة للوصفة])=0,ISERROR(SUM(Input_Form[كلفة الكمية المستخدمة للوصفة])),Input_Form[[#This Row],[كلفة الكمية المستخدمة للوصفة]]=""),"",(Input_Form[[#This Row],[كلفة الكمية المستخدمة للوصفة]]/SUM(Input_Form[كلفة الكمية المستخدمة للوصفة])))</f>
        <v>7.415200174165121E-4</v>
      </c>
    </row>
    <row r="10" spans="1:18" ht="15" customHeight="1" x14ac:dyDescent="0.2">
      <c r="A10" s="91" t="str">
        <f>IF(OR(ISERROR($G$3),ISERROR($G$4)),"",IF(OR($G$1=0,$G$2=0,$G$3=0,$G$4=0,$G$5&lt;=0),"",$G$1))</f>
        <v>صنف_بيع</v>
      </c>
      <c r="B10" s="91" t="str">
        <f>IF(OR(ISERROR($G$3),ISERROR($G$4)),"",IF(OR($G$1=0,$G$2=0,$G$3=0,$G$4=0,$G$5&lt;=0),"",$G$2))</f>
        <v>Menu_6</v>
      </c>
      <c r="C10" s="91" t="str">
        <f>IF(OR(ISERROR($G$3),ISERROR($G$4)),"",IF(OR($G$1=0,$G$2=0,$G$3=0,$G$4=0,$G$5&lt;=0),"",$G$3))</f>
        <v>باستا</v>
      </c>
      <c r="D10" s="91" t="str">
        <f>IF(OR(ISERROR($G$3),ISERROR($G$4)),"",IF(OR($G$1=0,$G$2=0,$G$3=0,$G$4=0,$G$5&lt;=0),"",$G$4))</f>
        <v>Mix Pasta, Red Sauce, mix protein</v>
      </c>
      <c r="E10" s="91">
        <f>IF(OR(ISERROR($G$3),ISERROR($G$4)),"",IF(OR($G$1=0,$G$2=0,$G$3=0,$G$4=0,$G$5&lt;=0),"",$G$5))</f>
        <v>1</v>
      </c>
      <c r="F10" s="35" t="s">
        <v>255</v>
      </c>
      <c r="G10" s="35" t="s">
        <v>257</v>
      </c>
      <c r="H10" s="35" t="s">
        <v>166</v>
      </c>
      <c r="I10" s="73"/>
      <c r="J10" s="73"/>
      <c r="K10" s="35">
        <v>4</v>
      </c>
      <c r="L10" s="35">
        <v>2</v>
      </c>
      <c r="M10" s="26">
        <f>IF((OR(Input_Form[[#This Row],[النوع]]="",Input_Form[[#This Row],[الفئه]]="",Input_Form[[#This Row],[البند]]="",Input_Form[[#This Row],[البداية]]="",Input_Form[[#This Row],[المتبقي]]&gt;=Input_Form[[#This Row],[البداية]])),"",(Input_Form[[#This Row],[البداية]]-Input_Form[[#This Row],[المتبقي]]))</f>
        <v>2</v>
      </c>
      <c r="N10" s="26" t="str">
        <f>IF((OR(Input_Form[[#This Row],[النوع]]="",Input_Form[[#This Row],[الفئه]]="",Input_Form[[#This Row],[البند]]="")),"",IF(Input_Form[[#This Row],[النوع]]="مواد_خام",(LOOKUP(2,1/(rowM[الفئة]=Input_Form[[#This Row],[الفئه]])/(rowM[اسم الماده]=Input_Form[[#This Row],[البند]]),(rowM[وحدة الوصفه وصفا]))),IF(Input_Form[[#This Row],[النوع]]="وصفات_أولية",(LOOKUP(2,1/(Prep[الفئة]=Input_Form[[#This Row],[الفئه]])/(Prep[اسم الوصفة]=Input_Form[[#This Row],[البند]]),(Prep[وحدة الوصفه]))),"وحدة بيع")))</f>
        <v>جم</v>
      </c>
      <c r="O10" s="6">
        <f>IF((OR(Input_Form[[#This Row],[النوع]]="",Input_Form[[#This Row],[الفئه]]="",Input_Form[[#This Row],[البند]]="",Input_Form[[#This Row],[الكمية المستخدمه للوصفة]]="")),"",(((SUMIFS(rowM[سعر وحده الوصفة الصافي],rowM[النوع],Input_Form[[#This Row],[النوع]],rowM[الفئة],Input_Form[[#This Row],[الفئه]],rowM[اسم الماده],Input_Form[[#This Row],[البند]]))*(Input_Form[[#This Row],[الكمية المستخدمه للوصفة]]))+((SUMIFS(Prep[التكلفه/ وحده],Prep[النوع],Input_Form[[#This Row],[النوع]],Prep[الفئة],Input_Form[[#This Row],[الفئه]],Prep[اسم الوصفة],Input_Form[[#This Row],[البند]]))*(Input_Form[[#This Row],[الكمية المستخدمه للوصفة]]))+((SUMIFS(Menu[التكلفة المباشرة],Menu[النوع],Input_Form[[#This Row],[النوع]],Menu[الفئة],Input_Form[[#This Row],[الفئه]],Menu[اسم الطبق بالإضافات],Input_Form[[#This Row],[البند]]))*(Input_Form[[#This Row],[الكمية المستخدمه للوصفة]]))))</f>
        <v>2.6143790849673203E-2</v>
      </c>
      <c r="P10" s="91">
        <f>IF(OR(Input_Form[[#This Row],[النوع]]="",Input_Form[[#This Row],[الفئه]]="",Input_Form[[#This Row],[البند]]="",Input_Form[[#This Row],[Qty]]="",Input_Form[[#This Row],[Qty]]=0,Input_Form[[#This Row],[الكمية المستخدمه للوصفة]]=""),"",(Input_Form[[#This Row],[الكمية المستخدمه للوصفة]]/Input_Form[[#This Row],[Qty]]))</f>
        <v>2</v>
      </c>
      <c r="Q10" s="6">
        <f>IF((OR(Input_Form[[#This Row],[النوع]]="",Input_Form[[#This Row],[الفئه]]="",Input_Form[[#This Row],[البند]]="",Input_Form[[#This Row],[المقدار المستهلك / وحدة]]="")),"",(((SUMIFS(rowM[سعر وحده الوصفة الصافي],rowM[النوع],Input_Form[[#This Row],[النوع]],rowM[الفئة],Input_Form[[#This Row],[الفئه]],rowM[اسم الماده],Input_Form[[#This Row],[البند]]))*(Input_Form[[#This Row],[المقدار المستهلك / وحدة]]))+((SUMIFS(Prep[التكلفه/ وحده],Prep[النوع],Input_Form[[#This Row],[النوع]],Prep[الفئة],Input_Form[[#This Row],[الفئه]],Prep[اسم الوصفة],Input_Form[[#This Row],[البند]]))*(Input_Form[[#This Row],[المقدار المستهلك / وحدة]]))+((SUMIFS(Menu[التكلفة المباشرة],Menu[النوع],Input_Form[[#This Row],[النوع]],Menu[الفئة],Input_Form[[#This Row],[الفئه]],Menu[اسم الطبق بالإضافات],Input_Form[[#This Row],[البند]]))*(Input_Form[[#This Row],[المقدار المستهلك / وحدة]]))))</f>
        <v>2.6143790849673203E-2</v>
      </c>
      <c r="R10" s="92">
        <f>IF(OR(SUM(Input_Form[كلفة الكمية المستخدمة للوصفة])=0,ISERROR(SUM(Input_Form[كلفة الكمية المستخدمة للوصفة])),Input_Form[[#This Row],[كلفة الكمية المستخدمة للوصفة]]=""),"",(Input_Form[[#This Row],[كلفة الكمية المستخدمة للوصفة]]/SUM(Input_Form[كلفة الكمية المستخدمة للوصفة])))</f>
        <v>1.3007477429697197E-3</v>
      </c>
    </row>
    <row r="11" spans="1:18" ht="15" customHeight="1" x14ac:dyDescent="0.2">
      <c r="A11" s="91" t="str">
        <f>IF(OR(ISERROR($G$3),ISERROR($G$4)),"",IF(OR($G$1=0,$G$2=0,$G$3=0,$G$4=0,$G$5&lt;=0),"",$G$1))</f>
        <v>صنف_بيع</v>
      </c>
      <c r="B11" s="91" t="str">
        <f>IF(OR(ISERROR($G$3),ISERROR($G$4)),"",IF(OR($G$1=0,$G$2=0,$G$3=0,$G$4=0,$G$5&lt;=0),"",$G$2))</f>
        <v>Menu_6</v>
      </c>
      <c r="C11" s="91" t="str">
        <f>IF(OR(ISERROR($G$3),ISERROR($G$4)),"",IF(OR($G$1=0,$G$2=0,$G$3=0,$G$4=0,$G$5&lt;=0),"",$G$3))</f>
        <v>باستا</v>
      </c>
      <c r="D11" s="91" t="str">
        <f>IF(OR(ISERROR($G$3),ISERROR($G$4)),"",IF(OR($G$1=0,$G$2=0,$G$3=0,$G$4=0,$G$5&lt;=0),"",$G$4))</f>
        <v>Mix Pasta, Red Sauce, mix protein</v>
      </c>
      <c r="E11" s="91">
        <f>IF(OR(ISERROR($G$3),ISERROR($G$4)),"",IF(OR($G$1=0,$G$2=0,$G$3=0,$G$4=0,$G$5&lt;=0),"",$G$5))</f>
        <v>1</v>
      </c>
      <c r="F11" s="93" t="s">
        <v>255</v>
      </c>
      <c r="G11" s="93" t="s">
        <v>256</v>
      </c>
      <c r="H11" s="93" t="s">
        <v>176</v>
      </c>
      <c r="I11" s="73"/>
      <c r="J11" s="94"/>
      <c r="K11" s="35">
        <v>4</v>
      </c>
      <c r="L11" s="35">
        <v>2</v>
      </c>
      <c r="M11" s="95">
        <f>IF((OR(Input_Form[[#This Row],[النوع]]="",Input_Form[[#This Row],[الفئه]]="",Input_Form[[#This Row],[البند]]="",Input_Form[[#This Row],[البداية]]="",Input_Form[[#This Row],[المتبقي]]&gt;=Input_Form[[#This Row],[البداية]])),"",(Input_Form[[#This Row],[البداية]]-Input_Form[[#This Row],[المتبقي]]))</f>
        <v>2</v>
      </c>
      <c r="N11" s="95" t="str">
        <f>IF((OR(Input_Form[[#This Row],[النوع]]="",Input_Form[[#This Row],[الفئه]]="",Input_Form[[#This Row],[البند]]="")),"",IF(Input_Form[[#This Row],[النوع]]="مواد_خام",(LOOKUP(2,1/(rowM[الفئة]=Input_Form[[#This Row],[الفئه]])/(rowM[اسم الماده]=Input_Form[[#This Row],[البند]]),(rowM[وحدة الوصفه وصفا]))),IF(Input_Form[[#This Row],[النوع]]="وصفات_أولية",(LOOKUP(2,1/(Prep[الفئة]=Input_Form[[#This Row],[الفئه]])/(Prep[اسم الوصفة]=Input_Form[[#This Row],[البند]]),(Prep[وحدة الوصفه]))),"وحدة بيع")))</f>
        <v>جم</v>
      </c>
      <c r="O11" s="6">
        <f>IF((OR(Input_Form[[#This Row],[النوع]]="",Input_Form[[#This Row],[الفئه]]="",Input_Form[[#This Row],[البند]]="",Input_Form[[#This Row],[الكمية المستخدمه للوصفة]]="")),"",(((SUMIFS(rowM[سعر وحده الوصفة الصافي],rowM[النوع],Input_Form[[#This Row],[النوع]],rowM[الفئة],Input_Form[[#This Row],[الفئه]],rowM[اسم الماده],Input_Form[[#This Row],[البند]]))*(Input_Form[[#This Row],[الكمية المستخدمه للوصفة]]))+((SUMIFS(Prep[التكلفه/ وحده],Prep[النوع],Input_Form[[#This Row],[النوع]],Prep[الفئة],Input_Form[[#This Row],[الفئه]],Prep[اسم الوصفة],Input_Form[[#This Row],[البند]]))*(Input_Form[[#This Row],[الكمية المستخدمه للوصفة]]))+((SUMIFS(Menu[التكلفة المباشرة],Menu[النوع],Input_Form[[#This Row],[النوع]],Menu[الفئة],Input_Form[[#This Row],[الفئه]],Menu[اسم الطبق بالإضافات],Input_Form[[#This Row],[البند]]))*(Input_Form[[#This Row],[الكمية المستخدمه للوصفة]]))))</f>
        <v>5.8000000000000003E-2</v>
      </c>
      <c r="P11" s="96">
        <f>IF(OR(Input_Form[[#This Row],[النوع]]="",Input_Form[[#This Row],[الفئه]]="",Input_Form[[#This Row],[البند]]="",Input_Form[[#This Row],[Qty]]="",Input_Form[[#This Row],[Qty]]=0,Input_Form[[#This Row],[الكمية المستخدمه للوصفة]]=""),"",(Input_Form[[#This Row],[الكمية المستخدمه للوصفة]]/Input_Form[[#This Row],[Qty]]))</f>
        <v>2</v>
      </c>
      <c r="Q11" s="96">
        <f>IF((OR(Input_Form[[#This Row],[النوع]]="",Input_Form[[#This Row],[الفئه]]="",Input_Form[[#This Row],[البند]]="",Input_Form[[#This Row],[المقدار المستهلك / وحدة]]="")),"",(((SUMIFS(rowM[سعر وحده الوصفة الصافي],rowM[النوع],Input_Form[[#This Row],[النوع]],rowM[الفئة],Input_Form[[#This Row],[الفئه]],rowM[اسم الماده],Input_Form[[#This Row],[البند]]))*(Input_Form[[#This Row],[المقدار المستهلك / وحدة]]))+((SUMIFS(Prep[التكلفه/ وحده],Prep[النوع],Input_Form[[#This Row],[النوع]],Prep[الفئة],Input_Form[[#This Row],[الفئه]],Prep[اسم الوصفة],Input_Form[[#This Row],[البند]]))*(Input_Form[[#This Row],[المقدار المستهلك / وحدة]]))+((SUMIFS(Menu[التكلفة المباشرة],Menu[النوع],Input_Form[[#This Row],[النوع]],Menu[الفئة],Input_Form[[#This Row],[الفئه]],Menu[اسم الطبق بالإضافات],Input_Form[[#This Row],[البند]]))*(Input_Form[[#This Row],[المقدار المستهلك / وحدة]]))))</f>
        <v>5.8000000000000003E-2</v>
      </c>
      <c r="R11" s="92">
        <f>IF(OR(SUM(Input_Form[كلفة الكمية المستخدمة للوصفة])=0,ISERROR(SUM(Input_Form[كلفة الكمية المستخدمة للوصفة])),Input_Form[[#This Row],[كلفة الكمية المستخدمة للوصفة]]=""),"",(Input_Form[[#This Row],[كلفة الكمية المستخدمة للوصفة]]/SUM(Input_Form[كلفة الكمية المستخدمة للوصفة])))</f>
        <v>2.885708867778323E-3</v>
      </c>
    </row>
    <row r="12" spans="1:18" ht="15" customHeight="1" x14ac:dyDescent="0.2">
      <c r="A12" s="91" t="str">
        <f>IF(OR(ISERROR($G$3),ISERROR($G$4)),"",IF(OR($G$1=0,$G$2=0,$G$3=0,$G$4=0,$G$5&lt;=0),"",$G$1))</f>
        <v>صنف_بيع</v>
      </c>
      <c r="B12" s="91" t="str">
        <f>IF(OR(ISERROR($G$3),ISERROR($G$4)),"",IF(OR($G$1=0,$G$2=0,$G$3=0,$G$4=0,$G$5&lt;=0),"",$G$2))</f>
        <v>Menu_6</v>
      </c>
      <c r="C12" s="91" t="str">
        <f>IF(OR(ISERROR($G$3),ISERROR($G$4)),"",IF(OR($G$1=0,$G$2=0,$G$3=0,$G$4=0,$G$5&lt;=0),"",$G$3))</f>
        <v>باستا</v>
      </c>
      <c r="D12" s="91" t="str">
        <f>IF(OR(ISERROR($G$3),ISERROR($G$4)),"",IF(OR($G$1=0,$G$2=0,$G$3=0,$G$4=0,$G$5&lt;=0),"",$G$4))</f>
        <v>Mix Pasta, Red Sauce, mix protein</v>
      </c>
      <c r="E12" s="91">
        <f>IF(OR(ISERROR($G$3),ISERROR($G$4)),"",IF(OR($G$1=0,$G$2=0,$G$3=0,$G$4=0,$G$5&lt;=0),"",$G$5))</f>
        <v>1</v>
      </c>
      <c r="F12" s="93" t="s">
        <v>255</v>
      </c>
      <c r="G12" s="93" t="s">
        <v>258</v>
      </c>
      <c r="H12" s="93" t="s">
        <v>187</v>
      </c>
      <c r="I12" s="73"/>
      <c r="J12" s="94"/>
      <c r="K12" s="35">
        <v>2</v>
      </c>
      <c r="L12" s="35">
        <v>1</v>
      </c>
      <c r="M12" s="95">
        <f>IF((OR(Input_Form[[#This Row],[النوع]]="",Input_Form[[#This Row],[الفئه]]="",Input_Form[[#This Row],[البند]]="",Input_Form[[#This Row],[البداية]]="",Input_Form[[#This Row],[المتبقي]]&gt;=Input_Form[[#This Row],[البداية]])),"",(Input_Form[[#This Row],[البداية]]-Input_Form[[#This Row],[المتبقي]]))</f>
        <v>1</v>
      </c>
      <c r="N12" s="95" t="str">
        <f>IF((OR(Input_Form[[#This Row],[النوع]]="",Input_Form[[#This Row],[الفئه]]="",Input_Form[[#This Row],[البند]]="")),"",IF(Input_Form[[#This Row],[النوع]]="مواد_خام",(LOOKUP(2,1/(rowM[الفئة]=Input_Form[[#This Row],[الفئه]])/(rowM[اسم الماده]=Input_Form[[#This Row],[البند]]),(rowM[وحدة الوصفه وصفا]))),IF(Input_Form[[#This Row],[النوع]]="وصفات_أولية",(LOOKUP(2,1/(Prep[الفئة]=Input_Form[[#This Row],[الفئه]])/(Prep[اسم الوصفة]=Input_Form[[#This Row],[البند]]),(Prep[وحدة الوصفه]))),"وحدة بيع")))</f>
        <v>رول</v>
      </c>
      <c r="O12" s="6">
        <f>IF((OR(Input_Form[[#This Row],[النوع]]="",Input_Form[[#This Row],[الفئه]]="",Input_Form[[#This Row],[البند]]="",Input_Form[[#This Row],[الكمية المستخدمه للوصفة]]="")),"",(((SUMIFS(rowM[سعر وحده الوصفة الصافي],rowM[النوع],Input_Form[[#This Row],[النوع]],rowM[الفئة],Input_Form[[#This Row],[الفئه]],rowM[اسم الماده],Input_Form[[#This Row],[البند]]))*(Input_Form[[#This Row],[الكمية المستخدمه للوصفة]]))+((SUMIFS(Prep[التكلفه/ وحده],Prep[النوع],Input_Form[[#This Row],[النوع]],Prep[الفئة],Input_Form[[#This Row],[الفئه]],Prep[اسم الوصفة],Input_Form[[#This Row],[البند]]))*(Input_Form[[#This Row],[الكمية المستخدمه للوصفة]]))+((SUMIFS(Menu[التكلفة المباشرة],Menu[النوع],Input_Form[[#This Row],[النوع]],Menu[الفئة],Input_Form[[#This Row],[الفئه]],Menu[اسم الطبق بالإضافات],Input_Form[[#This Row],[البند]]))*(Input_Form[[#This Row],[الكمية المستخدمه للوصفة]]))))</f>
        <v>20</v>
      </c>
      <c r="P12" s="96">
        <f>IF(OR(Input_Form[[#This Row],[النوع]]="",Input_Form[[#This Row],[الفئه]]="",Input_Form[[#This Row],[البند]]="",Input_Form[[#This Row],[Qty]]="",Input_Form[[#This Row],[Qty]]=0,Input_Form[[#This Row],[الكمية المستخدمه للوصفة]]=""),"",(Input_Form[[#This Row],[الكمية المستخدمه للوصفة]]/Input_Form[[#This Row],[Qty]]))</f>
        <v>1</v>
      </c>
      <c r="Q12" s="96">
        <f>IF((OR(Input_Form[[#This Row],[النوع]]="",Input_Form[[#This Row],[الفئه]]="",Input_Form[[#This Row],[البند]]="",Input_Form[[#This Row],[المقدار المستهلك / وحدة]]="")),"",(((SUMIFS(rowM[سعر وحده الوصفة الصافي],rowM[النوع],Input_Form[[#This Row],[النوع]],rowM[الفئة],Input_Form[[#This Row],[الفئه]],rowM[اسم الماده],Input_Form[[#This Row],[البند]]))*(Input_Form[[#This Row],[المقدار المستهلك / وحدة]]))+((SUMIFS(Prep[التكلفه/ وحده],Prep[النوع],Input_Form[[#This Row],[النوع]],Prep[الفئة],Input_Form[[#This Row],[الفئه]],Prep[اسم الوصفة],Input_Form[[#This Row],[البند]]))*(Input_Form[[#This Row],[المقدار المستهلك / وحدة]]))+((SUMIFS(Menu[التكلفة المباشرة],Menu[النوع],Input_Form[[#This Row],[النوع]],Menu[الفئة],Input_Form[[#This Row],[الفئه]],Menu[اسم الطبق بالإضافات],Input_Form[[#This Row],[البند]]))*(Input_Form[[#This Row],[المقدار المستهلك / وحدة]]))))</f>
        <v>20</v>
      </c>
      <c r="R12" s="92">
        <f>IF(OR(SUM(Input_Form[كلفة الكمية المستخدمة للوصفة])=0,ISERROR(SUM(Input_Form[كلفة الكمية المستخدمة للوصفة])),Input_Form[[#This Row],[كلفة الكمية المستخدمة للوصفة]]=""),"",(Input_Form[[#This Row],[كلفة الكمية المستخدمة للوصفة]]/SUM(Input_Form[كلفة الكمية المستخدمة للوصفة])))</f>
        <v>0.99507202337183542</v>
      </c>
    </row>
    <row r="13" spans="1:18" ht="15" customHeight="1" x14ac:dyDescent="0.2">
      <c r="N13" s="5"/>
    </row>
  </sheetData>
  <mergeCells count="5">
    <mergeCell ref="G1:H1"/>
    <mergeCell ref="G2:H2"/>
    <mergeCell ref="G3:H3"/>
    <mergeCell ref="G4:H4"/>
    <mergeCell ref="G5:H5"/>
  </mergeCells>
  <dataValidations count="5">
    <dataValidation type="list" allowBlank="1" showInputMessage="1" showErrorMessage="1" sqref="F9:F12">
      <formula1>"مواد_خام,وصفات_أولية,صنف_بيع"</formula1>
    </dataValidation>
    <dataValidation type="list" allowBlank="1" showInputMessage="1" showErrorMessage="1" sqref="J9:J12">
      <formula1>INDIRECT("Kitchen_unit[Kitchen_unit]")</formula1>
    </dataValidation>
    <dataValidation type="list" allowBlank="1" showInputMessage="1" showErrorMessage="1" sqref="G1">
      <formula1>"وصفات_أولية,صنف_بيع"</formula1>
    </dataValidation>
    <dataValidation type="list" allowBlank="1" showInputMessage="1" showErrorMessage="1" sqref="G2">
      <formula1>IF(G1="وصفات_أولية",INDIRECT("Prep[رقم الوصفة]"),IF(G1="صنف_بيع",INDIRECT("Menu[رقم الطبق]"),0))</formula1>
    </dataValidation>
    <dataValidation type="list" allowBlank="1" showInputMessage="1" showErrorMessage="1" sqref="G9:G12">
      <formula1>INDIRECT(F9)</formula1>
    </dataValidation>
  </dataValidation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Button 5">
              <controlPr defaultSize="0" print="0" autoFill="0" autoPict="0">
                <anchor moveWithCells="1" sizeWithCells="1">
                  <from>
                    <xdr:col>9</xdr:col>
                    <xdr:colOff>28575</xdr:colOff>
                    <xdr:row>0</xdr:row>
                    <xdr:rowOff>85725</xdr:rowOff>
                  </from>
                  <to>
                    <xdr:col>10</xdr:col>
                    <xdr:colOff>561975</xdr:colOff>
                    <xdr:row>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Button 6">
              <controlPr defaultSize="0" print="0" autoFill="0" autoPict="0">
                <anchor moveWithCells="1" sizeWithCells="1">
                  <from>
                    <xdr:col>9</xdr:col>
                    <xdr:colOff>19050</xdr:colOff>
                    <xdr:row>2</xdr:row>
                    <xdr:rowOff>171450</xdr:rowOff>
                  </from>
                  <to>
                    <xdr:col>10</xdr:col>
                    <xdr:colOff>552450</xdr:colOff>
                    <xdr:row>4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IF(F9="مواد_خام",(OFFSET(H_R,MATCH(G9,Row!$B:$B,0)-1,1,COUNTIF(Row!$B:$B,G9),1)),IF(F9="وصفات_أولية",(OFFSET(H_P,MATCH(G9,Prep!$C:$C,0)-1,1,COUNTIF(Prep!$C:$C,G9),1)),(OFFSET(H_M,MATCH(G9,Menu!$C:$C,0)-1,1,COUNTIF(Menu!$C:$C,G9),1))))</xm:f>
          </x14:formula1>
          <xm:sqref>H9:H12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showGridLines="0" workbookViewId="0">
      <selection activeCell="C2" sqref="C2"/>
    </sheetView>
  </sheetViews>
  <sheetFormatPr defaultColWidth="9.140625" defaultRowHeight="15" customHeight="1" x14ac:dyDescent="0.25"/>
  <cols>
    <col min="1" max="1" width="9.140625" style="5"/>
    <col min="2" max="2" width="12.7109375" style="5" bestFit="1" customWidth="1"/>
    <col min="3" max="3" width="14.7109375" style="5" bestFit="1" customWidth="1"/>
    <col min="4" max="4" width="24.5703125" style="5" bestFit="1" customWidth="1"/>
    <col min="5" max="5" width="9.140625" style="5"/>
    <col min="6" max="6" width="8.7109375" style="5" bestFit="1" customWidth="1"/>
    <col min="7" max="7" width="10.42578125" style="5" bestFit="1" customWidth="1"/>
    <col min="8" max="8" width="14.7109375" style="5" bestFit="1" customWidth="1"/>
    <col min="9" max="9" width="9.140625" style="5"/>
    <col min="10" max="10" width="9.140625" style="5" customWidth="1"/>
    <col min="11" max="12" width="9.140625" style="5"/>
    <col min="13" max="13" width="12.7109375" style="5" customWidth="1"/>
    <col min="16" max="16" width="9.140625" style="5" customWidth="1"/>
    <col min="17" max="19" width="12.7109375" style="5" customWidth="1"/>
    <col min="20" max="16384" width="9.140625" style="5"/>
  </cols>
  <sheetData>
    <row r="1" spans="1:18" s="6" customFormat="1" ht="36" x14ac:dyDescent="0.25">
      <c r="A1" s="48" t="s">
        <v>708</v>
      </c>
      <c r="B1" s="48" t="s">
        <v>710</v>
      </c>
      <c r="C1" s="48" t="s">
        <v>711</v>
      </c>
      <c r="D1" s="48" t="s">
        <v>709</v>
      </c>
      <c r="E1" s="48" t="s">
        <v>712</v>
      </c>
      <c r="F1" s="48" t="s">
        <v>271</v>
      </c>
      <c r="G1" s="48" t="s">
        <v>272</v>
      </c>
      <c r="H1" s="48" t="s">
        <v>26</v>
      </c>
      <c r="I1" s="48" t="s">
        <v>231</v>
      </c>
      <c r="J1" s="48" t="s">
        <v>312</v>
      </c>
      <c r="K1" s="48" t="s">
        <v>253</v>
      </c>
      <c r="L1" s="48" t="s">
        <v>254</v>
      </c>
      <c r="M1" s="48" t="s">
        <v>311</v>
      </c>
      <c r="N1" s="48" t="s">
        <v>301</v>
      </c>
      <c r="O1" s="48" t="s">
        <v>310</v>
      </c>
      <c r="P1" s="48" t="s">
        <v>300</v>
      </c>
      <c r="Q1" s="48" t="s">
        <v>713</v>
      </c>
      <c r="R1" s="48" t="s">
        <v>15</v>
      </c>
    </row>
    <row r="2" spans="1:18" s="6" customFormat="1" ht="15" customHeight="1" x14ac:dyDescent="0.25">
      <c r="A2" s="7"/>
      <c r="B2" s="7"/>
      <c r="C2" s="7"/>
      <c r="D2" s="7"/>
      <c r="E2" s="74"/>
      <c r="F2" s="74"/>
      <c r="G2" s="74"/>
      <c r="H2" s="74"/>
      <c r="I2" s="74"/>
      <c r="J2" s="74"/>
      <c r="K2" s="74"/>
      <c r="L2" s="74"/>
      <c r="M2" s="7"/>
      <c r="N2" s="7"/>
      <c r="O2" s="7"/>
      <c r="P2" s="7"/>
      <c r="Q2" s="7"/>
      <c r="R2" s="75"/>
    </row>
    <row r="3" spans="1:18" ht="15" customHeight="1" x14ac:dyDescent="0.2">
      <c r="N3" s="5"/>
      <c r="O3" s="5"/>
    </row>
    <row r="4" spans="1:18" ht="15" customHeight="1" x14ac:dyDescent="0.2">
      <c r="N4" s="5"/>
      <c r="O4" s="5"/>
    </row>
    <row r="5" spans="1:18" ht="15" customHeight="1" x14ac:dyDescent="0.2">
      <c r="N5" s="5"/>
      <c r="O5" s="5"/>
    </row>
    <row r="6" spans="1:18" ht="15" customHeight="1" x14ac:dyDescent="0.2">
      <c r="N6" s="5"/>
      <c r="O6" s="5"/>
    </row>
    <row r="7" spans="1:18" ht="15" customHeight="1" x14ac:dyDescent="0.2">
      <c r="N7" s="5"/>
      <c r="O7" s="5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List</vt:lpstr>
      <vt:lpstr>suppliers</vt:lpstr>
      <vt:lpstr>Row</vt:lpstr>
      <vt:lpstr>Prep</vt:lpstr>
      <vt:lpstr>Menu</vt:lpstr>
      <vt:lpstr>Input Form</vt:lpstr>
      <vt:lpstr>DATA</vt:lpstr>
      <vt:lpstr>H_M</vt:lpstr>
      <vt:lpstr>H_P</vt:lpstr>
      <vt:lpstr>H_R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2018-05-21T22:10:04Z</dcterms:modified>
</cp:coreProperties>
</file>