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ate1904="1" filterPrivacy="1" codeName="ThisWorkbook"/>
  <xr:revisionPtr revIDLastSave="0" documentId="10_ncr:8100000_{728AF2F1-EB07-49B9-9DBE-855619E37C84}" xr6:coauthVersionLast="33" xr6:coauthVersionMax="33" xr10:uidLastSave="{00000000-0000-0000-0000-000000000000}"/>
  <bookViews>
    <workbookView xWindow="0" yWindow="0" windowWidth="28800" windowHeight="12240" tabRatio="919" activeTab="20" xr2:uid="{0513A5D6-0BED-4252-BB6E-3629B00E6D1F}"/>
  </bookViews>
  <sheets>
    <sheet name="barcode" sheetId="35" r:id="rId1"/>
    <sheet name="تكويد الأصناف" sheetId="2" r:id="rId2"/>
    <sheet name="الوارد والمرتجع" sheetId="1" r:id="rId3"/>
    <sheet name="حركة الأصناف" sheetId="3" r:id="rId4"/>
    <sheet name="الكشف الشهري" sheetId="36" r:id="rId5"/>
    <sheet name="1" sheetId="4" r:id="rId6"/>
    <sheet name="2" sheetId="5" r:id="rId7"/>
    <sheet name="3" sheetId="6" r:id="rId8"/>
    <sheet name="4" sheetId="7" r:id="rId9"/>
    <sheet name="5" sheetId="8" r:id="rId10"/>
    <sheet name="6" sheetId="9" r:id="rId11"/>
    <sheet name="7" sheetId="10" r:id="rId12"/>
    <sheet name="8" sheetId="11" r:id="rId13"/>
    <sheet name="9" sheetId="12" r:id="rId14"/>
    <sheet name="10" sheetId="13" r:id="rId15"/>
    <sheet name="11" sheetId="14" r:id="rId16"/>
    <sheet name="12" sheetId="15" r:id="rId17"/>
    <sheet name="13" sheetId="16" r:id="rId18"/>
    <sheet name="14" sheetId="17" r:id="rId19"/>
    <sheet name="15" sheetId="18" r:id="rId20"/>
    <sheet name="16" sheetId="19" r:id="rId21"/>
    <sheet name="17" sheetId="20" r:id="rId22"/>
    <sheet name="18" sheetId="21" r:id="rId23"/>
    <sheet name="19" sheetId="22" r:id="rId24"/>
    <sheet name="20" sheetId="23" r:id="rId25"/>
    <sheet name="21" sheetId="24" r:id="rId26"/>
    <sheet name="22" sheetId="25" r:id="rId27"/>
    <sheet name="23" sheetId="26" r:id="rId28"/>
    <sheet name="24" sheetId="27" r:id="rId29"/>
    <sheet name="25" sheetId="28" r:id="rId30"/>
    <sheet name="27" sheetId="30" r:id="rId31"/>
    <sheet name="26" sheetId="29" r:id="rId32"/>
    <sheet name="28" sheetId="31" r:id="rId33"/>
    <sheet name="29" sheetId="32" r:id="rId34"/>
    <sheet name="30" sheetId="33" r:id="rId35"/>
    <sheet name="31" sheetId="34" r:id="rId36"/>
  </sheets>
  <externalReferences>
    <externalReference r:id="rId37"/>
  </externalReferences>
  <definedNames>
    <definedName name="_xlnm._FilterDatabase" localSheetId="1" hidden="1">'تكويد الأصناف'!$A$3:$F$156</definedName>
    <definedName name="_xlnm._FilterDatabase" localSheetId="3" hidden="1">'حركة الأصناف'!$A$3:$L$154</definedName>
    <definedName name="a">#REF!</definedName>
    <definedName name="A1053087">#REF!</definedName>
    <definedName name="A1085758">#REF!</definedName>
    <definedName name="A1702014">#REF!</definedName>
    <definedName name="A55_a60">#REF!</definedName>
    <definedName name="poipo">#REF!</definedName>
    <definedName name="_xlnm.Print_Area" localSheetId="5">'1'!$A$1:$I$19</definedName>
    <definedName name="_xlnm.Print_Area" localSheetId="14">'10'!$A$1:$I$21</definedName>
    <definedName name="_xlnm.Print_Area" localSheetId="15">'11'!$A$1:$I$22</definedName>
    <definedName name="_xlnm.Print_Area" localSheetId="16">'12'!$A$1:$I$21</definedName>
    <definedName name="_xlnm.Print_Area" localSheetId="17">'13'!$A$1:$I$23</definedName>
    <definedName name="_xlnm.Print_Area" localSheetId="18">'14'!$A$1:$I$19</definedName>
    <definedName name="_xlnm.Print_Area" localSheetId="19">'15'!$A$1:$I$19</definedName>
    <definedName name="_xlnm.Print_Area" localSheetId="20">'16'!$A$1:$I$19</definedName>
    <definedName name="_xlnm.Print_Area" localSheetId="21">'17'!$A$1:$I$19</definedName>
    <definedName name="_xlnm.Print_Area" localSheetId="22">'18'!$A$1:$I$19</definedName>
    <definedName name="_xlnm.Print_Area" localSheetId="23">'19'!$A$1:$I$19</definedName>
    <definedName name="_xlnm.Print_Area" localSheetId="6">'2'!$A$1:$I$19</definedName>
    <definedName name="_xlnm.Print_Area" localSheetId="24">'20'!$A$1:$I$19</definedName>
    <definedName name="_xlnm.Print_Area" localSheetId="25">'21'!$A$1:$I$19</definedName>
    <definedName name="_xlnm.Print_Area" localSheetId="26">'22'!$A$1:$I$19</definedName>
    <definedName name="_xlnm.Print_Area" localSheetId="27">'23'!$A$1:$I$19</definedName>
    <definedName name="_xlnm.Print_Area" localSheetId="28">'24'!$A$1:$I$19</definedName>
    <definedName name="_xlnm.Print_Area" localSheetId="29">'25'!$A$1:$I$19</definedName>
    <definedName name="_xlnm.Print_Area" localSheetId="31">'26'!$A$1:$I$19</definedName>
    <definedName name="_xlnm.Print_Area" localSheetId="30">'27'!$A$1:$I$19</definedName>
    <definedName name="_xlnm.Print_Area" localSheetId="32">'28'!$A$1:$I$19</definedName>
    <definedName name="_xlnm.Print_Area" localSheetId="33">'29'!$A$1:$I$19</definedName>
    <definedName name="_xlnm.Print_Area" localSheetId="7">'3'!$A$1:$I$19</definedName>
    <definedName name="_xlnm.Print_Area" localSheetId="34">'30'!$A$1:$I$19</definedName>
    <definedName name="_xlnm.Print_Area" localSheetId="35">'31'!$A$1:$I$20</definedName>
    <definedName name="_xlnm.Print_Area" localSheetId="8">'4'!$A$1:$I$19</definedName>
    <definedName name="_xlnm.Print_Area" localSheetId="9">'5'!$A$1:$I$22</definedName>
    <definedName name="_xlnm.Print_Area" localSheetId="10">'6'!$A$1:$I$22</definedName>
    <definedName name="_xlnm.Print_Area" localSheetId="11">'7'!$A$1:$I$23</definedName>
    <definedName name="_xlnm.Print_Area" localSheetId="12">'8'!$A$1:$I$19</definedName>
    <definedName name="_xlnm.Print_Area" localSheetId="13">'9'!$A$1:$I$19</definedName>
    <definedName name="_xlnm.Print_Area" localSheetId="0">barcode!$A$1:$G$5</definedName>
    <definedName name="_xlnm.Print_Area" localSheetId="2">'الوارد والمرتجع'!$A$1:$V$34</definedName>
    <definedName name="_xlnm.Print_Area" localSheetId="1">'تكويد الأصناف'!$A$1:$Q$156</definedName>
    <definedName name="_xlnm.Print_Area" localSheetId="3">'حركة الأصناف'!$A$1:$L$159</definedName>
    <definedName name="rt">#REF!</definedName>
    <definedName name="YwP1">'[1]1'!#REF!</definedName>
    <definedName name="صUH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6" l="1"/>
  <c r="B12" i="16"/>
  <c r="D12" i="16"/>
  <c r="E12" i="16"/>
  <c r="H12" i="16"/>
  <c r="I12" i="16"/>
  <c r="A11" i="16"/>
  <c r="B11" i="16"/>
  <c r="D11" i="16"/>
  <c r="E11" i="16"/>
  <c r="H11" i="16"/>
  <c r="I11" i="16"/>
  <c r="A10" i="16"/>
  <c r="B10" i="16"/>
  <c r="D10" i="16"/>
  <c r="E10" i="16"/>
  <c r="H10" i="16"/>
  <c r="I10" i="16"/>
  <c r="A9" i="16"/>
  <c r="H9" i="16" s="1"/>
  <c r="B9" i="16"/>
  <c r="D9" i="16"/>
  <c r="E9" i="16"/>
  <c r="I9" i="16" l="1"/>
  <c r="A10" i="15"/>
  <c r="B10" i="15"/>
  <c r="D10" i="15"/>
  <c r="E10" i="15"/>
  <c r="H10" i="15"/>
  <c r="I10" i="15"/>
  <c r="A9" i="15"/>
  <c r="B9" i="15"/>
  <c r="D9" i="15"/>
  <c r="E9" i="15"/>
  <c r="H9" i="15"/>
  <c r="I9" i="15"/>
  <c r="A8" i="15"/>
  <c r="H8" i="15" s="1"/>
  <c r="B8" i="15"/>
  <c r="D8" i="15"/>
  <c r="E8" i="15"/>
  <c r="I8" i="15"/>
  <c r="A11" i="14" l="1"/>
  <c r="B11" i="14"/>
  <c r="D11" i="14"/>
  <c r="E11" i="14"/>
  <c r="H11" i="14"/>
  <c r="I11" i="14"/>
  <c r="A10" i="14"/>
  <c r="B10" i="14"/>
  <c r="D10" i="14"/>
  <c r="E10" i="14"/>
  <c r="H10" i="14"/>
  <c r="I10" i="14"/>
  <c r="A9" i="14"/>
  <c r="H9" i="14" s="1"/>
  <c r="B9" i="14"/>
  <c r="D9" i="14"/>
  <c r="E9" i="14"/>
  <c r="I9" i="14"/>
  <c r="A10" i="13" l="1"/>
  <c r="B10" i="13"/>
  <c r="D10" i="13"/>
  <c r="E10" i="13"/>
  <c r="H10" i="13"/>
  <c r="I10" i="13"/>
  <c r="A9" i="13"/>
  <c r="B9" i="13"/>
  <c r="D9" i="13"/>
  <c r="E9" i="13"/>
  <c r="H9" i="13"/>
  <c r="I9" i="13"/>
  <c r="A12" i="10" l="1"/>
  <c r="B12" i="10"/>
  <c r="D12" i="10"/>
  <c r="E12" i="10"/>
  <c r="H12" i="10"/>
  <c r="I12" i="10"/>
  <c r="A11" i="10"/>
  <c r="B11" i="10"/>
  <c r="D11" i="10"/>
  <c r="E11" i="10"/>
  <c r="H11" i="10"/>
  <c r="I11" i="10"/>
  <c r="A10" i="10"/>
  <c r="B10" i="10"/>
  <c r="D10" i="10"/>
  <c r="E10" i="10"/>
  <c r="H10" i="10"/>
  <c r="I10" i="10"/>
  <c r="A9" i="10"/>
  <c r="B9" i="10"/>
  <c r="D9" i="10"/>
  <c r="E9" i="10"/>
  <c r="H9" i="10"/>
  <c r="I9" i="10"/>
  <c r="A11" i="9" l="1"/>
  <c r="B11" i="9"/>
  <c r="D11" i="9"/>
  <c r="E11" i="9"/>
  <c r="H11" i="9"/>
  <c r="I11" i="9"/>
  <c r="A10" i="9"/>
  <c r="B10" i="9"/>
  <c r="D10" i="9"/>
  <c r="E10" i="9"/>
  <c r="H10" i="9"/>
  <c r="I10" i="9"/>
  <c r="A9" i="9"/>
  <c r="B9" i="9"/>
  <c r="D9" i="9"/>
  <c r="E9" i="9"/>
  <c r="H9" i="9"/>
  <c r="I9" i="9"/>
  <c r="A9" i="8" l="1"/>
  <c r="B9" i="8"/>
  <c r="D9" i="8"/>
  <c r="E9" i="8"/>
  <c r="H9" i="8"/>
  <c r="I9" i="8"/>
  <c r="A10" i="8"/>
  <c r="B10" i="8"/>
  <c r="D10" i="8"/>
  <c r="E10" i="8"/>
  <c r="H10" i="8"/>
  <c r="I10" i="8"/>
  <c r="A11" i="8" l="1"/>
  <c r="B11" i="8"/>
  <c r="D11" i="8"/>
  <c r="E11" i="8"/>
  <c r="H11" i="8"/>
  <c r="I11" i="8"/>
  <c r="C34" i="36" l="1"/>
  <c r="A9" i="34" l="1"/>
  <c r="B9" i="34"/>
  <c r="D9" i="34"/>
  <c r="E9" i="34"/>
  <c r="H9" i="34"/>
  <c r="I9" i="34"/>
  <c r="A10" i="35" l="1"/>
  <c r="F9" i="35" l="1"/>
  <c r="A7" i="35" l="1"/>
  <c r="C12" i="35"/>
  <c r="C13" i="35"/>
  <c r="D12" i="35"/>
  <c r="D13" i="35"/>
  <c r="F20" i="34" l="1"/>
  <c r="I20" i="34" s="1"/>
  <c r="G10" i="34"/>
  <c r="D15" i="34" s="1"/>
  <c r="C35" i="36" s="1"/>
  <c r="F10" i="34"/>
  <c r="E8" i="34"/>
  <c r="D8" i="34"/>
  <c r="B8" i="34"/>
  <c r="A8" i="34"/>
  <c r="H8" i="34" s="1"/>
  <c r="E7" i="34"/>
  <c r="D7" i="34"/>
  <c r="B7" i="34"/>
  <c r="A7" i="34"/>
  <c r="I7" i="34" s="1"/>
  <c r="E6" i="34"/>
  <c r="D6" i="34"/>
  <c r="B6" i="34"/>
  <c r="A6" i="34"/>
  <c r="I6" i="34" s="1"/>
  <c r="E5" i="34"/>
  <c r="D5" i="34"/>
  <c r="B5" i="34"/>
  <c r="S37" i="36" s="1"/>
  <c r="A5" i="34"/>
  <c r="I5" i="34" s="1"/>
  <c r="I19" i="33"/>
  <c r="F19" i="33"/>
  <c r="C19" i="33"/>
  <c r="D14" i="33"/>
  <c r="I9" i="33"/>
  <c r="G9" i="33"/>
  <c r="F9" i="33"/>
  <c r="I8" i="33"/>
  <c r="H8" i="33"/>
  <c r="E8" i="33"/>
  <c r="D8" i="33"/>
  <c r="B8" i="33"/>
  <c r="A8" i="33"/>
  <c r="I7" i="33"/>
  <c r="H7" i="33"/>
  <c r="E7" i="33"/>
  <c r="D7" i="33"/>
  <c r="B7" i="33"/>
  <c r="A7" i="33"/>
  <c r="I6" i="33"/>
  <c r="H6" i="33"/>
  <c r="E6" i="33"/>
  <c r="D6" i="33"/>
  <c r="B6" i="33"/>
  <c r="A6" i="33"/>
  <c r="I5" i="33"/>
  <c r="H5" i="33"/>
  <c r="E5" i="33"/>
  <c r="D5" i="33"/>
  <c r="B5" i="33"/>
  <c r="A5" i="33"/>
  <c r="I19" i="32"/>
  <c r="F19" i="32"/>
  <c r="G9" i="32"/>
  <c r="D14" i="32" s="1"/>
  <c r="C33" i="36" s="1"/>
  <c r="F9" i="32"/>
  <c r="I8" i="32"/>
  <c r="H8" i="32"/>
  <c r="E8" i="32"/>
  <c r="D8" i="32"/>
  <c r="B8" i="32"/>
  <c r="A8" i="32"/>
  <c r="I7" i="32"/>
  <c r="H7" i="32"/>
  <c r="E7" i="32"/>
  <c r="D7" i="32"/>
  <c r="B7" i="32"/>
  <c r="A7" i="32"/>
  <c r="E6" i="32"/>
  <c r="D6" i="32"/>
  <c r="B6" i="32"/>
  <c r="A6" i="32"/>
  <c r="I6" i="32" s="1"/>
  <c r="E5" i="32"/>
  <c r="D5" i="32"/>
  <c r="B5" i="32"/>
  <c r="Q35" i="36" s="1"/>
  <c r="A5" i="32"/>
  <c r="H5" i="32" s="1"/>
  <c r="I19" i="31"/>
  <c r="F19" i="31"/>
  <c r="C19" i="31"/>
  <c r="D14" i="31"/>
  <c r="I9" i="31"/>
  <c r="G9" i="31"/>
  <c r="F9" i="31"/>
  <c r="I8" i="31"/>
  <c r="H8" i="31"/>
  <c r="E8" i="31"/>
  <c r="D8" i="31"/>
  <c r="B8" i="31"/>
  <c r="A8" i="31"/>
  <c r="I7" i="31"/>
  <c r="H7" i="31"/>
  <c r="E7" i="31"/>
  <c r="D7" i="31"/>
  <c r="B7" i="31"/>
  <c r="A7" i="31"/>
  <c r="I6" i="31"/>
  <c r="H6" i="31"/>
  <c r="E6" i="31"/>
  <c r="D6" i="31"/>
  <c r="B6" i="31"/>
  <c r="A6" i="31"/>
  <c r="I5" i="31"/>
  <c r="H5" i="31"/>
  <c r="E5" i="31"/>
  <c r="D5" i="31"/>
  <c r="B5" i="31"/>
  <c r="A5" i="31"/>
  <c r="I19" i="30"/>
  <c r="F19" i="30"/>
  <c r="C19" i="30"/>
  <c r="D14" i="30"/>
  <c r="I9" i="30"/>
  <c r="G9" i="30"/>
  <c r="F9" i="30"/>
  <c r="I8" i="30"/>
  <c r="H8" i="30"/>
  <c r="E8" i="30"/>
  <c r="D8" i="30"/>
  <c r="B8" i="30"/>
  <c r="A8" i="30"/>
  <c r="I7" i="30"/>
  <c r="H7" i="30"/>
  <c r="E7" i="30"/>
  <c r="D7" i="30"/>
  <c r="B7" i="30"/>
  <c r="A7" i="30"/>
  <c r="I6" i="30"/>
  <c r="H6" i="30"/>
  <c r="E6" i="30"/>
  <c r="D6" i="30"/>
  <c r="B6" i="30"/>
  <c r="A6" i="30"/>
  <c r="I5" i="30"/>
  <c r="H5" i="30"/>
  <c r="E5" i="30"/>
  <c r="D5" i="30"/>
  <c r="B5" i="30"/>
  <c r="A5" i="30"/>
  <c r="I19" i="29"/>
  <c r="F19" i="29"/>
  <c r="G9" i="29"/>
  <c r="D14" i="29" s="1"/>
  <c r="C30" i="36" s="1"/>
  <c r="F9" i="29"/>
  <c r="I8" i="29"/>
  <c r="H8" i="29"/>
  <c r="E8" i="29"/>
  <c r="D8" i="29"/>
  <c r="B8" i="29"/>
  <c r="A8" i="29"/>
  <c r="I7" i="29"/>
  <c r="H7" i="29"/>
  <c r="E7" i="29"/>
  <c r="D7" i="29"/>
  <c r="B7" i="29"/>
  <c r="A7" i="29"/>
  <c r="E6" i="29"/>
  <c r="D6" i="29"/>
  <c r="B6" i="29"/>
  <c r="A6" i="29"/>
  <c r="I6" i="29" s="1"/>
  <c r="E5" i="29"/>
  <c r="D5" i="29"/>
  <c r="B5" i="29"/>
  <c r="A5" i="29"/>
  <c r="I5" i="29" s="1"/>
  <c r="I19" i="28"/>
  <c r="F19" i="28"/>
  <c r="C19" i="28"/>
  <c r="D14" i="28"/>
  <c r="I9" i="28"/>
  <c r="G9" i="28"/>
  <c r="F9" i="28"/>
  <c r="I8" i="28"/>
  <c r="H8" i="28"/>
  <c r="E8" i="28"/>
  <c r="D8" i="28"/>
  <c r="B8" i="28"/>
  <c r="A8" i="28"/>
  <c r="I7" i="28"/>
  <c r="H7" i="28"/>
  <c r="E7" i="28"/>
  <c r="D7" i="28"/>
  <c r="B7" i="28"/>
  <c r="A7" i="28"/>
  <c r="I6" i="28"/>
  <c r="H6" i="28"/>
  <c r="E6" i="28"/>
  <c r="D6" i="28"/>
  <c r="B6" i="28"/>
  <c r="A6" i="28"/>
  <c r="I5" i="28"/>
  <c r="H5" i="28"/>
  <c r="E5" i="28"/>
  <c r="D5" i="28"/>
  <c r="B5" i="28"/>
  <c r="A5" i="28"/>
  <c r="I19" i="27"/>
  <c r="F19" i="27"/>
  <c r="G9" i="27"/>
  <c r="D14" i="27" s="1"/>
  <c r="F9" i="27"/>
  <c r="I8" i="27"/>
  <c r="H8" i="27"/>
  <c r="E8" i="27"/>
  <c r="D8" i="27"/>
  <c r="B8" i="27"/>
  <c r="A8" i="27"/>
  <c r="I7" i="27"/>
  <c r="H7" i="27"/>
  <c r="E7" i="27"/>
  <c r="D7" i="27"/>
  <c r="B7" i="27"/>
  <c r="A7" i="27"/>
  <c r="I6" i="27"/>
  <c r="H6" i="27"/>
  <c r="E6" i="27"/>
  <c r="D6" i="27"/>
  <c r="B6" i="27"/>
  <c r="A6" i="27"/>
  <c r="E5" i="27"/>
  <c r="D5" i="27"/>
  <c r="B5" i="27"/>
  <c r="S30" i="36" s="1"/>
  <c r="A5" i="27"/>
  <c r="I5" i="27" s="1"/>
  <c r="I9" i="27" s="1"/>
  <c r="C19" i="27" s="1"/>
  <c r="I19" i="26"/>
  <c r="F19" i="26"/>
  <c r="G9" i="26"/>
  <c r="D14" i="26" s="1"/>
  <c r="C27" i="36" s="1"/>
  <c r="F9" i="26"/>
  <c r="I8" i="26"/>
  <c r="H8" i="26"/>
  <c r="E8" i="26"/>
  <c r="D8" i="26"/>
  <c r="B8" i="26"/>
  <c r="A8" i="26"/>
  <c r="I7" i="26"/>
  <c r="H7" i="26"/>
  <c r="E7" i="26"/>
  <c r="D7" i="26"/>
  <c r="B7" i="26"/>
  <c r="A7" i="26"/>
  <c r="E6" i="26"/>
  <c r="D6" i="26"/>
  <c r="B6" i="26"/>
  <c r="A6" i="26"/>
  <c r="I6" i="26" s="1"/>
  <c r="I9" i="26" s="1"/>
  <c r="C19" i="26" s="1"/>
  <c r="I5" i="26"/>
  <c r="E5" i="26"/>
  <c r="D5" i="26"/>
  <c r="B5" i="26"/>
  <c r="R29" i="36" s="1"/>
  <c r="A5" i="26"/>
  <c r="H5" i="26" s="1"/>
  <c r="I19" i="25"/>
  <c r="F19" i="25"/>
  <c r="C19" i="25"/>
  <c r="D14" i="25"/>
  <c r="I9" i="25"/>
  <c r="G9" i="25"/>
  <c r="F9" i="25"/>
  <c r="I8" i="25"/>
  <c r="H8" i="25"/>
  <c r="E8" i="25"/>
  <c r="D8" i="25"/>
  <c r="B8" i="25"/>
  <c r="A8" i="25"/>
  <c r="I7" i="25"/>
  <c r="H7" i="25"/>
  <c r="E7" i="25"/>
  <c r="D7" i="25"/>
  <c r="B7" i="25"/>
  <c r="A7" i="25"/>
  <c r="I6" i="25"/>
  <c r="H6" i="25"/>
  <c r="E6" i="25"/>
  <c r="D6" i="25"/>
  <c r="B6" i="25"/>
  <c r="A6" i="25"/>
  <c r="I5" i="25"/>
  <c r="H5" i="25"/>
  <c r="E5" i="25"/>
  <c r="D5" i="25"/>
  <c r="B5" i="25"/>
  <c r="A5" i="25"/>
  <c r="I19" i="24"/>
  <c r="F19" i="24"/>
  <c r="D14" i="24"/>
  <c r="C25" i="36" s="1"/>
  <c r="G9" i="24"/>
  <c r="F9" i="24"/>
  <c r="I8" i="24"/>
  <c r="H8" i="24"/>
  <c r="E8" i="24"/>
  <c r="D8" i="24"/>
  <c r="B8" i="24"/>
  <c r="A8" i="24"/>
  <c r="E7" i="24"/>
  <c r="D7" i="24"/>
  <c r="B7" i="24"/>
  <c r="A7" i="24"/>
  <c r="I7" i="24" s="1"/>
  <c r="I6" i="24"/>
  <c r="E6" i="24"/>
  <c r="D6" i="24"/>
  <c r="B6" i="24"/>
  <c r="S27" i="36" s="1"/>
  <c r="A6" i="24"/>
  <c r="H6" i="24" s="1"/>
  <c r="E5" i="24"/>
  <c r="D5" i="24"/>
  <c r="B5" i="24"/>
  <c r="A5" i="24"/>
  <c r="I5" i="24" s="1"/>
  <c r="I19" i="23"/>
  <c r="F19" i="23"/>
  <c r="D14" i="23"/>
  <c r="C24" i="36" s="1"/>
  <c r="G9" i="23"/>
  <c r="F9" i="23"/>
  <c r="I8" i="23"/>
  <c r="H8" i="23"/>
  <c r="E8" i="23"/>
  <c r="D8" i="23"/>
  <c r="B8" i="23"/>
  <c r="A8" i="23"/>
  <c r="E7" i="23"/>
  <c r="D7" i="23"/>
  <c r="B7" i="23"/>
  <c r="A7" i="23"/>
  <c r="I7" i="23" s="1"/>
  <c r="E6" i="23"/>
  <c r="D6" i="23"/>
  <c r="B6" i="23"/>
  <c r="A6" i="23"/>
  <c r="I6" i="23" s="1"/>
  <c r="E5" i="23"/>
  <c r="D5" i="23"/>
  <c r="B5" i="23"/>
  <c r="A5" i="23"/>
  <c r="I5" i="23" s="1"/>
  <c r="I9" i="23" s="1"/>
  <c r="C19" i="23" s="1"/>
  <c r="I19" i="22"/>
  <c r="F19" i="22"/>
  <c r="G9" i="22"/>
  <c r="D14" i="22" s="1"/>
  <c r="C23" i="36" s="1"/>
  <c r="F9" i="22"/>
  <c r="I8" i="22"/>
  <c r="H8" i="22"/>
  <c r="E8" i="22"/>
  <c r="D8" i="22"/>
  <c r="B8" i="22"/>
  <c r="A8" i="22"/>
  <c r="I7" i="22"/>
  <c r="H7" i="22"/>
  <c r="E7" i="22"/>
  <c r="D7" i="22"/>
  <c r="B7" i="22"/>
  <c r="A7" i="22"/>
  <c r="I6" i="22"/>
  <c r="H6" i="22"/>
  <c r="E6" i="22"/>
  <c r="D6" i="22"/>
  <c r="B6" i="22"/>
  <c r="A6" i="22"/>
  <c r="E5" i="22"/>
  <c r="D5" i="22"/>
  <c r="B5" i="22"/>
  <c r="A5" i="22"/>
  <c r="I5" i="22" s="1"/>
  <c r="I9" i="22" s="1"/>
  <c r="C19" i="22" s="1"/>
  <c r="I19" i="21"/>
  <c r="F19" i="21"/>
  <c r="C19" i="21"/>
  <c r="D14" i="21"/>
  <c r="I9" i="21"/>
  <c r="G9" i="21"/>
  <c r="F9" i="21"/>
  <c r="I8" i="21"/>
  <c r="H8" i="21"/>
  <c r="E8" i="21"/>
  <c r="D8" i="21"/>
  <c r="B8" i="21"/>
  <c r="A8" i="21"/>
  <c r="I7" i="21"/>
  <c r="H7" i="21"/>
  <c r="E7" i="21"/>
  <c r="D7" i="21"/>
  <c r="B7" i="21"/>
  <c r="A7" i="21"/>
  <c r="I6" i="21"/>
  <c r="H6" i="21"/>
  <c r="E6" i="21"/>
  <c r="D6" i="21"/>
  <c r="B6" i="21"/>
  <c r="A6" i="21"/>
  <c r="I5" i="21"/>
  <c r="H5" i="21"/>
  <c r="E5" i="21"/>
  <c r="D5" i="21"/>
  <c r="B5" i="21"/>
  <c r="A5" i="21"/>
  <c r="I19" i="20"/>
  <c r="F19" i="20"/>
  <c r="C19" i="20"/>
  <c r="D14" i="20"/>
  <c r="I9" i="20"/>
  <c r="G9" i="20"/>
  <c r="F9" i="20"/>
  <c r="I8" i="20"/>
  <c r="H8" i="20"/>
  <c r="E8" i="20"/>
  <c r="D8" i="20"/>
  <c r="B8" i="20"/>
  <c r="A8" i="20"/>
  <c r="I7" i="20"/>
  <c r="H7" i="20"/>
  <c r="E7" i="20"/>
  <c r="D7" i="20"/>
  <c r="B7" i="20"/>
  <c r="A7" i="20"/>
  <c r="I6" i="20"/>
  <c r="H6" i="20"/>
  <c r="E6" i="20"/>
  <c r="D6" i="20"/>
  <c r="B6" i="20"/>
  <c r="A6" i="20"/>
  <c r="I5" i="20"/>
  <c r="H5" i="20"/>
  <c r="E5" i="20"/>
  <c r="D5" i="20"/>
  <c r="B5" i="20"/>
  <c r="A5" i="20"/>
  <c r="I19" i="19"/>
  <c r="F19" i="19"/>
  <c r="G9" i="19"/>
  <c r="D14" i="19" s="1"/>
  <c r="F9" i="19"/>
  <c r="I8" i="19"/>
  <c r="H8" i="19"/>
  <c r="E8" i="19"/>
  <c r="D8" i="19"/>
  <c r="B8" i="19"/>
  <c r="A8" i="19"/>
  <c r="I7" i="19"/>
  <c r="H7" i="19"/>
  <c r="E7" i="19"/>
  <c r="D7" i="19"/>
  <c r="B7" i="19"/>
  <c r="A7" i="19"/>
  <c r="E6" i="19"/>
  <c r="D6" i="19"/>
  <c r="B6" i="19"/>
  <c r="A6" i="19"/>
  <c r="I6" i="19" s="1"/>
  <c r="E5" i="19"/>
  <c r="D5" i="19"/>
  <c r="B5" i="19"/>
  <c r="Q22" i="36" s="1"/>
  <c r="A5" i="19"/>
  <c r="H5" i="19" s="1"/>
  <c r="I19" i="18"/>
  <c r="F19" i="18"/>
  <c r="G9" i="18"/>
  <c r="D14" i="18" s="1"/>
  <c r="F9" i="18"/>
  <c r="I8" i="18"/>
  <c r="H8" i="18"/>
  <c r="E8" i="18"/>
  <c r="D8" i="18"/>
  <c r="B8" i="18"/>
  <c r="A8" i="18"/>
  <c r="I7" i="18"/>
  <c r="H7" i="18"/>
  <c r="E7" i="18"/>
  <c r="D7" i="18"/>
  <c r="B7" i="18"/>
  <c r="A7" i="18"/>
  <c r="I6" i="18"/>
  <c r="H6" i="18"/>
  <c r="E6" i="18"/>
  <c r="D6" i="18"/>
  <c r="B6" i="18"/>
  <c r="A6" i="18"/>
  <c r="E5" i="18"/>
  <c r="D5" i="18"/>
  <c r="B5" i="18"/>
  <c r="A5" i="18"/>
  <c r="I5" i="18" s="1"/>
  <c r="I9" i="18" s="1"/>
  <c r="C19" i="18" s="1"/>
  <c r="I19" i="17"/>
  <c r="F19" i="17"/>
  <c r="G9" i="17"/>
  <c r="D14" i="17" s="1"/>
  <c r="F9" i="17"/>
  <c r="I8" i="17"/>
  <c r="E8" i="17"/>
  <c r="D8" i="17"/>
  <c r="B8" i="17"/>
  <c r="A8" i="17"/>
  <c r="H8" i="17" s="1"/>
  <c r="E7" i="17"/>
  <c r="D7" i="17"/>
  <c r="B7" i="17"/>
  <c r="A7" i="17"/>
  <c r="I7" i="17" s="1"/>
  <c r="E6" i="17"/>
  <c r="D6" i="17"/>
  <c r="B6" i="17"/>
  <c r="A6" i="17"/>
  <c r="H6" i="17" s="1"/>
  <c r="E5" i="17"/>
  <c r="D5" i="17"/>
  <c r="B5" i="17"/>
  <c r="A5" i="17"/>
  <c r="I5" i="17" s="1"/>
  <c r="F23" i="16"/>
  <c r="I23" i="16" s="1"/>
  <c r="G13" i="16"/>
  <c r="D18" i="16" s="1"/>
  <c r="F13" i="16"/>
  <c r="E8" i="16"/>
  <c r="D8" i="16"/>
  <c r="B8" i="16"/>
  <c r="A8" i="16"/>
  <c r="I8" i="16" s="1"/>
  <c r="E7" i="16"/>
  <c r="D7" i="16"/>
  <c r="B7" i="16"/>
  <c r="A7" i="16"/>
  <c r="H7" i="16" s="1"/>
  <c r="E6" i="16"/>
  <c r="D6" i="16"/>
  <c r="B6" i="16"/>
  <c r="A6" i="16"/>
  <c r="I6" i="16" s="1"/>
  <c r="E5" i="16"/>
  <c r="D5" i="16"/>
  <c r="B5" i="16"/>
  <c r="A5" i="16"/>
  <c r="H5" i="16" s="1"/>
  <c r="F21" i="15"/>
  <c r="I21" i="15" s="1"/>
  <c r="G11" i="15"/>
  <c r="D16" i="15" s="1"/>
  <c r="C16" i="36" s="1"/>
  <c r="F11" i="15"/>
  <c r="E7" i="15"/>
  <c r="D7" i="15"/>
  <c r="B7" i="15"/>
  <c r="A7" i="15"/>
  <c r="I7" i="15" s="1"/>
  <c r="E6" i="15"/>
  <c r="D6" i="15"/>
  <c r="B6" i="15"/>
  <c r="A6" i="15"/>
  <c r="I6" i="15" s="1"/>
  <c r="E5" i="15"/>
  <c r="D5" i="15"/>
  <c r="B5" i="15"/>
  <c r="Q18" i="36" s="1"/>
  <c r="A5" i="15"/>
  <c r="I5" i="15" s="1"/>
  <c r="F22" i="14"/>
  <c r="I22" i="14" s="1"/>
  <c r="G12" i="14"/>
  <c r="D17" i="14" s="1"/>
  <c r="C15" i="36" s="1"/>
  <c r="F12" i="14"/>
  <c r="E8" i="14"/>
  <c r="D8" i="14"/>
  <c r="B8" i="14"/>
  <c r="A8" i="14"/>
  <c r="I8" i="14" s="1"/>
  <c r="E7" i="14"/>
  <c r="D7" i="14"/>
  <c r="B7" i="14"/>
  <c r="A7" i="14"/>
  <c r="I7" i="14" s="1"/>
  <c r="E6" i="14"/>
  <c r="D6" i="14"/>
  <c r="B6" i="14"/>
  <c r="A6" i="14"/>
  <c r="I6" i="14" s="1"/>
  <c r="E5" i="14"/>
  <c r="D5" i="14"/>
  <c r="B5" i="14"/>
  <c r="A5" i="14"/>
  <c r="I5" i="14" s="1"/>
  <c r="I21" i="13"/>
  <c r="F21" i="13"/>
  <c r="G11" i="13"/>
  <c r="D16" i="13" s="1"/>
  <c r="F11" i="13"/>
  <c r="E8" i="13"/>
  <c r="D8" i="13"/>
  <c r="B8" i="13"/>
  <c r="A8" i="13"/>
  <c r="H8" i="13" s="1"/>
  <c r="E7" i="13"/>
  <c r="D7" i="13"/>
  <c r="B7" i="13"/>
  <c r="A7" i="13"/>
  <c r="I7" i="13" s="1"/>
  <c r="E6" i="13"/>
  <c r="D6" i="13"/>
  <c r="B6" i="13"/>
  <c r="A6" i="13"/>
  <c r="I6" i="13" s="1"/>
  <c r="E5" i="13"/>
  <c r="D5" i="13"/>
  <c r="B5" i="13"/>
  <c r="A5" i="13"/>
  <c r="I5" i="13" s="1"/>
  <c r="I19" i="12"/>
  <c r="F19" i="12"/>
  <c r="G9" i="12"/>
  <c r="D14" i="12" s="1"/>
  <c r="C13" i="36" s="1"/>
  <c r="F9" i="12"/>
  <c r="I8" i="12"/>
  <c r="H8" i="12"/>
  <c r="E8" i="12"/>
  <c r="D8" i="12"/>
  <c r="B8" i="12"/>
  <c r="A8" i="12"/>
  <c r="I7" i="12"/>
  <c r="H7" i="12"/>
  <c r="E7" i="12"/>
  <c r="D7" i="12"/>
  <c r="B7" i="12"/>
  <c r="A7" i="12"/>
  <c r="E6" i="12"/>
  <c r="D6" i="12"/>
  <c r="B6" i="12"/>
  <c r="A6" i="12"/>
  <c r="I6" i="12" s="1"/>
  <c r="E5" i="12"/>
  <c r="D5" i="12"/>
  <c r="B5" i="12"/>
  <c r="S15" i="36" s="1"/>
  <c r="A5" i="12"/>
  <c r="I5" i="12" s="1"/>
  <c r="I19" i="11"/>
  <c r="F19" i="11"/>
  <c r="C19" i="11"/>
  <c r="D14" i="11"/>
  <c r="I9" i="11"/>
  <c r="G9" i="11"/>
  <c r="F9" i="11"/>
  <c r="I8" i="11"/>
  <c r="H8" i="11"/>
  <c r="E8" i="11"/>
  <c r="D8" i="11"/>
  <c r="B8" i="11"/>
  <c r="A8" i="11"/>
  <c r="I7" i="11"/>
  <c r="H7" i="11"/>
  <c r="E7" i="11"/>
  <c r="D7" i="11"/>
  <c r="B7" i="11"/>
  <c r="A7" i="11"/>
  <c r="I6" i="11"/>
  <c r="H6" i="11"/>
  <c r="E6" i="11"/>
  <c r="D6" i="11"/>
  <c r="B6" i="11"/>
  <c r="A6" i="11"/>
  <c r="I5" i="11"/>
  <c r="H5" i="11"/>
  <c r="E5" i="11"/>
  <c r="D5" i="11"/>
  <c r="B5" i="11"/>
  <c r="A5" i="11"/>
  <c r="F23" i="10"/>
  <c r="I23" i="10" s="1"/>
  <c r="G13" i="10"/>
  <c r="D18" i="10" s="1"/>
  <c r="C11" i="36" s="1"/>
  <c r="F13" i="10"/>
  <c r="E8" i="10"/>
  <c r="D8" i="10"/>
  <c r="B8" i="10"/>
  <c r="A8" i="10"/>
  <c r="H8" i="10" s="1"/>
  <c r="E7" i="10"/>
  <c r="D7" i="10"/>
  <c r="B7" i="10"/>
  <c r="A7" i="10"/>
  <c r="I7" i="10" s="1"/>
  <c r="E6" i="10"/>
  <c r="D6" i="10"/>
  <c r="B6" i="10"/>
  <c r="A6" i="10"/>
  <c r="I6" i="10" s="1"/>
  <c r="I5" i="10"/>
  <c r="E5" i="10"/>
  <c r="D5" i="10"/>
  <c r="B5" i="10"/>
  <c r="A5" i="10"/>
  <c r="H5" i="10" s="1"/>
  <c r="F22" i="9"/>
  <c r="I22" i="9" s="1"/>
  <c r="G12" i="9"/>
  <c r="D17" i="9" s="1"/>
  <c r="C10" i="36" s="1"/>
  <c r="F12" i="9"/>
  <c r="E8" i="9"/>
  <c r="D8" i="9"/>
  <c r="B8" i="9"/>
  <c r="A8" i="9"/>
  <c r="I8" i="9" s="1"/>
  <c r="E7" i="9"/>
  <c r="D7" i="9"/>
  <c r="B7" i="9"/>
  <c r="A7" i="9"/>
  <c r="H7" i="9" s="1"/>
  <c r="E6" i="9"/>
  <c r="D6" i="9"/>
  <c r="B6" i="9"/>
  <c r="A6" i="9"/>
  <c r="I6" i="9" s="1"/>
  <c r="E5" i="9"/>
  <c r="D5" i="9"/>
  <c r="B5" i="9"/>
  <c r="S12" i="36" s="1"/>
  <c r="A5" i="9"/>
  <c r="H5" i="9" s="1"/>
  <c r="F22" i="8"/>
  <c r="I22" i="8" s="1"/>
  <c r="G12" i="8"/>
  <c r="D17" i="8" s="1"/>
  <c r="C9" i="36" s="1"/>
  <c r="F12" i="8"/>
  <c r="E8" i="8"/>
  <c r="D8" i="8"/>
  <c r="B8" i="8"/>
  <c r="A8" i="8"/>
  <c r="I8" i="8" s="1"/>
  <c r="E7" i="8"/>
  <c r="D7" i="8"/>
  <c r="B7" i="8"/>
  <c r="A7" i="8"/>
  <c r="H7" i="8" s="1"/>
  <c r="E6" i="8"/>
  <c r="D6" i="8"/>
  <c r="B6" i="8"/>
  <c r="A6" i="8"/>
  <c r="H6" i="8" s="1"/>
  <c r="E5" i="8"/>
  <c r="D5" i="8"/>
  <c r="B5" i="8"/>
  <c r="Q11" i="36" s="1"/>
  <c r="A5" i="8"/>
  <c r="I5" i="8" s="1"/>
  <c r="I19" i="7"/>
  <c r="F19" i="7"/>
  <c r="G9" i="7"/>
  <c r="D14" i="7" s="1"/>
  <c r="C8" i="36" s="1"/>
  <c r="F9" i="7"/>
  <c r="I8" i="7"/>
  <c r="H8" i="7"/>
  <c r="E8" i="7"/>
  <c r="D8" i="7"/>
  <c r="B8" i="7"/>
  <c r="A8" i="7"/>
  <c r="I7" i="7"/>
  <c r="H7" i="7"/>
  <c r="E7" i="7"/>
  <c r="D7" i="7"/>
  <c r="B7" i="7"/>
  <c r="A7" i="7"/>
  <c r="E6" i="7"/>
  <c r="D6" i="7"/>
  <c r="B6" i="7"/>
  <c r="A6" i="7"/>
  <c r="I6" i="7" s="1"/>
  <c r="E5" i="7"/>
  <c r="D5" i="7"/>
  <c r="B5" i="7"/>
  <c r="A5" i="7"/>
  <c r="I5" i="7" s="1"/>
  <c r="I19" i="6"/>
  <c r="F19" i="6"/>
  <c r="D12" i="6"/>
  <c r="G9" i="6"/>
  <c r="D14" i="6" s="1"/>
  <c r="F9" i="6"/>
  <c r="I8" i="6"/>
  <c r="H8" i="6"/>
  <c r="E8" i="6"/>
  <c r="D8" i="6"/>
  <c r="B8" i="6"/>
  <c r="A8" i="6"/>
  <c r="I7" i="6"/>
  <c r="H7" i="6"/>
  <c r="E7" i="6"/>
  <c r="D7" i="6"/>
  <c r="B7" i="6"/>
  <c r="A7" i="6"/>
  <c r="E6" i="6"/>
  <c r="D6" i="6"/>
  <c r="B6" i="6"/>
  <c r="S9" i="36" s="1"/>
  <c r="A6" i="6"/>
  <c r="I6" i="6" s="1"/>
  <c r="E5" i="6"/>
  <c r="D5" i="6"/>
  <c r="B5" i="6"/>
  <c r="A5" i="6"/>
  <c r="I5" i="6" s="1"/>
  <c r="I19" i="5"/>
  <c r="F19" i="5"/>
  <c r="C19" i="5"/>
  <c r="G17" i="5"/>
  <c r="G16" i="5"/>
  <c r="D15" i="5"/>
  <c r="D14" i="5"/>
  <c r="D12" i="5"/>
  <c r="I9" i="5"/>
  <c r="G9" i="5"/>
  <c r="F9" i="5"/>
  <c r="I8" i="5"/>
  <c r="H8" i="5"/>
  <c r="E8" i="5"/>
  <c r="D8" i="5"/>
  <c r="B8" i="5"/>
  <c r="A8" i="5"/>
  <c r="I7" i="5"/>
  <c r="H7" i="5"/>
  <c r="E7" i="5"/>
  <c r="D7" i="5"/>
  <c r="B7" i="5"/>
  <c r="A7" i="5"/>
  <c r="I6" i="5"/>
  <c r="H6" i="5"/>
  <c r="E6" i="5"/>
  <c r="D6" i="5"/>
  <c r="B6" i="5"/>
  <c r="A6" i="5"/>
  <c r="I5" i="5"/>
  <c r="H5" i="5"/>
  <c r="E5" i="5"/>
  <c r="D5" i="5"/>
  <c r="B5" i="5"/>
  <c r="A5" i="5"/>
  <c r="H1" i="5"/>
  <c r="H1" i="6" s="1"/>
  <c r="H1" i="7" s="1"/>
  <c r="H1" i="8" s="1"/>
  <c r="H1" i="9" s="1"/>
  <c r="H1" i="10" s="1"/>
  <c r="I19" i="4"/>
  <c r="F19" i="4"/>
  <c r="C19" i="4"/>
  <c r="G17" i="4"/>
  <c r="G16" i="4"/>
  <c r="D15" i="4"/>
  <c r="D14" i="4"/>
  <c r="I9" i="4"/>
  <c r="G9" i="4"/>
  <c r="F9" i="4"/>
  <c r="I8" i="4"/>
  <c r="H8" i="4"/>
  <c r="E8" i="4"/>
  <c r="D8" i="4"/>
  <c r="B8" i="4"/>
  <c r="A8" i="4"/>
  <c r="I7" i="4"/>
  <c r="H7" i="4"/>
  <c r="E7" i="4"/>
  <c r="D7" i="4"/>
  <c r="B7" i="4"/>
  <c r="A7" i="4"/>
  <c r="I6" i="4"/>
  <c r="H6" i="4"/>
  <c r="E6" i="4"/>
  <c r="D6" i="4"/>
  <c r="B6" i="4"/>
  <c r="A6" i="4"/>
  <c r="I5" i="4"/>
  <c r="H5" i="4"/>
  <c r="E5" i="4"/>
  <c r="D5" i="4"/>
  <c r="B5" i="4"/>
  <c r="A5" i="4"/>
  <c r="H2" i="4"/>
  <c r="S36" i="36"/>
  <c r="R36" i="36"/>
  <c r="Q36" i="36"/>
  <c r="J36" i="36"/>
  <c r="I36" i="36"/>
  <c r="H36" i="36"/>
  <c r="G36" i="36"/>
  <c r="F36" i="36"/>
  <c r="E36" i="36"/>
  <c r="S34" i="36"/>
  <c r="R34" i="36"/>
  <c r="Q34" i="36"/>
  <c r="S33" i="36"/>
  <c r="R33" i="36"/>
  <c r="Q33" i="36"/>
  <c r="C32" i="36"/>
  <c r="S31" i="36"/>
  <c r="R31" i="36"/>
  <c r="Q31" i="36"/>
  <c r="C31" i="36"/>
  <c r="R30" i="36"/>
  <c r="S29" i="36"/>
  <c r="C29" i="36"/>
  <c r="S28" i="36"/>
  <c r="R28" i="36"/>
  <c r="Q28" i="36"/>
  <c r="Q27" i="36"/>
  <c r="S26" i="36"/>
  <c r="R26" i="36"/>
  <c r="Q26" i="36"/>
  <c r="C26" i="36"/>
  <c r="S25" i="36"/>
  <c r="R25" i="36"/>
  <c r="Q25" i="36"/>
  <c r="S24" i="36"/>
  <c r="R24" i="36"/>
  <c r="Q24" i="36"/>
  <c r="S23" i="36"/>
  <c r="R23" i="36"/>
  <c r="Q23" i="36"/>
  <c r="C22" i="36"/>
  <c r="S21" i="36"/>
  <c r="Q21" i="36"/>
  <c r="C21" i="36"/>
  <c r="S18" i="36"/>
  <c r="S17" i="36"/>
  <c r="Q17" i="36"/>
  <c r="S14" i="36"/>
  <c r="R14" i="36"/>
  <c r="Q14" i="36"/>
  <c r="C12" i="36"/>
  <c r="S10" i="36"/>
  <c r="Q10" i="36"/>
  <c r="L9" i="36"/>
  <c r="P9" i="36" s="1"/>
  <c r="S8" i="36"/>
  <c r="R8" i="36"/>
  <c r="Q8" i="36"/>
  <c r="P8" i="36"/>
  <c r="O8" i="36"/>
  <c r="L8" i="36"/>
  <c r="S7" i="36"/>
  <c r="R7" i="36"/>
  <c r="Q7" i="36"/>
  <c r="P7" i="36"/>
  <c r="O7" i="36"/>
  <c r="L7" i="36"/>
  <c r="B7" i="36"/>
  <c r="D6" i="36"/>
  <c r="C6" i="36"/>
  <c r="B6" i="36"/>
  <c r="D5" i="36"/>
  <c r="C5" i="36"/>
  <c r="A5" i="36"/>
  <c r="A6" i="36" s="1"/>
  <c r="A7" i="36" s="1"/>
  <c r="A8" i="36" s="1"/>
  <c r="A9" i="36" s="1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M2" i="36"/>
  <c r="F155" i="3"/>
  <c r="K154" i="3"/>
  <c r="J154" i="3"/>
  <c r="I154" i="3"/>
  <c r="H154" i="3"/>
  <c r="E154" i="3"/>
  <c r="D154" i="3"/>
  <c r="C154" i="3"/>
  <c r="B154" i="3"/>
  <c r="K153" i="3"/>
  <c r="J153" i="3"/>
  <c r="I153" i="3"/>
  <c r="H153" i="3"/>
  <c r="E153" i="3"/>
  <c r="D153" i="3"/>
  <c r="C153" i="3"/>
  <c r="B153" i="3"/>
  <c r="K152" i="3"/>
  <c r="J152" i="3"/>
  <c r="I152" i="3"/>
  <c r="H152" i="3"/>
  <c r="E152" i="3"/>
  <c r="D152" i="3"/>
  <c r="C152" i="3"/>
  <c r="B152" i="3"/>
  <c r="K151" i="3"/>
  <c r="J151" i="3"/>
  <c r="I151" i="3"/>
  <c r="H151" i="3"/>
  <c r="E151" i="3"/>
  <c r="D151" i="3"/>
  <c r="C151" i="3"/>
  <c r="B151" i="3"/>
  <c r="K150" i="3"/>
  <c r="J150" i="3"/>
  <c r="I150" i="3"/>
  <c r="H150" i="3"/>
  <c r="E150" i="3"/>
  <c r="D150" i="3"/>
  <c r="C150" i="3"/>
  <c r="B150" i="3"/>
  <c r="K149" i="3"/>
  <c r="J149" i="3"/>
  <c r="I149" i="3"/>
  <c r="H149" i="3"/>
  <c r="E149" i="3"/>
  <c r="D149" i="3"/>
  <c r="C149" i="3"/>
  <c r="B149" i="3"/>
  <c r="K148" i="3"/>
  <c r="J148" i="3"/>
  <c r="I148" i="3"/>
  <c r="H148" i="3"/>
  <c r="E148" i="3"/>
  <c r="D148" i="3"/>
  <c r="C148" i="3"/>
  <c r="B148" i="3"/>
  <c r="K147" i="3"/>
  <c r="J147" i="3"/>
  <c r="I147" i="3"/>
  <c r="H147" i="3"/>
  <c r="E147" i="3"/>
  <c r="D147" i="3"/>
  <c r="C147" i="3"/>
  <c r="B147" i="3"/>
  <c r="K146" i="3"/>
  <c r="J146" i="3"/>
  <c r="I146" i="3"/>
  <c r="H146" i="3"/>
  <c r="E146" i="3"/>
  <c r="D146" i="3"/>
  <c r="C146" i="3"/>
  <c r="B146" i="3"/>
  <c r="K145" i="3"/>
  <c r="J145" i="3"/>
  <c r="I145" i="3"/>
  <c r="H145" i="3"/>
  <c r="E145" i="3"/>
  <c r="D145" i="3"/>
  <c r="C145" i="3"/>
  <c r="B145" i="3"/>
  <c r="K144" i="3"/>
  <c r="J144" i="3"/>
  <c r="I144" i="3"/>
  <c r="H144" i="3"/>
  <c r="E144" i="3"/>
  <c r="D144" i="3"/>
  <c r="C144" i="3"/>
  <c r="B144" i="3"/>
  <c r="K143" i="3"/>
  <c r="J143" i="3"/>
  <c r="I143" i="3"/>
  <c r="H143" i="3"/>
  <c r="E143" i="3"/>
  <c r="D143" i="3"/>
  <c r="C143" i="3"/>
  <c r="B143" i="3"/>
  <c r="K142" i="3"/>
  <c r="J142" i="3"/>
  <c r="I142" i="3"/>
  <c r="H142" i="3"/>
  <c r="E142" i="3"/>
  <c r="D142" i="3"/>
  <c r="C142" i="3"/>
  <c r="B142" i="3"/>
  <c r="K141" i="3"/>
  <c r="J141" i="3"/>
  <c r="I141" i="3"/>
  <c r="H141" i="3"/>
  <c r="E141" i="3"/>
  <c r="D141" i="3"/>
  <c r="C141" i="3"/>
  <c r="B141" i="3"/>
  <c r="K140" i="3"/>
  <c r="J140" i="3"/>
  <c r="I140" i="3"/>
  <c r="H140" i="3"/>
  <c r="E140" i="3"/>
  <c r="D140" i="3"/>
  <c r="C140" i="3"/>
  <c r="B140" i="3"/>
  <c r="K139" i="3"/>
  <c r="J139" i="3"/>
  <c r="I139" i="3"/>
  <c r="H139" i="3"/>
  <c r="E139" i="3"/>
  <c r="D139" i="3"/>
  <c r="C139" i="3"/>
  <c r="B139" i="3"/>
  <c r="K138" i="3"/>
  <c r="J138" i="3"/>
  <c r="I138" i="3"/>
  <c r="H138" i="3"/>
  <c r="E138" i="3"/>
  <c r="D138" i="3"/>
  <c r="C138" i="3"/>
  <c r="B138" i="3"/>
  <c r="K137" i="3"/>
  <c r="J137" i="3"/>
  <c r="I137" i="3"/>
  <c r="H137" i="3"/>
  <c r="E137" i="3"/>
  <c r="D137" i="3"/>
  <c r="C137" i="3"/>
  <c r="B137" i="3"/>
  <c r="K136" i="3"/>
  <c r="J136" i="3"/>
  <c r="I136" i="3"/>
  <c r="H136" i="3"/>
  <c r="E136" i="3"/>
  <c r="D136" i="3"/>
  <c r="C136" i="3"/>
  <c r="B136" i="3"/>
  <c r="K135" i="3"/>
  <c r="J135" i="3"/>
  <c r="I135" i="3"/>
  <c r="H135" i="3"/>
  <c r="E135" i="3"/>
  <c r="D135" i="3"/>
  <c r="C135" i="3"/>
  <c r="B135" i="3"/>
  <c r="K134" i="3"/>
  <c r="J134" i="3"/>
  <c r="I134" i="3"/>
  <c r="H134" i="3"/>
  <c r="E134" i="3"/>
  <c r="D134" i="3"/>
  <c r="C134" i="3"/>
  <c r="B134" i="3"/>
  <c r="K133" i="3"/>
  <c r="J133" i="3"/>
  <c r="I133" i="3"/>
  <c r="H133" i="3"/>
  <c r="E133" i="3"/>
  <c r="D133" i="3"/>
  <c r="C133" i="3"/>
  <c r="B133" i="3"/>
  <c r="K132" i="3"/>
  <c r="J132" i="3"/>
  <c r="I132" i="3"/>
  <c r="H132" i="3"/>
  <c r="E132" i="3"/>
  <c r="D132" i="3"/>
  <c r="C132" i="3"/>
  <c r="B132" i="3"/>
  <c r="K131" i="3"/>
  <c r="J131" i="3"/>
  <c r="I131" i="3"/>
  <c r="H131" i="3"/>
  <c r="E131" i="3"/>
  <c r="D131" i="3"/>
  <c r="C131" i="3"/>
  <c r="B131" i="3"/>
  <c r="K130" i="3"/>
  <c r="J130" i="3"/>
  <c r="I130" i="3"/>
  <c r="H130" i="3"/>
  <c r="E130" i="3"/>
  <c r="D130" i="3"/>
  <c r="C130" i="3"/>
  <c r="B130" i="3"/>
  <c r="K129" i="3"/>
  <c r="J129" i="3"/>
  <c r="I129" i="3"/>
  <c r="H129" i="3"/>
  <c r="E129" i="3"/>
  <c r="D129" i="3"/>
  <c r="C129" i="3"/>
  <c r="B129" i="3"/>
  <c r="K128" i="3"/>
  <c r="J128" i="3"/>
  <c r="I128" i="3"/>
  <c r="H128" i="3"/>
  <c r="E128" i="3"/>
  <c r="D128" i="3"/>
  <c r="C128" i="3"/>
  <c r="B128" i="3"/>
  <c r="K127" i="3"/>
  <c r="J127" i="3"/>
  <c r="I127" i="3"/>
  <c r="H127" i="3"/>
  <c r="E127" i="3"/>
  <c r="D127" i="3"/>
  <c r="C127" i="3"/>
  <c r="B127" i="3"/>
  <c r="K126" i="3"/>
  <c r="J126" i="3"/>
  <c r="I126" i="3"/>
  <c r="H126" i="3"/>
  <c r="E126" i="3"/>
  <c r="D126" i="3"/>
  <c r="C126" i="3"/>
  <c r="B126" i="3"/>
  <c r="K125" i="3"/>
  <c r="J125" i="3"/>
  <c r="I125" i="3"/>
  <c r="H125" i="3"/>
  <c r="E125" i="3"/>
  <c r="D125" i="3"/>
  <c r="C125" i="3"/>
  <c r="B125" i="3"/>
  <c r="K124" i="3"/>
  <c r="J124" i="3"/>
  <c r="I124" i="3"/>
  <c r="H124" i="3"/>
  <c r="E124" i="3"/>
  <c r="D124" i="3"/>
  <c r="C124" i="3"/>
  <c r="B124" i="3"/>
  <c r="K123" i="3"/>
  <c r="J123" i="3"/>
  <c r="I123" i="3"/>
  <c r="H123" i="3"/>
  <c r="E123" i="3"/>
  <c r="D123" i="3"/>
  <c r="C123" i="3"/>
  <c r="B123" i="3"/>
  <c r="K122" i="3"/>
  <c r="J122" i="3"/>
  <c r="I122" i="3"/>
  <c r="H122" i="3"/>
  <c r="E122" i="3"/>
  <c r="D122" i="3"/>
  <c r="C122" i="3"/>
  <c r="B122" i="3"/>
  <c r="K121" i="3"/>
  <c r="J121" i="3"/>
  <c r="I121" i="3"/>
  <c r="H121" i="3"/>
  <c r="E121" i="3"/>
  <c r="D121" i="3"/>
  <c r="C121" i="3"/>
  <c r="B121" i="3"/>
  <c r="K120" i="3"/>
  <c r="J120" i="3"/>
  <c r="I120" i="3"/>
  <c r="H120" i="3"/>
  <c r="E120" i="3"/>
  <c r="D120" i="3"/>
  <c r="C120" i="3"/>
  <c r="B120" i="3"/>
  <c r="K119" i="3"/>
  <c r="J119" i="3"/>
  <c r="I119" i="3"/>
  <c r="H119" i="3"/>
  <c r="E119" i="3"/>
  <c r="D119" i="3"/>
  <c r="C119" i="3"/>
  <c r="B119" i="3"/>
  <c r="K118" i="3"/>
  <c r="J118" i="3"/>
  <c r="I118" i="3"/>
  <c r="H118" i="3"/>
  <c r="E118" i="3"/>
  <c r="D118" i="3"/>
  <c r="C118" i="3"/>
  <c r="B118" i="3"/>
  <c r="K117" i="3"/>
  <c r="J117" i="3"/>
  <c r="I117" i="3"/>
  <c r="H117" i="3"/>
  <c r="E117" i="3"/>
  <c r="D117" i="3"/>
  <c r="C117" i="3"/>
  <c r="B117" i="3"/>
  <c r="K116" i="3"/>
  <c r="J116" i="3"/>
  <c r="I116" i="3"/>
  <c r="H116" i="3"/>
  <c r="E116" i="3"/>
  <c r="D116" i="3"/>
  <c r="C116" i="3"/>
  <c r="B116" i="3"/>
  <c r="K115" i="3"/>
  <c r="J115" i="3"/>
  <c r="I115" i="3"/>
  <c r="H115" i="3"/>
  <c r="E115" i="3"/>
  <c r="D115" i="3"/>
  <c r="C115" i="3"/>
  <c r="B115" i="3"/>
  <c r="K114" i="3"/>
  <c r="J114" i="3"/>
  <c r="I114" i="3"/>
  <c r="H114" i="3"/>
  <c r="E114" i="3"/>
  <c r="D114" i="3"/>
  <c r="C114" i="3"/>
  <c r="B114" i="3"/>
  <c r="K113" i="3"/>
  <c r="J113" i="3"/>
  <c r="I113" i="3"/>
  <c r="H113" i="3"/>
  <c r="E113" i="3"/>
  <c r="D113" i="3"/>
  <c r="C113" i="3"/>
  <c r="B113" i="3"/>
  <c r="K112" i="3"/>
  <c r="J112" i="3"/>
  <c r="I112" i="3"/>
  <c r="H112" i="3"/>
  <c r="E112" i="3"/>
  <c r="D112" i="3"/>
  <c r="C112" i="3"/>
  <c r="B112" i="3"/>
  <c r="K111" i="3"/>
  <c r="J111" i="3"/>
  <c r="I111" i="3"/>
  <c r="H111" i="3"/>
  <c r="E111" i="3"/>
  <c r="D111" i="3"/>
  <c r="C111" i="3"/>
  <c r="B111" i="3"/>
  <c r="K110" i="3"/>
  <c r="J110" i="3"/>
  <c r="I110" i="3"/>
  <c r="H110" i="3"/>
  <c r="E110" i="3"/>
  <c r="D110" i="3"/>
  <c r="C110" i="3"/>
  <c r="B110" i="3"/>
  <c r="K109" i="3"/>
  <c r="J109" i="3"/>
  <c r="I109" i="3"/>
  <c r="H109" i="3"/>
  <c r="E109" i="3"/>
  <c r="D109" i="3"/>
  <c r="C109" i="3"/>
  <c r="B109" i="3"/>
  <c r="K108" i="3"/>
  <c r="J108" i="3"/>
  <c r="I108" i="3"/>
  <c r="H108" i="3"/>
  <c r="E108" i="3"/>
  <c r="D108" i="3"/>
  <c r="C108" i="3"/>
  <c r="B108" i="3"/>
  <c r="K107" i="3"/>
  <c r="J107" i="3"/>
  <c r="I107" i="3"/>
  <c r="H107" i="3"/>
  <c r="E107" i="3"/>
  <c r="D107" i="3"/>
  <c r="C107" i="3"/>
  <c r="B107" i="3"/>
  <c r="K106" i="3"/>
  <c r="J106" i="3"/>
  <c r="I106" i="3"/>
  <c r="H106" i="3"/>
  <c r="E106" i="3"/>
  <c r="D106" i="3"/>
  <c r="C106" i="3"/>
  <c r="B106" i="3"/>
  <c r="K105" i="3"/>
  <c r="J105" i="3"/>
  <c r="I105" i="3"/>
  <c r="H105" i="3"/>
  <c r="E105" i="3"/>
  <c r="D105" i="3"/>
  <c r="C105" i="3"/>
  <c r="B105" i="3"/>
  <c r="K104" i="3"/>
  <c r="J104" i="3"/>
  <c r="I104" i="3"/>
  <c r="H104" i="3"/>
  <c r="E104" i="3"/>
  <c r="D104" i="3"/>
  <c r="C104" i="3"/>
  <c r="B104" i="3"/>
  <c r="K103" i="3"/>
  <c r="J103" i="3"/>
  <c r="I103" i="3"/>
  <c r="H103" i="3"/>
  <c r="E103" i="3"/>
  <c r="D103" i="3"/>
  <c r="C103" i="3"/>
  <c r="B103" i="3"/>
  <c r="K102" i="3"/>
  <c r="J102" i="3"/>
  <c r="I102" i="3"/>
  <c r="H102" i="3"/>
  <c r="E102" i="3"/>
  <c r="D102" i="3"/>
  <c r="C102" i="3"/>
  <c r="B102" i="3"/>
  <c r="K101" i="3"/>
  <c r="J101" i="3"/>
  <c r="I101" i="3"/>
  <c r="H101" i="3"/>
  <c r="E101" i="3"/>
  <c r="D101" i="3"/>
  <c r="C101" i="3"/>
  <c r="B101" i="3"/>
  <c r="K100" i="3"/>
  <c r="J100" i="3"/>
  <c r="I100" i="3"/>
  <c r="H100" i="3"/>
  <c r="E100" i="3"/>
  <c r="D100" i="3"/>
  <c r="C100" i="3"/>
  <c r="B100" i="3"/>
  <c r="K99" i="3"/>
  <c r="J99" i="3"/>
  <c r="I99" i="3"/>
  <c r="H99" i="3"/>
  <c r="E99" i="3"/>
  <c r="D99" i="3"/>
  <c r="C99" i="3"/>
  <c r="B99" i="3"/>
  <c r="K98" i="3"/>
  <c r="J98" i="3"/>
  <c r="I98" i="3"/>
  <c r="H98" i="3"/>
  <c r="E98" i="3"/>
  <c r="D98" i="3"/>
  <c r="C98" i="3"/>
  <c r="B98" i="3"/>
  <c r="K97" i="3"/>
  <c r="J97" i="3"/>
  <c r="I97" i="3"/>
  <c r="H97" i="3"/>
  <c r="E97" i="3"/>
  <c r="D97" i="3"/>
  <c r="C97" i="3"/>
  <c r="B97" i="3"/>
  <c r="K96" i="3"/>
  <c r="J96" i="3"/>
  <c r="I96" i="3"/>
  <c r="H96" i="3"/>
  <c r="E96" i="3"/>
  <c r="D96" i="3"/>
  <c r="C96" i="3"/>
  <c r="B96" i="3"/>
  <c r="K95" i="3"/>
  <c r="J95" i="3"/>
  <c r="I95" i="3"/>
  <c r="H95" i="3"/>
  <c r="E95" i="3"/>
  <c r="D95" i="3"/>
  <c r="C95" i="3"/>
  <c r="B95" i="3"/>
  <c r="K94" i="3"/>
  <c r="J94" i="3"/>
  <c r="I94" i="3"/>
  <c r="H94" i="3"/>
  <c r="E94" i="3"/>
  <c r="D94" i="3"/>
  <c r="C94" i="3"/>
  <c r="B94" i="3"/>
  <c r="K93" i="3"/>
  <c r="J93" i="3"/>
  <c r="I93" i="3"/>
  <c r="H93" i="3"/>
  <c r="E93" i="3"/>
  <c r="D93" i="3"/>
  <c r="C93" i="3"/>
  <c r="B93" i="3"/>
  <c r="K92" i="3"/>
  <c r="J92" i="3"/>
  <c r="I92" i="3"/>
  <c r="H92" i="3"/>
  <c r="E92" i="3"/>
  <c r="D92" i="3"/>
  <c r="C92" i="3"/>
  <c r="B92" i="3"/>
  <c r="K91" i="3"/>
  <c r="J91" i="3"/>
  <c r="I91" i="3"/>
  <c r="H91" i="3"/>
  <c r="E91" i="3"/>
  <c r="D91" i="3"/>
  <c r="C91" i="3"/>
  <c r="B91" i="3"/>
  <c r="K90" i="3"/>
  <c r="J90" i="3"/>
  <c r="I90" i="3"/>
  <c r="H90" i="3"/>
  <c r="E90" i="3"/>
  <c r="D90" i="3"/>
  <c r="C90" i="3"/>
  <c r="B90" i="3"/>
  <c r="K89" i="3"/>
  <c r="J89" i="3"/>
  <c r="I89" i="3"/>
  <c r="H89" i="3"/>
  <c r="E89" i="3"/>
  <c r="D89" i="3"/>
  <c r="C89" i="3"/>
  <c r="B89" i="3"/>
  <c r="K88" i="3"/>
  <c r="J88" i="3"/>
  <c r="I88" i="3"/>
  <c r="H88" i="3"/>
  <c r="E88" i="3"/>
  <c r="D88" i="3"/>
  <c r="C88" i="3"/>
  <c r="B88" i="3"/>
  <c r="K87" i="3"/>
  <c r="J87" i="3"/>
  <c r="I87" i="3"/>
  <c r="H87" i="3"/>
  <c r="E87" i="3"/>
  <c r="D87" i="3"/>
  <c r="C87" i="3"/>
  <c r="B87" i="3"/>
  <c r="K86" i="3"/>
  <c r="J86" i="3"/>
  <c r="I86" i="3"/>
  <c r="H86" i="3"/>
  <c r="E86" i="3"/>
  <c r="D86" i="3"/>
  <c r="C86" i="3"/>
  <c r="B86" i="3"/>
  <c r="K85" i="3"/>
  <c r="J85" i="3"/>
  <c r="I85" i="3"/>
  <c r="H85" i="3"/>
  <c r="E85" i="3"/>
  <c r="D85" i="3"/>
  <c r="C85" i="3"/>
  <c r="B85" i="3"/>
  <c r="K84" i="3"/>
  <c r="J84" i="3"/>
  <c r="I84" i="3"/>
  <c r="H84" i="3"/>
  <c r="E84" i="3"/>
  <c r="D84" i="3"/>
  <c r="C84" i="3"/>
  <c r="B84" i="3"/>
  <c r="K83" i="3"/>
  <c r="J83" i="3"/>
  <c r="I83" i="3"/>
  <c r="H83" i="3"/>
  <c r="E83" i="3"/>
  <c r="D83" i="3"/>
  <c r="C83" i="3"/>
  <c r="B83" i="3"/>
  <c r="K82" i="3"/>
  <c r="J82" i="3"/>
  <c r="I82" i="3"/>
  <c r="H82" i="3"/>
  <c r="E82" i="3"/>
  <c r="D82" i="3"/>
  <c r="C82" i="3"/>
  <c r="B82" i="3"/>
  <c r="K81" i="3"/>
  <c r="J81" i="3"/>
  <c r="I81" i="3"/>
  <c r="H81" i="3"/>
  <c r="E81" i="3"/>
  <c r="D81" i="3"/>
  <c r="C81" i="3"/>
  <c r="B81" i="3"/>
  <c r="K80" i="3"/>
  <c r="J80" i="3"/>
  <c r="I80" i="3"/>
  <c r="H80" i="3"/>
  <c r="E80" i="3"/>
  <c r="D80" i="3"/>
  <c r="C80" i="3"/>
  <c r="B80" i="3"/>
  <c r="K79" i="3"/>
  <c r="J79" i="3"/>
  <c r="I79" i="3"/>
  <c r="H79" i="3"/>
  <c r="E79" i="3"/>
  <c r="D79" i="3"/>
  <c r="C79" i="3"/>
  <c r="B79" i="3"/>
  <c r="K78" i="3"/>
  <c r="J78" i="3"/>
  <c r="I78" i="3"/>
  <c r="H78" i="3"/>
  <c r="E78" i="3"/>
  <c r="D78" i="3"/>
  <c r="C78" i="3"/>
  <c r="B78" i="3"/>
  <c r="K77" i="3"/>
  <c r="J77" i="3"/>
  <c r="I77" i="3"/>
  <c r="H77" i="3"/>
  <c r="E77" i="3"/>
  <c r="D77" i="3"/>
  <c r="C77" i="3"/>
  <c r="B77" i="3"/>
  <c r="K76" i="3"/>
  <c r="J76" i="3"/>
  <c r="I76" i="3"/>
  <c r="H76" i="3"/>
  <c r="E76" i="3"/>
  <c r="D76" i="3"/>
  <c r="C76" i="3"/>
  <c r="B76" i="3"/>
  <c r="K75" i="3"/>
  <c r="J75" i="3"/>
  <c r="I75" i="3"/>
  <c r="H75" i="3"/>
  <c r="E75" i="3"/>
  <c r="D75" i="3"/>
  <c r="C75" i="3"/>
  <c r="B75" i="3"/>
  <c r="K74" i="3"/>
  <c r="J74" i="3"/>
  <c r="I74" i="3"/>
  <c r="H74" i="3"/>
  <c r="E74" i="3"/>
  <c r="D74" i="3"/>
  <c r="C74" i="3"/>
  <c r="B74" i="3"/>
  <c r="K73" i="3"/>
  <c r="J73" i="3"/>
  <c r="I73" i="3"/>
  <c r="H73" i="3"/>
  <c r="E73" i="3"/>
  <c r="D73" i="3"/>
  <c r="C73" i="3"/>
  <c r="B73" i="3"/>
  <c r="K72" i="3"/>
  <c r="J72" i="3"/>
  <c r="I72" i="3"/>
  <c r="H72" i="3"/>
  <c r="E72" i="3"/>
  <c r="D72" i="3"/>
  <c r="C72" i="3"/>
  <c r="B72" i="3"/>
  <c r="K71" i="3"/>
  <c r="J71" i="3"/>
  <c r="I71" i="3"/>
  <c r="H71" i="3"/>
  <c r="E71" i="3"/>
  <c r="D71" i="3"/>
  <c r="C71" i="3"/>
  <c r="B71" i="3"/>
  <c r="K70" i="3"/>
  <c r="J70" i="3"/>
  <c r="I70" i="3"/>
  <c r="H70" i="3"/>
  <c r="E70" i="3"/>
  <c r="D70" i="3"/>
  <c r="C70" i="3"/>
  <c r="B70" i="3"/>
  <c r="K69" i="3"/>
  <c r="J69" i="3"/>
  <c r="I69" i="3"/>
  <c r="H69" i="3"/>
  <c r="E69" i="3"/>
  <c r="D69" i="3"/>
  <c r="C69" i="3"/>
  <c r="B69" i="3"/>
  <c r="K68" i="3"/>
  <c r="J68" i="3"/>
  <c r="I68" i="3"/>
  <c r="H68" i="3"/>
  <c r="E68" i="3"/>
  <c r="D68" i="3"/>
  <c r="C68" i="3"/>
  <c r="B68" i="3"/>
  <c r="K67" i="3"/>
  <c r="J67" i="3"/>
  <c r="I67" i="3"/>
  <c r="H67" i="3"/>
  <c r="E67" i="3"/>
  <c r="D67" i="3"/>
  <c r="C67" i="3"/>
  <c r="B67" i="3"/>
  <c r="K66" i="3"/>
  <c r="J66" i="3"/>
  <c r="I66" i="3"/>
  <c r="H66" i="3"/>
  <c r="E66" i="3"/>
  <c r="D66" i="3"/>
  <c r="C66" i="3"/>
  <c r="B66" i="3"/>
  <c r="K65" i="3"/>
  <c r="J65" i="3"/>
  <c r="I65" i="3"/>
  <c r="H65" i="3"/>
  <c r="E65" i="3"/>
  <c r="D65" i="3"/>
  <c r="C65" i="3"/>
  <c r="B65" i="3"/>
  <c r="K64" i="3"/>
  <c r="J64" i="3"/>
  <c r="I64" i="3"/>
  <c r="H64" i="3"/>
  <c r="E64" i="3"/>
  <c r="D64" i="3"/>
  <c r="C64" i="3"/>
  <c r="B64" i="3"/>
  <c r="K63" i="3"/>
  <c r="J63" i="3"/>
  <c r="I63" i="3"/>
  <c r="H63" i="3"/>
  <c r="E63" i="3"/>
  <c r="D63" i="3"/>
  <c r="C63" i="3"/>
  <c r="B63" i="3"/>
  <c r="K62" i="3"/>
  <c r="J62" i="3"/>
  <c r="I62" i="3"/>
  <c r="H62" i="3"/>
  <c r="E62" i="3"/>
  <c r="D62" i="3"/>
  <c r="C62" i="3"/>
  <c r="B62" i="3"/>
  <c r="K61" i="3"/>
  <c r="J61" i="3"/>
  <c r="I61" i="3"/>
  <c r="H61" i="3"/>
  <c r="E61" i="3"/>
  <c r="D61" i="3"/>
  <c r="C61" i="3"/>
  <c r="B61" i="3"/>
  <c r="K60" i="3"/>
  <c r="J60" i="3"/>
  <c r="I60" i="3"/>
  <c r="H60" i="3"/>
  <c r="E60" i="3"/>
  <c r="D60" i="3"/>
  <c r="C60" i="3"/>
  <c r="B60" i="3"/>
  <c r="K59" i="3"/>
  <c r="J59" i="3"/>
  <c r="I59" i="3"/>
  <c r="H59" i="3"/>
  <c r="E59" i="3"/>
  <c r="D59" i="3"/>
  <c r="C59" i="3"/>
  <c r="B59" i="3"/>
  <c r="K58" i="3"/>
  <c r="J58" i="3"/>
  <c r="I58" i="3"/>
  <c r="H58" i="3"/>
  <c r="E58" i="3"/>
  <c r="D58" i="3"/>
  <c r="C58" i="3"/>
  <c r="B58" i="3"/>
  <c r="K57" i="3"/>
  <c r="J57" i="3"/>
  <c r="I57" i="3"/>
  <c r="H57" i="3"/>
  <c r="E57" i="3"/>
  <c r="D57" i="3"/>
  <c r="C57" i="3"/>
  <c r="B57" i="3"/>
  <c r="K56" i="3"/>
  <c r="J56" i="3"/>
  <c r="I56" i="3"/>
  <c r="H56" i="3"/>
  <c r="E56" i="3"/>
  <c r="D56" i="3"/>
  <c r="C56" i="3"/>
  <c r="B56" i="3"/>
  <c r="K55" i="3"/>
  <c r="J55" i="3"/>
  <c r="I55" i="3"/>
  <c r="H55" i="3"/>
  <c r="E55" i="3"/>
  <c r="D55" i="3"/>
  <c r="C55" i="3"/>
  <c r="B55" i="3"/>
  <c r="K54" i="3"/>
  <c r="J54" i="3"/>
  <c r="I54" i="3"/>
  <c r="H54" i="3"/>
  <c r="E54" i="3"/>
  <c r="D54" i="3"/>
  <c r="C54" i="3"/>
  <c r="B54" i="3"/>
  <c r="K53" i="3"/>
  <c r="J53" i="3"/>
  <c r="I53" i="3"/>
  <c r="H53" i="3"/>
  <c r="E53" i="3"/>
  <c r="D53" i="3"/>
  <c r="C53" i="3"/>
  <c r="B53" i="3"/>
  <c r="K52" i="3"/>
  <c r="J52" i="3"/>
  <c r="I52" i="3"/>
  <c r="H52" i="3"/>
  <c r="E52" i="3"/>
  <c r="D52" i="3"/>
  <c r="C52" i="3"/>
  <c r="B52" i="3"/>
  <c r="K51" i="3"/>
  <c r="J51" i="3"/>
  <c r="I51" i="3"/>
  <c r="H51" i="3"/>
  <c r="E51" i="3"/>
  <c r="D51" i="3"/>
  <c r="C51" i="3"/>
  <c r="B51" i="3"/>
  <c r="K50" i="3"/>
  <c r="J50" i="3"/>
  <c r="I50" i="3"/>
  <c r="H50" i="3"/>
  <c r="E50" i="3"/>
  <c r="D50" i="3"/>
  <c r="C50" i="3"/>
  <c r="B50" i="3"/>
  <c r="K49" i="3"/>
  <c r="J49" i="3"/>
  <c r="I49" i="3"/>
  <c r="H49" i="3"/>
  <c r="E49" i="3"/>
  <c r="D49" i="3"/>
  <c r="C49" i="3"/>
  <c r="B49" i="3"/>
  <c r="K48" i="3"/>
  <c r="J48" i="3"/>
  <c r="I48" i="3"/>
  <c r="H48" i="3"/>
  <c r="E48" i="3"/>
  <c r="D48" i="3"/>
  <c r="C48" i="3"/>
  <c r="B48" i="3"/>
  <c r="K47" i="3"/>
  <c r="J47" i="3"/>
  <c r="I47" i="3"/>
  <c r="H47" i="3"/>
  <c r="E47" i="3"/>
  <c r="D47" i="3"/>
  <c r="C47" i="3"/>
  <c r="B47" i="3"/>
  <c r="K46" i="3"/>
  <c r="J46" i="3"/>
  <c r="I46" i="3"/>
  <c r="H46" i="3"/>
  <c r="E46" i="3"/>
  <c r="D46" i="3"/>
  <c r="C46" i="3"/>
  <c r="B46" i="3"/>
  <c r="K45" i="3"/>
  <c r="J45" i="3"/>
  <c r="I45" i="3"/>
  <c r="H45" i="3"/>
  <c r="E45" i="3"/>
  <c r="D45" i="3"/>
  <c r="C45" i="3"/>
  <c r="B45" i="3"/>
  <c r="K44" i="3"/>
  <c r="J44" i="3"/>
  <c r="I44" i="3"/>
  <c r="H44" i="3"/>
  <c r="E44" i="3"/>
  <c r="D44" i="3"/>
  <c r="C44" i="3"/>
  <c r="B44" i="3"/>
  <c r="K43" i="3"/>
  <c r="J43" i="3"/>
  <c r="I43" i="3"/>
  <c r="H43" i="3"/>
  <c r="E43" i="3"/>
  <c r="D43" i="3"/>
  <c r="C43" i="3"/>
  <c r="B43" i="3"/>
  <c r="K42" i="3"/>
  <c r="J42" i="3"/>
  <c r="I42" i="3"/>
  <c r="H42" i="3"/>
  <c r="E42" i="3"/>
  <c r="D42" i="3"/>
  <c r="C42" i="3"/>
  <c r="B42" i="3"/>
  <c r="K41" i="3"/>
  <c r="J41" i="3"/>
  <c r="I41" i="3"/>
  <c r="H41" i="3"/>
  <c r="E41" i="3"/>
  <c r="D41" i="3"/>
  <c r="C41" i="3"/>
  <c r="B41" i="3"/>
  <c r="K40" i="3"/>
  <c r="J40" i="3"/>
  <c r="I40" i="3"/>
  <c r="H40" i="3"/>
  <c r="E40" i="3"/>
  <c r="D40" i="3"/>
  <c r="C40" i="3"/>
  <c r="B40" i="3"/>
  <c r="K39" i="3"/>
  <c r="J39" i="3"/>
  <c r="I39" i="3"/>
  <c r="H39" i="3"/>
  <c r="E39" i="3"/>
  <c r="D39" i="3"/>
  <c r="C39" i="3"/>
  <c r="B39" i="3"/>
  <c r="K38" i="3"/>
  <c r="J38" i="3"/>
  <c r="I38" i="3"/>
  <c r="H38" i="3"/>
  <c r="E38" i="3"/>
  <c r="D38" i="3"/>
  <c r="C38" i="3"/>
  <c r="B38" i="3"/>
  <c r="K37" i="3"/>
  <c r="J37" i="3"/>
  <c r="I37" i="3"/>
  <c r="H37" i="3"/>
  <c r="E37" i="3"/>
  <c r="D37" i="3"/>
  <c r="C37" i="3"/>
  <c r="B37" i="3"/>
  <c r="K36" i="3"/>
  <c r="J36" i="3"/>
  <c r="I36" i="3"/>
  <c r="H36" i="3"/>
  <c r="E36" i="3"/>
  <c r="D36" i="3"/>
  <c r="C36" i="3"/>
  <c r="B36" i="3"/>
  <c r="K35" i="3"/>
  <c r="J35" i="3"/>
  <c r="I35" i="3"/>
  <c r="H35" i="3"/>
  <c r="E35" i="3"/>
  <c r="D35" i="3"/>
  <c r="C35" i="3"/>
  <c r="B35" i="3"/>
  <c r="K34" i="3"/>
  <c r="J34" i="3"/>
  <c r="I34" i="3"/>
  <c r="H34" i="3"/>
  <c r="E34" i="3"/>
  <c r="D34" i="3"/>
  <c r="C34" i="3"/>
  <c r="B34" i="3"/>
  <c r="K33" i="3"/>
  <c r="J33" i="3"/>
  <c r="I33" i="3"/>
  <c r="H33" i="3"/>
  <c r="E33" i="3"/>
  <c r="D33" i="3"/>
  <c r="C33" i="3"/>
  <c r="B33" i="3"/>
  <c r="K32" i="3"/>
  <c r="J32" i="3"/>
  <c r="I32" i="3"/>
  <c r="H32" i="3"/>
  <c r="E32" i="3"/>
  <c r="D32" i="3"/>
  <c r="C32" i="3"/>
  <c r="B32" i="3"/>
  <c r="K31" i="3"/>
  <c r="J31" i="3"/>
  <c r="I31" i="3"/>
  <c r="H31" i="3"/>
  <c r="E31" i="3"/>
  <c r="D31" i="3"/>
  <c r="C31" i="3"/>
  <c r="B31" i="3"/>
  <c r="K30" i="3"/>
  <c r="J30" i="3"/>
  <c r="I30" i="3"/>
  <c r="H30" i="3"/>
  <c r="E30" i="3"/>
  <c r="D30" i="3"/>
  <c r="C30" i="3"/>
  <c r="B30" i="3"/>
  <c r="K29" i="3"/>
  <c r="J29" i="3"/>
  <c r="I29" i="3"/>
  <c r="H29" i="3"/>
  <c r="E29" i="3"/>
  <c r="D29" i="3"/>
  <c r="C29" i="3"/>
  <c r="B29" i="3"/>
  <c r="K28" i="3"/>
  <c r="J28" i="3"/>
  <c r="I28" i="3"/>
  <c r="H28" i="3"/>
  <c r="E28" i="3"/>
  <c r="D28" i="3"/>
  <c r="C28" i="3"/>
  <c r="B28" i="3"/>
  <c r="K27" i="3"/>
  <c r="J27" i="3"/>
  <c r="I27" i="3"/>
  <c r="H27" i="3"/>
  <c r="E27" i="3"/>
  <c r="D27" i="3"/>
  <c r="C27" i="3"/>
  <c r="B27" i="3"/>
  <c r="K26" i="3"/>
  <c r="J26" i="3"/>
  <c r="I26" i="3"/>
  <c r="H26" i="3"/>
  <c r="E26" i="3"/>
  <c r="D26" i="3"/>
  <c r="C26" i="3"/>
  <c r="B26" i="3"/>
  <c r="K25" i="3"/>
  <c r="J25" i="3"/>
  <c r="I25" i="3"/>
  <c r="H25" i="3"/>
  <c r="E25" i="3"/>
  <c r="D25" i="3"/>
  <c r="C25" i="3"/>
  <c r="B25" i="3"/>
  <c r="K24" i="3"/>
  <c r="J24" i="3"/>
  <c r="I24" i="3"/>
  <c r="H24" i="3"/>
  <c r="E24" i="3"/>
  <c r="D24" i="3"/>
  <c r="C24" i="3"/>
  <c r="B24" i="3"/>
  <c r="K23" i="3"/>
  <c r="J23" i="3"/>
  <c r="I23" i="3"/>
  <c r="H23" i="3"/>
  <c r="E23" i="3"/>
  <c r="D23" i="3"/>
  <c r="C23" i="3"/>
  <c r="B23" i="3"/>
  <c r="K22" i="3"/>
  <c r="J22" i="3"/>
  <c r="I22" i="3"/>
  <c r="H22" i="3"/>
  <c r="E22" i="3"/>
  <c r="D22" i="3"/>
  <c r="C22" i="3"/>
  <c r="B22" i="3"/>
  <c r="K21" i="3"/>
  <c r="J21" i="3"/>
  <c r="I21" i="3"/>
  <c r="H21" i="3"/>
  <c r="E21" i="3"/>
  <c r="D21" i="3"/>
  <c r="C21" i="3"/>
  <c r="B21" i="3"/>
  <c r="K20" i="3"/>
  <c r="J20" i="3"/>
  <c r="I20" i="3"/>
  <c r="H20" i="3"/>
  <c r="E20" i="3"/>
  <c r="D20" i="3"/>
  <c r="C20" i="3"/>
  <c r="B20" i="3"/>
  <c r="K19" i="3"/>
  <c r="J19" i="3"/>
  <c r="I19" i="3"/>
  <c r="H19" i="3"/>
  <c r="E19" i="3"/>
  <c r="D19" i="3"/>
  <c r="C19" i="3"/>
  <c r="B19" i="3"/>
  <c r="K18" i="3"/>
  <c r="J18" i="3"/>
  <c r="I18" i="3"/>
  <c r="H18" i="3"/>
  <c r="E18" i="3"/>
  <c r="D18" i="3"/>
  <c r="C18" i="3"/>
  <c r="B18" i="3"/>
  <c r="K17" i="3"/>
  <c r="J17" i="3"/>
  <c r="I17" i="3"/>
  <c r="H17" i="3"/>
  <c r="E17" i="3"/>
  <c r="D17" i="3"/>
  <c r="C17" i="3"/>
  <c r="B17" i="3"/>
  <c r="K16" i="3"/>
  <c r="J16" i="3"/>
  <c r="I16" i="3"/>
  <c r="H16" i="3"/>
  <c r="E16" i="3"/>
  <c r="D16" i="3"/>
  <c r="C16" i="3"/>
  <c r="B16" i="3"/>
  <c r="K15" i="3"/>
  <c r="J15" i="3"/>
  <c r="I15" i="3"/>
  <c r="H15" i="3"/>
  <c r="E15" i="3"/>
  <c r="D15" i="3"/>
  <c r="C15" i="3"/>
  <c r="B15" i="3"/>
  <c r="K14" i="3"/>
  <c r="J14" i="3"/>
  <c r="I14" i="3"/>
  <c r="H14" i="3"/>
  <c r="E14" i="3"/>
  <c r="D14" i="3"/>
  <c r="C14" i="3"/>
  <c r="B14" i="3"/>
  <c r="K13" i="3"/>
  <c r="J13" i="3"/>
  <c r="I13" i="3"/>
  <c r="H13" i="3"/>
  <c r="E13" i="3"/>
  <c r="D13" i="3"/>
  <c r="C13" i="3"/>
  <c r="B13" i="3"/>
  <c r="K12" i="3"/>
  <c r="J12" i="3"/>
  <c r="I12" i="3"/>
  <c r="H12" i="3"/>
  <c r="E12" i="3"/>
  <c r="D12" i="3"/>
  <c r="C12" i="3"/>
  <c r="B12" i="3"/>
  <c r="K11" i="3"/>
  <c r="J11" i="3"/>
  <c r="I11" i="3"/>
  <c r="H11" i="3"/>
  <c r="E11" i="3"/>
  <c r="D11" i="3"/>
  <c r="C11" i="3"/>
  <c r="B11" i="3"/>
  <c r="K10" i="3"/>
  <c r="J10" i="3"/>
  <c r="I10" i="3"/>
  <c r="H10" i="3"/>
  <c r="E10" i="3"/>
  <c r="D10" i="3"/>
  <c r="C10" i="3"/>
  <c r="B10" i="3"/>
  <c r="K9" i="3"/>
  <c r="J9" i="3"/>
  <c r="I9" i="3"/>
  <c r="H9" i="3"/>
  <c r="E9" i="3"/>
  <c r="D9" i="3"/>
  <c r="C9" i="3"/>
  <c r="B9" i="3"/>
  <c r="K8" i="3"/>
  <c r="J8" i="3"/>
  <c r="I8" i="3"/>
  <c r="H8" i="3"/>
  <c r="E8" i="3"/>
  <c r="D8" i="3"/>
  <c r="C8" i="3"/>
  <c r="B8" i="3"/>
  <c r="K7" i="3"/>
  <c r="J7" i="3"/>
  <c r="I7" i="3"/>
  <c r="H7" i="3"/>
  <c r="E7" i="3"/>
  <c r="D7" i="3"/>
  <c r="C7" i="3"/>
  <c r="B7" i="3"/>
  <c r="K6" i="3"/>
  <c r="J6" i="3"/>
  <c r="I6" i="3"/>
  <c r="H6" i="3"/>
  <c r="E6" i="3"/>
  <c r="D6" i="3"/>
  <c r="C6" i="3"/>
  <c r="B6" i="3"/>
  <c r="K5" i="3"/>
  <c r="J5" i="3"/>
  <c r="I5" i="3"/>
  <c r="H5" i="3"/>
  <c r="E5" i="3"/>
  <c r="D5" i="3"/>
  <c r="C5" i="3"/>
  <c r="B5" i="3"/>
  <c r="M6" i="36" s="1"/>
  <c r="E13" i="1"/>
  <c r="F12" i="1"/>
  <c r="G12" i="1" s="1"/>
  <c r="D12" i="1"/>
  <c r="C12" i="1"/>
  <c r="F11" i="1"/>
  <c r="G11" i="1" s="1"/>
  <c r="D11" i="1"/>
  <c r="C11" i="1"/>
  <c r="F10" i="1"/>
  <c r="G10" i="1" s="1"/>
  <c r="D10" i="1"/>
  <c r="C10" i="1"/>
  <c r="F9" i="1"/>
  <c r="G9" i="1" s="1"/>
  <c r="D9" i="1"/>
  <c r="C9" i="1"/>
  <c r="O8" i="1"/>
  <c r="M8" i="1"/>
  <c r="F8" i="1"/>
  <c r="G8" i="1" s="1"/>
  <c r="D8" i="1"/>
  <c r="C8" i="1"/>
  <c r="O7" i="1"/>
  <c r="N7" i="1"/>
  <c r="L7" i="1"/>
  <c r="K7" i="1"/>
  <c r="F7" i="1"/>
  <c r="G7" i="1" s="1"/>
  <c r="D7" i="1"/>
  <c r="C7" i="1"/>
  <c r="O6" i="1"/>
  <c r="N6" i="1"/>
  <c r="L6" i="1"/>
  <c r="K6" i="1"/>
  <c r="F6" i="1"/>
  <c r="G6" i="1" s="1"/>
  <c r="D6" i="1"/>
  <c r="C6" i="1"/>
  <c r="O5" i="1"/>
  <c r="N5" i="1"/>
  <c r="L5" i="1"/>
  <c r="K5" i="1"/>
  <c r="F5" i="1"/>
  <c r="G5" i="1" s="1"/>
  <c r="D5" i="1"/>
  <c r="C5" i="1"/>
  <c r="O4" i="1"/>
  <c r="N4" i="1"/>
  <c r="L4" i="1"/>
  <c r="K4" i="1"/>
  <c r="F4" i="1"/>
  <c r="G4" i="1" s="1"/>
  <c r="D4" i="1"/>
  <c r="C4" i="1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F12" i="35"/>
  <c r="E12" i="35"/>
  <c r="C9" i="35"/>
  <c r="C4" i="35"/>
  <c r="C3" i="35"/>
  <c r="F2" i="35"/>
  <c r="E2" i="35"/>
  <c r="D2" i="35"/>
  <c r="C2" i="35"/>
  <c r="A1" i="35"/>
  <c r="I5" i="19" l="1"/>
  <c r="I6" i="17"/>
  <c r="S20" i="36"/>
  <c r="I9" i="17"/>
  <c r="C19" i="17" s="1"/>
  <c r="I7" i="16"/>
  <c r="H8" i="16"/>
  <c r="S19" i="36"/>
  <c r="I5" i="16"/>
  <c r="I13" i="16" s="1"/>
  <c r="C23" i="16" s="1"/>
  <c r="H5" i="15"/>
  <c r="H6" i="15"/>
  <c r="H7" i="15"/>
  <c r="R18" i="36" s="1"/>
  <c r="T18" i="36" s="1"/>
  <c r="I11" i="15"/>
  <c r="C21" i="15" s="1"/>
  <c r="S16" i="36"/>
  <c r="H7" i="14"/>
  <c r="H6" i="14"/>
  <c r="H8" i="14"/>
  <c r="I12" i="14"/>
  <c r="C22" i="14" s="1"/>
  <c r="H5" i="14"/>
  <c r="R17" i="36" s="1"/>
  <c r="I8" i="13"/>
  <c r="I11" i="13" s="1"/>
  <c r="C21" i="13" s="1"/>
  <c r="Q16" i="36"/>
  <c r="I9" i="12"/>
  <c r="C19" i="12" s="1"/>
  <c r="H6" i="12"/>
  <c r="H5" i="12"/>
  <c r="Q15" i="36"/>
  <c r="R15" i="36"/>
  <c r="H6" i="10"/>
  <c r="I8" i="10"/>
  <c r="S13" i="36"/>
  <c r="Q13" i="36"/>
  <c r="H7" i="10"/>
  <c r="R13" i="36"/>
  <c r="I13" i="10"/>
  <c r="C23" i="10" s="1"/>
  <c r="Q12" i="36"/>
  <c r="I7" i="9"/>
  <c r="H8" i="9"/>
  <c r="H6" i="9"/>
  <c r="R12" i="36" s="1"/>
  <c r="T12" i="36" s="1"/>
  <c r="I5" i="9"/>
  <c r="I12" i="9" s="1"/>
  <c r="C22" i="9" s="1"/>
  <c r="I7" i="8"/>
  <c r="H8" i="8"/>
  <c r="I6" i="8"/>
  <c r="H5" i="8"/>
  <c r="R11" i="36" s="1"/>
  <c r="S11" i="36"/>
  <c r="H5" i="7"/>
  <c r="I9" i="7"/>
  <c r="C19" i="7" s="1"/>
  <c r="H6" i="7"/>
  <c r="R10" i="36" s="1"/>
  <c r="Q9" i="36"/>
  <c r="I9" i="6"/>
  <c r="C19" i="6" s="1"/>
  <c r="H6" i="6"/>
  <c r="D15" i="6"/>
  <c r="G16" i="6" s="1"/>
  <c r="C7" i="36"/>
  <c r="H5" i="6"/>
  <c r="O9" i="36"/>
  <c r="L10" i="36"/>
  <c r="G13" i="1"/>
  <c r="G153" i="3"/>
  <c r="L153" i="3" s="1"/>
  <c r="M8" i="36"/>
  <c r="M9" i="36"/>
  <c r="M10" i="36"/>
  <c r="M7" i="36"/>
  <c r="N8" i="36"/>
  <c r="N9" i="36"/>
  <c r="H5" i="13"/>
  <c r="H7" i="13"/>
  <c r="H6" i="13"/>
  <c r="Q19" i="36"/>
  <c r="H6" i="16"/>
  <c r="R19" i="36" s="1"/>
  <c r="Q20" i="36"/>
  <c r="H5" i="17"/>
  <c r="H7" i="17"/>
  <c r="R20" i="36" s="1"/>
  <c r="H5" i="18"/>
  <c r="R21" i="36" s="1"/>
  <c r="I9" i="19"/>
  <c r="C19" i="19" s="1"/>
  <c r="S22" i="36"/>
  <c r="H6" i="19"/>
  <c r="R22" i="36" s="1"/>
  <c r="H5" i="22"/>
  <c r="H5" i="23"/>
  <c r="H7" i="23"/>
  <c r="H6" i="23"/>
  <c r="I9" i="24"/>
  <c r="C19" i="24" s="1"/>
  <c r="R27" i="36"/>
  <c r="T27" i="36" s="1"/>
  <c r="H5" i="24"/>
  <c r="H7" i="24"/>
  <c r="H6" i="26"/>
  <c r="Q29" i="36"/>
  <c r="Q30" i="36"/>
  <c r="S32" i="36"/>
  <c r="I5" i="32"/>
  <c r="H2" i="5"/>
  <c r="H2" i="6"/>
  <c r="T7" i="36"/>
  <c r="H2" i="7"/>
  <c r="H2" i="8"/>
  <c r="H1" i="11"/>
  <c r="H2" i="10"/>
  <c r="H2" i="9"/>
  <c r="G10" i="3"/>
  <c r="L10" i="3" s="1"/>
  <c r="G5" i="3"/>
  <c r="L5" i="3" s="1"/>
  <c r="G50" i="3"/>
  <c r="L50" i="3" s="1"/>
  <c r="I8" i="34"/>
  <c r="H7" i="34"/>
  <c r="G9" i="3"/>
  <c r="L9" i="3" s="1"/>
  <c r="G17" i="3"/>
  <c r="L17" i="3" s="1"/>
  <c r="G25" i="3"/>
  <c r="L25" i="3" s="1"/>
  <c r="G33" i="3"/>
  <c r="L33" i="3" s="1"/>
  <c r="G46" i="3"/>
  <c r="L46" i="3" s="1"/>
  <c r="G62" i="3"/>
  <c r="L62" i="3" s="1"/>
  <c r="G78" i="3"/>
  <c r="L78" i="3" s="1"/>
  <c r="G94" i="3"/>
  <c r="L94" i="3" s="1"/>
  <c r="G110" i="3"/>
  <c r="L110" i="3" s="1"/>
  <c r="G126" i="3"/>
  <c r="L126" i="3" s="1"/>
  <c r="G142" i="3"/>
  <c r="L142" i="3" s="1"/>
  <c r="G66" i="3"/>
  <c r="L66" i="3" s="1"/>
  <c r="G82" i="3"/>
  <c r="L82" i="3" s="1"/>
  <c r="G98" i="3"/>
  <c r="L98" i="3" s="1"/>
  <c r="G114" i="3"/>
  <c r="L114" i="3" s="1"/>
  <c r="G130" i="3"/>
  <c r="L130" i="3" s="1"/>
  <c r="G146" i="3"/>
  <c r="L146" i="3" s="1"/>
  <c r="G18" i="3"/>
  <c r="L18" i="3" s="1"/>
  <c r="G26" i="3"/>
  <c r="L26" i="3" s="1"/>
  <c r="G6" i="3"/>
  <c r="L6" i="3" s="1"/>
  <c r="G13" i="3"/>
  <c r="L13" i="3" s="1"/>
  <c r="G21" i="3"/>
  <c r="L21" i="3" s="1"/>
  <c r="G29" i="3"/>
  <c r="L29" i="3" s="1"/>
  <c r="G38" i="3"/>
  <c r="L38" i="3" s="1"/>
  <c r="G54" i="3"/>
  <c r="L54" i="3" s="1"/>
  <c r="G70" i="3"/>
  <c r="L70" i="3" s="1"/>
  <c r="G86" i="3"/>
  <c r="L86" i="3" s="1"/>
  <c r="G102" i="3"/>
  <c r="L102" i="3" s="1"/>
  <c r="G118" i="3"/>
  <c r="L118" i="3" s="1"/>
  <c r="G134" i="3"/>
  <c r="L134" i="3" s="1"/>
  <c r="G150" i="3"/>
  <c r="L150" i="3" s="1"/>
  <c r="G34" i="3"/>
  <c r="L34" i="3" s="1"/>
  <c r="G7" i="3"/>
  <c r="L7" i="3" s="1"/>
  <c r="G14" i="3"/>
  <c r="L14" i="3" s="1"/>
  <c r="G22" i="3"/>
  <c r="L22" i="3" s="1"/>
  <c r="G30" i="3"/>
  <c r="L30" i="3" s="1"/>
  <c r="G42" i="3"/>
  <c r="L42" i="3" s="1"/>
  <c r="G58" i="3"/>
  <c r="L58" i="3" s="1"/>
  <c r="G74" i="3"/>
  <c r="L74" i="3" s="1"/>
  <c r="G90" i="3"/>
  <c r="L90" i="3" s="1"/>
  <c r="G106" i="3"/>
  <c r="L106" i="3" s="1"/>
  <c r="G122" i="3"/>
  <c r="L122" i="3" s="1"/>
  <c r="G138" i="3"/>
  <c r="L138" i="3" s="1"/>
  <c r="G154" i="3"/>
  <c r="L154" i="3" s="1"/>
  <c r="T15" i="36"/>
  <c r="T21" i="36"/>
  <c r="T23" i="36"/>
  <c r="I10" i="34"/>
  <c r="C20" i="34" s="1"/>
  <c r="H6" i="34"/>
  <c r="R37" i="36" s="1"/>
  <c r="T37" i="36" s="1"/>
  <c r="Q37" i="36"/>
  <c r="H5" i="34"/>
  <c r="H6" i="32"/>
  <c r="R35" i="36"/>
  <c r="I9" i="32"/>
  <c r="C19" i="32" s="1"/>
  <c r="N7" i="36"/>
  <c r="G15" i="3"/>
  <c r="L15" i="3" s="1"/>
  <c r="G27" i="3"/>
  <c r="L27" i="3" s="1"/>
  <c r="G47" i="3"/>
  <c r="L47" i="3" s="1"/>
  <c r="G55" i="3"/>
  <c r="L55" i="3" s="1"/>
  <c r="G59" i="3"/>
  <c r="L59" i="3" s="1"/>
  <c r="G63" i="3"/>
  <c r="L63" i="3" s="1"/>
  <c r="G67" i="3"/>
  <c r="L67" i="3" s="1"/>
  <c r="G71" i="3"/>
  <c r="L71" i="3" s="1"/>
  <c r="G75" i="3"/>
  <c r="L75" i="3" s="1"/>
  <c r="G79" i="3"/>
  <c r="L79" i="3" s="1"/>
  <c r="G83" i="3"/>
  <c r="L83" i="3" s="1"/>
  <c r="G87" i="3"/>
  <c r="L87" i="3" s="1"/>
  <c r="G91" i="3"/>
  <c r="L91" i="3" s="1"/>
  <c r="G95" i="3"/>
  <c r="L95" i="3" s="1"/>
  <c r="G99" i="3"/>
  <c r="L99" i="3" s="1"/>
  <c r="G103" i="3"/>
  <c r="L103" i="3" s="1"/>
  <c r="G107" i="3"/>
  <c r="L107" i="3" s="1"/>
  <c r="G111" i="3"/>
  <c r="L111" i="3" s="1"/>
  <c r="G115" i="3"/>
  <c r="L115" i="3" s="1"/>
  <c r="G119" i="3"/>
  <c r="L119" i="3" s="1"/>
  <c r="G123" i="3"/>
  <c r="L123" i="3" s="1"/>
  <c r="G127" i="3"/>
  <c r="L127" i="3" s="1"/>
  <c r="G131" i="3"/>
  <c r="L131" i="3" s="1"/>
  <c r="G135" i="3"/>
  <c r="L135" i="3" s="1"/>
  <c r="G139" i="3"/>
  <c r="L139" i="3" s="1"/>
  <c r="G143" i="3"/>
  <c r="L143" i="3" s="1"/>
  <c r="G147" i="3"/>
  <c r="L147" i="3" s="1"/>
  <c r="G151" i="3"/>
  <c r="L151" i="3" s="1"/>
  <c r="G11" i="3"/>
  <c r="L11" i="3" s="1"/>
  <c r="G19" i="3"/>
  <c r="L19" i="3" s="1"/>
  <c r="G23" i="3"/>
  <c r="L23" i="3" s="1"/>
  <c r="G31" i="3"/>
  <c r="L31" i="3" s="1"/>
  <c r="G35" i="3"/>
  <c r="L35" i="3" s="1"/>
  <c r="G39" i="3"/>
  <c r="L39" i="3" s="1"/>
  <c r="G43" i="3"/>
  <c r="L43" i="3" s="1"/>
  <c r="G51" i="3"/>
  <c r="L51" i="3" s="1"/>
  <c r="G8" i="3"/>
  <c r="L8" i="3" s="1"/>
  <c r="G12" i="3"/>
  <c r="L12" i="3" s="1"/>
  <c r="G16" i="3"/>
  <c r="L16" i="3" s="1"/>
  <c r="G20" i="3"/>
  <c r="L20" i="3" s="1"/>
  <c r="G24" i="3"/>
  <c r="L24" i="3" s="1"/>
  <c r="G28" i="3"/>
  <c r="L28" i="3" s="1"/>
  <c r="G32" i="3"/>
  <c r="L32" i="3" s="1"/>
  <c r="G36" i="3"/>
  <c r="L36" i="3" s="1"/>
  <c r="G40" i="3"/>
  <c r="L40" i="3" s="1"/>
  <c r="G44" i="3"/>
  <c r="L44" i="3" s="1"/>
  <c r="G48" i="3"/>
  <c r="L48" i="3" s="1"/>
  <c r="G52" i="3"/>
  <c r="L52" i="3" s="1"/>
  <c r="G56" i="3"/>
  <c r="L56" i="3" s="1"/>
  <c r="G60" i="3"/>
  <c r="L60" i="3" s="1"/>
  <c r="G64" i="3"/>
  <c r="L64" i="3" s="1"/>
  <c r="G68" i="3"/>
  <c r="L68" i="3" s="1"/>
  <c r="G72" i="3"/>
  <c r="L72" i="3" s="1"/>
  <c r="G76" i="3"/>
  <c r="L76" i="3" s="1"/>
  <c r="G80" i="3"/>
  <c r="L80" i="3" s="1"/>
  <c r="G84" i="3"/>
  <c r="L84" i="3" s="1"/>
  <c r="G88" i="3"/>
  <c r="L88" i="3" s="1"/>
  <c r="G92" i="3"/>
  <c r="L92" i="3" s="1"/>
  <c r="G96" i="3"/>
  <c r="L96" i="3" s="1"/>
  <c r="G100" i="3"/>
  <c r="L100" i="3" s="1"/>
  <c r="G104" i="3"/>
  <c r="L104" i="3" s="1"/>
  <c r="G108" i="3"/>
  <c r="L108" i="3" s="1"/>
  <c r="G112" i="3"/>
  <c r="L112" i="3" s="1"/>
  <c r="G116" i="3"/>
  <c r="L116" i="3" s="1"/>
  <c r="G120" i="3"/>
  <c r="L120" i="3" s="1"/>
  <c r="G124" i="3"/>
  <c r="L124" i="3" s="1"/>
  <c r="G128" i="3"/>
  <c r="L128" i="3" s="1"/>
  <c r="G132" i="3"/>
  <c r="L132" i="3" s="1"/>
  <c r="G136" i="3"/>
  <c r="L136" i="3" s="1"/>
  <c r="G140" i="3"/>
  <c r="L140" i="3" s="1"/>
  <c r="G144" i="3"/>
  <c r="L144" i="3" s="1"/>
  <c r="G148" i="3"/>
  <c r="L148" i="3" s="1"/>
  <c r="G152" i="3"/>
  <c r="L152" i="3" s="1"/>
  <c r="G37" i="3"/>
  <c r="L37" i="3" s="1"/>
  <c r="G41" i="3"/>
  <c r="L41" i="3" s="1"/>
  <c r="G45" i="3"/>
  <c r="L45" i="3" s="1"/>
  <c r="G49" i="3"/>
  <c r="L49" i="3" s="1"/>
  <c r="G53" i="3"/>
  <c r="L53" i="3" s="1"/>
  <c r="G57" i="3"/>
  <c r="L57" i="3" s="1"/>
  <c r="G61" i="3"/>
  <c r="L61" i="3" s="1"/>
  <c r="G65" i="3"/>
  <c r="L65" i="3" s="1"/>
  <c r="G69" i="3"/>
  <c r="L69" i="3" s="1"/>
  <c r="G73" i="3"/>
  <c r="L73" i="3" s="1"/>
  <c r="G77" i="3"/>
  <c r="L77" i="3" s="1"/>
  <c r="G81" i="3"/>
  <c r="L81" i="3" s="1"/>
  <c r="G85" i="3"/>
  <c r="L85" i="3" s="1"/>
  <c r="G89" i="3"/>
  <c r="L89" i="3" s="1"/>
  <c r="G93" i="3"/>
  <c r="L93" i="3" s="1"/>
  <c r="G97" i="3"/>
  <c r="L97" i="3" s="1"/>
  <c r="G101" i="3"/>
  <c r="L101" i="3" s="1"/>
  <c r="G105" i="3"/>
  <c r="L105" i="3" s="1"/>
  <c r="G109" i="3"/>
  <c r="L109" i="3" s="1"/>
  <c r="G113" i="3"/>
  <c r="L113" i="3" s="1"/>
  <c r="G117" i="3"/>
  <c r="L117" i="3" s="1"/>
  <c r="G121" i="3"/>
  <c r="L121" i="3" s="1"/>
  <c r="G125" i="3"/>
  <c r="L125" i="3" s="1"/>
  <c r="G129" i="3"/>
  <c r="L129" i="3" s="1"/>
  <c r="G133" i="3"/>
  <c r="L133" i="3" s="1"/>
  <c r="G137" i="3"/>
  <c r="L137" i="3" s="1"/>
  <c r="G141" i="3"/>
  <c r="L141" i="3" s="1"/>
  <c r="G145" i="3"/>
  <c r="L145" i="3" s="1"/>
  <c r="G149" i="3"/>
  <c r="L149" i="3" s="1"/>
  <c r="T28" i="36"/>
  <c r="T31" i="36"/>
  <c r="T14" i="36"/>
  <c r="C14" i="36"/>
  <c r="C17" i="36"/>
  <c r="C18" i="36"/>
  <c r="C19" i="36"/>
  <c r="C20" i="36"/>
  <c r="S35" i="36"/>
  <c r="T34" i="36"/>
  <c r="T36" i="36"/>
  <c r="T17" i="36"/>
  <c r="T8" i="36"/>
  <c r="T10" i="36"/>
  <c r="T24" i="36"/>
  <c r="T25" i="36"/>
  <c r="T26" i="36"/>
  <c r="T33" i="36"/>
  <c r="T29" i="36"/>
  <c r="I9" i="29"/>
  <c r="C19" i="29" s="1"/>
  <c r="H6" i="29"/>
  <c r="Q32" i="36"/>
  <c r="R32" i="36"/>
  <c r="H5" i="29"/>
  <c r="C28" i="36"/>
  <c r="H155" i="3"/>
  <c r="T30" i="36"/>
  <c r="H5" i="27"/>
  <c r="C8" i="35"/>
  <c r="K155" i="3"/>
  <c r="T22" i="36" l="1"/>
  <c r="T20" i="36"/>
  <c r="T19" i="36"/>
  <c r="R16" i="36"/>
  <c r="T16" i="36" s="1"/>
  <c r="T13" i="36"/>
  <c r="I12" i="8"/>
  <c r="C22" i="8" s="1"/>
  <c r="T35" i="36"/>
  <c r="T11" i="36"/>
  <c r="R9" i="36"/>
  <c r="T9" i="36" s="1"/>
  <c r="B8" i="36"/>
  <c r="D7" i="36"/>
  <c r="D12" i="7"/>
  <c r="D15" i="7" s="1"/>
  <c r="G16" i="7" s="1"/>
  <c r="G17" i="6"/>
  <c r="P10" i="36"/>
  <c r="L11" i="36"/>
  <c r="O10" i="36"/>
  <c r="N10" i="36"/>
  <c r="H1" i="12"/>
  <c r="H2" i="11"/>
  <c r="Q38" i="36"/>
  <c r="G155" i="3"/>
  <c r="S38" i="36"/>
  <c r="T32" i="36"/>
  <c r="C36" i="36"/>
  <c r="C39" i="36" s="1"/>
  <c r="L155" i="3"/>
  <c r="R38" i="36" l="1"/>
  <c r="T38" i="36"/>
  <c r="T39" i="36" s="1"/>
  <c r="G17" i="7"/>
  <c r="D15" i="8"/>
  <c r="D18" i="8" s="1"/>
  <c r="G19" i="8" s="1"/>
  <c r="D8" i="36"/>
  <c r="B9" i="36"/>
  <c r="L12" i="36"/>
  <c r="O11" i="36"/>
  <c r="P11" i="36"/>
  <c r="N11" i="36"/>
  <c r="M11" i="36"/>
  <c r="H1" i="13"/>
  <c r="H2" i="12"/>
  <c r="T41" i="36" l="1"/>
  <c r="B10" i="36"/>
  <c r="D9" i="36"/>
  <c r="G20" i="8"/>
  <c r="D15" i="9"/>
  <c r="D18" i="9" s="1"/>
  <c r="G19" i="9" s="1"/>
  <c r="P12" i="36"/>
  <c r="L13" i="36"/>
  <c r="O12" i="36"/>
  <c r="M12" i="36"/>
  <c r="N12" i="36"/>
  <c r="H1" i="14"/>
  <c r="H2" i="13"/>
  <c r="D16" i="10" l="1"/>
  <c r="D19" i="10" s="1"/>
  <c r="G20" i="10" s="1"/>
  <c r="G20" i="9"/>
  <c r="B11" i="36"/>
  <c r="D10" i="36"/>
  <c r="L14" i="36"/>
  <c r="P13" i="36"/>
  <c r="O13" i="36"/>
  <c r="N13" i="36"/>
  <c r="M13" i="36"/>
  <c r="H2" i="14"/>
  <c r="H1" i="15"/>
  <c r="B12" i="36" l="1"/>
  <c r="D11" i="36"/>
  <c r="D12" i="11"/>
  <c r="D15" i="11" s="1"/>
  <c r="G16" i="11" s="1"/>
  <c r="G21" i="10"/>
  <c r="L15" i="36"/>
  <c r="P14" i="36"/>
  <c r="O14" i="36"/>
  <c r="N14" i="36"/>
  <c r="M14" i="36"/>
  <c r="H1" i="16"/>
  <c r="H2" i="15"/>
  <c r="G17" i="11" l="1"/>
  <c r="D12" i="12"/>
  <c r="D15" i="12" s="1"/>
  <c r="G16" i="12" s="1"/>
  <c r="B13" i="36"/>
  <c r="D12" i="36"/>
  <c r="O15" i="36"/>
  <c r="L16" i="36"/>
  <c r="P15" i="36"/>
  <c r="N15" i="36"/>
  <c r="M15" i="36"/>
  <c r="H1" i="17"/>
  <c r="H2" i="16"/>
  <c r="B14" i="36" l="1"/>
  <c r="D13" i="36"/>
  <c r="D14" i="13"/>
  <c r="D17" i="13" s="1"/>
  <c r="G18" i="13" s="1"/>
  <c r="G17" i="12"/>
  <c r="L17" i="36"/>
  <c r="P16" i="36"/>
  <c r="O16" i="36"/>
  <c r="N16" i="36"/>
  <c r="M16" i="36"/>
  <c r="H2" i="17"/>
  <c r="H1" i="18"/>
  <c r="D15" i="14" l="1"/>
  <c r="D18" i="14" s="1"/>
  <c r="G19" i="14" s="1"/>
  <c r="G19" i="13"/>
  <c r="D14" i="36"/>
  <c r="B15" i="36"/>
  <c r="L18" i="36"/>
  <c r="P17" i="36"/>
  <c r="O17" i="36"/>
  <c r="M17" i="36"/>
  <c r="N17" i="36"/>
  <c r="H2" i="18"/>
  <c r="H1" i="19"/>
  <c r="D15" i="36" l="1"/>
  <c r="B16" i="36"/>
  <c r="G20" i="14"/>
  <c r="D14" i="15"/>
  <c r="D17" i="15" s="1"/>
  <c r="G18" i="15" s="1"/>
  <c r="L19" i="36"/>
  <c r="P18" i="36"/>
  <c r="O18" i="36"/>
  <c r="M18" i="36"/>
  <c r="N18" i="36"/>
  <c r="H1" i="20"/>
  <c r="H2" i="19"/>
  <c r="D16" i="16" l="1"/>
  <c r="D19" i="16" s="1"/>
  <c r="G20" i="16" s="1"/>
  <c r="G19" i="15"/>
  <c r="B17" i="36"/>
  <c r="D16" i="36"/>
  <c r="L20" i="36"/>
  <c r="P19" i="36"/>
  <c r="O19" i="36"/>
  <c r="N19" i="36"/>
  <c r="M19" i="36"/>
  <c r="H1" i="21"/>
  <c r="H2" i="20"/>
  <c r="B18" i="36" l="1"/>
  <c r="D17" i="36"/>
  <c r="G21" i="16"/>
  <c r="D12" i="17"/>
  <c r="D15" i="17" s="1"/>
  <c r="G16" i="17" s="1"/>
  <c r="O20" i="36"/>
  <c r="L21" i="36"/>
  <c r="P20" i="36"/>
  <c r="M20" i="36"/>
  <c r="N20" i="36"/>
  <c r="H1" i="22"/>
  <c r="H2" i="21"/>
  <c r="G17" i="17" l="1"/>
  <c r="D12" i="18"/>
  <c r="D15" i="18" s="1"/>
  <c r="G16" i="18" s="1"/>
  <c r="D18" i="36"/>
  <c r="B19" i="36"/>
  <c r="O21" i="36"/>
  <c r="L22" i="36"/>
  <c r="P21" i="36"/>
  <c r="N21" i="36"/>
  <c r="M21" i="36"/>
  <c r="H1" i="23"/>
  <c r="H2" i="22"/>
  <c r="D19" i="36" l="1"/>
  <c r="B20" i="36"/>
  <c r="D12" i="19"/>
  <c r="D15" i="19" s="1"/>
  <c r="G16" i="19" s="1"/>
  <c r="G17" i="18"/>
  <c r="P22" i="36"/>
  <c r="O22" i="36"/>
  <c r="L23" i="36"/>
  <c r="M22" i="36"/>
  <c r="N22" i="36"/>
  <c r="H1" i="24"/>
  <c r="H2" i="23"/>
  <c r="G17" i="19" l="1"/>
  <c r="D12" i="20"/>
  <c r="D15" i="20" s="1"/>
  <c r="G16" i="20" s="1"/>
  <c r="B21" i="36"/>
  <c r="D20" i="36"/>
  <c r="L24" i="36"/>
  <c r="P23" i="36"/>
  <c r="O23" i="36"/>
  <c r="M23" i="36"/>
  <c r="N23" i="36"/>
  <c r="H1" i="25"/>
  <c r="H2" i="24"/>
  <c r="B22" i="36" l="1"/>
  <c r="D21" i="36"/>
  <c r="D12" i="21"/>
  <c r="D15" i="21" s="1"/>
  <c r="G16" i="21" s="1"/>
  <c r="G17" i="20"/>
  <c r="O24" i="36"/>
  <c r="L25" i="36"/>
  <c r="P24" i="36"/>
  <c r="M24" i="36"/>
  <c r="N24" i="36"/>
  <c r="H1" i="26"/>
  <c r="H2" i="25"/>
  <c r="G17" i="21" l="1"/>
  <c r="D12" i="22"/>
  <c r="D15" i="22" s="1"/>
  <c r="G16" i="22" s="1"/>
  <c r="D22" i="36"/>
  <c r="B23" i="36"/>
  <c r="L26" i="36"/>
  <c r="P25" i="36"/>
  <c r="O25" i="36"/>
  <c r="M25" i="36"/>
  <c r="N25" i="36"/>
  <c r="H1" i="27"/>
  <c r="H2" i="26"/>
  <c r="B24" i="36" l="1"/>
  <c r="D23" i="36"/>
  <c r="D12" i="23"/>
  <c r="D15" i="23" s="1"/>
  <c r="G16" i="23" s="1"/>
  <c r="G17" i="22"/>
  <c r="L27" i="36"/>
  <c r="P26" i="36"/>
  <c r="O26" i="36"/>
  <c r="N26" i="36"/>
  <c r="M26" i="36"/>
  <c r="H2" i="27"/>
  <c r="H1" i="28"/>
  <c r="G17" i="23" l="1"/>
  <c r="D12" i="24"/>
  <c r="D15" i="24" s="1"/>
  <c r="G16" i="24" s="1"/>
  <c r="B25" i="36"/>
  <c r="D24" i="36"/>
  <c r="P27" i="36"/>
  <c r="O27" i="36"/>
  <c r="L28" i="36"/>
  <c r="N27" i="36"/>
  <c r="M27" i="36"/>
  <c r="H1" i="29"/>
  <c r="H2" i="28"/>
  <c r="D25" i="36" l="1"/>
  <c r="B26" i="36"/>
  <c r="G17" i="24"/>
  <c r="D12" i="25"/>
  <c r="D15" i="25" s="1"/>
  <c r="G16" i="25" s="1"/>
  <c r="P28" i="36"/>
  <c r="O28" i="36"/>
  <c r="L29" i="36"/>
  <c r="M28" i="36"/>
  <c r="N28" i="36"/>
  <c r="H2" i="29"/>
  <c r="H1" i="30"/>
  <c r="D12" i="26" l="1"/>
  <c r="D15" i="26" s="1"/>
  <c r="G16" i="26" s="1"/>
  <c r="G17" i="25"/>
  <c r="B27" i="36"/>
  <c r="D26" i="36"/>
  <c r="P29" i="36"/>
  <c r="O29" i="36"/>
  <c r="L30" i="36"/>
  <c r="N29" i="36"/>
  <c r="M29" i="36"/>
  <c r="H1" i="31"/>
  <c r="H2" i="30"/>
  <c r="D27" i="36" l="1"/>
  <c r="B28" i="36"/>
  <c r="G17" i="26"/>
  <c r="D12" i="27"/>
  <c r="D15" i="27" s="1"/>
  <c r="G16" i="27" s="1"/>
  <c r="P30" i="36"/>
  <c r="L31" i="36"/>
  <c r="O30" i="36"/>
  <c r="M30" i="36"/>
  <c r="N30" i="36"/>
  <c r="H1" i="32"/>
  <c r="H2" i="31"/>
  <c r="D12" i="28" l="1"/>
  <c r="D15" i="28" s="1"/>
  <c r="G16" i="28" s="1"/>
  <c r="G17" i="27"/>
  <c r="B29" i="36"/>
  <c r="D28" i="36"/>
  <c r="P31" i="36"/>
  <c r="O31" i="36"/>
  <c r="L32" i="36"/>
  <c r="N31" i="36"/>
  <c r="M31" i="36"/>
  <c r="H1" i="33"/>
  <c r="H2" i="32"/>
  <c r="D29" i="36" l="1"/>
  <c r="B30" i="36"/>
  <c r="G17" i="28"/>
  <c r="D12" i="29"/>
  <c r="D15" i="29" s="1"/>
  <c r="G16" i="29" s="1"/>
  <c r="L33" i="36"/>
  <c r="P32" i="36"/>
  <c r="O32" i="36"/>
  <c r="N32" i="36"/>
  <c r="M32" i="36"/>
  <c r="H1" i="34"/>
  <c r="H2" i="34" s="1"/>
  <c r="H2" i="33"/>
  <c r="D30" i="36" l="1"/>
  <c r="B31" i="36"/>
  <c r="G17" i="29"/>
  <c r="D12" i="30"/>
  <c r="D15" i="30" s="1"/>
  <c r="G16" i="30" s="1"/>
  <c r="L34" i="36"/>
  <c r="P33" i="36"/>
  <c r="O33" i="36"/>
  <c r="N33" i="36"/>
  <c r="M33" i="36"/>
  <c r="D12" i="31" l="1"/>
  <c r="D15" i="31" s="1"/>
  <c r="G16" i="31" s="1"/>
  <c r="G17" i="30"/>
  <c r="B32" i="36"/>
  <c r="D31" i="36"/>
  <c r="O34" i="36"/>
  <c r="L35" i="36"/>
  <c r="P34" i="36"/>
  <c r="N34" i="36"/>
  <c r="M34" i="36"/>
  <c r="D32" i="36" l="1"/>
  <c r="B33" i="36"/>
  <c r="D12" i="32"/>
  <c r="D15" i="32" s="1"/>
  <c r="G16" i="32" s="1"/>
  <c r="G17" i="31"/>
  <c r="P35" i="36"/>
  <c r="L36" i="36"/>
  <c r="O35" i="36"/>
  <c r="N35" i="36"/>
  <c r="M35" i="36"/>
  <c r="D12" i="33" l="1"/>
  <c r="D15" i="33" s="1"/>
  <c r="G16" i="33" s="1"/>
  <c r="G17" i="33" s="1"/>
  <c r="G17" i="32"/>
  <c r="D13" i="34"/>
  <c r="D16" i="34" s="1"/>
  <c r="G17" i="34" s="1"/>
  <c r="G18" i="34" s="1"/>
  <c r="D33" i="36"/>
  <c r="B34" i="36"/>
  <c r="L37" i="36"/>
  <c r="P36" i="36"/>
  <c r="O36" i="36"/>
  <c r="M36" i="36"/>
  <c r="N36" i="36"/>
  <c r="B35" i="36" l="1"/>
  <c r="D34" i="36"/>
  <c r="P37" i="36"/>
  <c r="P38" i="36" s="1"/>
  <c r="O37" i="36"/>
  <c r="O38" i="36" s="1"/>
  <c r="N37" i="36"/>
  <c r="N38" i="36" s="1"/>
  <c r="M37" i="36"/>
  <c r="M38" i="36" s="1"/>
  <c r="D35" i="36" l="1"/>
  <c r="B36" i="36"/>
</calcChain>
</file>

<file path=xl/sharedStrings.xml><?xml version="1.0" encoding="utf-8"?>
<sst xmlns="http://schemas.openxmlformats.org/spreadsheetml/2006/main" count="925" uniqueCount="100">
  <si>
    <t>اليوم والتاريخ</t>
  </si>
  <si>
    <t>كود الصنف</t>
  </si>
  <si>
    <t>اسم الصنف</t>
  </si>
  <si>
    <t>العدد</t>
  </si>
  <si>
    <t>سعر القطعة</t>
  </si>
  <si>
    <t>الاجمالي</t>
  </si>
  <si>
    <t>الإجمالي</t>
  </si>
  <si>
    <t>المورد</t>
  </si>
  <si>
    <t>شاشة الوارد</t>
  </si>
  <si>
    <t>شاشة المرتجع</t>
  </si>
  <si>
    <t>كود المورد</t>
  </si>
  <si>
    <t>اسم المورد</t>
  </si>
  <si>
    <t>رقم الهاتف</t>
  </si>
  <si>
    <t>العنوان</t>
  </si>
  <si>
    <t>إبراهيم المحتسب</t>
  </si>
  <si>
    <t>سعد بدارنه</t>
  </si>
  <si>
    <t>الموردين</t>
  </si>
  <si>
    <t>الصنف</t>
  </si>
  <si>
    <t>سعر البيع</t>
  </si>
  <si>
    <t>سعر الجملة</t>
  </si>
  <si>
    <t>ترميز مختصر</t>
  </si>
  <si>
    <t>aa</t>
  </si>
  <si>
    <t>باقي حساب/فرق حساب</t>
  </si>
  <si>
    <t>ab</t>
  </si>
  <si>
    <t>عربون</t>
  </si>
  <si>
    <t>تكويد الأصناف</t>
  </si>
  <si>
    <t>حـــركــة الــمــــــــــــــواد</t>
  </si>
  <si>
    <t>السعر</t>
  </si>
  <si>
    <t>الرصيد السابق</t>
  </si>
  <si>
    <t>الوارد</t>
  </si>
  <si>
    <t>المباع</t>
  </si>
  <si>
    <t>البدل</t>
  </si>
  <si>
    <t>الرصيد</t>
  </si>
  <si>
    <t>من المحل</t>
  </si>
  <si>
    <t>للمحل</t>
  </si>
  <si>
    <t xml:space="preserve"> </t>
  </si>
  <si>
    <t>التكلفة</t>
  </si>
  <si>
    <t>المحل</t>
  </si>
  <si>
    <t>إســــــــم الـصـنــــــــــف</t>
  </si>
  <si>
    <t>السعر الفعلي</t>
  </si>
  <si>
    <t>متوسط</t>
  </si>
  <si>
    <t>±</t>
  </si>
  <si>
    <t>رصيد اليوم السابق</t>
  </si>
  <si>
    <t>مبيعات</t>
  </si>
  <si>
    <t>رصيد</t>
  </si>
  <si>
    <t>مباع</t>
  </si>
  <si>
    <t>وارد</t>
  </si>
  <si>
    <t>مرتجع</t>
  </si>
  <si>
    <t>الصافي</t>
  </si>
  <si>
    <t>فئة التكلفة</t>
  </si>
  <si>
    <t>بـنـــك</t>
  </si>
  <si>
    <t>ابراهيم باليد</t>
  </si>
  <si>
    <t>نبيـل الفــرج</t>
  </si>
  <si>
    <t>مصاريف</t>
  </si>
  <si>
    <t>مشتريات</t>
  </si>
  <si>
    <t>فاتورة كهرباء</t>
  </si>
  <si>
    <t>إيجار محل</t>
  </si>
  <si>
    <t>دفعة من الحساب</t>
  </si>
  <si>
    <t>مرتجع  مشتريات</t>
  </si>
  <si>
    <t>محمد العرقاوي</t>
  </si>
  <si>
    <t xml:space="preserve"> الترميز:</t>
  </si>
  <si>
    <t>القياس:</t>
  </si>
  <si>
    <t xml:space="preserve"> السعر :</t>
  </si>
  <si>
    <t xml:space="preserve"> طبربور / بجانب دوارالشرطة-صنع في الاردن</t>
  </si>
  <si>
    <t>القياس</t>
  </si>
  <si>
    <t>جلباب سبور مورد</t>
  </si>
  <si>
    <t>جلباب شبك موديلين</t>
  </si>
  <si>
    <t>فستان +قفطان نخب مشكل</t>
  </si>
  <si>
    <t>قفاطين وسهرات متنوعة</t>
  </si>
  <si>
    <t>جلباب سبور كتانات منوع</t>
  </si>
  <si>
    <t>مورد</t>
  </si>
  <si>
    <t>ملاحظات</t>
  </si>
  <si>
    <t>تبديل مبيعات</t>
  </si>
  <si>
    <t>عبايات عروض</t>
  </si>
  <si>
    <t>عبايات نخب</t>
  </si>
  <si>
    <t>التاريخ</t>
  </si>
  <si>
    <t>المبيعات</t>
  </si>
  <si>
    <t>المجموع</t>
  </si>
  <si>
    <t>البنك</t>
  </si>
  <si>
    <t>دفعات</t>
  </si>
  <si>
    <t>نبيل</t>
  </si>
  <si>
    <t>كهرباء</t>
  </si>
  <si>
    <t>ايجارات</t>
  </si>
  <si>
    <t>عدد الايام</t>
  </si>
  <si>
    <t>متوسط المبيعات</t>
  </si>
  <si>
    <t>عدد</t>
  </si>
  <si>
    <t>قيمة</t>
  </si>
  <si>
    <t>المرتجع</t>
  </si>
  <si>
    <t xml:space="preserve"> المباع حسب الكلفة</t>
  </si>
  <si>
    <t>رقم المورد  :</t>
  </si>
  <si>
    <t>اسم المورد  :</t>
  </si>
  <si>
    <t>عبايات نخب موديلات</t>
  </si>
  <si>
    <t>البيع +الربح</t>
  </si>
  <si>
    <t>فرق الأرباح</t>
  </si>
  <si>
    <t xml:space="preserve">الـتـاريـــخ   : </t>
  </si>
  <si>
    <t>الرصيد من بضاعة المورد</t>
  </si>
  <si>
    <t>جلباب عروض</t>
  </si>
  <si>
    <t xml:space="preserve"> السعر: </t>
  </si>
  <si>
    <t>صنع في الاردن</t>
  </si>
  <si>
    <t>باقي5.00 حسن المومني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</si>
</sst>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\ _د_._ا_._‏_-;\-* #,##0.00\ _د_._ا_._‏_-;_-* &quot;-&quot;??\ _د_._ا_._‏_-;_-@_-"/>
    <numFmt numFmtId="164" formatCode="dd\ /mm/\ ddd"/>
    <numFmt numFmtId="165" formatCode="_-* #,##0.00_-;_-* #,##0.00\-;_-* &quot;-&quot;??_-;_-@_-"/>
    <numFmt numFmtId="166" formatCode="00"/>
    <numFmt numFmtId="167" formatCode="[$-2010000]yyyy/mm;@"/>
    <numFmt numFmtId="168" formatCode="0000000000"/>
    <numFmt numFmtId="169" formatCode="[$-2010000]yyyy/mm/dd;@"/>
    <numFmt numFmtId="170" formatCode="ddd\ yyyy/mm/dd\ "/>
    <numFmt numFmtId="171" formatCode="[$-1170401]B2dd\ mmmm\,\ yyyy;@"/>
    <numFmt numFmtId="172" formatCode="_-[$JD]\ \ \ \ \ * #,##0.00_-;_-[$JOD]\ * #,##0.00\-;_-[$JOD]\ * &quot;-&quot;??_-;_-@_-"/>
    <numFmt numFmtId="173" formatCode="[$-2010000]dd\ dddd;@"/>
  </numFmts>
  <fonts count="3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1"/>
      <name val="Arial"/>
      <family val="2"/>
      <scheme val="minor"/>
    </font>
    <font>
      <sz val="9"/>
      <color theme="1"/>
      <name val="Arial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  <scheme val="minor"/>
    </font>
    <font>
      <sz val="10"/>
      <color theme="1"/>
      <name val="Arial"/>
      <family val="2"/>
    </font>
    <font>
      <b/>
      <sz val="7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Courier New"/>
      <family val="3"/>
      <charset val="178"/>
    </font>
    <font>
      <sz val="14"/>
      <color theme="1"/>
      <name val="Arial"/>
      <family val="2"/>
      <charset val="178"/>
      <scheme val="minor"/>
    </font>
    <font>
      <sz val="12"/>
      <name val="Arial"/>
      <family val="2"/>
      <charset val="178"/>
    </font>
    <font>
      <sz val="8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sz val="9"/>
      <name val="Arial"/>
      <family val="2"/>
      <scheme val="minor"/>
    </font>
    <font>
      <sz val="10"/>
      <name val="Arial"/>
      <family val="2"/>
      <scheme val="minor"/>
    </font>
    <font>
      <sz val="13.5"/>
      <color theme="1"/>
      <name val="IDAHC39M Code 39 Barcode"/>
      <family val="1"/>
      <charset val="2"/>
    </font>
    <font>
      <sz val="10"/>
      <color theme="1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47">
    <xf numFmtId="0" fontId="0" fillId="0" borderId="0" xfId="0"/>
    <xf numFmtId="0" fontId="0" fillId="0" borderId="4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 wrapText="1" shrinkToFit="1"/>
    </xf>
    <xf numFmtId="0" fontId="12" fillId="6" borderId="20" xfId="0" applyFont="1" applyFill="1" applyBorder="1" applyAlignment="1">
      <alignment horizontal="center" vertical="center" wrapText="1" shrinkToFit="1"/>
    </xf>
    <xf numFmtId="0" fontId="0" fillId="0" borderId="0" xfId="0" applyNumberFormat="1" applyFont="1" applyAlignment="1">
      <alignment horizontal="right" vertical="center"/>
    </xf>
    <xf numFmtId="0" fontId="0" fillId="2" borderId="3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70" fontId="11" fillId="2" borderId="4" xfId="0" applyNumberFormat="1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165" fontId="0" fillId="6" borderId="10" xfId="0" applyNumberFormat="1" applyFont="1" applyFill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 readingOrder="2"/>
    </xf>
    <xf numFmtId="2" fontId="0" fillId="0" borderId="0" xfId="1" applyNumberFormat="1" applyFont="1" applyAlignment="1">
      <alignment horizontal="center" vertical="center" readingOrder="2"/>
    </xf>
    <xf numFmtId="0" fontId="0" fillId="0" borderId="0" xfId="1" applyNumberFormat="1" applyFont="1" applyAlignment="1">
      <alignment horizontal="center" vertical="center" readingOrder="2"/>
    </xf>
    <xf numFmtId="2" fontId="0" fillId="6" borderId="0" xfId="1" applyNumberFormat="1" applyFont="1" applyFill="1" applyAlignment="1">
      <alignment horizontal="center" vertical="center" readingOrder="2"/>
    </xf>
    <xf numFmtId="2" fontId="0" fillId="6" borderId="10" xfId="0" applyNumberFormat="1" applyFont="1" applyFill="1" applyBorder="1" applyAlignment="1">
      <alignment horizontal="center" vertical="center" readingOrder="2"/>
    </xf>
    <xf numFmtId="1" fontId="0" fillId="0" borderId="0" xfId="0" applyNumberFormat="1" applyFont="1" applyAlignment="1">
      <alignment horizontal="center" vertical="center" readingOrder="2"/>
    </xf>
    <xf numFmtId="1" fontId="0" fillId="6" borderId="10" xfId="0" applyNumberFormat="1" applyFont="1" applyFill="1" applyBorder="1" applyAlignment="1">
      <alignment horizontal="center" vertical="center" readingOrder="2"/>
    </xf>
    <xf numFmtId="0" fontId="0" fillId="6" borderId="10" xfId="0" applyFont="1" applyFill="1" applyBorder="1" applyAlignment="1">
      <alignment horizontal="center" vertical="center" readingOrder="2"/>
    </xf>
    <xf numFmtId="165" fontId="0" fillId="6" borderId="10" xfId="0" applyNumberFormat="1" applyFont="1" applyFill="1" applyBorder="1" applyAlignment="1">
      <alignment horizontal="center" vertical="center" readingOrder="2"/>
    </xf>
    <xf numFmtId="0" fontId="0" fillId="6" borderId="10" xfId="0" applyNumberFormat="1" applyFont="1" applyFill="1" applyBorder="1" applyAlignment="1">
      <alignment horizontal="center" vertical="center" readingOrder="2"/>
    </xf>
    <xf numFmtId="2" fontId="0" fillId="2" borderId="0" xfId="0" applyNumberFormat="1" applyFont="1" applyFill="1" applyBorder="1" applyAlignment="1">
      <alignment horizontal="center" vertical="center" readingOrder="2"/>
    </xf>
    <xf numFmtId="0" fontId="0" fillId="2" borderId="0" xfId="0" applyFont="1" applyFill="1" applyBorder="1" applyAlignment="1">
      <alignment horizontal="center" vertical="center" readingOrder="2"/>
    </xf>
    <xf numFmtId="2" fontId="0" fillId="2" borderId="22" xfId="0" applyNumberFormat="1" applyFont="1" applyFill="1" applyBorder="1" applyAlignment="1">
      <alignment horizontal="center" vertical="center" readingOrder="2"/>
    </xf>
    <xf numFmtId="2" fontId="0" fillId="2" borderId="0" xfId="0" applyNumberFormat="1" applyFont="1" applyFill="1" applyBorder="1" applyAlignment="1">
      <alignment vertical="center" readingOrder="2"/>
    </xf>
    <xf numFmtId="2" fontId="0" fillId="2" borderId="24" xfId="0" applyNumberFormat="1" applyFont="1" applyFill="1" applyBorder="1" applyAlignment="1">
      <alignment horizontal="center" vertical="center" readingOrder="2"/>
    </xf>
    <xf numFmtId="2" fontId="2" fillId="2" borderId="24" xfId="1" applyNumberFormat="1" applyFont="1" applyFill="1" applyBorder="1" applyAlignment="1">
      <alignment horizontal="center" vertical="center" readingOrder="2"/>
    </xf>
    <xf numFmtId="0" fontId="0" fillId="0" borderId="0" xfId="0" applyNumberFormat="1" applyFont="1" applyAlignment="1">
      <alignment horizontal="center" vertical="center" readingOrder="2"/>
    </xf>
    <xf numFmtId="0" fontId="0" fillId="0" borderId="9" xfId="0" applyNumberFormat="1" applyFont="1" applyBorder="1" applyAlignment="1">
      <alignment horizontal="center" vertical="center" readingOrder="2"/>
    </xf>
    <xf numFmtId="0" fontId="3" fillId="6" borderId="20" xfId="0" applyFont="1" applyFill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/>
    </xf>
    <xf numFmtId="0" fontId="0" fillId="0" borderId="0" xfId="0" applyFont="1" applyFill="1"/>
    <xf numFmtId="0" fontId="0" fillId="0" borderId="9" xfId="0" applyFont="1" applyFill="1" applyBorder="1" applyAlignment="1">
      <alignment horizontal="center" vertical="center" readingOrder="2"/>
    </xf>
    <xf numFmtId="0" fontId="6" fillId="0" borderId="9" xfId="0" applyFont="1" applyFill="1" applyBorder="1" applyAlignment="1">
      <alignment horizontal="right" vertical="center" indent="1"/>
    </xf>
    <xf numFmtId="0" fontId="0" fillId="0" borderId="9" xfId="0" applyNumberFormat="1" applyFont="1" applyFill="1" applyBorder="1" applyAlignment="1">
      <alignment horizontal="center" vertical="center" readingOrder="2"/>
    </xf>
    <xf numFmtId="166" fontId="0" fillId="4" borderId="9" xfId="0" applyNumberFormat="1" applyFont="1" applyFill="1" applyBorder="1" applyAlignment="1">
      <alignment horizontal="center" vertical="center" shrinkToFit="1" readingOrder="2"/>
    </xf>
    <xf numFmtId="2" fontId="0" fillId="5" borderId="9" xfId="0" applyNumberFormat="1" applyFont="1" applyFill="1" applyBorder="1" applyAlignment="1">
      <alignment horizontal="center" vertical="center" shrinkToFit="1" readingOrder="2"/>
    </xf>
    <xf numFmtId="2" fontId="2" fillId="3" borderId="9" xfId="1" applyNumberFormat="1" applyFont="1" applyFill="1" applyBorder="1" applyAlignment="1">
      <alignment horizontal="center" vertical="center" shrinkToFit="1" readingOrder="2"/>
    </xf>
    <xf numFmtId="0" fontId="0" fillId="2" borderId="9" xfId="0" applyNumberFormat="1" applyFont="1" applyFill="1" applyBorder="1" applyAlignment="1">
      <alignment horizontal="center" vertical="center" readingOrder="2"/>
    </xf>
    <xf numFmtId="0" fontId="0" fillId="0" borderId="26" xfId="0" applyFont="1" applyFill="1" applyBorder="1" applyAlignment="1">
      <alignment horizontal="center" vertical="center" readingOrder="2"/>
    </xf>
    <xf numFmtId="166" fontId="0" fillId="4" borderId="26" xfId="0" applyNumberFormat="1" applyFont="1" applyFill="1" applyBorder="1" applyAlignment="1">
      <alignment horizontal="center" vertical="center" shrinkToFit="1" readingOrder="2"/>
    </xf>
    <xf numFmtId="2" fontId="0" fillId="5" borderId="26" xfId="0" applyNumberFormat="1" applyFont="1" applyFill="1" applyBorder="1" applyAlignment="1">
      <alignment horizontal="center" vertical="center" shrinkToFit="1" readingOrder="2"/>
    </xf>
    <xf numFmtId="2" fontId="2" fillId="3" borderId="26" xfId="1" applyNumberFormat="1" applyFont="1" applyFill="1" applyBorder="1" applyAlignment="1">
      <alignment horizontal="center" vertical="center" shrinkToFit="1" readingOrder="2"/>
    </xf>
    <xf numFmtId="0" fontId="6" fillId="0" borderId="26" xfId="0" applyFont="1" applyFill="1" applyBorder="1" applyAlignment="1">
      <alignment horizontal="right" vertical="center" indent="1"/>
    </xf>
    <xf numFmtId="0" fontId="0" fillId="0" borderId="26" xfId="0" applyNumberFormat="1" applyFont="1" applyBorder="1" applyAlignment="1">
      <alignment horizontal="center" vertical="center" readingOrder="2"/>
    </xf>
    <xf numFmtId="0" fontId="0" fillId="0" borderId="26" xfId="0" applyNumberFormat="1" applyFont="1" applyFill="1" applyBorder="1" applyAlignment="1">
      <alignment horizontal="center" vertical="center" readingOrder="2"/>
    </xf>
    <xf numFmtId="0" fontId="0" fillId="2" borderId="26" xfId="0" applyNumberFormat="1" applyFont="1" applyFill="1" applyBorder="1" applyAlignment="1">
      <alignment horizontal="center" vertical="center" readingOrder="2"/>
    </xf>
    <xf numFmtId="0" fontId="13" fillId="0" borderId="0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" fontId="0" fillId="0" borderId="9" xfId="0" applyNumberFormat="1" applyFont="1" applyFill="1" applyBorder="1" applyAlignment="1">
      <alignment horizontal="center" vertical="center" readingOrder="2"/>
    </xf>
    <xf numFmtId="1" fontId="0" fillId="0" borderId="26" xfId="0" applyNumberFormat="1" applyFont="1" applyFill="1" applyBorder="1" applyAlignment="1">
      <alignment horizontal="center" vertical="center" readingOrder="2"/>
    </xf>
    <xf numFmtId="0" fontId="0" fillId="2" borderId="0" xfId="0" applyFill="1"/>
    <xf numFmtId="0" fontId="3" fillId="2" borderId="0" xfId="0" applyFont="1" applyFill="1" applyAlignment="1">
      <alignment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shrinkToFit="1" readingOrder="2"/>
    </xf>
    <xf numFmtId="165" fontId="3" fillId="2" borderId="5" xfId="1" applyNumberFormat="1" applyFont="1" applyFill="1" applyBorder="1" applyAlignment="1">
      <alignment horizontal="center" vertical="center" wrapText="1" readingOrder="2"/>
    </xf>
    <xf numFmtId="165" fontId="3" fillId="2" borderId="8" xfId="1" applyNumberFormat="1" applyFont="1" applyFill="1" applyBorder="1" applyAlignment="1">
      <alignment horizontal="center" vertical="center" wrapText="1" readingOrder="2"/>
    </xf>
    <xf numFmtId="0" fontId="3" fillId="2" borderId="17" xfId="0" applyFont="1" applyFill="1" applyBorder="1" applyAlignment="1">
      <alignment horizontal="center" vertical="center" readingOrder="2"/>
    </xf>
    <xf numFmtId="0" fontId="3" fillId="2" borderId="18" xfId="0" applyFont="1" applyFill="1" applyBorder="1" applyAlignment="1">
      <alignment horizontal="center" vertical="center" readingOrder="2"/>
    </xf>
    <xf numFmtId="166" fontId="3" fillId="2" borderId="18" xfId="0" applyNumberFormat="1" applyFont="1" applyFill="1" applyBorder="1" applyAlignment="1">
      <alignment horizontal="center" vertical="center" readingOrder="2"/>
    </xf>
    <xf numFmtId="0" fontId="3" fillId="2" borderId="18" xfId="0" applyFont="1" applyFill="1" applyBorder="1" applyAlignment="1">
      <alignment vertical="center" readingOrder="2"/>
    </xf>
    <xf numFmtId="2" fontId="3" fillId="2" borderId="18" xfId="1" applyNumberFormat="1" applyFont="1" applyFill="1" applyBorder="1" applyAlignment="1">
      <alignment horizontal="center" vertical="center" readingOrder="2"/>
    </xf>
    <xf numFmtId="2" fontId="3" fillId="2" borderId="15" xfId="1" applyNumberFormat="1" applyFont="1" applyFill="1" applyBorder="1" applyAlignment="1">
      <alignment horizontal="center" vertical="center" readingOrder="2"/>
    </xf>
    <xf numFmtId="0" fontId="3" fillId="2" borderId="19" xfId="0" applyFont="1" applyFill="1" applyBorder="1" applyAlignment="1">
      <alignment horizontal="center" vertical="center" readingOrder="2"/>
    </xf>
    <xf numFmtId="0" fontId="3" fillId="2" borderId="9" xfId="0" applyFont="1" applyFill="1" applyBorder="1" applyAlignment="1">
      <alignment horizontal="center" vertical="center" readingOrder="2"/>
    </xf>
    <xf numFmtId="166" fontId="3" fillId="2" borderId="9" xfId="0" applyNumberFormat="1" applyFont="1" applyFill="1" applyBorder="1" applyAlignment="1">
      <alignment horizontal="center" vertical="center" readingOrder="2"/>
    </xf>
    <xf numFmtId="0" fontId="3" fillId="2" borderId="9" xfId="0" applyFont="1" applyFill="1" applyBorder="1" applyAlignment="1">
      <alignment vertical="center" readingOrder="2"/>
    </xf>
    <xf numFmtId="2" fontId="3" fillId="2" borderId="9" xfId="1" applyNumberFormat="1" applyFont="1" applyFill="1" applyBorder="1" applyAlignment="1">
      <alignment horizontal="center" vertical="center" readingOrder="2"/>
    </xf>
    <xf numFmtId="2" fontId="3" fillId="2" borderId="16" xfId="1" applyNumberFormat="1" applyFont="1" applyFill="1" applyBorder="1" applyAlignment="1">
      <alignment horizontal="center" vertical="center" readingOrder="2"/>
    </xf>
    <xf numFmtId="0" fontId="9" fillId="2" borderId="19" xfId="0" applyFont="1" applyFill="1" applyBorder="1" applyAlignment="1">
      <alignment horizontal="center" vertical="center" readingOrder="2"/>
    </xf>
    <xf numFmtId="0" fontId="3" fillId="2" borderId="13" xfId="0" applyFont="1" applyFill="1" applyBorder="1" applyAlignment="1">
      <alignment horizontal="center" vertical="center" readingOrder="2"/>
    </xf>
    <xf numFmtId="0" fontId="3" fillId="2" borderId="11" xfId="0" applyFont="1" applyFill="1" applyBorder="1" applyAlignment="1">
      <alignment horizontal="center" vertical="center" readingOrder="2"/>
    </xf>
    <xf numFmtId="166" fontId="3" fillId="2" borderId="11" xfId="0" applyNumberFormat="1" applyFont="1" applyFill="1" applyBorder="1" applyAlignment="1">
      <alignment horizontal="center" vertical="center" readingOrder="2"/>
    </xf>
    <xf numFmtId="0" fontId="3" fillId="2" borderId="11" xfId="0" applyFont="1" applyFill="1" applyBorder="1" applyAlignment="1">
      <alignment vertical="center" readingOrder="2"/>
    </xf>
    <xf numFmtId="2" fontId="3" fillId="2" borderId="11" xfId="1" applyNumberFormat="1" applyFont="1" applyFill="1" applyBorder="1" applyAlignment="1">
      <alignment horizontal="center" vertical="center" readingOrder="2"/>
    </xf>
    <xf numFmtId="2" fontId="3" fillId="2" borderId="14" xfId="1" applyNumberFormat="1" applyFont="1" applyFill="1" applyBorder="1" applyAlignment="1">
      <alignment horizontal="center" vertical="center" readingOrder="2"/>
    </xf>
    <xf numFmtId="0" fontId="3" fillId="2" borderId="5" xfId="0" applyFont="1" applyFill="1" applyBorder="1" applyAlignment="1">
      <alignment horizontal="center" vertical="center" readingOrder="2"/>
    </xf>
    <xf numFmtId="0" fontId="3" fillId="2" borderId="7" xfId="0" applyFont="1" applyFill="1" applyBorder="1" applyAlignment="1">
      <alignment horizontal="center" vertical="center" readingOrder="2"/>
    </xf>
    <xf numFmtId="0" fontId="3" fillId="2" borderId="5" xfId="0" applyFont="1" applyFill="1" applyBorder="1" applyAlignment="1">
      <alignment vertical="center" readingOrder="2"/>
    </xf>
    <xf numFmtId="0" fontId="3" fillId="2" borderId="8" xfId="0" applyFont="1" applyFill="1" applyBorder="1" applyAlignment="1">
      <alignment horizontal="center" vertical="center" readingOrder="2"/>
    </xf>
    <xf numFmtId="0" fontId="3" fillId="2" borderId="0" xfId="0" applyFont="1" applyFill="1" applyAlignment="1">
      <alignment horizontal="center" vertical="center" readingOrder="2"/>
    </xf>
    <xf numFmtId="0" fontId="3" fillId="2" borderId="0" xfId="0" applyFont="1" applyFill="1" applyAlignment="1">
      <alignment vertical="center" readingOrder="2"/>
    </xf>
    <xf numFmtId="43" fontId="3" fillId="2" borderId="0" xfId="1" applyFont="1" applyFill="1" applyAlignment="1">
      <alignment horizontal="center" vertical="center" readingOrder="2"/>
    </xf>
    <xf numFmtId="0" fontId="0" fillId="2" borderId="0" xfId="0" applyFont="1" applyFill="1"/>
    <xf numFmtId="0" fontId="10" fillId="2" borderId="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0" fillId="2" borderId="6" xfId="0" applyFont="1" applyFill="1" applyBorder="1" applyAlignment="1">
      <alignment horizontal="center" vertical="center" readingOrder="2"/>
    </xf>
    <xf numFmtId="166" fontId="0" fillId="2" borderId="6" xfId="0" applyNumberFormat="1" applyFont="1" applyFill="1" applyBorder="1" applyAlignment="1">
      <alignment horizontal="center" vertical="center" shrinkToFit="1" readingOrder="2"/>
    </xf>
    <xf numFmtId="2" fontId="0" fillId="2" borderId="6" xfId="0" applyNumberFormat="1" applyFont="1" applyFill="1" applyBorder="1" applyAlignment="1">
      <alignment horizontal="center" vertical="center" shrinkToFit="1" readingOrder="2"/>
    </xf>
    <xf numFmtId="2" fontId="2" fillId="2" borderId="6" xfId="1" applyNumberFormat="1" applyFont="1" applyFill="1" applyBorder="1" applyAlignment="1">
      <alignment horizontal="center" vertical="center" shrinkToFit="1" readingOrder="2"/>
    </xf>
    <xf numFmtId="0" fontId="6" fillId="2" borderId="6" xfId="0" applyFont="1" applyFill="1" applyBorder="1" applyAlignment="1">
      <alignment horizontal="right" vertical="center" indent="1"/>
    </xf>
    <xf numFmtId="0" fontId="0" fillId="2" borderId="6" xfId="0" applyNumberFormat="1" applyFont="1" applyFill="1" applyBorder="1" applyAlignment="1">
      <alignment horizontal="center" vertical="center" readingOrder="2"/>
    </xf>
    <xf numFmtId="1" fontId="0" fillId="2" borderId="6" xfId="0" applyNumberFormat="1" applyFont="1" applyFill="1" applyBorder="1" applyAlignment="1">
      <alignment horizontal="center" vertical="center" readingOrder="2"/>
    </xf>
    <xf numFmtId="0" fontId="0" fillId="2" borderId="9" xfId="0" applyFont="1" applyFill="1" applyBorder="1" applyAlignment="1">
      <alignment horizontal="center" vertical="center" readingOrder="2"/>
    </xf>
    <xf numFmtId="166" fontId="0" fillId="2" borderId="9" xfId="0" applyNumberFormat="1" applyFont="1" applyFill="1" applyBorder="1" applyAlignment="1">
      <alignment horizontal="center" vertical="center" shrinkToFit="1" readingOrder="2"/>
    </xf>
    <xf numFmtId="2" fontId="0" fillId="2" borderId="9" xfId="0" applyNumberFormat="1" applyFont="1" applyFill="1" applyBorder="1" applyAlignment="1">
      <alignment horizontal="center" vertical="center" shrinkToFit="1" readingOrder="2"/>
    </xf>
    <xf numFmtId="2" fontId="2" fillId="2" borderId="9" xfId="1" applyNumberFormat="1" applyFont="1" applyFill="1" applyBorder="1" applyAlignment="1">
      <alignment horizontal="center" vertical="center" shrinkToFit="1" readingOrder="2"/>
    </xf>
    <xf numFmtId="0" fontId="6" fillId="2" borderId="9" xfId="0" applyFont="1" applyFill="1" applyBorder="1" applyAlignment="1">
      <alignment horizontal="right" vertical="center" indent="1"/>
    </xf>
    <xf numFmtId="1" fontId="0" fillId="2" borderId="9" xfId="0" applyNumberFormat="1" applyFont="1" applyFill="1" applyBorder="1" applyAlignment="1">
      <alignment horizontal="center" vertical="center" readingOrder="2"/>
    </xf>
    <xf numFmtId="0" fontId="6" fillId="2" borderId="4" xfId="0" applyFont="1" applyFill="1" applyBorder="1" applyAlignment="1">
      <alignment horizontal="right" vertical="center"/>
    </xf>
    <xf numFmtId="0" fontId="0" fillId="2" borderId="4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164" fontId="3" fillId="2" borderId="6" xfId="0" applyNumberFormat="1" applyFont="1" applyFill="1" applyBorder="1" applyAlignment="1">
      <alignment horizontal="left" vertical="center" wrapText="1" indent="1" shrinkToFit="1" readingOrder="2"/>
    </xf>
    <xf numFmtId="0" fontId="3" fillId="2" borderId="6" xfId="0" applyFont="1" applyFill="1" applyBorder="1" applyAlignment="1">
      <alignment horizontal="center" vertical="center" wrapText="1" shrinkToFit="1" readingOrder="2"/>
    </xf>
    <xf numFmtId="166" fontId="3" fillId="2" borderId="6" xfId="0" applyNumberFormat="1" applyFont="1" applyFill="1" applyBorder="1" applyAlignment="1">
      <alignment horizontal="center" vertical="center" wrapText="1" shrinkToFit="1" readingOrder="2"/>
    </xf>
    <xf numFmtId="0" fontId="3" fillId="2" borderId="6" xfId="0" applyNumberFormat="1" applyFont="1" applyFill="1" applyBorder="1" applyAlignment="1">
      <alignment horizontal="right" vertical="center" wrapText="1" shrinkToFit="1" readingOrder="2"/>
    </xf>
    <xf numFmtId="43" fontId="3" fillId="2" borderId="6" xfId="1" applyFont="1" applyFill="1" applyBorder="1" applyAlignment="1">
      <alignment horizontal="center" vertical="center" wrapText="1" shrinkToFit="1" readingOrder="2"/>
    </xf>
    <xf numFmtId="166" fontId="3" fillId="2" borderId="0" xfId="0" applyNumberFormat="1" applyFont="1" applyFill="1" applyAlignment="1">
      <alignment horizontal="center" vertical="center" wrapText="1" shrinkToFit="1" readingOrder="2"/>
    </xf>
    <xf numFmtId="0" fontId="3" fillId="2" borderId="0" xfId="0" applyFont="1" applyFill="1" applyAlignment="1">
      <alignment vertical="center" wrapText="1" shrinkToFit="1" readingOrder="2"/>
    </xf>
    <xf numFmtId="168" fontId="3" fillId="2" borderId="0" xfId="0" applyNumberFormat="1" applyFont="1" applyFill="1" applyAlignment="1">
      <alignment vertical="center" wrapText="1" shrinkToFit="1" readingOrder="2"/>
    </xf>
    <xf numFmtId="0" fontId="3" fillId="2" borderId="0" xfId="0" quotePrefix="1" applyFont="1" applyFill="1" applyAlignment="1">
      <alignment horizontal="center" vertical="center"/>
    </xf>
    <xf numFmtId="164" fontId="3" fillId="2" borderId="9" xfId="0" applyNumberFormat="1" applyFont="1" applyFill="1" applyBorder="1" applyAlignment="1">
      <alignment horizontal="left" vertical="center" wrapText="1" indent="1" shrinkToFit="1" readingOrder="2"/>
    </xf>
    <xf numFmtId="0" fontId="3" fillId="2" borderId="9" xfId="0" applyFont="1" applyFill="1" applyBorder="1" applyAlignment="1">
      <alignment horizontal="center" vertical="center" wrapText="1" shrinkToFit="1" readingOrder="2"/>
    </xf>
    <xf numFmtId="166" fontId="3" fillId="2" borderId="9" xfId="0" applyNumberFormat="1" applyFont="1" applyFill="1" applyBorder="1" applyAlignment="1">
      <alignment horizontal="center" vertical="center" wrapText="1" shrinkToFit="1" readingOrder="2"/>
    </xf>
    <xf numFmtId="0" fontId="3" fillId="2" borderId="9" xfId="0" applyNumberFormat="1" applyFont="1" applyFill="1" applyBorder="1" applyAlignment="1">
      <alignment horizontal="right" vertical="center" wrapText="1" shrinkToFit="1" readingOrder="2"/>
    </xf>
    <xf numFmtId="43" fontId="3" fillId="2" borderId="9" xfId="1" applyFont="1" applyFill="1" applyBorder="1" applyAlignment="1">
      <alignment horizontal="center" vertical="center" wrapText="1" shrinkToFit="1" readingOrder="2"/>
    </xf>
    <xf numFmtId="164" fontId="3" fillId="2" borderId="12" xfId="0" applyNumberFormat="1" applyFont="1" applyFill="1" applyBorder="1" applyAlignment="1">
      <alignment horizontal="left" vertical="center" wrapText="1" indent="1" shrinkToFit="1" readingOrder="2"/>
    </xf>
    <xf numFmtId="0" fontId="3" fillId="2" borderId="12" xfId="0" applyFont="1" applyFill="1" applyBorder="1" applyAlignment="1">
      <alignment horizontal="center" vertical="center" wrapText="1" shrinkToFit="1" readingOrder="2"/>
    </xf>
    <xf numFmtId="166" fontId="3" fillId="2" borderId="12" xfId="0" applyNumberFormat="1" applyFont="1" applyFill="1" applyBorder="1" applyAlignment="1">
      <alignment horizontal="center" vertical="center" wrapText="1" shrinkToFit="1" readingOrder="2"/>
    </xf>
    <xf numFmtId="0" fontId="3" fillId="2" borderId="12" xfId="0" applyNumberFormat="1" applyFont="1" applyFill="1" applyBorder="1" applyAlignment="1">
      <alignment horizontal="right" vertical="center" wrapText="1" shrinkToFit="1" readingOrder="2"/>
    </xf>
    <xf numFmtId="165" fontId="3" fillId="2" borderId="12" xfId="1" applyNumberFormat="1" applyFont="1" applyFill="1" applyBorder="1" applyAlignment="1">
      <alignment horizontal="center" vertical="center" wrapText="1" shrinkToFit="1" readingOrder="2"/>
    </xf>
    <xf numFmtId="164" fontId="3" fillId="2" borderId="4" xfId="0" applyNumberFormat="1" applyFont="1" applyFill="1" applyBorder="1" applyAlignment="1">
      <alignment horizontal="center" vertical="center" wrapText="1" shrinkToFit="1" readingOrder="2"/>
    </xf>
    <xf numFmtId="0" fontId="3" fillId="2" borderId="4" xfId="0" applyFont="1" applyFill="1" applyBorder="1" applyAlignment="1">
      <alignment horizontal="center" vertical="center" wrapText="1" shrinkToFit="1" readingOrder="2"/>
    </xf>
    <xf numFmtId="166" fontId="3" fillId="2" borderId="4" xfId="0" applyNumberFormat="1" applyFont="1" applyFill="1" applyBorder="1" applyAlignment="1">
      <alignment horizontal="center" vertical="center" wrapText="1" shrinkToFit="1" readingOrder="2"/>
    </xf>
    <xf numFmtId="0" fontId="3" fillId="2" borderId="4" xfId="0" applyFont="1" applyFill="1" applyBorder="1" applyAlignment="1">
      <alignment horizontal="right" vertical="center" wrapText="1" shrinkToFit="1" readingOrder="2"/>
    </xf>
    <xf numFmtId="0" fontId="3" fillId="2" borderId="4" xfId="0" applyNumberFormat="1" applyFont="1" applyFill="1" applyBorder="1" applyAlignment="1">
      <alignment horizontal="center" vertical="center" wrapText="1" shrinkToFit="1" readingOrder="2"/>
    </xf>
    <xf numFmtId="165" fontId="3" fillId="2" borderId="4" xfId="0" applyNumberFormat="1" applyFont="1" applyFill="1" applyBorder="1" applyAlignment="1">
      <alignment horizontal="center" vertical="center" wrapText="1" shrinkToFit="1" readingOrder="2"/>
    </xf>
    <xf numFmtId="0" fontId="0" fillId="0" borderId="0" xfId="0" applyFont="1" applyBorder="1"/>
    <xf numFmtId="0" fontId="0" fillId="0" borderId="0" xfId="0" applyFont="1"/>
    <xf numFmtId="166" fontId="17" fillId="2" borderId="0" xfId="0" applyNumberFormat="1" applyFont="1" applyFill="1" applyBorder="1" applyAlignment="1">
      <alignment horizontal="right" vertical="top" wrapText="1" shrinkToFit="1"/>
    </xf>
    <xf numFmtId="166" fontId="17" fillId="2" borderId="0" xfId="0" applyNumberFormat="1" applyFont="1" applyFill="1" applyBorder="1" applyAlignment="1">
      <alignment horizontal="center" vertical="top" wrapText="1" shrinkToFit="1"/>
    </xf>
    <xf numFmtId="0" fontId="17" fillId="2" borderId="0" xfId="0" applyNumberFormat="1" applyFont="1" applyFill="1" applyBorder="1" applyAlignment="1">
      <alignment horizontal="left" vertical="top" wrapText="1" shrinkToFit="1"/>
    </xf>
    <xf numFmtId="0" fontId="4" fillId="2" borderId="0" xfId="0" applyNumberFormat="1" applyFont="1" applyFill="1" applyBorder="1" applyAlignment="1">
      <alignment horizontal="center" vertical="top" wrapText="1" shrinkToFit="1"/>
    </xf>
    <xf numFmtId="0" fontId="18" fillId="2" borderId="0" xfId="0" applyFont="1" applyFill="1" applyBorder="1" applyAlignment="1">
      <alignment vertical="center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0" fillId="0" borderId="0" xfId="0" applyFont="1" applyBorder="1" applyAlignment="1">
      <alignment vertical="center"/>
    </xf>
    <xf numFmtId="0" fontId="20" fillId="2" borderId="2" xfId="0" applyFont="1" applyFill="1" applyBorder="1" applyAlignment="1">
      <alignment horizontal="center" vertical="center" readingOrder="2"/>
    </xf>
    <xf numFmtId="2" fontId="20" fillId="2" borderId="2" xfId="0" applyNumberFormat="1" applyFont="1" applyFill="1" applyBorder="1" applyAlignment="1">
      <alignment horizontal="center" vertical="center" wrapText="1" shrinkToFit="1" readingOrder="2"/>
    </xf>
    <xf numFmtId="2" fontId="20" fillId="2" borderId="3" xfId="0" applyNumberFormat="1" applyFont="1" applyFill="1" applyBorder="1" applyAlignment="1">
      <alignment horizontal="center" vertical="center" readingOrder="2"/>
    </xf>
    <xf numFmtId="0" fontId="20" fillId="2" borderId="4" xfId="0" applyFont="1" applyFill="1" applyBorder="1" applyAlignment="1">
      <alignment horizontal="center" vertical="center" wrapText="1" shrinkToFit="1" readingOrder="2"/>
    </xf>
    <xf numFmtId="0" fontId="20" fillId="2" borderId="4" xfId="0" applyNumberFormat="1" applyFont="1" applyFill="1" applyBorder="1" applyAlignment="1">
      <alignment horizontal="center" vertical="center" wrapText="1" shrinkToFit="1" readingOrder="2"/>
    </xf>
    <xf numFmtId="165" fontId="20" fillId="2" borderId="4" xfId="0" applyNumberFormat="1" applyFont="1" applyFill="1" applyBorder="1" applyAlignment="1">
      <alignment horizontal="center" vertical="center" wrapText="1" shrinkToFit="1" readingOrder="2"/>
    </xf>
    <xf numFmtId="0" fontId="20" fillId="2" borderId="2" xfId="0" applyNumberFormat="1" applyFont="1" applyFill="1" applyBorder="1" applyAlignment="1">
      <alignment horizontal="center" vertical="center" wrapText="1" shrinkToFit="1" readingOrder="2"/>
    </xf>
    <xf numFmtId="169" fontId="20" fillId="2" borderId="1" xfId="0" applyNumberFormat="1" applyFont="1" applyFill="1" applyBorder="1" applyAlignment="1">
      <alignment horizontal="center" vertical="center" wrapText="1" shrinkToFit="1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2" applyNumberFormat="1" applyFont="1" applyAlignment="1">
      <alignment horizontal="center" vertical="center" readingOrder="2"/>
    </xf>
    <xf numFmtId="0" fontId="3" fillId="0" borderId="4" xfId="0" applyNumberFormat="1" applyFont="1" applyBorder="1" applyAlignment="1">
      <alignment horizontal="center" vertical="center" wrapText="1" shrinkToFit="1"/>
    </xf>
    <xf numFmtId="16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right" vertical="center"/>
    </xf>
    <xf numFmtId="169" fontId="21" fillId="0" borderId="4" xfId="0" applyNumberFormat="1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 readingOrder="2"/>
    </xf>
    <xf numFmtId="0" fontId="3" fillId="7" borderId="9" xfId="0" applyFont="1" applyFill="1" applyBorder="1" applyAlignment="1">
      <alignment horizontal="center" vertical="center" readingOrder="2"/>
    </xf>
    <xf numFmtId="166" fontId="3" fillId="7" borderId="9" xfId="0" applyNumberFormat="1" applyFont="1" applyFill="1" applyBorder="1" applyAlignment="1">
      <alignment horizontal="center" vertical="center" readingOrder="2"/>
    </xf>
    <xf numFmtId="0" fontId="3" fillId="7" borderId="9" xfId="0" applyFont="1" applyFill="1" applyBorder="1" applyAlignment="1">
      <alignment vertical="center" readingOrder="2"/>
    </xf>
    <xf numFmtId="2" fontId="3" fillId="7" borderId="9" xfId="1" applyNumberFormat="1" applyFont="1" applyFill="1" applyBorder="1" applyAlignment="1">
      <alignment horizontal="center" vertical="center" readingOrder="2"/>
    </xf>
    <xf numFmtId="2" fontId="3" fillId="7" borderId="16" xfId="1" applyNumberFormat="1" applyFont="1" applyFill="1" applyBorder="1" applyAlignment="1">
      <alignment horizontal="center" vertical="center" readingOrder="2"/>
    </xf>
    <xf numFmtId="0" fontId="3" fillId="8" borderId="19" xfId="0" applyFont="1" applyFill="1" applyBorder="1" applyAlignment="1">
      <alignment horizontal="center" vertical="center" readingOrder="2"/>
    </xf>
    <xf numFmtId="0" fontId="3" fillId="8" borderId="9" xfId="0" applyFont="1" applyFill="1" applyBorder="1" applyAlignment="1">
      <alignment horizontal="center" vertical="center" readingOrder="2"/>
    </xf>
    <xf numFmtId="166" fontId="3" fillId="8" borderId="9" xfId="0" applyNumberFormat="1" applyFont="1" applyFill="1" applyBorder="1" applyAlignment="1">
      <alignment horizontal="center" vertical="center" readingOrder="2"/>
    </xf>
    <xf numFmtId="0" fontId="3" fillId="8" borderId="9" xfId="0" applyFont="1" applyFill="1" applyBorder="1" applyAlignment="1">
      <alignment vertical="center" readingOrder="2"/>
    </xf>
    <xf numFmtId="2" fontId="3" fillId="8" borderId="9" xfId="1" applyNumberFormat="1" applyFont="1" applyFill="1" applyBorder="1" applyAlignment="1">
      <alignment horizontal="center" vertical="center" readingOrder="2"/>
    </xf>
    <xf numFmtId="2" fontId="3" fillId="8" borderId="16" xfId="1" applyNumberFormat="1" applyFont="1" applyFill="1" applyBorder="1" applyAlignment="1">
      <alignment horizontal="center" vertical="center" readingOrder="2"/>
    </xf>
    <xf numFmtId="0" fontId="0" fillId="2" borderId="3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20" fillId="2" borderId="9" xfId="0" applyNumberFormat="1" applyFont="1" applyFill="1" applyBorder="1" applyAlignment="1">
      <alignment horizontal="center" vertical="center" wrapText="1" shrinkToFit="1" readingOrder="2"/>
    </xf>
    <xf numFmtId="169" fontId="20" fillId="2" borderId="9" xfId="0" applyNumberFormat="1" applyFont="1" applyFill="1" applyBorder="1" applyAlignment="1">
      <alignment horizontal="left" vertical="center" wrapText="1" indent="1" shrinkToFit="1" readingOrder="2"/>
    </xf>
    <xf numFmtId="0" fontId="20" fillId="2" borderId="9" xfId="0" applyFont="1" applyFill="1" applyBorder="1" applyAlignment="1">
      <alignment horizontal="center" vertical="center" wrapText="1" shrinkToFit="1" readingOrder="2"/>
    </xf>
    <xf numFmtId="2" fontId="20" fillId="2" borderId="31" xfId="1" applyNumberFormat="1" applyFont="1" applyFill="1" applyBorder="1" applyAlignment="1">
      <alignment horizontal="center" vertical="center" wrapText="1" shrinkToFit="1" readingOrder="2"/>
    </xf>
    <xf numFmtId="0" fontId="3" fillId="2" borderId="2" xfId="0" applyNumberFormat="1" applyFont="1" applyFill="1" applyBorder="1" applyAlignment="1">
      <alignment horizontal="right" vertical="center" wrapText="1" indent="1" shrinkToFit="1"/>
    </xf>
    <xf numFmtId="0" fontId="3" fillId="2" borderId="9" xfId="0" applyNumberFormat="1" applyFont="1" applyFill="1" applyBorder="1" applyAlignment="1">
      <alignment horizontal="right" vertical="center" wrapText="1" indent="1" shrinkToFit="1" readingOrder="2"/>
    </xf>
    <xf numFmtId="0" fontId="21" fillId="0" borderId="0" xfId="2" applyNumberFormat="1" applyFont="1" applyAlignment="1">
      <alignment horizontal="center" vertical="center" readingOrder="2"/>
    </xf>
    <xf numFmtId="0" fontId="21" fillId="0" borderId="0" xfId="1" applyNumberFormat="1" applyFont="1" applyAlignment="1">
      <alignment horizontal="center" vertical="center" readingOrder="2"/>
    </xf>
    <xf numFmtId="0" fontId="26" fillId="0" borderId="32" xfId="0" applyNumberFormat="1" applyFont="1" applyBorder="1" applyAlignment="1">
      <alignment horizontal="center" vertical="center" wrapText="1" shrinkToFit="1" readingOrder="2"/>
    </xf>
    <xf numFmtId="173" fontId="27" fillId="0" borderId="9" xfId="0" applyNumberFormat="1" applyFont="1" applyBorder="1" applyAlignment="1">
      <alignment horizontal="right" vertical="center"/>
    </xf>
    <xf numFmtId="173" fontId="27" fillId="0" borderId="12" xfId="0" applyNumberFormat="1" applyFont="1" applyBorder="1" applyAlignment="1">
      <alignment horizontal="right" vertical="center"/>
    </xf>
    <xf numFmtId="166" fontId="24" fillId="2" borderId="0" xfId="0" applyNumberFormat="1" applyFont="1" applyFill="1" applyBorder="1" applyAlignment="1">
      <alignment horizontal="center" vertical="center"/>
    </xf>
    <xf numFmtId="0" fontId="29" fillId="2" borderId="0" xfId="0" applyNumberFormat="1" applyFont="1" applyFill="1" applyBorder="1" applyAlignment="1">
      <alignment vertical="center" wrapText="1" shrinkToFit="1"/>
    </xf>
    <xf numFmtId="0" fontId="16" fillId="2" borderId="0" xfId="0" applyFont="1" applyFill="1" applyBorder="1" applyAlignment="1">
      <alignment horizontal="center" vertical="center"/>
    </xf>
    <xf numFmtId="165" fontId="16" fillId="2" borderId="0" xfId="3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 shrinkToFit="1"/>
    </xf>
    <xf numFmtId="165" fontId="10" fillId="2" borderId="0" xfId="0" applyNumberFormat="1" applyFont="1" applyFill="1" applyBorder="1" applyAlignment="1">
      <alignment horizontal="right" vertical="center" wrapText="1" shrinkToFit="1"/>
    </xf>
    <xf numFmtId="0" fontId="29" fillId="2" borderId="22" xfId="0" applyNumberFormat="1" applyFont="1" applyFill="1" applyBorder="1" applyAlignment="1">
      <alignment vertical="center" wrapText="1" shrinkToFit="1"/>
    </xf>
    <xf numFmtId="0" fontId="0" fillId="0" borderId="0" xfId="0" applyBorder="1"/>
    <xf numFmtId="0" fontId="27" fillId="2" borderId="0" xfId="0" applyFont="1" applyFill="1" applyAlignment="1">
      <alignment horizontal="center" vertical="center"/>
    </xf>
    <xf numFmtId="0" fontId="1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 applyBorder="1"/>
    <xf numFmtId="0" fontId="25" fillId="0" borderId="4" xfId="0" applyFont="1" applyBorder="1" applyAlignment="1">
      <alignment horizontal="center" vertical="center"/>
    </xf>
    <xf numFmtId="165" fontId="25" fillId="0" borderId="4" xfId="3" applyFont="1" applyBorder="1" applyAlignment="1">
      <alignment horizontal="center" vertical="center"/>
    </xf>
    <xf numFmtId="165" fontId="25" fillId="6" borderId="4" xfId="3" applyFont="1" applyFill="1" applyBorder="1" applyAlignment="1">
      <alignment horizontal="center" vertical="center"/>
    </xf>
    <xf numFmtId="173" fontId="27" fillId="0" borderId="6" xfId="0" applyNumberFormat="1" applyFont="1" applyBorder="1" applyAlignment="1">
      <alignment horizontal="center" vertical="center"/>
    </xf>
    <xf numFmtId="4" fontId="27" fillId="0" borderId="6" xfId="3" applyNumberFormat="1" applyFont="1" applyBorder="1" applyAlignment="1">
      <alignment horizontal="center" vertical="center" shrinkToFit="1" readingOrder="2"/>
    </xf>
    <xf numFmtId="4" fontId="27" fillId="6" borderId="6" xfId="3" applyNumberFormat="1" applyFont="1" applyFill="1" applyBorder="1" applyAlignment="1">
      <alignment horizontal="center" vertical="center" shrinkToFit="1" readingOrder="2"/>
    </xf>
    <xf numFmtId="0" fontId="1" fillId="0" borderId="26" xfId="0" applyFont="1" applyFill="1" applyBorder="1" applyAlignment="1">
      <alignment horizontal="center" vertical="center"/>
    </xf>
    <xf numFmtId="173" fontId="27" fillId="0" borderId="9" xfId="0" applyNumberFormat="1" applyFont="1" applyBorder="1" applyAlignment="1">
      <alignment horizontal="center" vertical="center"/>
    </xf>
    <xf numFmtId="4" fontId="27" fillId="0" borderId="9" xfId="3" applyNumberFormat="1" applyFont="1" applyBorder="1" applyAlignment="1">
      <alignment horizontal="center" vertical="center" shrinkToFit="1" readingOrder="2"/>
    </xf>
    <xf numFmtId="4" fontId="27" fillId="6" borderId="9" xfId="3" applyNumberFormat="1" applyFont="1" applyFill="1" applyBorder="1" applyAlignment="1">
      <alignment horizontal="center" vertical="center" shrinkToFit="1" readingOrder="2"/>
    </xf>
    <xf numFmtId="3" fontId="24" fillId="0" borderId="32" xfId="0" applyNumberFormat="1" applyFont="1" applyFill="1" applyBorder="1" applyAlignment="1">
      <alignment horizontal="center" vertical="center" readingOrder="2"/>
    </xf>
    <xf numFmtId="4" fontId="24" fillId="0" borderId="32" xfId="0" applyNumberFormat="1" applyFont="1" applyFill="1" applyBorder="1" applyAlignment="1">
      <alignment horizontal="center" vertical="center" readingOrder="2"/>
    </xf>
    <xf numFmtId="4" fontId="24" fillId="0" borderId="32" xfId="0" applyNumberFormat="1" applyFont="1" applyBorder="1" applyAlignment="1">
      <alignment horizontal="center" vertical="center" readingOrder="2"/>
    </xf>
    <xf numFmtId="3" fontId="24" fillId="0" borderId="9" xfId="0" applyNumberFormat="1" applyFont="1" applyFill="1" applyBorder="1" applyAlignment="1">
      <alignment horizontal="center" vertical="center" readingOrder="2"/>
    </xf>
    <xf numFmtId="4" fontId="24" fillId="0" borderId="9" xfId="0" applyNumberFormat="1" applyFont="1" applyFill="1" applyBorder="1" applyAlignment="1">
      <alignment horizontal="center" vertical="center" readingOrder="2"/>
    </xf>
    <xf numFmtId="4" fontId="24" fillId="0" borderId="9" xfId="1" applyNumberFormat="1" applyFont="1" applyFill="1" applyBorder="1" applyAlignment="1">
      <alignment horizontal="center" vertical="center" readingOrder="2"/>
    </xf>
    <xf numFmtId="4" fontId="24" fillId="0" borderId="9" xfId="1" applyNumberFormat="1" applyFont="1" applyBorder="1" applyAlignment="1">
      <alignment horizontal="center" vertical="center" readingOrder="2"/>
    </xf>
    <xf numFmtId="4" fontId="24" fillId="0" borderId="9" xfId="0" applyNumberFormat="1" applyFont="1" applyBorder="1" applyAlignment="1">
      <alignment horizontal="center" vertical="center" readingOrder="2"/>
    </xf>
    <xf numFmtId="173" fontId="27" fillId="0" borderId="9" xfId="0" applyNumberFormat="1" applyFont="1" applyFill="1" applyBorder="1" applyAlignment="1">
      <alignment horizontal="center" vertical="center"/>
    </xf>
    <xf numFmtId="4" fontId="27" fillId="0" borderId="9" xfId="3" applyNumberFormat="1" applyFont="1" applyFill="1" applyBorder="1" applyAlignment="1">
      <alignment horizontal="center" vertical="center" shrinkToFit="1" readingOrder="2"/>
    </xf>
    <xf numFmtId="4" fontId="24" fillId="0" borderId="9" xfId="1" applyNumberFormat="1" applyFont="1" applyFill="1" applyBorder="1" applyAlignment="1">
      <alignment horizontal="center" vertical="center" shrinkToFit="1" readingOrder="2"/>
    </xf>
    <xf numFmtId="173" fontId="27" fillId="0" borderId="26" xfId="0" applyNumberFormat="1" applyFont="1" applyBorder="1" applyAlignment="1">
      <alignment horizontal="center" vertical="center"/>
    </xf>
    <xf numFmtId="4" fontId="27" fillId="0" borderId="12" xfId="3" applyNumberFormat="1" applyFont="1" applyBorder="1" applyAlignment="1">
      <alignment horizontal="center" vertical="center" shrinkToFit="1" readingOrder="2"/>
    </xf>
    <xf numFmtId="4" fontId="27" fillId="0" borderId="26" xfId="3" applyNumberFormat="1" applyFont="1" applyBorder="1" applyAlignment="1">
      <alignment horizontal="center" vertical="center" shrinkToFit="1" readingOrder="2"/>
    </xf>
    <xf numFmtId="4" fontId="27" fillId="6" borderId="26" xfId="3" applyNumberFormat="1" applyFont="1" applyFill="1" applyBorder="1" applyAlignment="1">
      <alignment horizontal="center" vertical="center" shrinkToFit="1" readingOrder="2"/>
    </xf>
    <xf numFmtId="173" fontId="27" fillId="0" borderId="4" xfId="0" applyNumberFormat="1" applyFont="1" applyBorder="1" applyAlignment="1">
      <alignment horizontal="center" vertical="center"/>
    </xf>
    <xf numFmtId="4" fontId="27" fillId="6" borderId="4" xfId="3" applyNumberFormat="1" applyFont="1" applyFill="1" applyBorder="1" applyAlignment="1">
      <alignment horizontal="center" vertical="center" shrinkToFit="1" readingOrder="2"/>
    </xf>
    <xf numFmtId="4" fontId="27" fillId="0" borderId="4" xfId="3" applyNumberFormat="1" applyFont="1" applyBorder="1" applyAlignment="1">
      <alignment horizontal="center" vertical="center" shrinkToFit="1" readingOrder="2"/>
    </xf>
    <xf numFmtId="173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3" fontId="24" fillId="0" borderId="12" xfId="0" applyNumberFormat="1" applyFont="1" applyFill="1" applyBorder="1" applyAlignment="1">
      <alignment horizontal="center" vertical="center" readingOrder="2"/>
    </xf>
    <xf numFmtId="4" fontId="24" fillId="0" borderId="12" xfId="0" applyNumberFormat="1" applyFont="1" applyFill="1" applyBorder="1" applyAlignment="1">
      <alignment horizontal="center" vertical="center" readingOrder="2"/>
    </xf>
    <xf numFmtId="4" fontId="24" fillId="0" borderId="12" xfId="1" applyNumberFormat="1" applyFont="1" applyFill="1" applyBorder="1" applyAlignment="1">
      <alignment horizontal="center" vertical="center" readingOrder="2"/>
    </xf>
    <xf numFmtId="4" fontId="24" fillId="0" borderId="12" xfId="1" applyNumberFormat="1" applyFont="1" applyBorder="1" applyAlignment="1">
      <alignment horizontal="center" vertical="center" readingOrder="2"/>
    </xf>
    <xf numFmtId="4" fontId="24" fillId="0" borderId="12" xfId="0" applyNumberFormat="1" applyFont="1" applyBorder="1" applyAlignment="1">
      <alignment horizontal="center" vertical="center" readingOrder="2"/>
    </xf>
    <xf numFmtId="165" fontId="27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24" fillId="0" borderId="5" xfId="0" applyNumberFormat="1" applyFont="1" applyFill="1" applyBorder="1" applyAlignment="1">
      <alignment horizontal="center" vertical="center" readingOrder="2"/>
    </xf>
    <xf numFmtId="4" fontId="24" fillId="0" borderId="5" xfId="1" applyNumberFormat="1" applyFont="1" applyFill="1" applyBorder="1" applyAlignment="1">
      <alignment horizontal="center" vertical="center" readingOrder="2"/>
    </xf>
    <xf numFmtId="4" fontId="24" fillId="0" borderId="5" xfId="0" applyNumberFormat="1" applyFont="1" applyFill="1" applyBorder="1" applyAlignment="1">
      <alignment horizontal="center" vertical="center" readingOrder="2"/>
    </xf>
    <xf numFmtId="4" fontId="24" fillId="0" borderId="5" xfId="0" applyNumberFormat="1" applyFont="1" applyBorder="1" applyAlignment="1">
      <alignment horizontal="center" vertical="center" readingOrder="2"/>
    </xf>
    <xf numFmtId="4" fontId="24" fillId="0" borderId="8" xfId="1" applyNumberFormat="1" applyFont="1" applyBorder="1" applyAlignment="1">
      <alignment horizontal="center" vertical="center" readingOrder="2"/>
    </xf>
    <xf numFmtId="165" fontId="27" fillId="0" borderId="0" xfId="3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NumberFormat="1" applyFont="1" applyFill="1" applyAlignment="1">
      <alignment horizontal="center" vertical="center" readingOrder="2"/>
    </xf>
    <xf numFmtId="1" fontId="0" fillId="0" borderId="0" xfId="0" applyNumberFormat="1" applyFont="1" applyFill="1" applyAlignment="1">
      <alignment horizontal="center" vertical="center" readingOrder="2"/>
    </xf>
    <xf numFmtId="0" fontId="0" fillId="0" borderId="0" xfId="0" applyNumberFormat="1" applyFont="1" applyFill="1" applyAlignment="1">
      <alignment horizontal="right" vertical="center"/>
    </xf>
    <xf numFmtId="2" fontId="0" fillId="0" borderId="0" xfId="1" applyNumberFormat="1" applyFont="1" applyFill="1" applyAlignment="1">
      <alignment horizontal="center" vertical="center" readingOrder="2"/>
    </xf>
    <xf numFmtId="0" fontId="0" fillId="0" borderId="0" xfId="1" applyNumberFormat="1" applyFont="1" applyFill="1" applyAlignment="1">
      <alignment horizontal="center" vertical="center" readingOrder="2"/>
    </xf>
    <xf numFmtId="2" fontId="0" fillId="0" borderId="0" xfId="0" applyNumberFormat="1" applyFont="1" applyFill="1" applyAlignment="1">
      <alignment horizontal="center" vertical="center" readingOrder="2"/>
    </xf>
    <xf numFmtId="0" fontId="0" fillId="0" borderId="0" xfId="0" applyFont="1" applyBorder="1" applyAlignment="1">
      <alignment horizontal="center"/>
    </xf>
    <xf numFmtId="166" fontId="30" fillId="2" borderId="22" xfId="0" applyNumberFormat="1" applyFont="1" applyFill="1" applyBorder="1" applyAlignment="1">
      <alignment horizontal="center" vertical="center"/>
    </xf>
    <xf numFmtId="166" fontId="30" fillId="2" borderId="0" xfId="0" applyNumberFormat="1" applyFont="1" applyFill="1" applyBorder="1" applyAlignment="1">
      <alignment horizontal="center" vertical="center"/>
    </xf>
    <xf numFmtId="166" fontId="29" fillId="2" borderId="22" xfId="0" applyNumberFormat="1" applyFont="1" applyFill="1" applyBorder="1" applyAlignment="1">
      <alignment horizontal="center" vertical="center" wrapText="1" shrinkToFit="1"/>
    </xf>
    <xf numFmtId="166" fontId="29" fillId="2" borderId="0" xfId="0" applyNumberFormat="1" applyFont="1" applyFill="1" applyBorder="1" applyAlignment="1">
      <alignment horizontal="center" vertical="center" wrapText="1" shrinkToFit="1"/>
    </xf>
    <xf numFmtId="0" fontId="30" fillId="2" borderId="22" xfId="0" applyNumberFormat="1" applyFont="1" applyFill="1" applyBorder="1" applyAlignment="1">
      <alignment horizontal="center" vertical="center"/>
    </xf>
    <xf numFmtId="0" fontId="30" fillId="2" borderId="0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4" xfId="3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165" fontId="16" fillId="2" borderId="4" xfId="3" applyFont="1" applyFill="1" applyBorder="1" applyAlignment="1">
      <alignment horizontal="center" vertical="center"/>
    </xf>
    <xf numFmtId="165" fontId="28" fillId="2" borderId="4" xfId="0" applyNumberFormat="1" applyFont="1" applyFill="1" applyBorder="1" applyAlignment="1">
      <alignment horizontal="right" vertical="center" wrapText="1" shrinkToFit="1"/>
    </xf>
    <xf numFmtId="0" fontId="28" fillId="2" borderId="27" xfId="0" applyNumberFormat="1" applyFont="1" applyFill="1" applyBorder="1" applyAlignment="1">
      <alignment horizontal="center" vertical="center" wrapText="1" shrinkToFit="1"/>
    </xf>
    <xf numFmtId="0" fontId="28" fillId="2" borderId="29" xfId="0" applyNumberFormat="1" applyFont="1" applyFill="1" applyBorder="1" applyAlignment="1">
      <alignment horizontal="center" vertical="center" wrapText="1" shrinkToFit="1"/>
    </xf>
    <xf numFmtId="0" fontId="31" fillId="2" borderId="0" xfId="0" applyFont="1" applyFill="1" applyBorder="1" applyAlignment="1">
      <alignment horizontal="center" vertical="center" wrapText="1" shrinkToFit="1"/>
    </xf>
    <xf numFmtId="165" fontId="13" fillId="2" borderId="0" xfId="0" applyNumberFormat="1" applyFont="1" applyFill="1" applyBorder="1" applyAlignment="1">
      <alignment horizontal="right" vertical="center" wrapText="1" shrinkToFit="1"/>
    </xf>
    <xf numFmtId="166" fontId="30" fillId="2" borderId="0" xfId="0" applyNumberFormat="1" applyFont="1" applyFill="1" applyBorder="1" applyAlignment="1">
      <alignment horizontal="center" vertical="center" wrapText="1" shrinkToFit="1"/>
    </xf>
    <xf numFmtId="168" fontId="19" fillId="2" borderId="27" xfId="0" applyNumberFormat="1" applyFont="1" applyFill="1" applyBorder="1" applyAlignment="1">
      <alignment horizontal="right" vertical="top" wrapText="1" indent="1" shrinkToFit="1"/>
    </xf>
    <xf numFmtId="168" fontId="19" fillId="2" borderId="28" xfId="0" applyNumberFormat="1" applyFont="1" applyFill="1" applyBorder="1" applyAlignment="1">
      <alignment horizontal="right" vertical="top" wrapText="1" indent="1" shrinkToFit="1"/>
    </xf>
    <xf numFmtId="168" fontId="19" fillId="2" borderId="29" xfId="0" applyNumberFormat="1" applyFont="1" applyFill="1" applyBorder="1" applyAlignment="1">
      <alignment horizontal="right" vertical="top" wrapText="1" indent="1" shrinkToFit="1"/>
    </xf>
    <xf numFmtId="0" fontId="16" fillId="2" borderId="2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165" fontId="16" fillId="2" borderId="27" xfId="3" applyFont="1" applyFill="1" applyBorder="1" applyAlignment="1">
      <alignment horizontal="center" vertical="center"/>
    </xf>
    <xf numFmtId="165" fontId="16" fillId="2" borderId="28" xfId="3" applyFont="1" applyFill="1" applyBorder="1" applyAlignment="1">
      <alignment horizontal="center" vertical="center"/>
    </xf>
    <xf numFmtId="165" fontId="16" fillId="2" borderId="29" xfId="3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left" vertical="top"/>
    </xf>
    <xf numFmtId="165" fontId="4" fillId="2" borderId="27" xfId="0" applyNumberFormat="1" applyFont="1" applyFill="1" applyBorder="1" applyAlignment="1">
      <alignment horizontal="center" vertical="top" wrapText="1" shrinkToFit="1"/>
    </xf>
    <xf numFmtId="165" fontId="4" fillId="2" borderId="28" xfId="0" applyNumberFormat="1" applyFont="1" applyFill="1" applyBorder="1" applyAlignment="1">
      <alignment horizontal="center" vertical="top" wrapText="1" shrinkToFit="1"/>
    </xf>
    <xf numFmtId="165" fontId="4" fillId="2" borderId="29" xfId="0" applyNumberFormat="1" applyFont="1" applyFill="1" applyBorder="1" applyAlignment="1">
      <alignment horizontal="center" vertical="top" wrapText="1" shrinkToFit="1"/>
    </xf>
    <xf numFmtId="172" fontId="4" fillId="2" borderId="24" xfId="0" applyNumberFormat="1" applyFont="1" applyFill="1" applyBorder="1" applyAlignment="1">
      <alignment horizontal="center" vertical="top" wrapText="1" shrinkToFit="1"/>
    </xf>
    <xf numFmtId="168" fontId="19" fillId="9" borderId="0" xfId="0" applyNumberFormat="1" applyFont="1" applyFill="1" applyBorder="1" applyAlignment="1">
      <alignment horizontal="center" vertical="top" wrapText="1" shrinkToFit="1"/>
    </xf>
    <xf numFmtId="0" fontId="18" fillId="2" borderId="0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wrapText="1" shrinkToFit="1"/>
    </xf>
    <xf numFmtId="0" fontId="3" fillId="0" borderId="20" xfId="0" applyNumberFormat="1" applyFont="1" applyFill="1" applyBorder="1" applyAlignment="1">
      <alignment horizontal="center" vertical="center" wrapText="1" shrinkToFit="1"/>
    </xf>
    <xf numFmtId="0" fontId="3" fillId="0" borderId="27" xfId="0" applyNumberFormat="1" applyFont="1" applyBorder="1" applyAlignment="1">
      <alignment horizontal="center" vertical="center" wrapText="1" shrinkToFit="1"/>
    </xf>
    <xf numFmtId="0" fontId="3" fillId="0" borderId="29" xfId="0" applyNumberFormat="1" applyFont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readingOrder="2"/>
    </xf>
    <xf numFmtId="0" fontId="7" fillId="2" borderId="0" xfId="0" applyFont="1" applyFill="1" applyBorder="1" applyAlignment="1">
      <alignment horizontal="center" vertical="center" readingOrder="2"/>
    </xf>
    <xf numFmtId="0" fontId="3" fillId="0" borderId="4" xfId="0" applyNumberFormat="1" applyFont="1" applyBorder="1" applyAlignment="1">
      <alignment horizontal="center" vertical="center" wrapText="1" shrinkToFit="1"/>
    </xf>
    <xf numFmtId="167" fontId="3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9" fontId="6" fillId="2" borderId="0" xfId="0" applyNumberFormat="1" applyFont="1" applyFill="1" applyAlignment="1">
      <alignment horizontal="center" vertical="center"/>
    </xf>
    <xf numFmtId="169" fontId="6" fillId="2" borderId="0" xfId="0" applyNumberFormat="1" applyFont="1" applyFill="1" applyBorder="1" applyAlignment="1">
      <alignment horizontal="center" vertical="center"/>
    </xf>
    <xf numFmtId="0" fontId="32" fillId="2" borderId="0" xfId="0" applyFont="1" applyFill="1" applyAlignment="1">
      <alignment horizontal="left" vertical="center"/>
    </xf>
    <xf numFmtId="169" fontId="32" fillId="2" borderId="0" xfId="0" applyNumberFormat="1" applyFont="1" applyFill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right" vertical="center" indent="1"/>
    </xf>
    <xf numFmtId="169" fontId="24" fillId="2" borderId="24" xfId="0" applyNumberFormat="1" applyFont="1" applyFill="1" applyBorder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readingOrder="2"/>
    </xf>
    <xf numFmtId="0" fontId="0" fillId="2" borderId="1" xfId="0" applyFont="1" applyFill="1" applyBorder="1" applyAlignment="1">
      <alignment horizontal="center" vertical="center" readingOrder="2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 readingOrder="2"/>
    </xf>
    <xf numFmtId="0" fontId="0" fillId="2" borderId="1" xfId="0" applyFont="1" applyFill="1" applyBorder="1" applyAlignment="1">
      <alignment horizontal="right" vertical="center" readingOrder="2"/>
    </xf>
    <xf numFmtId="0" fontId="0" fillId="2" borderId="3" xfId="0" applyFont="1" applyFill="1" applyBorder="1" applyAlignment="1">
      <alignment horizontal="center" vertical="top"/>
    </xf>
    <xf numFmtId="0" fontId="0" fillId="2" borderId="0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center" vertical="center"/>
    </xf>
    <xf numFmtId="170" fontId="0" fillId="2" borderId="0" xfId="0" applyNumberFormat="1" applyFont="1" applyFill="1" applyAlignment="1">
      <alignment horizontal="center" vertical="center"/>
    </xf>
    <xf numFmtId="171" fontId="0" fillId="2" borderId="0" xfId="0" applyNumberFormat="1" applyFont="1" applyFill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 readingOrder="2"/>
    </xf>
    <xf numFmtId="0" fontId="0" fillId="2" borderId="30" xfId="0" applyFont="1" applyFill="1" applyBorder="1" applyAlignment="1">
      <alignment horizontal="center" vertical="center" readingOrder="2"/>
    </xf>
  </cellXfs>
  <cellStyles count="4">
    <cellStyle name="Comma" xfId="1" builtinId="3"/>
    <cellStyle name="Comma 2" xfId="3" xr:uid="{6D9F7A76-F489-4FD5-A94E-D97F5AD2AD2C}"/>
    <cellStyle name="Percent" xfId="2" builtinId="5"/>
    <cellStyle name="عادي" xfId="0" builtinId="0"/>
  </cellStyles>
  <dxfs count="9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2" formatCode="0.0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1" formatCode="0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strike val="0"/>
        <outline val="0"/>
        <shadow val="0"/>
        <vertAlign val="baseline"/>
        <sz val="11"/>
      </font>
      <numFmt numFmtId="0" formatCode="General"/>
      <alignment horizontal="center" vertical="center" textRotation="0" wrapText="0" indent="0" justifyLastLine="0" shrinkToFit="0" readingOrder="2"/>
    </dxf>
    <dxf>
      <border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strike val="0"/>
        <outline val="0"/>
        <shadow val="0"/>
        <vertAlign val="baseline"/>
        <sz val="11"/>
      </font>
      <alignment horizontal="center" vertical="center" textRotation="0" indent="0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rgb="FFFF0000"/>
      </font>
    </dxf>
    <dxf>
      <font>
        <color rgb="FFFFFF00"/>
      </font>
    </dxf>
    <dxf>
      <font>
        <color rgb="FF92D050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35" formatCode="_-* #,##0.00\ _د_._ا_._‏_-;\-* #,##0.00\ _د_._ا_._‏_-;_-* &quot;-&quot;??\ _د_._ا_._‏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35" formatCode="_-* #,##0.00\ _د_._ا_._‏_-;\-* #,##0.00\ _د_._ا_._‏_-;_-* &quot;-&quot;??\ _د_._ا_._‏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1" readingOrder="2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6" formatCode="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numFmt numFmtId="166" formatCode="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4" formatCode="dd\ /mm/\ ddd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numFmt numFmtId="164" formatCode="dd\ /mm/\ ddd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1" readingOrder="2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1" readingOrder="2"/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numFmt numFmtId="168" formatCode="000000000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1" readingOrder="2"/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1" readingOrder="2"/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numFmt numFmtId="166" formatCode="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1" readingOrder="2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5" formatCode="_-* #,##0.00_-;_-* #,##0.00\-;_-* &quot;-&quot;??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/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/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right" vertical="center" textRotation="0" wrapText="1" indent="1" justifyLastLine="0" shrinkToFit="1" readingOrder="2"/>
      <border diagonalUp="0" diagonalDown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6" formatCode="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indexed="64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4" formatCode="dd\ /mm/\ ddd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2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9" formatCode="[$-2010000]yyyy/mm/dd;@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1" readingOrder="2"/>
      <border diagonalUp="0" diagonalDown="0" outline="0">
        <left style="thin">
          <color indexed="64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top style="thin">
          <color indexed="64"/>
        </top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نمط الجدول 1" pivot="0" count="1" xr9:uid="{00000000-0011-0000-FFFF-FFFF00000000}">
      <tableStyleElement type="wholeTable" dxfId="9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ven\8.2017%20st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rcode"/>
      <sheetName val="main"/>
      <sheetName val="ذمم"/>
      <sheetName val="فاتورة "/>
      <sheetName val="الاصناف"/>
      <sheetName val="تكويد"/>
      <sheetName val="الوارد و المرتجع"/>
      <sheetName val="البدل "/>
      <sheetName val="الكشف الشهري "/>
      <sheetName val="حركة المواد"/>
      <sheetName val="الملخ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236BB5-BBD3-40BD-8C54-CCE3C4A3330D}" name="الوارد" displayName="الوارد" ref="A3:G13" totalsRowCount="1" headerRowDxfId="927" dataDxfId="926" totalsRowDxfId="924" tableBorderDxfId="925" totalsRowBorderDxfId="923" headerRowCellStyle="Comma" dataCellStyle="Comma" totalsRowCellStyle="Comma">
  <autoFilter ref="A3:G12" xr:uid="{B1FBC992-9CB4-4D61-A625-BE544FC302BE}"/>
  <tableColumns count="7">
    <tableColumn id="1" xr3:uid="{A6609F5B-5BE7-43DB-A760-372D59EA200E}" name="اليوم والتاريخ" totalsRowLabel="الإجمالي" dataDxfId="922" totalsRowDxfId="921"/>
    <tableColumn id="2" xr3:uid="{E088BE10-9F8D-45CB-98C7-F4DB7D51A805}" name="كود الصنف" dataDxfId="920" totalsRowDxfId="919"/>
    <tableColumn id="3" xr3:uid="{E15B21DD-070B-4458-9EDB-A782209063F8}" name="المورد" dataDxfId="918" totalsRowDxfId="917">
      <calculatedColumnFormula>IFERROR(VLOOKUP(الوارد[[#This Row],[كود الصنف]],'تكويد الأصناف'!A:F,3,0)," ")</calculatedColumnFormula>
    </tableColumn>
    <tableColumn id="4" xr3:uid="{BCAC1F2C-E194-4CA5-9268-3C5386F2E5AA}" name="اسم الصنف" dataDxfId="916" totalsRowDxfId="915">
      <calculatedColumnFormula>IFERROR(VLOOKUP(الوارد[[#This Row],[كود الصنف]],'تكويد الأصناف'!A:F,4,0),"")</calculatedColumnFormula>
    </tableColumn>
    <tableColumn id="5" xr3:uid="{9E4200E4-3F29-4966-BF0C-06A988DB85B5}" name="العدد" totalsRowFunction="sum" dataDxfId="914" totalsRowDxfId="913"/>
    <tableColumn id="6" xr3:uid="{B089F13C-8F0C-4AE8-B48E-0D06411C628A}" name="سعر القطعة" dataDxfId="912" totalsRowDxfId="911" dataCellStyle="Comma">
      <calculatedColumnFormula>IFERROR(VLOOKUP(الوارد[[#This Row],[كود الصنف]],'تكويد الأصناف'!A:F,6,0),"")</calculatedColumnFormula>
    </tableColumn>
    <tableColumn id="7" xr3:uid="{AFE34D5B-270B-4676-9ED0-17D42D8CD920}" name="الاجمالي" totalsRowFunction="sum" dataDxfId="910" totalsRowDxfId="909" dataCellStyle="Comma">
      <calculatedColumnFormula>IFERROR(الوارد[[#This Row],[العدد]]*الوارد[[#This Row],[سعر القطعة]],"")</calculatedColumnFormula>
    </tableColumn>
  </tableColumns>
  <tableStyleInfo name="نمط الجدول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6AF302-4E73-4F77-A448-E4112C609F8F}" name="الجدول7" displayName="الجدول7" ref="A4:I13" totalsRowCount="1" headerRowDxfId="695" dataDxfId="693" totalsRowDxfId="691" headerRowBorderDxfId="694" tableBorderDxfId="692" totalsRowBorderDxfId="690">
  <tableColumns count="9">
    <tableColumn id="1" xr3:uid="{E1C16399-ADED-453A-AE63-7920A7AD2C44}" name="فئة التكلفة" dataDxfId="689" totalsRowDxfId="688">
      <calculatedColumnFormula>IFERROR(VLOOKUP(الجدول7[[#This Row],[كود الصنف]],'تكويد الأصناف'!A:F,6,0),"")</calculatedColumnFormula>
    </tableColumn>
    <tableColumn id="8" xr3:uid="{F93131D7-D4DB-44B0-A0FD-1D86495B7525}" name="المورد" dataDxfId="687" totalsRowDxfId="686">
      <calculatedColumnFormula>IFERROR(VLOOKUP(الجدول7[[#This Row],[كود الصنف]],'تكويد الأصناف'!A:F,3,0)," ")</calculatedColumnFormula>
    </tableColumn>
    <tableColumn id="2" xr3:uid="{E336891A-4C7F-4C28-8C3E-2ECEE6FEA91C}" name="كود الصنف" dataDxfId="685" totalsRowDxfId="684"/>
    <tableColumn id="3" xr3:uid="{A8C1B8E0-F08F-4AFC-B490-EB13B61D18E8}" name="إســــــــم الـصـنــــــــــف" dataDxfId="683" totalsRowDxfId="682">
      <calculatedColumnFormula>IFERROR(VLOOKUP(الجدول7[[#This Row],[كود الصنف]],'تكويد الأصناف'!A:F,4,0),"")</calculatedColumnFormula>
    </tableColumn>
    <tableColumn id="9" xr3:uid="{D480EB40-A24B-43B8-8EC6-976F32D28CE3}" name="السعر الفعلي" dataDxfId="681" totalsRowDxfId="680" dataCellStyle="Comma">
      <calculatedColumnFormula>IFERROR(VLOOKUP(الجدول7[[#This Row],[كود الصنف]],'تكويد الأصناف'!A:F,5,0),"")</calculatedColumnFormula>
    </tableColumn>
    <tableColumn id="4" xr3:uid="{151FD0CB-C20C-43C1-92F0-A4892DA290CE}" name="العدد" totalsRowFunction="sum" dataDxfId="679" totalsRowDxfId="678" dataCellStyle="Comma"/>
    <tableColumn id="5" xr3:uid="{EB020B31-EA23-4373-A3AC-80E54CF0D3EB}" name="سعر البيع" totalsRowFunction="sum" dataDxfId="677" totalsRowDxfId="676" dataCellStyle="Comma"/>
    <tableColumn id="6" xr3:uid="{B2E1D469-0FC2-4F45-B6CE-DB5199800874}" name="متوسط" dataDxfId="675" totalsRowDxfId="674" dataCellStyle="Comma">
      <calculatedColumnFormula>IFERROR(الجدول7[[#This Row],[فئة التكلفة]]*الجدول7[[#This Row],[العدد]]," ")</calculatedColumnFormula>
    </tableColumn>
    <tableColumn id="7" xr3:uid="{E2BC8E25-75D3-4E42-A636-56DF5319A0CB}" name="±" totalsRowFunction="sum" dataDxfId="673" totalsRowDxfId="672">
      <calculatedColumnFormula>IFERROR(الجدول7[[#This Row],[سعر البيع]]-الجدول7[[#This Row],[فئة التكلفة]]*الجدول7[[#This Row],[العدد]],"")</calculatedColumnFormula>
    </tableColumn>
  </tableColumns>
  <tableStyleInfo name="نمط الجدول 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301A78E-0161-4535-A120-2E6D2EDB128D}" name="الجدول8" displayName="الجدول8" ref="A4:I9" totalsRowCount="1" headerRowDxfId="667" dataDxfId="665" totalsRowDxfId="663" headerRowBorderDxfId="666" tableBorderDxfId="664" totalsRowBorderDxfId="662">
  <tableColumns count="9">
    <tableColumn id="1" xr3:uid="{CB44BB7D-0F9A-4407-BC73-EFD6122A69A7}" name="فئة التكلفة" dataDxfId="661" totalsRowDxfId="660">
      <calculatedColumnFormula>IFERROR(VLOOKUP(الجدول8[[#This Row],[كود الصنف]],'تكويد الأصناف'!A:F,6,0),"")</calculatedColumnFormula>
    </tableColumn>
    <tableColumn id="8" xr3:uid="{6FE7629D-E944-4B1B-9992-C0C29B11E954}" name="المورد" dataDxfId="659" totalsRowDxfId="658">
      <calculatedColumnFormula>IFERROR(VLOOKUP(الجدول8[[#This Row],[كود الصنف]],'تكويد الأصناف'!A:F,3,0)," ")</calculatedColumnFormula>
    </tableColumn>
    <tableColumn id="2" xr3:uid="{21B50CEF-9873-443C-ACDE-F48B6217DFEC}" name="كود الصنف" dataDxfId="657" totalsRowDxfId="656"/>
    <tableColumn id="3" xr3:uid="{8E87D32F-4CAE-49D2-A57B-421F426F98BA}" name="إســــــــم الـصـنــــــــــف" dataDxfId="655" totalsRowDxfId="654">
      <calculatedColumnFormula>IFERROR(VLOOKUP(الجدول8[[#This Row],[كود الصنف]],'تكويد الأصناف'!A:F,4,0),"")</calculatedColumnFormula>
    </tableColumn>
    <tableColumn id="9" xr3:uid="{8C51D7B8-94C2-4DC8-BAA4-3F983EEFF170}" name="السعر الفعلي" dataDxfId="653" totalsRowDxfId="652" dataCellStyle="Comma">
      <calculatedColumnFormula>IFERROR(VLOOKUP(الجدول8[[#This Row],[كود الصنف]],'تكويد الأصناف'!A:F,5,0),"")</calculatedColumnFormula>
    </tableColumn>
    <tableColumn id="4" xr3:uid="{40DE5113-F1B1-45A5-AD79-659457577233}" name="العدد" totalsRowFunction="sum" dataDxfId="651" totalsRowDxfId="650" dataCellStyle="Comma"/>
    <tableColumn id="5" xr3:uid="{CE25567F-6410-45FE-833E-318ADB59461B}" name="سعر البيع" totalsRowFunction="sum" dataDxfId="649" totalsRowDxfId="648" dataCellStyle="Comma"/>
    <tableColumn id="6" xr3:uid="{35720B61-0F17-42C3-9D8F-9D1538AB8F26}" name="متوسط" dataDxfId="647" totalsRowDxfId="646" dataCellStyle="Comma">
      <calculatedColumnFormula>IFERROR(الجدول8[[#This Row],[فئة التكلفة]]*الجدول8[[#This Row],[العدد]]," ")</calculatedColumnFormula>
    </tableColumn>
    <tableColumn id="7" xr3:uid="{D1FB210C-C9BD-4A16-8A3A-DF368EB8598E}" name="±" totalsRowFunction="sum" dataDxfId="645" totalsRowDxfId="644">
      <calculatedColumnFormula>IFERROR(الجدول8[[#This Row],[سعر البيع]]-الجدول8[[#This Row],[فئة التكلفة]]*الجدول8[[#This Row],[العدد]],"")</calculatedColumnFormula>
    </tableColumn>
  </tableColumns>
  <tableStyleInfo name="نمط الجدول 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4400A3A-F9B9-4FB0-A740-142D81AE10A5}" name="الجدول9" displayName="الجدول9" ref="A4:I9" totalsRowCount="1" headerRowDxfId="639" dataDxfId="637" totalsRowDxfId="635" headerRowBorderDxfId="638" tableBorderDxfId="636" totalsRowBorderDxfId="634">
  <tableColumns count="9">
    <tableColumn id="1" xr3:uid="{0D62E037-4F0F-4220-8A41-0B484E8C8A01}" name="فئة التكلفة" dataDxfId="633" totalsRowDxfId="632">
      <calculatedColumnFormula>IFERROR(VLOOKUP(الجدول9[[#This Row],[كود الصنف]],'تكويد الأصناف'!A:F,6,0),"")</calculatedColumnFormula>
    </tableColumn>
    <tableColumn id="8" xr3:uid="{E99B7D0D-4C73-4E23-BBE2-8E747A20E301}" name="المورد" dataDxfId="631" totalsRowDxfId="630">
      <calculatedColumnFormula>IFERROR(VLOOKUP(الجدول9[[#This Row],[كود الصنف]],'تكويد الأصناف'!A:F,3,0)," ")</calculatedColumnFormula>
    </tableColumn>
    <tableColumn id="2" xr3:uid="{6367B7C7-184A-4FFB-AB44-3A43E6DC1F3C}" name="كود الصنف" dataDxfId="629" totalsRowDxfId="628"/>
    <tableColumn id="3" xr3:uid="{BC0DD98F-1CA6-4925-863C-56549B003990}" name="إســــــــم الـصـنــــــــــف" dataDxfId="627" totalsRowDxfId="626">
      <calculatedColumnFormula>IFERROR(VLOOKUP(الجدول9[[#This Row],[كود الصنف]],'تكويد الأصناف'!A:F,4,0),"")</calculatedColumnFormula>
    </tableColumn>
    <tableColumn id="9" xr3:uid="{DA464BE8-35AD-404C-ABAD-9F2F16475632}" name="السعر الفعلي" dataDxfId="625" totalsRowDxfId="624" dataCellStyle="Comma">
      <calculatedColumnFormula>IFERROR(VLOOKUP(الجدول9[[#This Row],[كود الصنف]],'تكويد الأصناف'!A:F,5,0),"")</calculatedColumnFormula>
    </tableColumn>
    <tableColumn id="4" xr3:uid="{A879040B-CA22-463C-80FE-A9F05959A810}" name="العدد" totalsRowFunction="sum" dataDxfId="623" totalsRowDxfId="622" dataCellStyle="Comma"/>
    <tableColumn id="5" xr3:uid="{77752D4A-C5EF-4916-9657-B5E9D325922E}" name="سعر البيع" totalsRowFunction="sum" dataDxfId="621" totalsRowDxfId="620" dataCellStyle="Comma"/>
    <tableColumn id="6" xr3:uid="{EAC2DACA-6111-4BAE-80FF-975EB6F29D2C}" name="متوسط" dataDxfId="619" totalsRowDxfId="618" dataCellStyle="Comma">
      <calculatedColumnFormula>IFERROR(الجدول9[[#This Row],[فئة التكلفة]]*الجدول9[[#This Row],[العدد]]," ")</calculatedColumnFormula>
    </tableColumn>
    <tableColumn id="7" xr3:uid="{6FF9748D-68A4-4448-B7B3-7A5CBCD9044A}" name="±" totalsRowFunction="sum" dataDxfId="617" totalsRowDxfId="616">
      <calculatedColumnFormula>IFERROR(الجدول9[[#This Row],[سعر البيع]]-الجدول9[[#This Row],[فئة التكلفة]]*الجدول9[[#This Row],[العدد]],"")</calculatedColumnFormula>
    </tableColumn>
  </tableColumns>
  <tableStyleInfo name="نمط الجدول 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FA96469-0F84-4C37-A8D9-5D2CD72E2543}" name="الجدول10" displayName="الجدول10" ref="A4:I11" totalsRowCount="1" headerRowDxfId="611" dataDxfId="609" totalsRowDxfId="607" headerRowBorderDxfId="610" tableBorderDxfId="608" totalsRowBorderDxfId="606">
  <tableColumns count="9">
    <tableColumn id="1" xr3:uid="{A265317F-2E90-420D-8EA7-314FDBE73B4C}" name="فئة التكلفة" dataDxfId="605" totalsRowDxfId="604">
      <calculatedColumnFormula>IFERROR(VLOOKUP(الجدول10[[#This Row],[كود الصنف]],'تكويد الأصناف'!A:F,6,0),"")</calculatedColumnFormula>
    </tableColumn>
    <tableColumn id="8" xr3:uid="{ADCB2619-97A3-429B-8B3E-0C661E0A7A14}" name="المورد" dataDxfId="603" totalsRowDxfId="602">
      <calculatedColumnFormula>IFERROR(VLOOKUP(الجدول10[[#This Row],[كود الصنف]],'تكويد الأصناف'!A:F,3,0)," ")</calculatedColumnFormula>
    </tableColumn>
    <tableColumn id="2" xr3:uid="{56A924CC-00C6-4C10-B27A-59F0948DD1BC}" name="كود الصنف" dataDxfId="601" totalsRowDxfId="600"/>
    <tableColumn id="3" xr3:uid="{69040A10-4799-4182-BB37-8CBF006690B9}" name="إســــــــم الـصـنــــــــــف" dataDxfId="599" totalsRowDxfId="598">
      <calculatedColumnFormula>IFERROR(VLOOKUP(الجدول10[[#This Row],[كود الصنف]],'تكويد الأصناف'!A:F,4,0),"")</calculatedColumnFormula>
    </tableColumn>
    <tableColumn id="9" xr3:uid="{84DF3413-7EEB-4FC5-A333-7914B10EE325}" name="السعر الفعلي" dataDxfId="597" totalsRowDxfId="596" dataCellStyle="Comma">
      <calculatedColumnFormula>IFERROR(VLOOKUP(الجدول10[[#This Row],[كود الصنف]],'تكويد الأصناف'!A:F,5,0),"")</calculatedColumnFormula>
    </tableColumn>
    <tableColumn id="4" xr3:uid="{644418A0-4ECD-4425-91B5-97CE765C25B1}" name="العدد" totalsRowFunction="sum" dataDxfId="595" totalsRowDxfId="594" dataCellStyle="Comma"/>
    <tableColumn id="5" xr3:uid="{3452174A-FEEF-48B2-9481-589EE013856D}" name="سعر البيع" totalsRowFunction="sum" dataDxfId="593" totalsRowDxfId="592" dataCellStyle="Comma"/>
    <tableColumn id="6" xr3:uid="{106DC17D-450F-420B-918A-F1FA18888ADB}" name="متوسط" dataDxfId="591" totalsRowDxfId="590" dataCellStyle="Comma">
      <calculatedColumnFormula>IFERROR(الجدول10[[#This Row],[فئة التكلفة]]*الجدول10[[#This Row],[العدد]]," ")</calculatedColumnFormula>
    </tableColumn>
    <tableColumn id="7" xr3:uid="{E37FF0EE-D230-4EEB-9918-52847A629218}" name="±" totalsRowFunction="sum" dataDxfId="589" totalsRowDxfId="588">
      <calculatedColumnFormula>IFERROR(الجدول10[[#This Row],[سعر البيع]]-الجدول10[[#This Row],[فئة التكلفة]]*الجدول10[[#This Row],[العدد]],"")</calculatedColumnFormula>
    </tableColumn>
  </tableColumns>
  <tableStyleInfo name="نمط الجدول 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6853611-E051-4C58-8CA4-9D9FA9FC04C4}" name="الجدول11" displayName="الجدول11" ref="A4:I12" totalsRowCount="1" headerRowDxfId="583" dataDxfId="581" totalsRowDxfId="579" headerRowBorderDxfId="582" tableBorderDxfId="580" totalsRowBorderDxfId="578">
  <tableColumns count="9">
    <tableColumn id="1" xr3:uid="{EE241F20-4CA9-46C2-9DDB-A651F8412F07}" name="فئة التكلفة" dataDxfId="577" totalsRowDxfId="576">
      <calculatedColumnFormula>IFERROR(VLOOKUP(الجدول11[[#This Row],[كود الصنف]],'تكويد الأصناف'!A:F,6,0),"")</calculatedColumnFormula>
    </tableColumn>
    <tableColumn id="8" xr3:uid="{6C3AF83B-1533-409A-A70D-18DCE2AB2D93}" name="المورد" dataDxfId="575" totalsRowDxfId="574">
      <calculatedColumnFormula>IFERROR(VLOOKUP(الجدول11[[#This Row],[كود الصنف]],'تكويد الأصناف'!A:F,3,0)," ")</calculatedColumnFormula>
    </tableColumn>
    <tableColumn id="2" xr3:uid="{5D95367C-2816-40FC-AEC3-0CBE7CA4EECB}" name="كود الصنف" dataDxfId="573" totalsRowDxfId="572"/>
    <tableColumn id="3" xr3:uid="{A13C9DAF-3956-4F50-BEF9-F0C6D024B689}" name="إســــــــم الـصـنــــــــــف" dataDxfId="571" totalsRowDxfId="570">
      <calculatedColumnFormula>IFERROR(VLOOKUP(الجدول11[[#This Row],[كود الصنف]],'تكويد الأصناف'!A:F,4,0),"")</calculatedColumnFormula>
    </tableColumn>
    <tableColumn id="9" xr3:uid="{A304AC49-2FE8-46D9-9AF1-DE8FDD908707}" name="السعر الفعلي" dataDxfId="569" totalsRowDxfId="568" dataCellStyle="Comma">
      <calculatedColumnFormula>IFERROR(VLOOKUP(الجدول11[[#This Row],[كود الصنف]],'تكويد الأصناف'!A:F,5,0),"")</calculatedColumnFormula>
    </tableColumn>
    <tableColumn id="4" xr3:uid="{F2A8D5B7-CFCC-4ADC-A984-F62EC977DF98}" name="العدد" totalsRowFunction="sum" dataDxfId="567" totalsRowDxfId="566" dataCellStyle="Comma"/>
    <tableColumn id="5" xr3:uid="{FEE18DAE-CBBB-41D2-87AE-52D0671278B8}" name="سعر البيع" totalsRowFunction="sum" dataDxfId="565" totalsRowDxfId="564" dataCellStyle="Comma"/>
    <tableColumn id="6" xr3:uid="{19FFA340-6FEB-494C-9D32-1E0F1775EA1A}" name="متوسط" dataDxfId="563" totalsRowDxfId="562" dataCellStyle="Comma">
      <calculatedColumnFormula>IFERROR(الجدول11[[#This Row],[فئة التكلفة]]*الجدول11[[#This Row],[العدد]]," ")</calculatedColumnFormula>
    </tableColumn>
    <tableColumn id="7" xr3:uid="{518E261A-5C21-46B7-AD1D-717A8FA75A6C}" name="±" totalsRowFunction="sum" dataDxfId="561" totalsRowDxfId="560">
      <calculatedColumnFormula>IFERROR(الجدول11[[#This Row],[سعر البيع]]-الجدول11[[#This Row],[فئة التكلفة]]*الجدول11[[#This Row],[العدد]],"")</calculatedColumnFormula>
    </tableColumn>
  </tableColumns>
  <tableStyleInfo name="نمط الجدول 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13FB48D-478A-4464-AEE3-D59C1756230D}" name="الجدول12" displayName="الجدول12" ref="A4:I11" totalsRowCount="1" headerRowDxfId="555" dataDxfId="553" totalsRowDxfId="551" headerRowBorderDxfId="554" tableBorderDxfId="552" totalsRowBorderDxfId="550">
  <tableColumns count="9">
    <tableColumn id="1" xr3:uid="{760C42CF-68FA-41EE-B5CF-F3F053934CFF}" name="فئة التكلفة" dataDxfId="549" totalsRowDxfId="548">
      <calculatedColumnFormula>IFERROR(VLOOKUP(الجدول12[[#This Row],[كود الصنف]],'تكويد الأصناف'!A:F,6,0),"")</calculatedColumnFormula>
    </tableColumn>
    <tableColumn id="8" xr3:uid="{B6301412-9398-4701-B604-65557DA205AA}" name="المورد" dataDxfId="547" totalsRowDxfId="546">
      <calculatedColumnFormula>IFERROR(VLOOKUP(الجدول12[[#This Row],[كود الصنف]],'تكويد الأصناف'!A:F,3,0)," ")</calculatedColumnFormula>
    </tableColumn>
    <tableColumn id="2" xr3:uid="{80EFBA13-4E5D-4B28-8A51-EB013F40E84A}" name="كود الصنف" dataDxfId="545" totalsRowDxfId="544"/>
    <tableColumn id="3" xr3:uid="{3D77F7FE-3DB4-464B-A275-FB5D3F3CFC38}" name="إســــــــم الـصـنــــــــــف" dataDxfId="543" totalsRowDxfId="542">
      <calculatedColumnFormula>IFERROR(VLOOKUP(الجدول12[[#This Row],[كود الصنف]],'تكويد الأصناف'!A:F,4,0),"")</calculatedColumnFormula>
    </tableColumn>
    <tableColumn id="9" xr3:uid="{C8D830D7-39C9-47A3-AB92-404FB23BF3B6}" name="السعر الفعلي" dataDxfId="541" totalsRowDxfId="540" dataCellStyle="Comma">
      <calculatedColumnFormula>IFERROR(VLOOKUP(الجدول12[[#This Row],[كود الصنف]],'تكويد الأصناف'!A:F,5,0),"")</calculatedColumnFormula>
    </tableColumn>
    <tableColumn id="4" xr3:uid="{12432C09-34EE-49B3-B747-328014E3FA27}" name="العدد" totalsRowFunction="sum" dataDxfId="539" totalsRowDxfId="538" dataCellStyle="Comma"/>
    <tableColumn id="5" xr3:uid="{298E6EE4-CAE5-4DAC-BC6C-1D01F10B80C4}" name="سعر البيع" totalsRowFunction="sum" dataDxfId="537" totalsRowDxfId="536" dataCellStyle="Comma"/>
    <tableColumn id="6" xr3:uid="{EDA8F918-2B8E-4D8F-960F-5CFC977201AF}" name="متوسط" dataDxfId="535" totalsRowDxfId="534" dataCellStyle="Comma">
      <calculatedColumnFormula>IFERROR(الجدول12[[#This Row],[فئة التكلفة]]*الجدول12[[#This Row],[العدد]]," ")</calculatedColumnFormula>
    </tableColumn>
    <tableColumn id="7" xr3:uid="{9EE50A97-1A29-4BBF-BCD4-79050F17B125}" name="±" totalsRowFunction="sum" dataDxfId="533" totalsRowDxfId="532">
      <calculatedColumnFormula>IFERROR(الجدول12[[#This Row],[سعر البيع]]-الجدول12[[#This Row],[فئة التكلفة]]*الجدول12[[#This Row],[العدد]],"")</calculatedColumnFormula>
    </tableColumn>
  </tableColumns>
  <tableStyleInfo name="نمط الجدول 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56278AB-1977-4B23-B090-E5D01101694E}" name="الجدول13" displayName="الجدول13" ref="A4:I13" totalsRowCount="1" headerRowDxfId="527" dataDxfId="525" totalsRowDxfId="523" headerRowBorderDxfId="526" tableBorderDxfId="524" totalsRowBorderDxfId="522">
  <tableColumns count="9">
    <tableColumn id="1" xr3:uid="{26D83F3F-7ED7-43D4-8C20-BA73D1E683EE}" name="فئة التكلفة" dataDxfId="521" totalsRowDxfId="520">
      <calculatedColumnFormula>IFERROR(VLOOKUP(الجدول13[[#This Row],[كود الصنف]],'تكويد الأصناف'!A:F,6,0),"")</calculatedColumnFormula>
    </tableColumn>
    <tableColumn id="8" xr3:uid="{7F53BB38-418E-4557-89BA-8E1DA1DF8A0C}" name="المورد" dataDxfId="519" totalsRowDxfId="518">
      <calculatedColumnFormula>IFERROR(VLOOKUP(الجدول13[[#This Row],[كود الصنف]],'تكويد الأصناف'!A:F,3,0)," ")</calculatedColumnFormula>
    </tableColumn>
    <tableColumn id="2" xr3:uid="{13AF9D60-7279-4BE1-BBF6-C17B3BBA8890}" name="كود الصنف" dataDxfId="517" totalsRowDxfId="516"/>
    <tableColumn id="3" xr3:uid="{94908F65-DE02-4E75-A683-5CD3848127BA}" name="إســــــــم الـصـنــــــــــف" dataDxfId="515" totalsRowDxfId="514">
      <calculatedColumnFormula>IFERROR(VLOOKUP(الجدول13[[#This Row],[كود الصنف]],'تكويد الأصناف'!A:F,4,0),"")</calculatedColumnFormula>
    </tableColumn>
    <tableColumn id="9" xr3:uid="{F8C8D2C8-D9E4-4744-9E39-7B8F415F1538}" name="السعر الفعلي" dataDxfId="513" totalsRowDxfId="512" dataCellStyle="Comma">
      <calculatedColumnFormula>IFERROR(VLOOKUP(الجدول13[[#This Row],[كود الصنف]],'تكويد الأصناف'!A:F,5,0),"")</calculatedColumnFormula>
    </tableColumn>
    <tableColumn id="4" xr3:uid="{6CCA2B91-6740-4223-A0D5-F2680C726856}" name="العدد" totalsRowFunction="sum" dataDxfId="511" totalsRowDxfId="510" dataCellStyle="Comma"/>
    <tableColumn id="5" xr3:uid="{FF395320-3CD7-4A74-AD13-AFC6691043C7}" name="سعر البيع" totalsRowFunction="sum" dataDxfId="509" totalsRowDxfId="508" dataCellStyle="Comma"/>
    <tableColumn id="6" xr3:uid="{C13AE976-17F8-4ABA-9B27-DEF8F834A929}" name="متوسط" dataDxfId="507" totalsRowDxfId="506" dataCellStyle="Comma">
      <calculatedColumnFormula>IFERROR(الجدول13[[#This Row],[فئة التكلفة]]*الجدول13[[#This Row],[العدد]]," ")</calculatedColumnFormula>
    </tableColumn>
    <tableColumn id="7" xr3:uid="{5767156A-9EE9-4FA6-BF03-5120D324EC7E}" name="±" totalsRowFunction="sum" dataDxfId="505" totalsRowDxfId="504">
      <calculatedColumnFormula>IFERROR(الجدول13[[#This Row],[سعر البيع]]-الجدول13[[#This Row],[فئة التكلفة]]*الجدول13[[#This Row],[العدد]],"")</calculatedColumnFormula>
    </tableColumn>
  </tableColumns>
  <tableStyleInfo name="نمط الجدول 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BDD0784-AFAD-44D3-9FB6-D8EEE3F63FCC}" name="الجدول14" displayName="الجدول14" ref="A4:I9" totalsRowCount="1" headerRowDxfId="499" dataDxfId="497" totalsRowDxfId="495" headerRowBorderDxfId="498" tableBorderDxfId="496" totalsRowBorderDxfId="494">
  <tableColumns count="9">
    <tableColumn id="1" xr3:uid="{0D47CDFA-40F2-4F1A-A586-377A36C46F94}" name="فئة التكلفة" dataDxfId="493" totalsRowDxfId="492">
      <calculatedColumnFormula>IFERROR(VLOOKUP(الجدول14[[#This Row],[كود الصنف]],'تكويد الأصناف'!A:F,6,0),"")</calculatedColumnFormula>
    </tableColumn>
    <tableColumn id="8" xr3:uid="{61DF53F9-CC42-46B4-8F71-C6E0E533DE6D}" name="المورد" dataDxfId="491" totalsRowDxfId="490">
      <calculatedColumnFormula>IFERROR(VLOOKUP(الجدول14[[#This Row],[كود الصنف]],'تكويد الأصناف'!A:F,3,0)," ")</calculatedColumnFormula>
    </tableColumn>
    <tableColumn id="2" xr3:uid="{FCFBBD45-3603-4D3C-BF57-869DBEF51252}" name="كود الصنف" dataDxfId="489" totalsRowDxfId="488"/>
    <tableColumn id="3" xr3:uid="{A939DB0C-863E-467F-BEA0-16959E6D3B33}" name="إســــــــم الـصـنــــــــــف" dataDxfId="487" totalsRowDxfId="486">
      <calculatedColumnFormula>IFERROR(VLOOKUP(الجدول14[[#This Row],[كود الصنف]],'تكويد الأصناف'!A:F,4,0),"")</calculatedColumnFormula>
    </tableColumn>
    <tableColumn id="9" xr3:uid="{BBC98001-936F-4C17-A587-512DF89BA463}" name="السعر الفعلي" dataDxfId="485" totalsRowDxfId="484" dataCellStyle="Comma">
      <calculatedColumnFormula>IFERROR(VLOOKUP(الجدول14[[#This Row],[كود الصنف]],'تكويد الأصناف'!A:F,5,0),"")</calculatedColumnFormula>
    </tableColumn>
    <tableColumn id="4" xr3:uid="{F072FCDA-F4BC-46D1-AAF0-2C169B6D3B41}" name="العدد" totalsRowFunction="sum" dataDxfId="483" totalsRowDxfId="482" dataCellStyle="Comma"/>
    <tableColumn id="5" xr3:uid="{C218F283-40FD-45E0-BFB9-82CE6FF3813F}" name="سعر البيع" totalsRowFunction="sum" dataDxfId="481" totalsRowDxfId="480" dataCellStyle="Comma"/>
    <tableColumn id="6" xr3:uid="{8551C712-C3C3-46F8-96F2-B43056F0BC7D}" name="متوسط" dataDxfId="479" totalsRowDxfId="478" dataCellStyle="Comma">
      <calculatedColumnFormula>IFERROR(الجدول14[[#This Row],[فئة التكلفة]]*الجدول14[[#This Row],[العدد]]," ")</calculatedColumnFormula>
    </tableColumn>
    <tableColumn id="7" xr3:uid="{ADC1D728-2FB5-4E6C-9C31-E22905B96F19}" name="±" totalsRowFunction="sum" dataDxfId="477" totalsRowDxfId="476">
      <calculatedColumnFormula>IFERROR(الجدول14[[#This Row],[سعر البيع]]-الجدول14[[#This Row],[فئة التكلفة]]*الجدول14[[#This Row],[العدد]],"")</calculatedColumnFormula>
    </tableColumn>
  </tableColumns>
  <tableStyleInfo name="نمط الجدول 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13D0540-917F-455D-A0A1-89A598E6C8B3}" name="الجدول15" displayName="الجدول15" ref="A4:I9" totalsRowCount="1" headerRowDxfId="471" dataDxfId="469" totalsRowDxfId="467" headerRowBorderDxfId="470" tableBorderDxfId="468" totalsRowBorderDxfId="466">
  <tableColumns count="9">
    <tableColumn id="1" xr3:uid="{C5649B61-0911-4C0D-A423-B5E3FAE8A8C0}" name="فئة التكلفة" dataDxfId="465" totalsRowDxfId="464">
      <calculatedColumnFormula>IFERROR(VLOOKUP(الجدول15[[#This Row],[كود الصنف]],'تكويد الأصناف'!A:F,6,0),"")</calculatedColumnFormula>
    </tableColumn>
    <tableColumn id="8" xr3:uid="{5AA94913-E348-43E1-B8B7-AAB32DDF19A2}" name="المورد" dataDxfId="463" totalsRowDxfId="462">
      <calculatedColumnFormula>IFERROR(VLOOKUP(الجدول15[[#This Row],[كود الصنف]],'تكويد الأصناف'!A:F,3,0)," ")</calculatedColumnFormula>
    </tableColumn>
    <tableColumn id="2" xr3:uid="{EF255189-59B1-44CC-A8FE-03D445B4405D}" name="كود الصنف" dataDxfId="461" totalsRowDxfId="460"/>
    <tableColumn id="3" xr3:uid="{FA708E3F-75BF-472A-899F-0256F7DDBBAD}" name="إســــــــم الـصـنــــــــــف" dataDxfId="459" totalsRowDxfId="458">
      <calculatedColumnFormula>IFERROR(VLOOKUP(الجدول15[[#This Row],[كود الصنف]],'تكويد الأصناف'!A:F,4,0),"")</calculatedColumnFormula>
    </tableColumn>
    <tableColumn id="9" xr3:uid="{CCBCF0DC-BA7C-49CA-BFF0-F16683483436}" name="السعر الفعلي" dataDxfId="457" totalsRowDxfId="456" dataCellStyle="Comma">
      <calculatedColumnFormula>IFERROR(VLOOKUP(الجدول15[[#This Row],[كود الصنف]],'تكويد الأصناف'!A:F,5,0),"")</calculatedColumnFormula>
    </tableColumn>
    <tableColumn id="4" xr3:uid="{2F9EC348-1392-49EA-BB99-A43D329A2B7D}" name="العدد" totalsRowFunction="sum" dataDxfId="455" totalsRowDxfId="454" dataCellStyle="Comma"/>
    <tableColumn id="5" xr3:uid="{FC10C15D-77E6-4A9C-8A1C-D720C073B93B}" name="سعر البيع" totalsRowFunction="sum" dataDxfId="453" totalsRowDxfId="452" dataCellStyle="Comma"/>
    <tableColumn id="6" xr3:uid="{F7217550-F47C-40F5-990B-2D07EBEA84C8}" name="متوسط" dataDxfId="451" totalsRowDxfId="450" dataCellStyle="Comma">
      <calculatedColumnFormula>IFERROR(الجدول15[[#This Row],[فئة التكلفة]]*الجدول15[[#This Row],[العدد]]," ")</calculatedColumnFormula>
    </tableColumn>
    <tableColumn id="7" xr3:uid="{4E07DE8F-6BD5-4AB9-97D5-7512241F8D49}" name="±" totalsRowFunction="sum" dataDxfId="449" totalsRowDxfId="448">
      <calculatedColumnFormula>IFERROR(الجدول15[[#This Row],[سعر البيع]]-الجدول15[[#This Row],[فئة التكلفة]]*الجدول15[[#This Row],[العدد]],"")</calculatedColumnFormula>
    </tableColumn>
  </tableColumns>
  <tableStyleInfo name="نمط الجدول 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5B81990-2A86-4280-A2CA-C97BE5CF1C11}" name="الجدول16" displayName="الجدول16" ref="A4:I9" totalsRowCount="1" headerRowDxfId="443" dataDxfId="441" totalsRowDxfId="439" headerRowBorderDxfId="442" tableBorderDxfId="440" totalsRowBorderDxfId="438">
  <tableColumns count="9">
    <tableColumn id="1" xr3:uid="{071E305E-FD54-412A-8CCD-B21AECFC4012}" name="فئة التكلفة" dataDxfId="437" totalsRowDxfId="8">
      <calculatedColumnFormula>IFERROR(VLOOKUP(الجدول16[[#This Row],[كود الصنف]],'تكويد الأصناف'!A:F,6,0),"")</calculatedColumnFormula>
    </tableColumn>
    <tableColumn id="8" xr3:uid="{84C28DA6-4A28-4FC0-9438-06604D7923A4}" name="المورد" dataDxfId="436" totalsRowDxfId="7">
      <calculatedColumnFormula>IFERROR(VLOOKUP(الجدول16[[#This Row],[كود الصنف]],'تكويد الأصناف'!A:F,3,0)," ")</calculatedColumnFormula>
    </tableColumn>
    <tableColumn id="2" xr3:uid="{4A708883-5B3C-4E96-A686-A26FAF15A6DB}" name="كود الصنف" dataDxfId="435" totalsRowDxfId="6"/>
    <tableColumn id="3" xr3:uid="{08FB79AE-2203-4BA0-ADF5-03BAD2B7FC51}" name="إســــــــم الـصـنــــــــــف" dataDxfId="434" totalsRowDxfId="5">
      <calculatedColumnFormula>IFERROR(VLOOKUP(الجدول16[[#This Row],[كود الصنف]],'تكويد الأصناف'!A:F,4,0),"")</calculatedColumnFormula>
    </tableColumn>
    <tableColumn id="9" xr3:uid="{7D25AF16-570C-4587-BA65-2CB6B0174305}" name="السعر الفعلي" dataDxfId="433" totalsRowDxfId="4" dataCellStyle="Comma">
      <calculatedColumnFormula>IFERROR(VLOOKUP(الجدول16[[#This Row],[كود الصنف]],'تكويد الأصناف'!A:F,5,0),"")</calculatedColumnFormula>
    </tableColumn>
    <tableColumn id="4" xr3:uid="{16B32284-EC92-43F9-AE35-B1383930D57A}" name="العدد" totalsRowFunction="sum" dataDxfId="432" totalsRowDxfId="3" dataCellStyle="Comma"/>
    <tableColumn id="5" xr3:uid="{87A1AA8D-821A-4D85-87D2-5E5A43B16F67}" name="سعر البيع" totalsRowFunction="sum" dataDxfId="431" totalsRowDxfId="2" dataCellStyle="Comma"/>
    <tableColumn id="6" xr3:uid="{FD966EA0-B8C3-4ED0-8008-27D694F43232}" name="متوسط" dataDxfId="430" totalsRowDxfId="1" dataCellStyle="Comma">
      <calculatedColumnFormula>IFERROR(الجدول16[[#This Row],[فئة التكلفة]]*الجدول16[[#This Row],[العدد]]," ")</calculatedColumnFormula>
    </tableColumn>
    <tableColumn id="7" xr3:uid="{192224B0-2E7D-49FC-B615-DA9115ACC003}" name="±" totalsRowFunction="sum" dataDxfId="429" totalsRowDxfId="0">
      <calculatedColumnFormula>IFERROR(الجدول16[[#This Row],[سعر البيع]]-الجدول16[[#This Row],[فئة التكلفة]]*الجدول16[[#This Row],[العدد]],"")</calculatedColumnFormula>
    </tableColumn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B3F1D14-55C8-4B0A-8328-8DD7C62380BF}" name="الموردين" displayName="الموردين" ref="Q3:T7" totalsRowShown="0" headerRowDxfId="908" dataDxfId="906" headerRowBorderDxfId="907">
  <autoFilter ref="Q3:T7" xr:uid="{E22F8AB5-785F-49F4-A592-83262C6ACE9E}"/>
  <tableColumns count="4">
    <tableColumn id="1" xr3:uid="{2858D09D-624B-4442-B1EE-F26D6130930C}" name="كود المورد" dataDxfId="905"/>
    <tableColumn id="2" xr3:uid="{C6BB5F37-5C67-48B4-B551-8065F0D383CE}" name="اسم المورد" dataDxfId="904"/>
    <tableColumn id="3" xr3:uid="{02FD5E45-AFB6-4E31-BDF8-06D0C031467A}" name="رقم الهاتف" dataDxfId="903"/>
    <tableColumn id="4" xr3:uid="{9711DA51-AC76-46B4-84EB-9C6D96E66533}" name="العنوان" dataDxfId="902"/>
  </tableColumns>
  <tableStyleInfo name="نمط الجدول 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5EF7707-F201-4EF4-B598-E2DA4BF08376}" name="الجدول17" displayName="الجدول17" ref="A4:I9" totalsRowCount="1" headerRowDxfId="424" dataDxfId="422" totalsRowDxfId="420" headerRowBorderDxfId="423" tableBorderDxfId="421" totalsRowBorderDxfId="419">
  <tableColumns count="9">
    <tableColumn id="1" xr3:uid="{51DA21E3-7790-49CE-9EB6-E8FD532DF069}" name="فئة التكلفة" dataDxfId="418" totalsRowDxfId="417">
      <calculatedColumnFormula>IFERROR(VLOOKUP(الجدول17[[#This Row],[كود الصنف]],'تكويد الأصناف'!A:F,6,0),"")</calculatedColumnFormula>
    </tableColumn>
    <tableColumn id="8" xr3:uid="{AC803275-EEE0-4E97-8464-9212BB7F752E}" name="المورد" dataDxfId="416" totalsRowDxfId="415">
      <calculatedColumnFormula>IFERROR(VLOOKUP(الجدول17[[#This Row],[كود الصنف]],'تكويد الأصناف'!A:F,3,0)," ")</calculatedColumnFormula>
    </tableColumn>
    <tableColumn id="2" xr3:uid="{C318FE25-EB6F-414A-A0CB-42BB66F673CF}" name="كود الصنف" dataDxfId="414" totalsRowDxfId="413"/>
    <tableColumn id="3" xr3:uid="{6E38C768-92E6-4D58-BA6B-0CEB230128FD}" name="إســــــــم الـصـنــــــــــف" dataDxfId="412" totalsRowDxfId="411">
      <calculatedColumnFormula>IFERROR(VLOOKUP(الجدول17[[#This Row],[كود الصنف]],'تكويد الأصناف'!A:F,4,0),"")</calculatedColumnFormula>
    </tableColumn>
    <tableColumn id="9" xr3:uid="{3BB9C404-6AF4-4E8C-B4E6-AC008BC64469}" name="السعر الفعلي" dataDxfId="410" totalsRowDxfId="409" dataCellStyle="Comma">
      <calculatedColumnFormula>IFERROR(VLOOKUP(الجدول17[[#This Row],[كود الصنف]],'تكويد الأصناف'!A:F,5,0),"")</calculatedColumnFormula>
    </tableColumn>
    <tableColumn id="4" xr3:uid="{B18F3DCC-F4A6-4DE0-ADC8-897DC1EBF146}" name="العدد" totalsRowFunction="sum" dataDxfId="408" totalsRowDxfId="407" dataCellStyle="Comma"/>
    <tableColumn id="5" xr3:uid="{DC135C3A-813B-4B90-B79F-4C1F134D3E7A}" name="سعر البيع" totalsRowFunction="sum" dataDxfId="406" totalsRowDxfId="405" dataCellStyle="Comma"/>
    <tableColumn id="6" xr3:uid="{8A76EBA1-9B42-4CED-8B89-9B46BF1D4CA7}" name="متوسط" dataDxfId="404" totalsRowDxfId="403" dataCellStyle="Comma">
      <calculatedColumnFormula>IFERROR(الجدول17[[#This Row],[فئة التكلفة]]*الجدول17[[#This Row],[العدد]]," ")</calculatedColumnFormula>
    </tableColumn>
    <tableColumn id="7" xr3:uid="{2DD00433-A5D2-463B-B151-47FB49B35949}" name="±" totalsRowFunction="sum" dataDxfId="402" totalsRowDxfId="401">
      <calculatedColumnFormula>IFERROR(الجدول17[[#This Row],[سعر البيع]]-الجدول17[[#This Row],[فئة التكلفة]]*الجدول17[[#This Row],[العدد]],"")</calculatedColumnFormula>
    </tableColumn>
  </tableColumns>
  <tableStyleInfo name="نمط الجدول 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BBD2487-FBAF-4AAC-953F-73D9140D0213}" name="الجدول18" displayName="الجدول18" ref="A4:I9" totalsRowCount="1" headerRowDxfId="396" dataDxfId="394" totalsRowDxfId="392" headerRowBorderDxfId="395" tableBorderDxfId="393" totalsRowBorderDxfId="391">
  <tableColumns count="9">
    <tableColumn id="1" xr3:uid="{D17A5513-E41C-4294-A170-5E35D194FF5D}" name="فئة التكلفة" dataDxfId="390" totalsRowDxfId="389">
      <calculatedColumnFormula>IFERROR(VLOOKUP(الجدول18[[#This Row],[كود الصنف]],'تكويد الأصناف'!A:F,6,0),"")</calculatedColumnFormula>
    </tableColumn>
    <tableColumn id="8" xr3:uid="{9873D59A-1534-4E24-B745-B46D158C4E6F}" name="المورد" dataDxfId="388" totalsRowDxfId="387">
      <calculatedColumnFormula>IFERROR(VLOOKUP(الجدول18[[#This Row],[كود الصنف]],'تكويد الأصناف'!A:F,3,0)," ")</calculatedColumnFormula>
    </tableColumn>
    <tableColumn id="2" xr3:uid="{BBA7842A-F848-4992-9014-A1ED3FCAF57C}" name="كود الصنف" dataDxfId="386" totalsRowDxfId="385"/>
    <tableColumn id="3" xr3:uid="{305F0CEF-316F-4E10-9EE8-C11B16563E6A}" name="إســــــــم الـصـنــــــــــف" dataDxfId="384" totalsRowDxfId="383">
      <calculatedColumnFormula>IFERROR(VLOOKUP(الجدول18[[#This Row],[كود الصنف]],'تكويد الأصناف'!A:F,4,0),"")</calculatedColumnFormula>
    </tableColumn>
    <tableColumn id="9" xr3:uid="{6A3B1AAE-8DE4-4F56-99BF-EE7CBAFD17C6}" name="السعر الفعلي" dataDxfId="382" totalsRowDxfId="381" dataCellStyle="Comma">
      <calculatedColumnFormula>IFERROR(VLOOKUP(الجدول18[[#This Row],[كود الصنف]],'تكويد الأصناف'!A:F,5,0),"")</calculatedColumnFormula>
    </tableColumn>
    <tableColumn id="4" xr3:uid="{9B1E7CDC-FAC8-4F14-9C79-BC6F0D0668BF}" name="العدد" totalsRowFunction="sum" dataDxfId="380" totalsRowDxfId="379" dataCellStyle="Comma"/>
    <tableColumn id="5" xr3:uid="{24E5A74E-2287-4429-AEB3-8F89BA747002}" name="سعر البيع" totalsRowFunction="sum" dataDxfId="378" totalsRowDxfId="377" dataCellStyle="Comma"/>
    <tableColumn id="6" xr3:uid="{A4335C84-AB8A-4F37-86AE-027903A366F4}" name="متوسط" dataDxfId="376" totalsRowDxfId="375" dataCellStyle="Comma">
      <calculatedColumnFormula>IFERROR(الجدول18[[#This Row],[فئة التكلفة]]*الجدول18[[#This Row],[العدد]]," ")</calculatedColumnFormula>
    </tableColumn>
    <tableColumn id="7" xr3:uid="{D6EE8BCB-CFDC-436B-9167-BEFC7462B51F}" name="±" totalsRowFunction="sum" dataDxfId="374" totalsRowDxfId="373">
      <calculatedColumnFormula>IFERROR(الجدول18[[#This Row],[سعر البيع]]-الجدول18[[#This Row],[فئة التكلفة]]*الجدول18[[#This Row],[العدد]],"")</calculatedColumnFormula>
    </tableColumn>
  </tableColumns>
  <tableStyleInfo name="نمط الجدول 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4AC17F0F-3665-41BD-8478-D7F69507353D}" name="الجدول19" displayName="الجدول19" ref="A4:I9" totalsRowCount="1" headerRowDxfId="368" dataDxfId="366" totalsRowDxfId="364" headerRowBorderDxfId="367" tableBorderDxfId="365" totalsRowBorderDxfId="363">
  <tableColumns count="9">
    <tableColumn id="1" xr3:uid="{AC9235CE-BF5B-4DB5-960B-E006AD59ECF0}" name="فئة التكلفة" dataDxfId="362" totalsRowDxfId="361">
      <calculatedColumnFormula>IFERROR(VLOOKUP(الجدول19[[#This Row],[كود الصنف]],'تكويد الأصناف'!A:F,6,0),"")</calculatedColumnFormula>
    </tableColumn>
    <tableColumn id="8" xr3:uid="{35EA104C-3F10-437E-AB3D-E40C83D3BF4B}" name="المورد" dataDxfId="360" totalsRowDxfId="359">
      <calculatedColumnFormula>IFERROR(VLOOKUP(الجدول19[[#This Row],[كود الصنف]],'تكويد الأصناف'!A:F,3,0)," ")</calculatedColumnFormula>
    </tableColumn>
    <tableColumn id="2" xr3:uid="{451F5C85-7142-4068-872E-17C34CD8883E}" name="كود الصنف" dataDxfId="358" totalsRowDxfId="357"/>
    <tableColumn id="3" xr3:uid="{3C1FBBD2-3B4E-4CF4-A30D-7F242E6ACEBA}" name="إســــــــم الـصـنــــــــــف" dataDxfId="356" totalsRowDxfId="355">
      <calculatedColumnFormula>IFERROR(VLOOKUP(الجدول19[[#This Row],[كود الصنف]],'تكويد الأصناف'!A:F,4,0),"")</calculatedColumnFormula>
    </tableColumn>
    <tableColumn id="9" xr3:uid="{1DEB9804-1745-417A-A5DE-4E008E00BF00}" name="السعر الفعلي" dataDxfId="354" totalsRowDxfId="353" dataCellStyle="Comma">
      <calculatedColumnFormula>IFERROR(VLOOKUP(الجدول19[[#This Row],[كود الصنف]],'تكويد الأصناف'!A:F,5,0),"")</calculatedColumnFormula>
    </tableColumn>
    <tableColumn id="4" xr3:uid="{B7EA8DCE-DA66-4199-9911-087C221AEAF0}" name="العدد" totalsRowFunction="sum" dataDxfId="352" totalsRowDxfId="351" dataCellStyle="Comma"/>
    <tableColumn id="5" xr3:uid="{5386E069-2BEC-4A8E-96BE-B833D9B8AB02}" name="سعر البيع" totalsRowFunction="sum" dataDxfId="350" totalsRowDxfId="349" dataCellStyle="Comma"/>
    <tableColumn id="6" xr3:uid="{5E172B11-42FF-4367-9EF4-1BD848B1495D}" name="متوسط" dataDxfId="348" totalsRowDxfId="347" dataCellStyle="Comma">
      <calculatedColumnFormula>IFERROR(الجدول19[[#This Row],[فئة التكلفة]]*الجدول19[[#This Row],[العدد]]," ")</calculatedColumnFormula>
    </tableColumn>
    <tableColumn id="7" xr3:uid="{BEAA45D7-A863-427D-93C7-8C851A7AE433}" name="±" totalsRowFunction="sum" dataDxfId="346" totalsRowDxfId="345">
      <calculatedColumnFormula>IFERROR(الجدول19[[#This Row],[سعر البيع]]-الجدول19[[#This Row],[فئة التكلفة]]*الجدول19[[#This Row],[العدد]],"")</calculatedColumnFormula>
    </tableColumn>
  </tableColumns>
  <tableStyleInfo name="نمط الجدول 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6D37C03-440D-4B14-B99A-A934CC5EA749}" name="الجدول20" displayName="الجدول20" ref="A4:I9" totalsRowCount="1" headerRowDxfId="340" dataDxfId="338" totalsRowDxfId="336" headerRowBorderDxfId="339" tableBorderDxfId="337" totalsRowBorderDxfId="335">
  <tableColumns count="9">
    <tableColumn id="1" xr3:uid="{5DC97E25-E1A7-4E49-BF3E-BCF304D86EA4}" name="فئة التكلفة" dataDxfId="334" totalsRowDxfId="333">
      <calculatedColumnFormula>IFERROR(VLOOKUP(الجدول20[[#This Row],[كود الصنف]],'تكويد الأصناف'!A:F,6,0),"")</calculatedColumnFormula>
    </tableColumn>
    <tableColumn id="8" xr3:uid="{7B9D96DF-8F60-4176-B409-1475F615ACDD}" name="المورد" dataDxfId="332" totalsRowDxfId="331">
      <calculatedColumnFormula>IFERROR(VLOOKUP(الجدول20[[#This Row],[كود الصنف]],'تكويد الأصناف'!A:F,3,0)," ")</calculatedColumnFormula>
    </tableColumn>
    <tableColumn id="2" xr3:uid="{AE277D68-307E-411B-9B1B-78ACFF0230EF}" name="كود الصنف" dataDxfId="330" totalsRowDxfId="329"/>
    <tableColumn id="3" xr3:uid="{881E71BD-C7E2-411E-8DAC-D6EDD9EF791C}" name="إســــــــم الـصـنــــــــــف" dataDxfId="328" totalsRowDxfId="327">
      <calculatedColumnFormula>IFERROR(VLOOKUP(الجدول20[[#This Row],[كود الصنف]],'تكويد الأصناف'!A:F,4,0),"")</calculatedColumnFormula>
    </tableColumn>
    <tableColumn id="9" xr3:uid="{3090822F-7CEF-45A1-9907-C63585881E01}" name="السعر الفعلي" dataDxfId="326" totalsRowDxfId="325" dataCellStyle="Comma">
      <calculatedColumnFormula>IFERROR(VLOOKUP(الجدول20[[#This Row],[كود الصنف]],'تكويد الأصناف'!A:F,5,0),"")</calculatedColumnFormula>
    </tableColumn>
    <tableColumn id="4" xr3:uid="{CC55918E-F09D-4063-A61D-A5DAF2BF37C8}" name="العدد" totalsRowFunction="sum" dataDxfId="324" totalsRowDxfId="323" dataCellStyle="Comma"/>
    <tableColumn id="5" xr3:uid="{1D54BBD5-8BB5-4345-83B0-150FEA71849F}" name="سعر البيع" totalsRowFunction="sum" dataDxfId="322" totalsRowDxfId="321" dataCellStyle="Comma"/>
    <tableColumn id="6" xr3:uid="{19B643EE-A441-48E9-8E9A-CBF53CB98BCF}" name="متوسط" dataDxfId="320" totalsRowDxfId="319" dataCellStyle="Comma">
      <calculatedColumnFormula>IFERROR(الجدول20[[#This Row],[فئة التكلفة]]*الجدول20[[#This Row],[العدد]]," ")</calculatedColumnFormula>
    </tableColumn>
    <tableColumn id="7" xr3:uid="{AAF1ECAD-2581-4FD2-8520-67857CBE88E6}" name="±" totalsRowFunction="sum" dataDxfId="318" totalsRowDxfId="317">
      <calculatedColumnFormula>IFERROR(الجدول20[[#This Row],[سعر البيع]]-الجدول20[[#This Row],[فئة التكلفة]]*الجدول20[[#This Row],[العدد]],"")</calculatedColumnFormula>
    </tableColumn>
  </tableColumns>
  <tableStyleInfo name="نمط الجدول 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477219E-223C-41F2-ADE7-5E0CD6D97D26}" name="الجدول21" displayName="الجدول21" ref="A4:I9" totalsRowCount="1" headerRowDxfId="312" dataDxfId="310" totalsRowDxfId="308" headerRowBorderDxfId="311" tableBorderDxfId="309" totalsRowBorderDxfId="307">
  <tableColumns count="9">
    <tableColumn id="1" xr3:uid="{39DD6D77-70DA-47F4-A01C-09C12394B234}" name="فئة التكلفة" dataDxfId="306" totalsRowDxfId="305">
      <calculatedColumnFormula>IFERROR(VLOOKUP(الجدول21[[#This Row],[كود الصنف]],'تكويد الأصناف'!A:F,6,0),"")</calculatedColumnFormula>
    </tableColumn>
    <tableColumn id="8" xr3:uid="{EE468C11-83CA-40DF-BE17-EE5D137F3770}" name="المورد" dataDxfId="304" totalsRowDxfId="303">
      <calculatedColumnFormula>IFERROR(VLOOKUP(الجدول21[[#This Row],[كود الصنف]],'تكويد الأصناف'!A:F,3,0)," ")</calculatedColumnFormula>
    </tableColumn>
    <tableColumn id="2" xr3:uid="{62E189B3-53EC-4B42-A8BB-6FEEC1873153}" name="كود الصنف" dataDxfId="302" totalsRowDxfId="301"/>
    <tableColumn id="3" xr3:uid="{EA15D95E-28AF-4268-B7A6-ECD30AF874E5}" name="إســــــــم الـصـنــــــــــف" dataDxfId="300" totalsRowDxfId="299">
      <calculatedColumnFormula>IFERROR(VLOOKUP(الجدول21[[#This Row],[كود الصنف]],'تكويد الأصناف'!A:F,4,0),"")</calculatedColumnFormula>
    </tableColumn>
    <tableColumn id="9" xr3:uid="{32F785D9-9EC1-4E8E-BAC1-6CC1AF17B537}" name="السعر الفعلي" dataDxfId="298" totalsRowDxfId="297" dataCellStyle="Comma">
      <calculatedColumnFormula>IFERROR(VLOOKUP(الجدول21[[#This Row],[كود الصنف]],'تكويد الأصناف'!A:F,5,0),"")</calculatedColumnFormula>
    </tableColumn>
    <tableColumn id="4" xr3:uid="{C18BBFB3-4E17-4E00-96A1-6910132A75C9}" name="العدد" totalsRowFunction="sum" dataDxfId="296" totalsRowDxfId="295" dataCellStyle="Comma"/>
    <tableColumn id="5" xr3:uid="{064F1AA4-576D-4E12-992F-55988CADE803}" name="سعر البيع" totalsRowFunction="sum" dataDxfId="294" totalsRowDxfId="293" dataCellStyle="Comma"/>
    <tableColumn id="6" xr3:uid="{0AF8C41C-EE61-4700-9AD5-7B232F6ABFBF}" name="متوسط" dataDxfId="292" totalsRowDxfId="291" dataCellStyle="Comma">
      <calculatedColumnFormula>IFERROR(الجدول21[[#This Row],[فئة التكلفة]]*الجدول21[[#This Row],[العدد]]," ")</calculatedColumnFormula>
    </tableColumn>
    <tableColumn id="7" xr3:uid="{04523D1F-047F-4A66-92A6-A0AF7100AA28}" name="±" totalsRowFunction="sum" dataDxfId="290" totalsRowDxfId="289">
      <calculatedColumnFormula>IFERROR(الجدول21[[#This Row],[سعر البيع]]-الجدول21[[#This Row],[فئة التكلفة]]*الجدول21[[#This Row],[العدد]],"")</calculatedColumnFormula>
    </tableColumn>
  </tableColumns>
  <tableStyleInfo name="نمط الجدول 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80D61983-74E5-47DD-A906-9D8EB1E5700F}" name="الجدول22" displayName="الجدول22" ref="A4:I9" totalsRowCount="1" headerRowDxfId="284" dataDxfId="282" totalsRowDxfId="280" headerRowBorderDxfId="283" tableBorderDxfId="281" totalsRowBorderDxfId="279">
  <tableColumns count="9">
    <tableColumn id="1" xr3:uid="{3AABC67D-E368-4B93-9B51-C6C167C5BBE7}" name="فئة التكلفة" dataDxfId="278" totalsRowDxfId="277">
      <calculatedColumnFormula>IFERROR(VLOOKUP(الجدول22[[#This Row],[كود الصنف]],'تكويد الأصناف'!A:F,6,0),"")</calculatedColumnFormula>
    </tableColumn>
    <tableColumn id="8" xr3:uid="{7E914F70-18B7-45F0-99F8-FD6F32746B53}" name="المورد" dataDxfId="276" totalsRowDxfId="275">
      <calculatedColumnFormula>IFERROR(VLOOKUP(الجدول22[[#This Row],[كود الصنف]],'تكويد الأصناف'!A:F,3,0)," ")</calculatedColumnFormula>
    </tableColumn>
    <tableColumn id="2" xr3:uid="{C47E9B24-9E5F-4A3F-8380-81CDB526956A}" name="كود الصنف" dataDxfId="274" totalsRowDxfId="273"/>
    <tableColumn id="3" xr3:uid="{DFEAB907-081E-4FB2-B54F-881E158C776F}" name="إســــــــم الـصـنــــــــــف" dataDxfId="272" totalsRowDxfId="271">
      <calculatedColumnFormula>IFERROR(VLOOKUP(الجدول22[[#This Row],[كود الصنف]],'تكويد الأصناف'!A:F,4,0),"")</calculatedColumnFormula>
    </tableColumn>
    <tableColumn id="9" xr3:uid="{20F16F0B-DE2B-4C94-8FE5-7AACD406CB23}" name="السعر الفعلي" dataDxfId="270" totalsRowDxfId="269" dataCellStyle="Comma">
      <calculatedColumnFormula>IFERROR(VLOOKUP(الجدول22[[#This Row],[كود الصنف]],'تكويد الأصناف'!A:F,5,0),"")</calculatedColumnFormula>
    </tableColumn>
    <tableColumn id="4" xr3:uid="{57BE722C-34D0-44F7-8AC4-857B986F45D7}" name="العدد" totalsRowFunction="sum" dataDxfId="268" totalsRowDxfId="267" dataCellStyle="Comma"/>
    <tableColumn id="5" xr3:uid="{6AC43F7E-906F-44EF-8B0C-2C85C39B5418}" name="سعر البيع" totalsRowFunction="sum" dataDxfId="266" totalsRowDxfId="265" dataCellStyle="Comma"/>
    <tableColumn id="6" xr3:uid="{A305C5E0-8D75-48CE-A22E-9BDD43F7A50E}" name="متوسط" dataDxfId="264" totalsRowDxfId="263" dataCellStyle="Comma">
      <calculatedColumnFormula>IFERROR(الجدول22[[#This Row],[فئة التكلفة]]*الجدول22[[#This Row],[العدد]]," ")</calculatedColumnFormula>
    </tableColumn>
    <tableColumn id="7" xr3:uid="{2AD41A98-C649-4D83-A308-BCE1E568DA2D}" name="±" totalsRowFunction="sum" dataDxfId="262" totalsRowDxfId="261">
      <calculatedColumnFormula>IFERROR(الجدول22[[#This Row],[سعر البيع]]-الجدول22[[#This Row],[فئة التكلفة]]*الجدول22[[#This Row],[العدد]],"")</calculatedColumnFormula>
    </tableColumn>
  </tableColumns>
  <tableStyleInfo name="نمط الجدول 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458D494-FFE8-4FEC-AB6B-83986A0327D9}" name="الجدول23" displayName="الجدول23" ref="A4:I9" totalsRowCount="1" headerRowDxfId="256" dataDxfId="254" totalsRowDxfId="252" headerRowBorderDxfId="255" tableBorderDxfId="253" totalsRowBorderDxfId="251">
  <tableColumns count="9">
    <tableColumn id="1" xr3:uid="{4754793D-ECCD-4423-9325-00DBEBDD5F58}" name="فئة التكلفة" dataDxfId="250" totalsRowDxfId="249">
      <calculatedColumnFormula>IFERROR(VLOOKUP(الجدول23[[#This Row],[كود الصنف]],'تكويد الأصناف'!A:F,6,0),"")</calculatedColumnFormula>
    </tableColumn>
    <tableColumn id="8" xr3:uid="{7C89D0BA-C7C1-4408-90D7-4E6640F6C7F7}" name="المورد" dataDxfId="248" totalsRowDxfId="247">
      <calculatedColumnFormula>IFERROR(VLOOKUP(الجدول23[[#This Row],[كود الصنف]],'تكويد الأصناف'!A:F,3,0)," ")</calculatedColumnFormula>
    </tableColumn>
    <tableColumn id="2" xr3:uid="{15B3F406-46B3-4B29-8BE7-1196FF8018D9}" name="كود الصنف" dataDxfId="246" totalsRowDxfId="245"/>
    <tableColumn id="3" xr3:uid="{FD8349A0-55A3-4E9B-B4CD-437C1BF9591C}" name="إســــــــم الـصـنــــــــــف" dataDxfId="244" totalsRowDxfId="243">
      <calculatedColumnFormula>IFERROR(VLOOKUP(الجدول23[[#This Row],[كود الصنف]],'تكويد الأصناف'!A:F,4,0),"")</calculatedColumnFormula>
    </tableColumn>
    <tableColumn id="9" xr3:uid="{0EC1FD15-63C9-4EAA-98B1-F4E57556E2DC}" name="السعر الفعلي" dataDxfId="242" totalsRowDxfId="241" dataCellStyle="Comma">
      <calculatedColumnFormula>IFERROR(VLOOKUP(الجدول23[[#This Row],[كود الصنف]],'تكويد الأصناف'!A:F,5,0),"")</calculatedColumnFormula>
    </tableColumn>
    <tableColumn id="4" xr3:uid="{A56E07BC-6320-4429-850C-3102605850B2}" name="العدد" totalsRowFunction="sum" dataDxfId="240" totalsRowDxfId="239" dataCellStyle="Comma"/>
    <tableColumn id="5" xr3:uid="{6E5589DC-F407-46C4-B75B-BF0262D8578A}" name="سعر البيع" totalsRowFunction="sum" dataDxfId="238" totalsRowDxfId="237" dataCellStyle="Comma"/>
    <tableColumn id="6" xr3:uid="{77F14D22-ECC1-4B1A-90B9-3761C4C7D2A6}" name="متوسط" dataDxfId="236" totalsRowDxfId="235" dataCellStyle="Comma">
      <calculatedColumnFormula>IFERROR(الجدول23[[#This Row],[فئة التكلفة]]*الجدول23[[#This Row],[العدد]]," ")</calculatedColumnFormula>
    </tableColumn>
    <tableColumn id="7" xr3:uid="{3BAE6459-D06B-42E0-86C9-652BEDE40AD4}" name="±" totalsRowFunction="sum" dataDxfId="234" totalsRowDxfId="233">
      <calculatedColumnFormula>IFERROR(الجدول23[[#This Row],[سعر البيع]]-الجدول23[[#This Row],[فئة التكلفة]]*الجدول23[[#This Row],[العدد]],"")</calculatedColumnFormula>
    </tableColumn>
  </tableColumns>
  <tableStyleInfo name="نمط الجدول 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1FF9C76-442E-4C52-93B7-CFABC65D4DDA}" name="الجدول24" displayName="الجدول24" ref="A4:I9" totalsRowCount="1" headerRowDxfId="228" dataDxfId="226" totalsRowDxfId="224" headerRowBorderDxfId="227" tableBorderDxfId="225" totalsRowBorderDxfId="223">
  <tableColumns count="9">
    <tableColumn id="1" xr3:uid="{95528584-2191-4D9A-BC3C-4B4AB01102C3}" name="فئة التكلفة" dataDxfId="222" totalsRowDxfId="221">
      <calculatedColumnFormula>IFERROR(VLOOKUP(الجدول24[[#This Row],[كود الصنف]],'تكويد الأصناف'!A:F,6,0),"")</calculatedColumnFormula>
    </tableColumn>
    <tableColumn id="8" xr3:uid="{4023E030-F51C-4506-B57D-50E7A84D1803}" name="المورد" dataDxfId="220" totalsRowDxfId="219">
      <calculatedColumnFormula>IFERROR(VLOOKUP(الجدول24[[#This Row],[كود الصنف]],'تكويد الأصناف'!A:F,3,0)," ")</calculatedColumnFormula>
    </tableColumn>
    <tableColumn id="2" xr3:uid="{B35CF083-E034-4D5A-8D2D-FCC5AEFDEF56}" name="كود الصنف" dataDxfId="218" totalsRowDxfId="217"/>
    <tableColumn id="3" xr3:uid="{37C67C9E-209C-4A11-A91E-2761B1216506}" name="إســــــــم الـصـنــــــــــف" dataDxfId="216" totalsRowDxfId="215">
      <calculatedColumnFormula>IFERROR(VLOOKUP(الجدول24[[#This Row],[كود الصنف]],'تكويد الأصناف'!A:F,4,0),"")</calculatedColumnFormula>
    </tableColumn>
    <tableColumn id="9" xr3:uid="{B75B2EAA-4C35-4FF6-8047-BBEB7D3C9882}" name="السعر الفعلي" dataDxfId="214" totalsRowDxfId="213" dataCellStyle="Comma">
      <calculatedColumnFormula>IFERROR(VLOOKUP(الجدول24[[#This Row],[كود الصنف]],'تكويد الأصناف'!A:F,5,0),"")</calculatedColumnFormula>
    </tableColumn>
    <tableColumn id="4" xr3:uid="{B8247A6C-4BEE-439D-A2D8-E6D9AAC71EB8}" name="العدد" totalsRowFunction="sum" dataDxfId="212" totalsRowDxfId="211" dataCellStyle="Comma"/>
    <tableColumn id="5" xr3:uid="{A331632F-FE5E-4410-8B1C-8B75AFAD56FC}" name="سعر البيع" totalsRowFunction="sum" dataDxfId="210" totalsRowDxfId="209" dataCellStyle="Comma"/>
    <tableColumn id="6" xr3:uid="{A4AB3335-0F79-41E0-963B-3CD30370BF53}" name="متوسط" dataDxfId="208" totalsRowDxfId="207" dataCellStyle="Comma">
      <calculatedColumnFormula>IFERROR(الجدول24[[#This Row],[فئة التكلفة]]*الجدول24[[#This Row],[العدد]]," ")</calculatedColumnFormula>
    </tableColumn>
    <tableColumn id="7" xr3:uid="{C8E8D8C8-EC93-4156-AFD8-115F0D19EB88}" name="±" totalsRowFunction="sum" dataDxfId="206" totalsRowDxfId="205">
      <calculatedColumnFormula>IFERROR(الجدول24[[#This Row],[سعر البيع]]-الجدول24[[#This Row],[فئة التكلفة]]*الجدول24[[#This Row],[العدد]],"")</calculatedColumnFormula>
    </tableColumn>
  </tableColumns>
  <tableStyleInfo name="نمط الجدول 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7F942468-BB66-4A4B-9D7D-6A278A84F3FA}" name="الجدول25" displayName="الجدول25" ref="A4:I9" totalsRowCount="1" headerRowDxfId="200" dataDxfId="198" totalsRowDxfId="196" headerRowBorderDxfId="199" tableBorderDxfId="197" totalsRowBorderDxfId="195">
  <tableColumns count="9">
    <tableColumn id="1" xr3:uid="{E28A7DF4-F2B0-431A-94D7-9C5700EAF875}" name="فئة التكلفة" dataDxfId="194" totalsRowDxfId="193">
      <calculatedColumnFormula>IFERROR(VLOOKUP(الجدول25[[#This Row],[كود الصنف]],'تكويد الأصناف'!A:F,6,0),"")</calculatedColumnFormula>
    </tableColumn>
    <tableColumn id="8" xr3:uid="{3E1168EE-AFBC-4E78-9D12-B9F6B8BB402B}" name="المورد" dataDxfId="192" totalsRowDxfId="191">
      <calculatedColumnFormula>IFERROR(VLOOKUP(الجدول25[[#This Row],[كود الصنف]],'تكويد الأصناف'!A:F,3,0)," ")</calculatedColumnFormula>
    </tableColumn>
    <tableColumn id="2" xr3:uid="{BE3A9D7F-3220-4F38-9049-50A0A8ECEF10}" name="كود الصنف" dataDxfId="190" totalsRowDxfId="189"/>
    <tableColumn id="3" xr3:uid="{83503F4C-F1B1-4E3D-9ED9-C0F5250F614A}" name="إســــــــم الـصـنــــــــــف" dataDxfId="188" totalsRowDxfId="187">
      <calculatedColumnFormula>IFERROR(VLOOKUP(الجدول25[[#This Row],[كود الصنف]],'تكويد الأصناف'!A:F,4,0),"")</calculatedColumnFormula>
    </tableColumn>
    <tableColumn id="9" xr3:uid="{CDA052F1-569A-4CCB-AF76-4B7587A3FD6E}" name="السعر الفعلي" dataDxfId="186" totalsRowDxfId="185" dataCellStyle="Comma">
      <calculatedColumnFormula>IFERROR(VLOOKUP(الجدول25[[#This Row],[كود الصنف]],'تكويد الأصناف'!A:F,5,0),"")</calculatedColumnFormula>
    </tableColumn>
    <tableColumn id="4" xr3:uid="{4095B7CA-EF80-41B1-A3FF-4E9609FBC8D4}" name="العدد" totalsRowFunction="sum" dataDxfId="184" totalsRowDxfId="183" dataCellStyle="Comma"/>
    <tableColumn id="5" xr3:uid="{04D4D5F2-1324-4C69-B4DB-A5A340A66074}" name="سعر البيع" totalsRowFunction="sum" dataDxfId="182" totalsRowDxfId="181" dataCellStyle="Comma"/>
    <tableColumn id="6" xr3:uid="{78A9938B-7D58-42A4-8637-760768DE5CCD}" name="متوسط" dataDxfId="180" totalsRowDxfId="179" dataCellStyle="Comma">
      <calculatedColumnFormula>IFERROR(الجدول25[[#This Row],[فئة التكلفة]]*الجدول25[[#This Row],[العدد]]," ")</calculatedColumnFormula>
    </tableColumn>
    <tableColumn id="7" xr3:uid="{1C727D45-738A-4C95-BBF6-542E64127CDA}" name="±" totalsRowFunction="sum" dataDxfId="178" totalsRowDxfId="177">
      <calculatedColumnFormula>IFERROR(الجدول25[[#This Row],[سعر البيع]]-الجدول25[[#This Row],[فئة التكلفة]]*الجدول25[[#This Row],[العدد]],"")</calculatedColumnFormula>
    </tableColumn>
  </tableColumns>
  <tableStyleInfo name="نمط الجدول 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9B0E5A0-EAF4-415C-B433-BF0F2F0CAAD3}" name="الجدول27" displayName="الجدول27" ref="A4:I9" totalsRowCount="1" headerRowDxfId="172" dataDxfId="170" totalsRowDxfId="168" headerRowBorderDxfId="171" tableBorderDxfId="169" totalsRowBorderDxfId="167">
  <tableColumns count="9">
    <tableColumn id="1" xr3:uid="{91B8CE17-1983-4604-8BFF-96ECCDEC21B2}" name="فئة التكلفة" dataDxfId="166" totalsRowDxfId="165">
      <calculatedColumnFormula>IFERROR(VLOOKUP(الجدول27[[#This Row],[كود الصنف]],'تكويد الأصناف'!A:F,6,0),"")</calculatedColumnFormula>
    </tableColumn>
    <tableColumn id="8" xr3:uid="{2BB15A7C-5AB8-4FB1-8C97-125B0819336D}" name="المورد" dataDxfId="164" totalsRowDxfId="163">
      <calculatedColumnFormula>IFERROR(VLOOKUP(الجدول27[[#This Row],[كود الصنف]],'تكويد الأصناف'!A:F,3,0)," ")</calculatedColumnFormula>
    </tableColumn>
    <tableColumn id="2" xr3:uid="{207A8268-3D3B-4018-A5CE-647DC628F46D}" name="كود الصنف" dataDxfId="162" totalsRowDxfId="161"/>
    <tableColumn id="3" xr3:uid="{F67DE35F-3F6E-4D4A-A575-AF32532667B1}" name="إســــــــم الـصـنــــــــــف" dataDxfId="160" totalsRowDxfId="159">
      <calculatedColumnFormula>IFERROR(VLOOKUP(الجدول27[[#This Row],[كود الصنف]],'تكويد الأصناف'!A:F,4,0),"")</calculatedColumnFormula>
    </tableColumn>
    <tableColumn id="9" xr3:uid="{7FC6D273-760B-4C3D-B56D-1C8035A1B547}" name="السعر الفعلي" dataDxfId="158" totalsRowDxfId="157" dataCellStyle="Comma">
      <calculatedColumnFormula>IFERROR(VLOOKUP(الجدول27[[#This Row],[كود الصنف]],'تكويد الأصناف'!A:F,5,0),"")</calculatedColumnFormula>
    </tableColumn>
    <tableColumn id="4" xr3:uid="{94E5528F-61BF-4744-AE3A-308E2DAEAB25}" name="العدد" totalsRowFunction="sum" dataDxfId="156" totalsRowDxfId="155" dataCellStyle="Comma"/>
    <tableColumn id="5" xr3:uid="{82DC7A46-597D-4120-AADC-9A522482880F}" name="سعر البيع" totalsRowFunction="sum" dataDxfId="154" totalsRowDxfId="153" dataCellStyle="Comma"/>
    <tableColumn id="6" xr3:uid="{632E6E82-64D5-4FA3-9821-7610E2DDCB40}" name="متوسط" dataDxfId="152" totalsRowDxfId="151" dataCellStyle="Comma">
      <calculatedColumnFormula>IFERROR(الجدول27[[#This Row],[فئة التكلفة]]*الجدول27[[#This Row],[العدد]]," ")</calculatedColumnFormula>
    </tableColumn>
    <tableColumn id="7" xr3:uid="{49B9DD3F-93B4-4AEC-8D12-ED6178FA5AEC}" name="±" totalsRowFunction="sum" dataDxfId="150" totalsRowDxfId="149">
      <calculatedColumnFormula>IFERROR(الجدول27[[#This Row],[سعر البيع]]-الجدول27[[#This Row],[فئة التكلفة]]*الجدول27[[#This Row],[العدد]],"")</calculatedColumnFormula>
    </tableColumn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15734D2-65EF-4495-A830-DE7BFE1C73B5}" name="المرتجع" displayName="المرتجع" ref="I3:O8" totalsRowCount="1" headerRowDxfId="901" dataDxfId="900" totalsRowDxfId="898" tableBorderDxfId="899" totalsRowBorderDxfId="897">
  <autoFilter ref="I3:O7" xr:uid="{38A79C50-7483-4B6C-A3F4-9131CE4CB613}"/>
  <tableColumns count="7">
    <tableColumn id="1" xr3:uid="{8EAA2A7E-5248-4297-A091-1088B39FBA7F}" name="اليوم والتاريخ" totalsRowLabel="الإجمالي" dataDxfId="896" totalsRowDxfId="895"/>
    <tableColumn id="2" xr3:uid="{E6D914FC-F218-40FD-9683-D2ED0AEE5073}" name="كود الصنف" dataDxfId="894" totalsRowDxfId="893"/>
    <tableColumn id="3" xr3:uid="{A892118C-F315-4793-98FE-BE23E511E51F}" name="المورد" dataDxfId="892" totalsRowDxfId="891">
      <calculatedColumnFormula>IFERROR(VLOOKUP(المرتجع[[#This Row],[كود الصنف]],'تكويد الأصناف'!A:F,3,0)," ")</calculatedColumnFormula>
    </tableColumn>
    <tableColumn id="4" xr3:uid="{9BA4FF8E-58D5-4C52-BD38-456EABB42A18}" name="اسم الصنف" dataDxfId="890" totalsRowDxfId="889">
      <calculatedColumnFormula>IFERROR(VLOOKUP(المرتجع[[#This Row],[كود الصنف]],'تكويد الأصناف'!A:F,4,0),"")</calculatedColumnFormula>
    </tableColumn>
    <tableColumn id="5" xr3:uid="{8812ACA8-5DC1-410C-B1F2-34585E2E3EE9}" name="العدد" totalsRowFunction="sum" dataDxfId="888" totalsRowDxfId="887"/>
    <tableColumn id="6" xr3:uid="{BEA7BB6F-84EF-4D44-B7D5-0F83B2ED2454}" name="سعر القطعة" dataDxfId="886" totalsRowDxfId="885" dataCellStyle="Comma">
      <calculatedColumnFormula>IFERROR(VLOOKUP(المرتجع[[#This Row],[كود الصنف]],'تكويد الأصناف'!A:F,6,0),"")</calculatedColumnFormula>
    </tableColumn>
    <tableColumn id="7" xr3:uid="{78EEB1F1-0294-4E55-BE04-068D32834D2B}" name="الاجمالي" totalsRowFunction="sum" dataDxfId="884" totalsRowDxfId="883" dataCellStyle="Comma">
      <calculatedColumnFormula>IFERROR(المرتجع[[#This Row],[العدد]]*المرتجع[[#This Row],[سعر القطعة]],"")</calculatedColumnFormula>
    </tableColumn>
  </tableColumns>
  <tableStyleInfo name="نمط الجدول 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2527612B-A61C-4600-B0E7-58532F6F1AAC}" name="الجدول26" displayName="الجدول26" ref="A4:I9" totalsRowCount="1" headerRowDxfId="144" dataDxfId="142" totalsRowDxfId="140" headerRowBorderDxfId="143" tableBorderDxfId="141" totalsRowBorderDxfId="139">
  <tableColumns count="9">
    <tableColumn id="1" xr3:uid="{AD22A062-A51E-44BB-BAA5-1FA4C775DD9A}" name="فئة التكلفة" dataDxfId="138" totalsRowDxfId="137">
      <calculatedColumnFormula>IFERROR(VLOOKUP(الجدول26[[#This Row],[كود الصنف]],'تكويد الأصناف'!A:F,6,0),"")</calculatedColumnFormula>
    </tableColumn>
    <tableColumn id="8" xr3:uid="{CC2718A8-9C0E-4076-B6BE-A12ACE79AE3D}" name="المورد" dataDxfId="136" totalsRowDxfId="135">
      <calculatedColumnFormula>IFERROR(VLOOKUP(الجدول26[[#This Row],[كود الصنف]],'تكويد الأصناف'!A:F,3,0)," ")</calculatedColumnFormula>
    </tableColumn>
    <tableColumn id="2" xr3:uid="{802CB1BC-5B82-47FC-B4E0-DCAE04225B63}" name="كود الصنف" dataDxfId="134" totalsRowDxfId="133"/>
    <tableColumn id="3" xr3:uid="{24A76969-E218-4522-B938-ED54DF15016B}" name="إســــــــم الـصـنــــــــــف" dataDxfId="132" totalsRowDxfId="131">
      <calculatedColumnFormula>IFERROR(VLOOKUP(الجدول26[[#This Row],[كود الصنف]],'تكويد الأصناف'!A:F,4,0),"")</calculatedColumnFormula>
    </tableColumn>
    <tableColumn id="9" xr3:uid="{976F393C-5606-4AF1-9877-D4332894D87A}" name="السعر الفعلي" dataDxfId="130" totalsRowDxfId="129" dataCellStyle="Comma">
      <calculatedColumnFormula>IFERROR(VLOOKUP(الجدول26[[#This Row],[كود الصنف]],'تكويد الأصناف'!A:F,5,0),"")</calculatedColumnFormula>
    </tableColumn>
    <tableColumn id="4" xr3:uid="{56D44506-83AF-4FD5-AF06-110051F77769}" name="العدد" totalsRowFunction="sum" dataDxfId="128" totalsRowDxfId="127" dataCellStyle="Comma"/>
    <tableColumn id="5" xr3:uid="{991EF6E2-CC92-4897-B04D-7B87E0105FA5}" name="سعر البيع" totalsRowFunction="sum" dataDxfId="126" totalsRowDxfId="125" dataCellStyle="Comma"/>
    <tableColumn id="6" xr3:uid="{51199CF3-FD54-4BDC-8AB3-3B485C9DC709}" name="متوسط" dataDxfId="124" totalsRowDxfId="123" dataCellStyle="Comma">
      <calculatedColumnFormula>IFERROR(الجدول26[[#This Row],[فئة التكلفة]]*الجدول26[[#This Row],[العدد]]," ")</calculatedColumnFormula>
    </tableColumn>
    <tableColumn id="7" xr3:uid="{D26FA954-5F6E-4245-BEAE-EADBAC206B5F}" name="±" totalsRowFunction="sum" dataDxfId="122" totalsRowDxfId="121">
      <calculatedColumnFormula>IFERROR(الجدول26[[#This Row],[سعر البيع]]-الجدول26[[#This Row],[فئة التكلفة]]*الجدول26[[#This Row],[العدد]],"")</calculatedColumnFormula>
    </tableColumn>
  </tableColumns>
  <tableStyleInfo name="نمط الجدول 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52E049A4-1FC3-4314-8B79-6C1127E0582E}" name="الجدول28" displayName="الجدول28" ref="A4:I9" totalsRowCount="1" headerRowDxfId="116" dataDxfId="114" totalsRowDxfId="112" headerRowBorderDxfId="115" tableBorderDxfId="113" totalsRowBorderDxfId="111">
  <tableColumns count="9">
    <tableColumn id="1" xr3:uid="{AB36A30F-AED1-4CF1-993E-612BAEC39BAF}" name="فئة التكلفة" dataDxfId="110" totalsRowDxfId="109">
      <calculatedColumnFormula>IFERROR(VLOOKUP(الجدول28[[#This Row],[كود الصنف]],'تكويد الأصناف'!A:F,6,0),"")</calculatedColumnFormula>
    </tableColumn>
    <tableColumn id="8" xr3:uid="{4E365DE1-4973-4F20-B04E-E2CE5FFA46E5}" name="المورد" dataDxfId="108" totalsRowDxfId="107">
      <calculatedColumnFormula>IFERROR(VLOOKUP(الجدول28[[#This Row],[كود الصنف]],'تكويد الأصناف'!A:F,3,0)," ")</calculatedColumnFormula>
    </tableColumn>
    <tableColumn id="2" xr3:uid="{36316809-EFA5-4C11-A161-F79DA3EA2B59}" name="كود الصنف" dataDxfId="106" totalsRowDxfId="105"/>
    <tableColumn id="3" xr3:uid="{4390124C-C9BA-4130-822A-7B98906CE05A}" name="إســــــــم الـصـنــــــــــف" dataDxfId="104" totalsRowDxfId="103">
      <calculatedColumnFormula>IFERROR(VLOOKUP(الجدول28[[#This Row],[كود الصنف]],'تكويد الأصناف'!A:F,4,0),"")</calculatedColumnFormula>
    </tableColumn>
    <tableColumn id="9" xr3:uid="{8563AC41-AB63-449F-9E70-FD333AFF6B45}" name="السعر الفعلي" dataDxfId="102" totalsRowDxfId="101" dataCellStyle="Comma">
      <calculatedColumnFormula>IFERROR(VLOOKUP(الجدول28[[#This Row],[كود الصنف]],'تكويد الأصناف'!A:F,5,0),"")</calculatedColumnFormula>
    </tableColumn>
    <tableColumn id="4" xr3:uid="{E6BA484A-12AB-4BAC-9980-3A4E45F8EE78}" name="العدد" totalsRowFunction="sum" dataDxfId="100" totalsRowDxfId="99" dataCellStyle="Comma"/>
    <tableColumn id="5" xr3:uid="{B05B7296-BC2F-46F6-99B7-286F14F8DBCF}" name="سعر البيع" totalsRowFunction="sum" dataDxfId="98" totalsRowDxfId="97" dataCellStyle="Comma"/>
    <tableColumn id="6" xr3:uid="{B3235732-DEB5-4618-9770-484599E71CB9}" name="متوسط" dataDxfId="96" totalsRowDxfId="95" dataCellStyle="Comma">
      <calculatedColumnFormula>IFERROR(الجدول28[[#This Row],[فئة التكلفة]]*الجدول28[[#This Row],[العدد]]," ")</calculatedColumnFormula>
    </tableColumn>
    <tableColumn id="7" xr3:uid="{F4631464-E7B6-409C-96BC-DC3500700434}" name="±" totalsRowFunction="sum" dataDxfId="94" totalsRowDxfId="93">
      <calculatedColumnFormula>IFERROR(الجدول28[[#This Row],[سعر البيع]]-الجدول28[[#This Row],[فئة التكلفة]]*الجدول28[[#This Row],[العدد]],"")</calculatedColumnFormula>
    </tableColumn>
  </tableColumns>
  <tableStyleInfo name="نمط الجدول 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FFAF9B22-7376-4B35-BE5A-E90A92D225D6}" name="الجدول29" displayName="الجدول29" ref="A4:I9" totalsRowCount="1" headerRowDxfId="88" dataDxfId="86" totalsRowDxfId="84" headerRowBorderDxfId="87" tableBorderDxfId="85" totalsRowBorderDxfId="83">
  <tableColumns count="9">
    <tableColumn id="1" xr3:uid="{3AC02023-5547-4A2D-B680-56FD2ACC16F7}" name="فئة التكلفة" dataDxfId="82" totalsRowDxfId="81">
      <calculatedColumnFormula>IFERROR(VLOOKUP(الجدول29[[#This Row],[كود الصنف]],'تكويد الأصناف'!A:F,6,0),"")</calculatedColumnFormula>
    </tableColumn>
    <tableColumn id="8" xr3:uid="{66B10C53-B136-41EA-B1D1-04DF9603C24E}" name="المورد" dataDxfId="80" totalsRowDxfId="79">
      <calculatedColumnFormula>IFERROR(VLOOKUP(الجدول29[[#This Row],[كود الصنف]],'تكويد الأصناف'!A:F,3,0)," ")</calculatedColumnFormula>
    </tableColumn>
    <tableColumn id="2" xr3:uid="{F911BC18-A33E-42F7-8110-9C23B7ADAAF1}" name="كود الصنف" dataDxfId="78" totalsRowDxfId="77"/>
    <tableColumn id="3" xr3:uid="{ADC8D6B2-1C3C-4716-9E69-B797E4DA4D6C}" name="إســــــــم الـصـنــــــــــف" dataDxfId="76" totalsRowDxfId="75">
      <calculatedColumnFormula>IFERROR(VLOOKUP(الجدول29[[#This Row],[كود الصنف]],'تكويد الأصناف'!A:F,4,0),"")</calculatedColumnFormula>
    </tableColumn>
    <tableColumn id="9" xr3:uid="{1FA27E1F-FEE1-4BF4-B957-1EDA97BACB0C}" name="السعر الفعلي" dataDxfId="74" totalsRowDxfId="73" dataCellStyle="Comma">
      <calculatedColumnFormula>IFERROR(VLOOKUP(الجدول29[[#This Row],[كود الصنف]],'تكويد الأصناف'!A:F,5,0),"")</calculatedColumnFormula>
    </tableColumn>
    <tableColumn id="4" xr3:uid="{75A3E612-FAFE-4CEE-BF4A-0DFD1AD9A638}" name="العدد" totalsRowFunction="sum" dataDxfId="72" totalsRowDxfId="71" dataCellStyle="Comma"/>
    <tableColumn id="5" xr3:uid="{F91A703E-AC69-4F61-90A9-195A171C84DF}" name="سعر البيع" totalsRowFunction="sum" dataDxfId="70" totalsRowDxfId="69" dataCellStyle="Comma"/>
    <tableColumn id="6" xr3:uid="{7D09DD4D-9804-43F6-B53F-DCC9F6E7AB96}" name="متوسط" dataDxfId="68" totalsRowDxfId="67" dataCellStyle="Comma">
      <calculatedColumnFormula>IFERROR(الجدول29[[#This Row],[فئة التكلفة]]*الجدول29[[#This Row],[العدد]]," ")</calculatedColumnFormula>
    </tableColumn>
    <tableColumn id="7" xr3:uid="{20FD61F8-6831-405F-AA0A-3138B47A3F67}" name="±" totalsRowFunction="sum" dataDxfId="66" totalsRowDxfId="65">
      <calculatedColumnFormula>IFERROR(الجدول29[[#This Row],[سعر البيع]]-الجدول29[[#This Row],[فئة التكلفة]]*الجدول29[[#This Row],[العدد]],"")</calculatedColumnFormula>
    </tableColumn>
  </tableColumns>
  <tableStyleInfo name="نمط الجدول 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AF66D014-9557-4D44-ADBC-739983FF8C18}" name="الجدول30" displayName="الجدول30" ref="A4:I9" totalsRowCount="1" headerRowDxfId="60" dataDxfId="58" totalsRowDxfId="56" headerRowBorderDxfId="59" tableBorderDxfId="57" totalsRowBorderDxfId="55">
  <tableColumns count="9">
    <tableColumn id="1" xr3:uid="{25ACDEB5-2F57-48FE-B9D2-8060731DF224}" name="فئة التكلفة" dataDxfId="54" totalsRowDxfId="53">
      <calculatedColumnFormula>IFERROR(VLOOKUP(الجدول30[[#This Row],[كود الصنف]],'تكويد الأصناف'!A:F,6,0),"")</calculatedColumnFormula>
    </tableColumn>
    <tableColumn id="8" xr3:uid="{81E8CE67-46AC-4E70-AA32-3CDDF38A86A9}" name="المورد" dataDxfId="52" totalsRowDxfId="51">
      <calculatedColumnFormula>IFERROR(VLOOKUP(الجدول30[[#This Row],[كود الصنف]],'تكويد الأصناف'!A:F,3,0)," ")</calculatedColumnFormula>
    </tableColumn>
    <tableColumn id="2" xr3:uid="{20FE0792-E588-4524-8040-3EA3BB0A52C7}" name="كود الصنف" dataDxfId="50" totalsRowDxfId="49"/>
    <tableColumn id="3" xr3:uid="{3B90A725-11AF-4DD8-87D0-5453DE0658E8}" name="إســــــــم الـصـنــــــــــف" dataDxfId="48" totalsRowDxfId="47">
      <calculatedColumnFormula>IFERROR(VLOOKUP(الجدول30[[#This Row],[كود الصنف]],'تكويد الأصناف'!A:F,4,0),"")</calculatedColumnFormula>
    </tableColumn>
    <tableColumn id="9" xr3:uid="{5CDCAF9B-C7D4-4587-BE69-A3FFC331F152}" name="السعر الفعلي" dataDxfId="46" totalsRowDxfId="45" dataCellStyle="Comma">
      <calculatedColumnFormula>IFERROR(VLOOKUP(الجدول30[[#This Row],[كود الصنف]],'تكويد الأصناف'!A:F,5,0),"")</calculatedColumnFormula>
    </tableColumn>
    <tableColumn id="4" xr3:uid="{687A0853-7807-476A-94FD-37077819C865}" name="العدد" totalsRowFunction="sum" dataDxfId="44" totalsRowDxfId="43" dataCellStyle="Comma"/>
    <tableColumn id="5" xr3:uid="{57E088EE-1C11-4AEF-87A7-4315B754F65D}" name="سعر البيع" totalsRowFunction="sum" dataDxfId="42" totalsRowDxfId="41" dataCellStyle="Comma"/>
    <tableColumn id="6" xr3:uid="{3F174D4E-CA2F-4EB8-A61C-184DAF93639A}" name="متوسط" dataDxfId="40" totalsRowDxfId="39" dataCellStyle="Comma">
      <calculatedColumnFormula>IFERROR(الجدول30[[#This Row],[فئة التكلفة]]*الجدول30[[#This Row],[العدد]]," ")</calculatedColumnFormula>
    </tableColumn>
    <tableColumn id="7" xr3:uid="{353BA859-CE38-4543-9799-FD1E94624660}" name="±" totalsRowFunction="sum" dataDxfId="38" totalsRowDxfId="37">
      <calculatedColumnFormula>IFERROR(الجدول30[[#This Row],[سعر البيع]]-الجدول30[[#This Row],[فئة التكلفة]]*الجدول30[[#This Row],[العدد]],"")</calculatedColumnFormula>
    </tableColumn>
  </tableColumns>
  <tableStyleInfo name="نمط الجدول 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34670B86-941C-4772-B381-A60BA5FF5D77}" name="الجدول31" displayName="الجدول31" ref="A4:I10" totalsRowCount="1" headerRowDxfId="32" dataDxfId="30" totalsRowDxfId="28" headerRowBorderDxfId="31" tableBorderDxfId="29" totalsRowBorderDxfId="27">
  <tableColumns count="9">
    <tableColumn id="1" xr3:uid="{C9F42EDF-C82C-46B6-B77B-FB65BABAE728}" name="فئة التكلفة" dataDxfId="26" totalsRowDxfId="25">
      <calculatedColumnFormula>IFERROR(VLOOKUP(الجدول31[[#This Row],[كود الصنف]],'تكويد الأصناف'!A:F,6,0),"")</calculatedColumnFormula>
    </tableColumn>
    <tableColumn id="8" xr3:uid="{A1087BDB-ED3B-41B9-846F-E59C58674924}" name="المورد" dataDxfId="24" totalsRowDxfId="23">
      <calculatedColumnFormula>IFERROR(VLOOKUP(الجدول31[[#This Row],[كود الصنف]],'تكويد الأصناف'!A:F,3,0)," ")</calculatedColumnFormula>
    </tableColumn>
    <tableColumn id="2" xr3:uid="{A65BEAB5-1FB7-4F54-BF67-BF3EE422EBC0}" name="كود الصنف" dataDxfId="22" totalsRowDxfId="21"/>
    <tableColumn id="3" xr3:uid="{1A6D5A9A-449D-4D39-87DF-D6412F56F524}" name="إســــــــم الـصـنــــــــــف" dataDxfId="20" totalsRowDxfId="19">
      <calculatedColumnFormula>IFERROR(VLOOKUP(الجدول31[[#This Row],[كود الصنف]],'تكويد الأصناف'!A:F,4,0),"")</calculatedColumnFormula>
    </tableColumn>
    <tableColumn id="9" xr3:uid="{4AB211A9-CE5A-482D-904E-9F9CBCD82FFC}" name="السعر الفعلي" dataDxfId="18" totalsRowDxfId="17" dataCellStyle="Comma">
      <calculatedColumnFormula>IFERROR(VLOOKUP(الجدول31[[#This Row],[كود الصنف]],'تكويد الأصناف'!A:F,5,0),"")</calculatedColumnFormula>
    </tableColumn>
    <tableColumn id="4" xr3:uid="{A5CA8906-B217-491C-814E-CE1495AB4BB0}" name="العدد" totalsRowFunction="sum" dataDxfId="16" totalsRowDxfId="15" dataCellStyle="Comma"/>
    <tableColumn id="5" xr3:uid="{206D117A-215A-4087-88A4-8AE9A686BD03}" name="سعر البيع" totalsRowFunction="sum" dataDxfId="14" totalsRowDxfId="13" dataCellStyle="Comma"/>
    <tableColumn id="6" xr3:uid="{EDCB671E-378D-4A1A-B056-FB10D07A8A3E}" name="متوسط" dataDxfId="12" totalsRowDxfId="11" dataCellStyle="Comma">
      <calculatedColumnFormula>IFERROR(الجدول31[[#This Row],[فئة التكلفة]]*الجدول31[[#This Row],[العدد]]," ")</calculatedColumnFormula>
    </tableColumn>
    <tableColumn id="7" xr3:uid="{61F09ECE-4F37-40FF-8512-6ED6199C9A02}" name="±" totalsRowFunction="sum" dataDxfId="10" totalsRowDxfId="9">
      <calculatedColumnFormula>IFERROR(الجدول31[[#This Row],[سعر البيع]]-الجدول31[[#This Row],[فئة التكلفة]]*الجدول31[[#This Row],[العدد]],"")</calculatedColumnFormula>
    </tableColumn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405244-76E2-4AA3-84CD-8B626DFA4921}" name="الجدول1" displayName="الجدول1" ref="A4:I9" totalsRowCount="1" headerRowDxfId="863" dataDxfId="861" totalsRowDxfId="859" headerRowBorderDxfId="862" tableBorderDxfId="860" totalsRowBorderDxfId="858">
  <tableColumns count="9">
    <tableColumn id="1" xr3:uid="{CE6228A0-D686-448C-AA53-B28AF6EAD7C5}" name="فئة التكلفة" dataDxfId="857" totalsRowDxfId="856">
      <calculatedColumnFormula>IFERROR(VLOOKUP(الجدول1[[#This Row],[كود الصنف]],'تكويد الأصناف'!A:F,6,0),"")</calculatedColumnFormula>
    </tableColumn>
    <tableColumn id="8" xr3:uid="{004425AD-240C-4925-9FB9-A6907FDD6F6D}" name="مورد" dataDxfId="855" totalsRowDxfId="854">
      <calculatedColumnFormula>IFERROR(VLOOKUP(الجدول1[[#This Row],[كود الصنف]],'تكويد الأصناف'!A:F,3,0)," ")</calculatedColumnFormula>
    </tableColumn>
    <tableColumn id="2" xr3:uid="{F45442E7-01C7-438D-9633-09556564471C}" name="كود الصنف" dataDxfId="853" totalsRowDxfId="852"/>
    <tableColumn id="3" xr3:uid="{50B41B57-C50C-47CD-832B-BED088A3BE86}" name="إســــــــم الـصـنــــــــــف" dataDxfId="851" totalsRowDxfId="850">
      <calculatedColumnFormula>IFERROR(VLOOKUP(الجدول1[[#This Row],[كود الصنف]],'تكويد الأصناف'!A:F,4,0),"")</calculatedColumnFormula>
    </tableColumn>
    <tableColumn id="9" xr3:uid="{558124E5-D360-4265-B398-F4ECFA9727FB}" name="السعر الفعلي" dataDxfId="849" totalsRowDxfId="848" dataCellStyle="Comma">
      <calculatedColumnFormula>IFERROR(VLOOKUP(الجدول1[[#This Row],[كود الصنف]],'تكويد الأصناف'!A:F,5,0),"")</calculatedColumnFormula>
    </tableColumn>
    <tableColumn id="4" xr3:uid="{0F5B8398-7799-4BBC-A2E9-4700F6BE6D22}" name="العدد" totalsRowFunction="sum" dataDxfId="847" totalsRowDxfId="846" dataCellStyle="Comma"/>
    <tableColumn id="5" xr3:uid="{58D4C40F-9ED0-4B1D-8994-CDB0D140CC3C}" name="سعر البيع" totalsRowFunction="sum" dataDxfId="845" totalsRowDxfId="844" dataCellStyle="Comma"/>
    <tableColumn id="6" xr3:uid="{96EDDE59-D82C-4302-AA64-79AC1368EC15}" name="متوسط" dataDxfId="843" totalsRowDxfId="842" dataCellStyle="Comma">
      <calculatedColumnFormula>IFERROR(الجدول1[[#This Row],[فئة التكلفة]]*الجدول1[[#This Row],[العدد]]," ")</calculatedColumnFormula>
    </tableColumn>
    <tableColumn id="7" xr3:uid="{9CCB0E71-34A7-4826-8637-63409B1E696B}" name="±" totalsRowFunction="sum" dataDxfId="841" totalsRowDxfId="840">
      <calculatedColumnFormula>IFERROR(الجدول1[[#This Row],[سعر البيع]]-الجدول1[[#This Row],[فئة التكلفة]]*الجدول1[[#This Row],[العدد]],"")</calculatedColumnFormula>
    </tableColumn>
  </tableColumns>
  <tableStyleInfo name="نمط الجدول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BE2685-F166-4B3A-97CE-796D92B237C0}" name="الجدول2" displayName="الجدول2" ref="A4:I9" totalsRowCount="1" headerRowDxfId="835" dataDxfId="833" totalsRowDxfId="831" headerRowBorderDxfId="834" tableBorderDxfId="832" totalsRowBorderDxfId="830">
  <tableColumns count="9">
    <tableColumn id="1" xr3:uid="{635B424C-1D25-4BC8-8279-E6BB4442B42C}" name="فئة التكلفة" dataDxfId="829" totalsRowDxfId="828">
      <calculatedColumnFormula>IFERROR(VLOOKUP(الجدول2[[#This Row],[كود الصنف]],'تكويد الأصناف'!A:F,6,0),"")</calculatedColumnFormula>
    </tableColumn>
    <tableColumn id="8" xr3:uid="{DB6D60EC-81C1-48E3-BEA6-1A8D1451E351}" name="المورد" dataDxfId="827" totalsRowDxfId="826">
      <calculatedColumnFormula>IFERROR(VLOOKUP(الجدول2[[#This Row],[كود الصنف]],'تكويد الأصناف'!A:F,3,0)," ")</calculatedColumnFormula>
    </tableColumn>
    <tableColumn id="2" xr3:uid="{98A2B976-EEB3-4361-84C0-9B28EF1CBA2B}" name="كود الصنف" dataDxfId="825" totalsRowDxfId="824"/>
    <tableColumn id="3" xr3:uid="{BD65E17B-271C-4F3A-8108-CE64CE1EF73A}" name="إســــــــم الـصـنــــــــــف" dataDxfId="823" totalsRowDxfId="822">
      <calculatedColumnFormula>IFERROR(VLOOKUP(الجدول2[[#This Row],[كود الصنف]],'تكويد الأصناف'!A:F,4,0),"")</calculatedColumnFormula>
    </tableColumn>
    <tableColumn id="9" xr3:uid="{3D5F6DF5-A18E-432C-A79C-B5651AAC7200}" name="السعر الفعلي" dataDxfId="821" totalsRowDxfId="820" dataCellStyle="Comma">
      <calculatedColumnFormula>IFERROR(VLOOKUP(الجدول2[[#This Row],[كود الصنف]],'تكويد الأصناف'!A:F,5,0),"")</calculatedColumnFormula>
    </tableColumn>
    <tableColumn id="4" xr3:uid="{4153FF72-FFDC-454A-8082-306E07C17423}" name="العدد" totalsRowFunction="sum" dataDxfId="819" totalsRowDxfId="818" dataCellStyle="Comma"/>
    <tableColumn id="5" xr3:uid="{598228BD-226B-4E96-9B2F-92313ED70FF9}" name="سعر البيع" totalsRowFunction="sum" dataDxfId="817" totalsRowDxfId="816" dataCellStyle="Comma"/>
    <tableColumn id="6" xr3:uid="{63835F26-CE19-4312-B3AA-DAFD92558C12}" name="متوسط" dataDxfId="815" totalsRowDxfId="814" dataCellStyle="Comma">
      <calculatedColumnFormula>IFERROR(الجدول2[[#This Row],[فئة التكلفة]]*الجدول2[[#This Row],[العدد]]," ")</calculatedColumnFormula>
    </tableColumn>
    <tableColumn id="7" xr3:uid="{D840410F-DF83-4990-A566-7FC16F2417B4}" name="±" totalsRowFunction="sum" dataDxfId="813" totalsRowDxfId="812">
      <calculatedColumnFormula>IFERROR(الجدول2[[#This Row],[سعر البيع]]-الجدول2[[#This Row],[فئة التكلفة]]*الجدول2[[#This Row],[العدد]],"")</calculatedColumnFormula>
    </tableColumn>
  </tableColumns>
  <tableStyleInfo name="نمط الجدول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416E174-F2C9-44B0-8680-3A78A2F839A0}" name="الجدول3" displayName="الجدول3" ref="A4:I9" totalsRowCount="1" headerRowDxfId="807" dataDxfId="805" totalsRowDxfId="803" headerRowBorderDxfId="806" tableBorderDxfId="804" totalsRowBorderDxfId="802">
  <tableColumns count="9">
    <tableColumn id="1" xr3:uid="{BB1A305D-F981-4EFE-AA97-D20C0A4025E0}" name="فئة التكلفة" dataDxfId="801" totalsRowDxfId="800">
      <calculatedColumnFormula>IFERROR(VLOOKUP(الجدول3[[#This Row],[كود الصنف]],'تكويد الأصناف'!A:F,6,0),"")</calculatedColumnFormula>
    </tableColumn>
    <tableColumn id="8" xr3:uid="{DB206BA2-388A-4685-81F0-9DD6A3E59530}" name="المورد" dataDxfId="799" totalsRowDxfId="798">
      <calculatedColumnFormula>IFERROR(VLOOKUP(الجدول3[[#This Row],[كود الصنف]],'تكويد الأصناف'!A:F,3,0)," ")</calculatedColumnFormula>
    </tableColumn>
    <tableColumn id="2" xr3:uid="{916A7F30-D17D-40AE-8A48-52C08F2C9D63}" name="كود الصنف" dataDxfId="797" totalsRowDxfId="796"/>
    <tableColumn id="3" xr3:uid="{E4D7C919-D91D-4E49-AB36-D58E2199D959}" name="إســــــــم الـصـنــــــــــف" dataDxfId="795" totalsRowDxfId="794">
      <calculatedColumnFormula>IFERROR(VLOOKUP(الجدول3[[#This Row],[كود الصنف]],'تكويد الأصناف'!A:F,4,0),"")</calculatedColumnFormula>
    </tableColumn>
    <tableColumn id="9" xr3:uid="{70FDC9A7-501B-432B-A6B7-593CEEB73769}" name="السعر الفعلي" dataDxfId="793" totalsRowDxfId="792" dataCellStyle="Comma">
      <calculatedColumnFormula>IFERROR(VLOOKUP(الجدول3[[#This Row],[كود الصنف]],'تكويد الأصناف'!A:F,5,0),"")</calculatedColumnFormula>
    </tableColumn>
    <tableColumn id="4" xr3:uid="{FE95E512-817A-4D97-9544-3F324AB46CC1}" name="العدد" totalsRowFunction="sum" dataDxfId="791" totalsRowDxfId="790" dataCellStyle="Comma"/>
    <tableColumn id="5" xr3:uid="{FCBA8B68-6390-4AE0-B42D-8D962E6E6A95}" name="سعر البيع" totalsRowFunction="sum" dataDxfId="789" totalsRowDxfId="788" dataCellStyle="Comma"/>
    <tableColumn id="6" xr3:uid="{96D85F08-A995-4F20-8121-0C2FABF1C727}" name="متوسط" dataDxfId="787" totalsRowDxfId="786" dataCellStyle="Comma">
      <calculatedColumnFormula>IFERROR(الجدول3[[#This Row],[فئة التكلفة]]*الجدول3[[#This Row],[العدد]]," ")</calculatedColumnFormula>
    </tableColumn>
    <tableColumn id="7" xr3:uid="{4AF39D32-5E59-46A5-A388-CD9AE772DA4C}" name="±" totalsRowFunction="sum" dataDxfId="785" totalsRowDxfId="784">
      <calculatedColumnFormula>IFERROR(الجدول3[[#This Row],[سعر البيع]]-الجدول3[[#This Row],[فئة التكلفة]]*الجدول3[[#This Row],[العدد]],"")</calculatedColumnFormula>
    </tableColumn>
  </tableColumns>
  <tableStyleInfo name="نمط الجدول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27B2E3B-C403-4E64-BA0F-DADFAA0C0C61}" name="الجدول4" displayName="الجدول4" ref="A4:I9" totalsRowCount="1" headerRowDxfId="779" dataDxfId="777" totalsRowDxfId="775" headerRowBorderDxfId="778" tableBorderDxfId="776" totalsRowBorderDxfId="774">
  <tableColumns count="9">
    <tableColumn id="1" xr3:uid="{275DFD20-904E-4462-99FF-8B0FCC62D81E}" name="فئة التكلفة" dataDxfId="773" totalsRowDxfId="772">
      <calculatedColumnFormula>IFERROR(VLOOKUP(الجدول4[[#This Row],[كود الصنف]],'تكويد الأصناف'!A:F,6,0),"")</calculatedColumnFormula>
    </tableColumn>
    <tableColumn id="8" xr3:uid="{98DDD1DB-DAE5-4B9C-B700-CF199C9FA0C1}" name="المورد" dataDxfId="771" totalsRowDxfId="770">
      <calculatedColumnFormula>IFERROR(VLOOKUP(الجدول4[[#This Row],[كود الصنف]],'تكويد الأصناف'!A:F,3,0)," ")</calculatedColumnFormula>
    </tableColumn>
    <tableColumn id="2" xr3:uid="{281E1A36-41BA-443B-8309-E3AC5AA05B4E}" name="كود الصنف" dataDxfId="769" totalsRowDxfId="768"/>
    <tableColumn id="3" xr3:uid="{A84DB8C6-7251-4784-B352-DF0E209C8E90}" name="إســــــــم الـصـنــــــــــف" dataDxfId="767" totalsRowDxfId="766">
      <calculatedColumnFormula>IFERROR(VLOOKUP(الجدول4[[#This Row],[كود الصنف]],'تكويد الأصناف'!A:F,4,0),"")</calculatedColumnFormula>
    </tableColumn>
    <tableColumn id="9" xr3:uid="{E8FD4A44-EE4B-42D7-8E27-0765B5B0D2D5}" name="السعر الفعلي" dataDxfId="765" totalsRowDxfId="764" dataCellStyle="Comma">
      <calculatedColumnFormula>IFERROR(VLOOKUP(الجدول4[[#This Row],[كود الصنف]],'تكويد الأصناف'!A:F,5,0),"")</calculatedColumnFormula>
    </tableColumn>
    <tableColumn id="4" xr3:uid="{482465DF-388C-4399-946B-47B1CA0DDC9E}" name="العدد" totalsRowFunction="sum" dataDxfId="763" totalsRowDxfId="762" dataCellStyle="Comma"/>
    <tableColumn id="5" xr3:uid="{3B7A6167-EB1D-4F0A-969E-EB35A42EED17}" name="سعر البيع" totalsRowFunction="sum" dataDxfId="761" totalsRowDxfId="760" dataCellStyle="Comma"/>
    <tableColumn id="6" xr3:uid="{CE739400-1E6C-4E7C-955B-8F326720947F}" name="متوسط" dataDxfId="759" totalsRowDxfId="758" dataCellStyle="Comma">
      <calculatedColumnFormula>IFERROR(الجدول4[[#This Row],[فئة التكلفة]]*الجدول4[[#This Row],[العدد]]," ")</calculatedColumnFormula>
    </tableColumn>
    <tableColumn id="7" xr3:uid="{40B14743-2240-47F9-87DE-4F0660EC975A}" name="±" totalsRowFunction="sum" dataDxfId="757" totalsRowDxfId="756">
      <calculatedColumnFormula>IFERROR(الجدول4[[#This Row],[سعر البيع]]-الجدول4[[#This Row],[فئة التكلفة]]*الجدول4[[#This Row],[العدد]],"")</calculatedColumnFormula>
    </tableColumn>
  </tableColumns>
  <tableStyleInfo name="نمط الجدول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169D1B3-6DD9-49D8-A0C5-9ED41E36A2CB}" name="الجدول5" displayName="الجدول5" ref="A4:I12" totalsRowCount="1" headerRowDxfId="751" dataDxfId="749" totalsRowDxfId="747" headerRowBorderDxfId="750" tableBorderDxfId="748" totalsRowBorderDxfId="746">
  <tableColumns count="9">
    <tableColumn id="1" xr3:uid="{C340F73F-9414-403B-B715-CDB557F2C47C}" name="فئة التكلفة" dataDxfId="745" totalsRowDxfId="744">
      <calculatedColumnFormula>IFERROR(VLOOKUP(الجدول5[[#This Row],[كود الصنف]],'تكويد الأصناف'!A:F,6,0),"")</calculatedColumnFormula>
    </tableColumn>
    <tableColumn id="8" xr3:uid="{9518FA63-9F1C-4592-8437-5C388010D35E}" name="المورد" dataDxfId="743" totalsRowDxfId="742">
      <calculatedColumnFormula>IFERROR(VLOOKUP(الجدول5[[#This Row],[كود الصنف]],'تكويد الأصناف'!A:F,3,0)," ")</calculatedColumnFormula>
    </tableColumn>
    <tableColumn id="2" xr3:uid="{CBDAC59A-02EE-446E-9542-50AE35EC31AE}" name="كود الصنف" dataDxfId="741" totalsRowDxfId="740"/>
    <tableColumn id="3" xr3:uid="{0CBA5C82-B8D3-4629-8863-41181435B52C}" name="إســــــــم الـصـنــــــــــف" dataDxfId="739" totalsRowDxfId="738">
      <calculatedColumnFormula>IFERROR(VLOOKUP(الجدول5[[#This Row],[كود الصنف]],'تكويد الأصناف'!A:F,4,0),"")</calculatedColumnFormula>
    </tableColumn>
    <tableColumn id="9" xr3:uid="{73796AE8-C9FF-44AA-9E0D-52E41CEA0CD4}" name="السعر الفعلي" dataDxfId="737" totalsRowDxfId="736" dataCellStyle="Comma">
      <calculatedColumnFormula>IFERROR(VLOOKUP(الجدول5[[#This Row],[كود الصنف]],'تكويد الأصناف'!A:F,5,0),"")</calculatedColumnFormula>
    </tableColumn>
    <tableColumn id="4" xr3:uid="{F1517B8E-9028-40B0-9ADA-1DD1A69ED703}" name="العدد" totalsRowFunction="sum" dataDxfId="735" totalsRowDxfId="734" dataCellStyle="Comma"/>
    <tableColumn id="5" xr3:uid="{B2F889DA-D8A3-4953-B7AC-D4BFB4DE093C}" name="سعر البيع" totalsRowFunction="sum" dataDxfId="733" totalsRowDxfId="732" dataCellStyle="Comma"/>
    <tableColumn id="6" xr3:uid="{118146F7-7445-424C-A5A3-DEC5D209B53E}" name="متوسط" dataDxfId="731" totalsRowDxfId="730" dataCellStyle="Comma">
      <calculatedColumnFormula>IFERROR(الجدول5[[#This Row],[فئة التكلفة]]*الجدول5[[#This Row],[العدد]]," ")</calculatedColumnFormula>
    </tableColumn>
    <tableColumn id="7" xr3:uid="{39E16CE1-6133-4B34-ACD8-A1B925669194}" name="±" totalsRowFunction="sum" dataDxfId="729" totalsRowDxfId="728">
      <calculatedColumnFormula>IFERROR(الجدول5[[#This Row],[سعر البيع]]-الجدول5[[#This Row],[فئة التكلفة]]*الجدول5[[#This Row],[العدد]],"")</calculatedColumnFormula>
    </tableColumn>
  </tableColumns>
  <tableStyleInfo name="نمط الجدول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21CCEE1-510F-4150-A00F-EDD169E1FBA2}" name="الجدول6" displayName="الجدول6" ref="A4:I12" totalsRowCount="1" headerRowDxfId="723" dataDxfId="721" totalsRowDxfId="719" headerRowBorderDxfId="722" tableBorderDxfId="720" totalsRowBorderDxfId="718">
  <tableColumns count="9">
    <tableColumn id="1" xr3:uid="{6FB5E1ED-8AB2-40E7-A904-8B2218090F48}" name="فئة التكلفة" dataDxfId="717" totalsRowDxfId="716">
      <calculatedColumnFormula>IFERROR(VLOOKUP(الجدول6[[#This Row],[كود الصنف]],'تكويد الأصناف'!A:F,6,0),"")</calculatedColumnFormula>
    </tableColumn>
    <tableColumn id="8" xr3:uid="{BD06397C-5CE3-4327-9E07-588726D5B4A2}" name="المورد" dataDxfId="715" totalsRowDxfId="714">
      <calculatedColumnFormula>IFERROR(VLOOKUP(الجدول6[[#This Row],[كود الصنف]],'تكويد الأصناف'!A:F,3,0)," ")</calculatedColumnFormula>
    </tableColumn>
    <tableColumn id="2" xr3:uid="{703EA337-4DF7-4BA1-BD83-32570919EA3B}" name="كود الصنف" dataDxfId="713" totalsRowDxfId="712"/>
    <tableColumn id="3" xr3:uid="{989690DD-67D5-40E7-A3BE-7FC6F8001442}" name="إســــــــم الـصـنــــــــــف" dataDxfId="711" totalsRowDxfId="710">
      <calculatedColumnFormula>IFERROR(VLOOKUP(الجدول6[[#This Row],[كود الصنف]],'تكويد الأصناف'!A:F,4,0),"")</calculatedColumnFormula>
    </tableColumn>
    <tableColumn id="9" xr3:uid="{501CB7DE-0E58-4BF7-9A14-8A9B2D3A78E5}" name="السعر الفعلي" dataDxfId="709" totalsRowDxfId="708" dataCellStyle="Comma">
      <calculatedColumnFormula>IFERROR(VLOOKUP(الجدول6[[#This Row],[كود الصنف]],'تكويد الأصناف'!A:F,5,0),"")</calculatedColumnFormula>
    </tableColumn>
    <tableColumn id="4" xr3:uid="{32A44A93-597E-4C8C-B746-517A5A2B3256}" name="العدد" totalsRowFunction="sum" dataDxfId="707" totalsRowDxfId="706" dataCellStyle="Comma"/>
    <tableColumn id="5" xr3:uid="{48240B09-84C8-4031-9E4B-F1C5355F74AB}" name="سعر البيع" totalsRowFunction="sum" dataDxfId="705" totalsRowDxfId="704" dataCellStyle="Comma"/>
    <tableColumn id="6" xr3:uid="{25A8E73B-A27F-4B0A-8680-CB587282DBD3}" name="متوسط" dataDxfId="703" totalsRowDxfId="702" dataCellStyle="Comma">
      <calculatedColumnFormula>IFERROR(الجدول6[[#This Row],[فئة التكلفة]]*الجدول6[[#This Row],[العدد]]," ")</calculatedColumnFormula>
    </tableColumn>
    <tableColumn id="7" xr3:uid="{8E9FE225-83F1-4FD7-8B75-4217BC99D42E}" name="±" totalsRowFunction="sum" dataDxfId="701" totalsRowDxfId="700">
      <calculatedColumnFormula>IFERROR(الجدول6[[#This Row],[سعر البيع]]-الجدول6[[#This Row],[فئة التكلفة]]*الجدول6[[#This Row],[العدد]],"")</calculatedColumnFormula>
    </tableColumn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914D6-2367-488E-BCA7-EEE280B00DDB}">
  <dimension ref="A1:AE24"/>
  <sheetViews>
    <sheetView rightToLeft="1" zoomScaleNormal="100" workbookViewId="0">
      <selection activeCell="L9" sqref="L9:N10"/>
    </sheetView>
  </sheetViews>
  <sheetFormatPr defaultColWidth="0" defaultRowHeight="14.25" customHeight="1" zeroHeight="1" x14ac:dyDescent="0.2"/>
  <cols>
    <col min="1" max="1" width="3" style="156" customWidth="1"/>
    <col min="2" max="2" width="3.5" style="156" customWidth="1"/>
    <col min="3" max="3" width="3.375" style="147" customWidth="1"/>
    <col min="4" max="4" width="2.875" style="147" customWidth="1"/>
    <col min="5" max="5" width="4.375" style="147" customWidth="1"/>
    <col min="6" max="7" width="3.375" style="147" customWidth="1"/>
    <col min="8" max="11" width="3.25" style="147" customWidth="1"/>
    <col min="12" max="14" width="2.75" style="147" customWidth="1"/>
    <col min="15" max="24" width="0" style="148" hidden="1" customWidth="1"/>
    <col min="25" max="28" width="9.125" style="148" hidden="1" customWidth="1"/>
    <col min="29" max="31" width="0" style="148" hidden="1" customWidth="1"/>
    <col min="32" max="16384" width="9.125" style="148" hidden="1"/>
  </cols>
  <sheetData>
    <row r="1" spans="1:14" x14ac:dyDescent="0.2">
      <c r="A1" s="295" t="str">
        <f>VLOOKUP(L1,'تكويد الأصناف'!A:F,4,0)</f>
        <v>جلباب سبور كتانات منوع</v>
      </c>
      <c r="B1" s="295"/>
      <c r="C1" s="295"/>
      <c r="D1" s="295"/>
      <c r="E1" s="295"/>
      <c r="F1" s="295"/>
      <c r="G1" s="295"/>
      <c r="I1" s="274" t="s">
        <v>1</v>
      </c>
      <c r="J1" s="274"/>
      <c r="K1" s="274"/>
      <c r="L1" s="274">
        <v>1005</v>
      </c>
      <c r="M1" s="274"/>
      <c r="N1" s="274"/>
    </row>
    <row r="2" spans="1:14" ht="25.5" x14ac:dyDescent="0.2">
      <c r="A2" s="296" t="s">
        <v>60</v>
      </c>
      <c r="B2" s="296"/>
      <c r="C2" s="149">
        <f>VLOOKUP(L1,'تكويد الأصناف'!A:F,3,0)</f>
        <v>4</v>
      </c>
      <c r="D2" s="149">
        <f>VLOOKUP(L1,'تكويد الأصناف'!A:F,5,0)</f>
        <v>15</v>
      </c>
      <c r="E2" s="150">
        <f>VLOOKUP(L1,'تكويد الأصناف'!A:F,6,0)</f>
        <v>10</v>
      </c>
      <c r="F2" s="151">
        <f>VLOOKUP(L1,'تكويد الأصناف'!A:F,2,0)</f>
        <v>105</v>
      </c>
      <c r="G2" s="152"/>
      <c r="H2" s="153"/>
      <c r="I2" s="274"/>
      <c r="J2" s="274"/>
      <c r="K2" s="274"/>
      <c r="L2" s="274"/>
      <c r="M2" s="274"/>
      <c r="N2" s="274"/>
    </row>
    <row r="3" spans="1:14" ht="14.25" customHeight="1" x14ac:dyDescent="0.2">
      <c r="A3" s="296" t="s">
        <v>61</v>
      </c>
      <c r="B3" s="296"/>
      <c r="C3" s="297">
        <f>L5</f>
        <v>0</v>
      </c>
      <c r="D3" s="298"/>
      <c r="E3" s="299"/>
      <c r="F3" s="152"/>
      <c r="G3" s="152"/>
      <c r="H3" s="154"/>
      <c r="I3" s="274" t="s">
        <v>27</v>
      </c>
      <c r="J3" s="274"/>
      <c r="K3" s="274"/>
      <c r="L3" s="278">
        <v>45</v>
      </c>
      <c r="M3" s="278"/>
      <c r="N3" s="278"/>
    </row>
    <row r="4" spans="1:14" ht="15" customHeight="1" x14ac:dyDescent="0.2">
      <c r="A4" s="296" t="s">
        <v>62</v>
      </c>
      <c r="B4" s="296"/>
      <c r="C4" s="300">
        <f>L3</f>
        <v>45</v>
      </c>
      <c r="D4" s="300"/>
      <c r="E4" s="300"/>
      <c r="F4" s="300"/>
      <c r="G4" s="300"/>
      <c r="H4" s="154"/>
      <c r="I4" s="274"/>
      <c r="J4" s="274"/>
      <c r="K4" s="274"/>
      <c r="L4" s="278"/>
      <c r="M4" s="278"/>
      <c r="N4" s="278"/>
    </row>
    <row r="5" spans="1:14" ht="15" x14ac:dyDescent="0.2">
      <c r="A5" s="285" t="s">
        <v>63</v>
      </c>
      <c r="B5" s="286"/>
      <c r="C5" s="286"/>
      <c r="D5" s="286"/>
      <c r="E5" s="286"/>
      <c r="F5" s="286"/>
      <c r="G5" s="287"/>
      <c r="H5" s="155"/>
      <c r="I5" s="288" t="s">
        <v>64</v>
      </c>
      <c r="J5" s="289"/>
      <c r="K5" s="290"/>
      <c r="L5" s="291">
        <v>0</v>
      </c>
      <c r="M5" s="292"/>
      <c r="N5" s="293"/>
    </row>
    <row r="6" spans="1:14" s="301" customFormat="1" ht="15" customHeight="1" x14ac:dyDescent="0.2"/>
    <row r="7" spans="1:14" ht="14.25" customHeight="1" x14ac:dyDescent="0.2">
      <c r="A7" s="302" t="str">
        <f>VLOOKUP(L7,'تكويد الأصناف'!A:F,4,0)</f>
        <v>عبايات عروض</v>
      </c>
      <c r="B7" s="302"/>
      <c r="C7" s="302"/>
      <c r="D7" s="302"/>
      <c r="E7" s="302"/>
      <c r="F7" s="302"/>
      <c r="G7" s="302"/>
      <c r="I7" s="274" t="s">
        <v>1</v>
      </c>
      <c r="J7" s="274"/>
      <c r="K7" s="274"/>
      <c r="L7" s="274">
        <v>1006</v>
      </c>
      <c r="M7" s="274"/>
      <c r="N7" s="274"/>
    </row>
    <row r="8" spans="1:14" ht="14.25" customHeight="1" x14ac:dyDescent="0.2">
      <c r="A8" s="276" t="s">
        <v>60</v>
      </c>
      <c r="B8" s="276"/>
      <c r="C8" s="284" t="str">
        <f>F12&amp;""&amp;E12&amp;""&amp;D12&amp;""&amp;C12</f>
        <v>10611151</v>
      </c>
      <c r="D8" s="284"/>
      <c r="E8" s="284"/>
      <c r="F8" s="284"/>
      <c r="G8" s="204"/>
      <c r="H8" s="153"/>
      <c r="I8" s="274"/>
      <c r="J8" s="274"/>
      <c r="K8" s="274"/>
      <c r="L8" s="274"/>
      <c r="M8" s="274"/>
      <c r="N8" s="274"/>
    </row>
    <row r="9" spans="1:14" ht="14.25" customHeight="1" x14ac:dyDescent="0.2">
      <c r="A9" s="277" t="s">
        <v>97</v>
      </c>
      <c r="B9" s="277"/>
      <c r="C9" s="279">
        <f>L9</f>
        <v>0</v>
      </c>
      <c r="D9" s="279"/>
      <c r="E9" s="205" t="s">
        <v>64</v>
      </c>
      <c r="F9" s="280">
        <f>L11</f>
        <v>0</v>
      </c>
      <c r="G9" s="281"/>
      <c r="H9" s="154"/>
      <c r="I9" s="274" t="s">
        <v>27</v>
      </c>
      <c r="J9" s="274"/>
      <c r="K9" s="274"/>
      <c r="L9" s="278">
        <v>0</v>
      </c>
      <c r="M9" s="278"/>
      <c r="N9" s="278"/>
    </row>
    <row r="10" spans="1:14" ht="14.25" customHeight="1" x14ac:dyDescent="0.2">
      <c r="A10" s="282" t="str">
        <f>"*"&amp;L7&amp;"*"</f>
        <v>*1006*</v>
      </c>
      <c r="B10" s="282"/>
      <c r="C10" s="282"/>
      <c r="D10" s="282"/>
      <c r="E10" s="282"/>
      <c r="F10" s="283" t="s">
        <v>98</v>
      </c>
      <c r="G10" s="283"/>
      <c r="H10" s="154"/>
      <c r="I10" s="274"/>
      <c r="J10" s="274"/>
      <c r="K10" s="274"/>
      <c r="L10" s="278"/>
      <c r="M10" s="278"/>
      <c r="N10" s="278"/>
    </row>
    <row r="11" spans="1:14" ht="14.25" customHeight="1" x14ac:dyDescent="0.2">
      <c r="A11" s="282"/>
      <c r="B11" s="282"/>
      <c r="C11" s="282"/>
      <c r="D11" s="282"/>
      <c r="E11" s="282"/>
      <c r="F11" s="283"/>
      <c r="G11" s="283"/>
      <c r="H11" s="154"/>
      <c r="I11" s="274" t="s">
        <v>64</v>
      </c>
      <c r="J11" s="274"/>
      <c r="K11" s="274"/>
      <c r="L11" s="275">
        <v>0</v>
      </c>
      <c r="M11" s="275"/>
      <c r="N11" s="275"/>
    </row>
    <row r="12" spans="1:14" ht="14.25" customHeight="1" x14ac:dyDescent="0.2">
      <c r="A12" s="272"/>
      <c r="B12" s="272"/>
      <c r="C12" s="268">
        <f>VLOOKUP(L7,'تكويد الأصناف'!A:F,3,0)</f>
        <v>1</v>
      </c>
      <c r="D12" s="268">
        <f>VLOOKUP(L7,'تكويد الأصناف'!A:F,5,0)</f>
        <v>15</v>
      </c>
      <c r="E12" s="268">
        <f>VLOOKUP(L7,'تكويد الأصناف'!A:F,6,0)</f>
        <v>11</v>
      </c>
      <c r="F12" s="270">
        <f>VLOOKUP(L7,'تكويد الأصناف'!A:F,2,0)</f>
        <v>106</v>
      </c>
      <c r="G12" s="206"/>
      <c r="H12" s="154"/>
      <c r="I12" s="202"/>
      <c r="J12" s="202"/>
      <c r="K12" s="202"/>
      <c r="L12" s="203"/>
      <c r="M12" s="203"/>
      <c r="N12" s="203"/>
    </row>
    <row r="13" spans="1:14" ht="14.25" customHeight="1" x14ac:dyDescent="0.2">
      <c r="A13" s="273"/>
      <c r="B13" s="273"/>
      <c r="C13" s="269" t="e">
        <f>VLOOKUP(L12,'تكويد الأصناف'!A:F,3,0)</f>
        <v>#N/A</v>
      </c>
      <c r="D13" s="269" t="e">
        <f>VLOOKUP(L12,'تكويد الأصناف'!A:F,5,0)</f>
        <v>#N/A</v>
      </c>
      <c r="E13" s="269"/>
      <c r="F13" s="271"/>
      <c r="G13" s="201"/>
      <c r="H13" s="154"/>
      <c r="I13" s="267"/>
      <c r="J13" s="267"/>
      <c r="K13" s="267"/>
      <c r="L13" s="267"/>
      <c r="M13" s="267"/>
      <c r="N13" s="267"/>
    </row>
    <row r="14" spans="1:14" hidden="1" x14ac:dyDescent="0.2">
      <c r="A14" s="294"/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</row>
    <row r="15" spans="1:14" hidden="1" x14ac:dyDescent="0.2">
      <c r="A15" s="294"/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</row>
    <row r="16" spans="1:14" hidden="1" x14ac:dyDescent="0.2">
      <c r="A16" s="294"/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</row>
    <row r="17" spans="1:14" hidden="1" x14ac:dyDescent="0.2">
      <c r="A17" s="294"/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</row>
    <row r="18" spans="1:14" hidden="1" x14ac:dyDescent="0.2">
      <c r="A18" s="294"/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</row>
    <row r="19" spans="1:14" hidden="1" x14ac:dyDescent="0.2">
      <c r="A19" s="294"/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</row>
    <row r="20" spans="1:14" hidden="1" x14ac:dyDescent="0.2">
      <c r="A20" s="294"/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</row>
    <row r="21" spans="1:14" hidden="1" x14ac:dyDescent="0.2">
      <c r="A21" s="294"/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</row>
    <row r="22" spans="1:14" hidden="1" x14ac:dyDescent="0.2">
      <c r="A22" s="294"/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</row>
    <row r="23" spans="1:14" hidden="1" x14ac:dyDescent="0.2">
      <c r="A23" s="294"/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</row>
    <row r="24" spans="1:14" hidden="1" x14ac:dyDescent="0.2">
      <c r="A24" s="294"/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</row>
  </sheetData>
  <mergeCells count="36">
    <mergeCell ref="A5:G5"/>
    <mergeCell ref="I5:K5"/>
    <mergeCell ref="L5:N5"/>
    <mergeCell ref="A14:N24"/>
    <mergeCell ref="A1:G1"/>
    <mergeCell ref="I1:K2"/>
    <mergeCell ref="L1:N2"/>
    <mergeCell ref="A2:B2"/>
    <mergeCell ref="A3:B3"/>
    <mergeCell ref="C3:E3"/>
    <mergeCell ref="I3:K4"/>
    <mergeCell ref="L3:N4"/>
    <mergeCell ref="A4:B4"/>
    <mergeCell ref="C4:G4"/>
    <mergeCell ref="A6:XFD6"/>
    <mergeCell ref="A7:G7"/>
    <mergeCell ref="I11:K11"/>
    <mergeCell ref="L11:N11"/>
    <mergeCell ref="I7:K8"/>
    <mergeCell ref="L7:N8"/>
    <mergeCell ref="A8:B8"/>
    <mergeCell ref="A9:B9"/>
    <mergeCell ref="I9:K10"/>
    <mergeCell ref="L9:N10"/>
    <mergeCell ref="C9:D9"/>
    <mergeCell ref="F9:G9"/>
    <mergeCell ref="A10:E11"/>
    <mergeCell ref="F10:G11"/>
    <mergeCell ref="C8:F8"/>
    <mergeCell ref="I13:N13"/>
    <mergeCell ref="E12:E13"/>
    <mergeCell ref="F12:F13"/>
    <mergeCell ref="A12:A13"/>
    <mergeCell ref="B12:B13"/>
    <mergeCell ref="C12:C13"/>
    <mergeCell ref="D12:D13"/>
  </mergeCells>
  <printOptions horizontalCentered="1"/>
  <pageMargins left="0" right="0" top="7.874015748031496E-2" bottom="0" header="0" footer="0"/>
  <pageSetup paperSize="264" fitToWidth="0" orientation="portrait" horizontalDpi="203" verticalDpi="20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0712-F6F4-4398-860E-718F3C26C6DC}">
  <sheetPr codeName="ورقة8">
    <tabColor rgb="FFFF0000"/>
  </sheetPr>
  <dimension ref="A1:L22"/>
  <sheetViews>
    <sheetView rightToLeft="1" workbookViewId="0">
      <selection activeCell="H29" sqref="H29"/>
    </sheetView>
  </sheetViews>
  <sheetFormatPr defaultColWidth="9"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0" max="16383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'4'!H1:I1+1</f>
        <v>41794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41794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>
        <f>IFERROR(VLOOKUP(الجدول5[[#This Row],[كود الصنف]],'تكويد الأصناف'!A:F,6,0),"")</f>
        <v>10</v>
      </c>
      <c r="B5" s="36">
        <f>IFERROR(VLOOKUP(الجدول5[[#This Row],[كود الصنف]],'تكويد الأصناف'!A:F,3,0)," ")</f>
        <v>4</v>
      </c>
      <c r="C5" s="25">
        <v>1005</v>
      </c>
      <c r="D5" s="10" t="str">
        <f>IFERROR(VLOOKUP(الجدول5[[#This Row],[كود الصنف]],'تكويد الأصناف'!A:F,4,0),"")</f>
        <v>جلباب سبور كتانات منوع</v>
      </c>
      <c r="E5" s="21">
        <f>IFERROR(VLOOKUP(الجدول5[[#This Row],[كود الصنف]],'تكويد الأصناف'!A:F,5,0),"")</f>
        <v>15</v>
      </c>
      <c r="F5" s="22">
        <v>1</v>
      </c>
      <c r="G5" s="23">
        <v>13</v>
      </c>
      <c r="H5" s="195">
        <f>IFERROR(الجدول5[[#This Row],[فئة التكلفة]]*الجدول5[[#This Row],[العدد]]," ")</f>
        <v>10</v>
      </c>
      <c r="I5" s="20">
        <f>IFERROR(الجدول5[[#This Row],[سعر البيع]]-الجدول5[[#This Row],[فئة التكلفة]]*الجدول5[[#This Row],[العدد]],"")</f>
        <v>3</v>
      </c>
      <c r="L5" s="1" t="s">
        <v>50</v>
      </c>
    </row>
    <row r="6" spans="1:12" x14ac:dyDescent="0.2">
      <c r="A6" s="36">
        <f>IFERROR(VLOOKUP(الجدول5[[#This Row],[كود الصنف]],'تكويد الأصناف'!A:F,6,0),"")</f>
        <v>10</v>
      </c>
      <c r="B6" s="36">
        <f>IFERROR(VLOOKUP(الجدول5[[#This Row],[كود الصنف]],'تكويد الأصناف'!A:F,3,0)," ")</f>
        <v>4</v>
      </c>
      <c r="C6" s="25">
        <v>1005</v>
      </c>
      <c r="D6" s="10" t="str">
        <f>IFERROR(VLOOKUP(الجدول5[[#This Row],[كود الصنف]],'تكويد الأصناف'!A:F,4,0),"")</f>
        <v>جلباب سبور كتانات منوع</v>
      </c>
      <c r="E6" s="21">
        <f>IFERROR(VLOOKUP(الجدول5[[#This Row],[كود الصنف]],'تكويد الأصناف'!A:F,5,0),"")</f>
        <v>15</v>
      </c>
      <c r="F6" s="22">
        <v>1</v>
      </c>
      <c r="G6" s="23">
        <v>15</v>
      </c>
      <c r="H6" s="167">
        <f>IFERROR(الجدول5[[#This Row],[فئة التكلفة]]*الجدول5[[#This Row],[العدد]]," ")</f>
        <v>10</v>
      </c>
      <c r="I6" s="20">
        <f>IFERROR(الجدول5[[#This Row],[سعر البيع]]-الجدول5[[#This Row],[فئة التكلفة]]*الجدول5[[#This Row],[العدد]],"")</f>
        <v>5</v>
      </c>
      <c r="L6" s="1" t="s">
        <v>51</v>
      </c>
    </row>
    <row r="7" spans="1:12" x14ac:dyDescent="0.2">
      <c r="A7" s="36" t="str">
        <f>IFERROR(VLOOKUP(الجدول5[[#This Row],[كود الصنف]],'تكويد الأصناف'!A:F,6,0),"")</f>
        <v/>
      </c>
      <c r="B7" s="36" t="str">
        <f>IFERROR(VLOOKUP(الجدول5[[#This Row],[كود الصنف]],'تكويد الأصناف'!A:F,3,0)," ")</f>
        <v xml:space="preserve"> </v>
      </c>
      <c r="C7" s="25"/>
      <c r="D7" s="10" t="str">
        <f>IFERROR(VLOOKUP(الجدول5[[#This Row],[كود الصنف]],'تكويد الأصناف'!A:F,4,0),"")</f>
        <v/>
      </c>
      <c r="E7" s="21" t="str">
        <f>IFERROR(VLOOKUP(الجدول5[[#This Row],[كود الصنف]],'تكويد الأصناف'!A:F,5,0),"")</f>
        <v/>
      </c>
      <c r="F7" s="22">
        <v>1</v>
      </c>
      <c r="G7" s="23">
        <v>10</v>
      </c>
      <c r="H7" s="167" t="str">
        <f>IFERROR(الجدول5[[#This Row],[فئة التكلفة]]*الجدول5[[#This Row],[العدد]]," ")</f>
        <v xml:space="preserve"> </v>
      </c>
      <c r="I7" s="20" t="str">
        <f>IFERROR(الجدول5[[#This Row],[سعر البيع]]-الجدول5[[#This Row],[فئة التكلفة]]*الجدول5[[#This Row],[العدد]],"")</f>
        <v/>
      </c>
      <c r="L7" s="1" t="s">
        <v>52</v>
      </c>
    </row>
    <row r="8" spans="1:12" x14ac:dyDescent="0.2">
      <c r="A8" s="36" t="str">
        <f>IFERROR(VLOOKUP(الجدول5[[#This Row],[كود الصنف]],'تكويد الأصناف'!A:F,6,0),"")</f>
        <v/>
      </c>
      <c r="B8" s="36" t="str">
        <f>IFERROR(VLOOKUP(الجدول5[[#This Row],[كود الصنف]],'تكويد الأصناف'!A:F,3,0)," ")</f>
        <v xml:space="preserve"> </v>
      </c>
      <c r="C8" s="25"/>
      <c r="D8" s="10" t="str">
        <f>IFERROR(VLOOKUP(الجدول5[[#This Row],[كود الصنف]],'تكويد الأصناف'!A:F,4,0),"")</f>
        <v/>
      </c>
      <c r="E8" s="21" t="str">
        <f>IFERROR(VLOOKUP(الجدول5[[#This Row],[كود الصنف]],'تكويد الأصناف'!A:F,5,0),"")</f>
        <v/>
      </c>
      <c r="F8" s="22">
        <v>1</v>
      </c>
      <c r="G8" s="23">
        <v>10</v>
      </c>
      <c r="H8" s="167" t="str">
        <f>IFERROR(الجدول5[[#This Row],[فئة التكلفة]]*الجدول5[[#This Row],[العدد]]," ")</f>
        <v xml:space="preserve"> </v>
      </c>
      <c r="I8" s="20" t="str">
        <f>IFERROR(الجدول5[[#This Row],[سعر البيع]]-الجدول5[[#This Row],[فئة التكلفة]]*الجدول5[[#This Row],[العدد]],"")</f>
        <v/>
      </c>
      <c r="L8" s="1" t="s">
        <v>53</v>
      </c>
    </row>
    <row r="9" spans="1:12" x14ac:dyDescent="0.2">
      <c r="A9" s="36">
        <f>IFERROR(VLOOKUP(الجدول5[[#This Row],[كود الصنف]],'تكويد الأصناف'!A:F,6,0),"")</f>
        <v>8</v>
      </c>
      <c r="B9" s="36">
        <f>IFERROR(VLOOKUP(الجدول5[[#This Row],[كود الصنف]],'تكويد الأصناف'!A:F,3,0)," ")</f>
        <v>4</v>
      </c>
      <c r="C9" s="25">
        <v>1002</v>
      </c>
      <c r="D9" s="10" t="str">
        <f>IFERROR(VLOOKUP(الجدول5[[#This Row],[كود الصنف]],'تكويد الأصناف'!A:F,4,0),"")</f>
        <v>جلباب شبك موديلين</v>
      </c>
      <c r="E9" s="21">
        <f>IFERROR(VLOOKUP(الجدول5[[#This Row],[كود الصنف]],'تكويد الأصناف'!A:F,5,0),"")</f>
        <v>10</v>
      </c>
      <c r="F9" s="22">
        <v>1</v>
      </c>
      <c r="G9" s="23">
        <v>10</v>
      </c>
      <c r="H9" s="167">
        <f>IFERROR(الجدول5[[#This Row],[فئة التكلفة]]*الجدول5[[#This Row],[العدد]]," ")</f>
        <v>8</v>
      </c>
      <c r="I9" s="20">
        <f>IFERROR(الجدول5[[#This Row],[سعر البيع]]-الجدول5[[#This Row],[فئة التكلفة]]*الجدول5[[#This Row],[العدد]],"")</f>
        <v>2</v>
      </c>
      <c r="L9" s="1" t="s">
        <v>54</v>
      </c>
    </row>
    <row r="10" spans="1:12" x14ac:dyDescent="0.2">
      <c r="A10" s="36">
        <f>IFERROR(VLOOKUP(الجدول5[[#This Row],[كود الصنف]],'تكويد الأصناف'!A:F,6,0),"")</f>
        <v>10</v>
      </c>
      <c r="B10" s="36">
        <f>IFERROR(VLOOKUP(الجدول5[[#This Row],[كود الصنف]],'تكويد الأصناف'!A:F,3,0)," ")</f>
        <v>4</v>
      </c>
      <c r="C10" s="25">
        <v>1005</v>
      </c>
      <c r="D10" s="10" t="str">
        <f>IFERROR(VLOOKUP(الجدول5[[#This Row],[كود الصنف]],'تكويد الأصناف'!A:F,4,0),"")</f>
        <v>جلباب سبور كتانات منوع</v>
      </c>
      <c r="E10" s="21">
        <f>IFERROR(VLOOKUP(الجدول5[[#This Row],[كود الصنف]],'تكويد الأصناف'!A:F,5,0),"")</f>
        <v>15</v>
      </c>
      <c r="F10" s="22">
        <v>1</v>
      </c>
      <c r="G10" s="23">
        <v>15</v>
      </c>
      <c r="H10" s="167">
        <f>IFERROR(الجدول5[[#This Row],[فئة التكلفة]]*الجدول5[[#This Row],[العدد]]," ")</f>
        <v>10</v>
      </c>
      <c r="I10" s="20">
        <f>IFERROR(الجدول5[[#This Row],[سعر البيع]]-الجدول5[[#This Row],[فئة التكلفة]]*الجدول5[[#This Row],[العدد]],"")</f>
        <v>5</v>
      </c>
      <c r="L10" s="1" t="s">
        <v>55</v>
      </c>
    </row>
    <row r="11" spans="1:12" x14ac:dyDescent="0.2">
      <c r="A11" s="36">
        <f>IFERROR(VLOOKUP(الجدول5[[#This Row],[كود الصنف]],'تكويد الأصناف'!A:F,6,0),"")</f>
        <v>13</v>
      </c>
      <c r="B11" s="36">
        <f>IFERROR(VLOOKUP(الجدول5[[#This Row],[كود الصنف]],'تكويد الأصناف'!A:F,3,0)," ")</f>
        <v>1</v>
      </c>
      <c r="C11" s="25">
        <v>1008</v>
      </c>
      <c r="D11" s="10" t="str">
        <f>IFERROR(VLOOKUP(الجدول5[[#This Row],[كود الصنف]],'تكويد الأصناف'!A:F,4,0),"")</f>
        <v>عبايات نخب موديلات</v>
      </c>
      <c r="E11" s="21">
        <f>IFERROR(VLOOKUP(الجدول5[[#This Row],[كود الصنف]],'تكويد الأصناف'!A:F,5,0),"")</f>
        <v>20</v>
      </c>
      <c r="F11" s="22">
        <v>1</v>
      </c>
      <c r="G11" s="23">
        <v>15</v>
      </c>
      <c r="H11" s="22">
        <f>IFERROR(الجدول5[[#This Row],[فئة التكلفة]]*الجدول5[[#This Row],[العدد]]," ")</f>
        <v>13</v>
      </c>
      <c r="I11" s="20">
        <f>IFERROR(الجدول5[[#This Row],[سعر البيع]]-الجدول5[[#This Row],[فئة التكلفة]]*الجدول5[[#This Row],[العدد]],"")</f>
        <v>2</v>
      </c>
      <c r="L11" s="1" t="s">
        <v>56</v>
      </c>
    </row>
    <row r="12" spans="1:12" x14ac:dyDescent="0.2">
      <c r="A12" s="29"/>
      <c r="B12" s="29"/>
      <c r="C12" s="26"/>
      <c r="D12" s="27"/>
      <c r="E12" s="28"/>
      <c r="F12" s="29">
        <f>SUBTOTAL(109,الجدول5[العدد])</f>
        <v>7</v>
      </c>
      <c r="G12" s="24">
        <f>SUBTOTAL(109,الجدول5[سعر البيع])</f>
        <v>88</v>
      </c>
      <c r="H12" s="19"/>
      <c r="I12" s="24">
        <f>SUBTOTAL(109,الجدول5[±])</f>
        <v>17</v>
      </c>
      <c r="L12" s="39" t="s">
        <v>57</v>
      </c>
    </row>
    <row r="13" spans="1:12" x14ac:dyDescent="0.2">
      <c r="A13" s="341"/>
      <c r="B13" s="342"/>
      <c r="C13" s="342"/>
      <c r="D13" s="342"/>
      <c r="E13" s="342"/>
      <c r="F13" s="342"/>
      <c r="G13" s="342"/>
      <c r="H13" s="342"/>
      <c r="I13" s="343"/>
      <c r="L13" s="1">
        <v>9</v>
      </c>
    </row>
    <row r="14" spans="1:12" x14ac:dyDescent="0.2">
      <c r="A14" s="18"/>
      <c r="B14" s="166"/>
      <c r="C14" s="17"/>
      <c r="D14" s="17"/>
      <c r="E14" s="333"/>
      <c r="F14" s="333"/>
      <c r="G14" s="12"/>
      <c r="H14" s="333"/>
      <c r="I14" s="344"/>
      <c r="L14" s="1">
        <v>10</v>
      </c>
    </row>
    <row r="15" spans="1:12" x14ac:dyDescent="0.2">
      <c r="A15" s="336" t="s">
        <v>42</v>
      </c>
      <c r="B15" s="337"/>
      <c r="C15" s="337"/>
      <c r="D15" s="30">
        <f>'4'!G16</f>
        <v>61</v>
      </c>
      <c r="E15" s="333"/>
      <c r="F15" s="333"/>
      <c r="G15" s="30"/>
      <c r="H15" s="334"/>
      <c r="I15" s="335"/>
      <c r="L15" s="1">
        <v>11</v>
      </c>
    </row>
    <row r="16" spans="1:12" x14ac:dyDescent="0.2">
      <c r="A16" s="18"/>
      <c r="B16" s="166"/>
      <c r="C16" s="17"/>
      <c r="D16" s="31"/>
      <c r="E16" s="333"/>
      <c r="F16" s="333"/>
      <c r="G16" s="30"/>
      <c r="H16" s="334"/>
      <c r="I16" s="335"/>
      <c r="L16" s="1">
        <v>13</v>
      </c>
    </row>
    <row r="17" spans="1:12" x14ac:dyDescent="0.2">
      <c r="A17" s="336" t="s">
        <v>43</v>
      </c>
      <c r="B17" s="337"/>
      <c r="C17" s="337"/>
      <c r="D17" s="35">
        <f>الجدول5[[#Totals],[سعر البيع]]</f>
        <v>88</v>
      </c>
      <c r="E17" s="333"/>
      <c r="F17" s="333"/>
      <c r="G17" s="30"/>
      <c r="H17" s="334"/>
      <c r="I17" s="335"/>
      <c r="L17" s="1">
        <v>14</v>
      </c>
    </row>
    <row r="18" spans="1:12" x14ac:dyDescent="0.2">
      <c r="A18" s="338"/>
      <c r="B18" s="333"/>
      <c r="C18" s="333"/>
      <c r="D18" s="32">
        <f>SUM(D15:D17)</f>
        <v>149</v>
      </c>
      <c r="E18" s="333"/>
      <c r="F18" s="333"/>
      <c r="G18" s="30"/>
      <c r="H18" s="331"/>
      <c r="I18" s="332"/>
      <c r="L18" s="1">
        <v>15</v>
      </c>
    </row>
    <row r="19" spans="1:12" x14ac:dyDescent="0.2">
      <c r="A19" s="338"/>
      <c r="B19" s="333"/>
      <c r="C19" s="333"/>
      <c r="D19" s="33"/>
      <c r="E19" s="331" t="s">
        <v>32</v>
      </c>
      <c r="F19" s="331"/>
      <c r="G19" s="34">
        <f>D18-G14-G15-G16-G17-G18</f>
        <v>149</v>
      </c>
      <c r="H19" s="331"/>
      <c r="I19" s="332"/>
    </row>
    <row r="20" spans="1:12" x14ac:dyDescent="0.2">
      <c r="A20" s="18"/>
      <c r="B20" s="166"/>
      <c r="C20" s="17"/>
      <c r="D20" s="31"/>
      <c r="E20" s="331"/>
      <c r="F20" s="331"/>
      <c r="G20" s="30">
        <f>SUM(G14:G19)</f>
        <v>149</v>
      </c>
      <c r="H20" s="331"/>
      <c r="I20" s="332"/>
    </row>
    <row r="21" spans="1:12" ht="15" x14ac:dyDescent="0.2">
      <c r="A21" s="18"/>
      <c r="B21" s="166"/>
      <c r="C21" s="17"/>
      <c r="D21" s="17"/>
      <c r="E21" s="2" t="s">
        <v>44</v>
      </c>
      <c r="F21" s="1" t="s">
        <v>45</v>
      </c>
      <c r="G21" s="13" t="s">
        <v>46</v>
      </c>
      <c r="H21" s="14" t="s">
        <v>47</v>
      </c>
      <c r="I21" s="1" t="s">
        <v>48</v>
      </c>
    </row>
    <row r="22" spans="1:12" x14ac:dyDescent="0.2">
      <c r="A22" s="15"/>
      <c r="B22" s="16"/>
      <c r="C22" s="2">
        <f>الجدول5[[#Totals],[±]]</f>
        <v>17</v>
      </c>
      <c r="D22" s="16"/>
      <c r="E22" s="2">
        <v>450</v>
      </c>
      <c r="F22" s="2">
        <f>J19-J21-J23</f>
        <v>0</v>
      </c>
      <c r="G22" s="2"/>
      <c r="H22" s="2"/>
      <c r="I22" s="2">
        <f>E22-F22+G22-H22</f>
        <v>450</v>
      </c>
    </row>
  </sheetData>
  <mergeCells count="20">
    <mergeCell ref="A15:C15"/>
    <mergeCell ref="E15:F15"/>
    <mergeCell ref="H15:I15"/>
    <mergeCell ref="H1:I1"/>
    <mergeCell ref="H2:I2"/>
    <mergeCell ref="A13:I13"/>
    <mergeCell ref="E14:F14"/>
    <mergeCell ref="H14:I14"/>
    <mergeCell ref="E20:F20"/>
    <mergeCell ref="H20:I20"/>
    <mergeCell ref="E16:F16"/>
    <mergeCell ref="H16:I16"/>
    <mergeCell ref="A17:C17"/>
    <mergeCell ref="E17:F17"/>
    <mergeCell ref="H17:I17"/>
    <mergeCell ref="A18:C19"/>
    <mergeCell ref="E18:F18"/>
    <mergeCell ref="H18:I18"/>
    <mergeCell ref="E19:F19"/>
    <mergeCell ref="H19:I19"/>
  </mergeCells>
  <conditionalFormatting sqref="I5:I11">
    <cfRule type="cellIs" dxfId="755" priority="1" operator="equal">
      <formula>0</formula>
    </cfRule>
    <cfRule type="cellIs" dxfId="754" priority="2" operator="equal">
      <formula>0</formula>
    </cfRule>
    <cfRule type="cellIs" dxfId="753" priority="3" operator="lessThan">
      <formula>0</formula>
    </cfRule>
    <cfRule type="cellIs" dxfId="752" priority="4" operator="equal">
      <formula>0</formula>
    </cfRule>
  </conditionalFormatting>
  <dataValidations count="2">
    <dataValidation type="list" allowBlank="1" showInputMessage="1" showErrorMessage="1" sqref="E20:F20" xr:uid="{EA1DA5B4-3F52-49DB-B7F0-98375676AB25}">
      <formula1>$J$5:$J$16</formula1>
    </dataValidation>
    <dataValidation type="list" allowBlank="1" showInputMessage="1" showErrorMessage="1" sqref="E14:F18" xr:uid="{DD987BDE-D9A2-4E02-881D-6FC204CCE2F0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571C-22D6-4C86-A1FC-9C3B011AE211}">
  <sheetPr codeName="ورقة9">
    <tabColor rgb="FFFF0000"/>
  </sheetPr>
  <dimension ref="A1:N22"/>
  <sheetViews>
    <sheetView rightToLeft="1" workbookViewId="0">
      <selection activeCell="F27" sqref="F27"/>
    </sheetView>
  </sheetViews>
  <sheetFormatPr defaultColWidth="9"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0" max="16383" width="9" customWidth="1"/>
  </cols>
  <sheetData>
    <row r="1" spans="1:14" x14ac:dyDescent="0.2">
      <c r="A1" s="3"/>
      <c r="B1" s="3"/>
      <c r="C1" s="3"/>
      <c r="D1" s="3"/>
      <c r="E1" s="3"/>
      <c r="F1" s="3"/>
      <c r="G1" s="4" t="s">
        <v>0</v>
      </c>
      <c r="H1" s="339">
        <f>'5'!H1:I1+1</f>
        <v>41795</v>
      </c>
      <c r="I1" s="339"/>
    </row>
    <row r="2" spans="1:14" ht="15" x14ac:dyDescent="0.2">
      <c r="A2" s="3"/>
      <c r="B2" s="3"/>
      <c r="C2" s="3"/>
      <c r="D2" s="3"/>
      <c r="E2" s="17"/>
      <c r="F2" s="6"/>
      <c r="G2" s="7"/>
      <c r="H2" s="340">
        <f>H1</f>
        <v>41795</v>
      </c>
      <c r="I2" s="340"/>
    </row>
    <row r="3" spans="1:14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4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4" x14ac:dyDescent="0.2">
      <c r="A5" s="36">
        <f>IFERROR(VLOOKUP(الجدول6[[#This Row],[كود الصنف]],'تكويد الأصناف'!A:F,6,0),"")</f>
        <v>10</v>
      </c>
      <c r="B5" s="36">
        <f>IFERROR(VLOOKUP(الجدول6[[#This Row],[كود الصنف]],'تكويد الأصناف'!A:F,3,0)," ")</f>
        <v>4</v>
      </c>
      <c r="C5" s="25">
        <v>1005</v>
      </c>
      <c r="D5" s="10" t="str">
        <f>IFERROR(VLOOKUP(الجدول6[[#This Row],[كود الصنف]],'تكويد الأصناف'!A:F,4,0),"")</f>
        <v>جلباب سبور كتانات منوع</v>
      </c>
      <c r="E5" s="21">
        <f>IFERROR(VLOOKUP(الجدول6[[#This Row],[كود الصنف]],'تكويد الأصناف'!A:F,5,0),"")</f>
        <v>15</v>
      </c>
      <c r="F5" s="22">
        <v>1</v>
      </c>
      <c r="G5" s="23">
        <v>15</v>
      </c>
      <c r="H5" s="195">
        <f>IFERROR(الجدول6[[#This Row],[فئة التكلفة]]*الجدول6[[#This Row],[العدد]]," ")</f>
        <v>10</v>
      </c>
      <c r="I5" s="20">
        <f>IFERROR(الجدول6[[#This Row],[سعر البيع]]-الجدول6[[#This Row],[فئة التكلفة]]*الجدول6[[#This Row],[العدد]],"")</f>
        <v>5</v>
      </c>
      <c r="L5" s="1" t="s">
        <v>50</v>
      </c>
    </row>
    <row r="6" spans="1:14" x14ac:dyDescent="0.2">
      <c r="A6" s="36">
        <f>IFERROR(VLOOKUP(الجدول6[[#This Row],[كود الصنف]],'تكويد الأصناف'!A:F,6,0),"")</f>
        <v>10</v>
      </c>
      <c r="B6" s="36">
        <f>IFERROR(VLOOKUP(الجدول6[[#This Row],[كود الصنف]],'تكويد الأصناف'!A:F,3,0)," ")</f>
        <v>4</v>
      </c>
      <c r="C6" s="25">
        <v>1005</v>
      </c>
      <c r="D6" s="10" t="str">
        <f>IFERROR(VLOOKUP(الجدول6[[#This Row],[كود الصنف]],'تكويد الأصناف'!A:F,4,0),"")</f>
        <v>جلباب سبور كتانات منوع</v>
      </c>
      <c r="E6" s="21">
        <f>IFERROR(VLOOKUP(الجدول6[[#This Row],[كود الصنف]],'تكويد الأصناف'!A:F,5,0),"")</f>
        <v>15</v>
      </c>
      <c r="F6" s="22">
        <v>1</v>
      </c>
      <c r="G6" s="23">
        <v>13</v>
      </c>
      <c r="H6" s="167">
        <f>IFERROR(الجدول6[[#This Row],[فئة التكلفة]]*الجدول6[[#This Row],[العدد]]," ")</f>
        <v>10</v>
      </c>
      <c r="I6" s="20">
        <f>IFERROR(الجدول6[[#This Row],[سعر البيع]]-الجدول6[[#This Row],[فئة التكلفة]]*الجدول6[[#This Row],[العدد]],"")</f>
        <v>3</v>
      </c>
      <c r="L6" s="1" t="s">
        <v>51</v>
      </c>
    </row>
    <row r="7" spans="1:14" x14ac:dyDescent="0.2">
      <c r="A7" s="36" t="str">
        <f>IFERROR(VLOOKUP(الجدول6[[#This Row],[كود الصنف]],'تكويد الأصناف'!A:F,6,0),"")</f>
        <v/>
      </c>
      <c r="B7" s="36" t="str">
        <f>IFERROR(VLOOKUP(الجدول6[[#This Row],[كود الصنف]],'تكويد الأصناف'!A:F,3,0)," ")</f>
        <v xml:space="preserve"> </v>
      </c>
      <c r="C7" s="25"/>
      <c r="D7" s="10" t="str">
        <f>IFERROR(VLOOKUP(الجدول6[[#This Row],[كود الصنف]],'تكويد الأصناف'!A:F,4,0),"")</f>
        <v/>
      </c>
      <c r="E7" s="21" t="str">
        <f>IFERROR(VLOOKUP(الجدول6[[#This Row],[كود الصنف]],'تكويد الأصناف'!A:F,5,0),"")</f>
        <v/>
      </c>
      <c r="F7" s="22">
        <v>1</v>
      </c>
      <c r="G7" s="23">
        <v>15</v>
      </c>
      <c r="H7" s="167" t="str">
        <f>IFERROR(الجدول6[[#This Row],[فئة التكلفة]]*الجدول6[[#This Row],[العدد]]," ")</f>
        <v xml:space="preserve"> </v>
      </c>
      <c r="I7" s="20" t="str">
        <f>IFERROR(الجدول6[[#This Row],[سعر البيع]]-الجدول6[[#This Row],[فئة التكلفة]]*الجدول6[[#This Row],[العدد]],"")</f>
        <v/>
      </c>
      <c r="L7" s="1" t="s">
        <v>52</v>
      </c>
    </row>
    <row r="8" spans="1:14" x14ac:dyDescent="0.2">
      <c r="A8" s="36">
        <f>IFERROR(VLOOKUP(الجدول6[[#This Row],[كود الصنف]],'تكويد الأصناف'!A:F,6,0),"")</f>
        <v>10</v>
      </c>
      <c r="B8" s="36">
        <f>IFERROR(VLOOKUP(الجدول6[[#This Row],[كود الصنف]],'تكويد الأصناف'!A:F,3,0)," ")</f>
        <v>4</v>
      </c>
      <c r="C8" s="25">
        <v>1005</v>
      </c>
      <c r="D8" s="10" t="str">
        <f>IFERROR(VLOOKUP(الجدول6[[#This Row],[كود الصنف]],'تكويد الأصناف'!A:F,4,0),"")</f>
        <v>جلباب سبور كتانات منوع</v>
      </c>
      <c r="E8" s="21">
        <f>IFERROR(VLOOKUP(الجدول6[[#This Row],[كود الصنف]],'تكويد الأصناف'!A:F,5,0),"")</f>
        <v>15</v>
      </c>
      <c r="F8" s="22">
        <v>1</v>
      </c>
      <c r="G8" s="23">
        <v>10</v>
      </c>
      <c r="H8" s="167">
        <f>IFERROR(الجدول6[[#This Row],[فئة التكلفة]]*الجدول6[[#This Row],[العدد]]," ")</f>
        <v>10</v>
      </c>
      <c r="I8" s="20">
        <f>IFERROR(الجدول6[[#This Row],[سعر البيع]]-الجدول6[[#This Row],[فئة التكلفة]]*الجدول6[[#This Row],[العدد]],"")</f>
        <v>0</v>
      </c>
      <c r="L8" s="1" t="s">
        <v>53</v>
      </c>
      <c r="N8" t="s">
        <v>99</v>
      </c>
    </row>
    <row r="9" spans="1:14" x14ac:dyDescent="0.2">
      <c r="A9" s="36">
        <f>IFERROR(VLOOKUP(الجدول6[[#This Row],[كود الصنف]],'تكويد الأصناف'!A:F,6,0),"")</f>
        <v>10</v>
      </c>
      <c r="B9" s="36">
        <f>IFERROR(VLOOKUP(الجدول6[[#This Row],[كود الصنف]],'تكويد الأصناف'!A:F,3,0)," ")</f>
        <v>4</v>
      </c>
      <c r="C9" s="25">
        <v>1005</v>
      </c>
      <c r="D9" s="10" t="str">
        <f>IFERROR(VLOOKUP(الجدول6[[#This Row],[كود الصنف]],'تكويد الأصناف'!A:F,4,0),"")</f>
        <v>جلباب سبور كتانات منوع</v>
      </c>
      <c r="E9" s="21">
        <f>IFERROR(VLOOKUP(الجدول6[[#This Row],[كود الصنف]],'تكويد الأصناف'!A:F,5,0),"")</f>
        <v>15</v>
      </c>
      <c r="F9" s="22">
        <v>1</v>
      </c>
      <c r="G9" s="23">
        <v>15</v>
      </c>
      <c r="H9" s="22">
        <f>IFERROR(الجدول6[[#This Row],[فئة التكلفة]]*الجدول6[[#This Row],[العدد]]," ")</f>
        <v>10</v>
      </c>
      <c r="I9" s="20">
        <f>IFERROR(الجدول6[[#This Row],[سعر البيع]]-الجدول6[[#This Row],[فئة التكلفة]]*الجدول6[[#This Row],[العدد]],"")</f>
        <v>5</v>
      </c>
      <c r="L9" s="1" t="s">
        <v>54</v>
      </c>
    </row>
    <row r="10" spans="1:14" x14ac:dyDescent="0.2">
      <c r="A10" s="36" t="str">
        <f>IFERROR(VLOOKUP(الجدول6[[#This Row],[كود الصنف]],'تكويد الأصناف'!A:F,6,0),"")</f>
        <v/>
      </c>
      <c r="B10" s="36" t="str">
        <f>IFERROR(VLOOKUP(الجدول6[[#This Row],[كود الصنف]],'تكويد الأصناف'!A:F,3,0)," ")</f>
        <v xml:space="preserve"> </v>
      </c>
      <c r="C10" s="25"/>
      <c r="D10" s="10" t="str">
        <f>IFERROR(VLOOKUP(الجدول6[[#This Row],[كود الصنف]],'تكويد الأصناف'!A:F,4,0),"")</f>
        <v/>
      </c>
      <c r="E10" s="21" t="str">
        <f>IFERROR(VLOOKUP(الجدول6[[#This Row],[كود الصنف]],'تكويد الأصناف'!A:F,5,0),"")</f>
        <v/>
      </c>
      <c r="F10" s="22"/>
      <c r="G10" s="23"/>
      <c r="H10" s="22" t="str">
        <f>IFERROR(الجدول6[[#This Row],[فئة التكلفة]]*الجدول6[[#This Row],[العدد]]," ")</f>
        <v xml:space="preserve"> </v>
      </c>
      <c r="I10" s="20" t="str">
        <f>IFERROR(الجدول6[[#This Row],[سعر البيع]]-الجدول6[[#This Row],[فئة التكلفة]]*الجدول6[[#This Row],[العدد]],"")</f>
        <v/>
      </c>
      <c r="L10" s="1" t="s">
        <v>55</v>
      </c>
    </row>
    <row r="11" spans="1:14" x14ac:dyDescent="0.2">
      <c r="A11" s="36" t="str">
        <f>IFERROR(VLOOKUP(الجدول6[[#This Row],[كود الصنف]],'تكويد الأصناف'!A:F,6,0),"")</f>
        <v/>
      </c>
      <c r="B11" s="36" t="str">
        <f>IFERROR(VLOOKUP(الجدول6[[#This Row],[كود الصنف]],'تكويد الأصناف'!A:F,3,0)," ")</f>
        <v xml:space="preserve"> </v>
      </c>
      <c r="C11" s="25"/>
      <c r="D11" s="10" t="str">
        <f>IFERROR(VLOOKUP(الجدول6[[#This Row],[كود الصنف]],'تكويد الأصناف'!A:F,4,0),"")</f>
        <v/>
      </c>
      <c r="E11" s="21" t="str">
        <f>IFERROR(VLOOKUP(الجدول6[[#This Row],[كود الصنف]],'تكويد الأصناف'!A:F,5,0),"")</f>
        <v/>
      </c>
      <c r="F11" s="22"/>
      <c r="G11" s="23"/>
      <c r="H11" s="22" t="str">
        <f>IFERROR(الجدول6[[#This Row],[فئة التكلفة]]*الجدول6[[#This Row],[العدد]]," ")</f>
        <v xml:space="preserve"> </v>
      </c>
      <c r="I11" s="20" t="str">
        <f>IFERROR(الجدول6[[#This Row],[سعر البيع]]-الجدول6[[#This Row],[فئة التكلفة]]*الجدول6[[#This Row],[العدد]],"")</f>
        <v/>
      </c>
      <c r="L11" s="1" t="s">
        <v>56</v>
      </c>
    </row>
    <row r="12" spans="1:14" x14ac:dyDescent="0.2">
      <c r="A12" s="29"/>
      <c r="B12" s="29"/>
      <c r="C12" s="26"/>
      <c r="D12" s="27"/>
      <c r="E12" s="28"/>
      <c r="F12" s="29">
        <f>SUBTOTAL(109,الجدول6[العدد])</f>
        <v>5</v>
      </c>
      <c r="G12" s="24">
        <f>SUBTOTAL(109,الجدول6[سعر البيع])</f>
        <v>68</v>
      </c>
      <c r="H12" s="19"/>
      <c r="I12" s="24">
        <f>SUBTOTAL(109,الجدول6[±])</f>
        <v>13</v>
      </c>
      <c r="L12" s="39" t="s">
        <v>57</v>
      </c>
    </row>
    <row r="13" spans="1:14" x14ac:dyDescent="0.2">
      <c r="A13" s="341"/>
      <c r="B13" s="342"/>
      <c r="C13" s="342"/>
      <c r="D13" s="342"/>
      <c r="E13" s="342"/>
      <c r="F13" s="342"/>
      <c r="G13" s="342"/>
      <c r="H13" s="342"/>
      <c r="I13" s="343"/>
      <c r="L13" s="1">
        <v>9</v>
      </c>
    </row>
    <row r="14" spans="1:14" x14ac:dyDescent="0.2">
      <c r="A14" s="18"/>
      <c r="B14" s="166"/>
      <c r="C14" s="17"/>
      <c r="D14" s="17"/>
      <c r="E14" s="333"/>
      <c r="F14" s="333"/>
      <c r="G14" s="12"/>
      <c r="H14" s="333"/>
      <c r="I14" s="344"/>
      <c r="L14" s="1">
        <v>10</v>
      </c>
    </row>
    <row r="15" spans="1:14" x14ac:dyDescent="0.2">
      <c r="A15" s="336" t="s">
        <v>42</v>
      </c>
      <c r="B15" s="337"/>
      <c r="C15" s="337"/>
      <c r="D15" s="30">
        <f>'5'!G19</f>
        <v>149</v>
      </c>
      <c r="E15" s="333"/>
      <c r="F15" s="333"/>
      <c r="G15" s="30"/>
      <c r="H15" s="334"/>
      <c r="I15" s="335"/>
      <c r="L15" s="1">
        <v>11</v>
      </c>
    </row>
    <row r="16" spans="1:14" x14ac:dyDescent="0.2">
      <c r="A16" s="18"/>
      <c r="B16" s="166"/>
      <c r="C16" s="17"/>
      <c r="D16" s="31"/>
      <c r="E16" s="333"/>
      <c r="F16" s="333"/>
      <c r="G16" s="30"/>
      <c r="H16" s="334"/>
      <c r="I16" s="335"/>
      <c r="L16" s="1">
        <v>13</v>
      </c>
    </row>
    <row r="17" spans="1:12" x14ac:dyDescent="0.2">
      <c r="A17" s="336" t="s">
        <v>43</v>
      </c>
      <c r="B17" s="337"/>
      <c r="C17" s="337"/>
      <c r="D17" s="35">
        <f>الجدول6[[#Totals],[سعر البيع]]</f>
        <v>68</v>
      </c>
      <c r="E17" s="333"/>
      <c r="F17" s="333"/>
      <c r="G17" s="30"/>
      <c r="H17" s="334"/>
      <c r="I17" s="335"/>
      <c r="L17" s="1">
        <v>14</v>
      </c>
    </row>
    <row r="18" spans="1:12" x14ac:dyDescent="0.2">
      <c r="A18" s="338"/>
      <c r="B18" s="333"/>
      <c r="C18" s="333"/>
      <c r="D18" s="32">
        <f>SUM(D15:D17)</f>
        <v>217</v>
      </c>
      <c r="E18" s="333"/>
      <c r="F18" s="333"/>
      <c r="G18" s="30"/>
      <c r="H18" s="331"/>
      <c r="I18" s="332"/>
      <c r="L18" s="1">
        <v>15</v>
      </c>
    </row>
    <row r="19" spans="1:12" x14ac:dyDescent="0.2">
      <c r="A19" s="338"/>
      <c r="B19" s="333"/>
      <c r="C19" s="333"/>
      <c r="D19" s="33"/>
      <c r="E19" s="331" t="s">
        <v>32</v>
      </c>
      <c r="F19" s="331"/>
      <c r="G19" s="34">
        <f>D18-G14-G15-G16-G17-G18</f>
        <v>217</v>
      </c>
      <c r="H19" s="331"/>
      <c r="I19" s="332"/>
    </row>
    <row r="20" spans="1:12" x14ac:dyDescent="0.2">
      <c r="A20" s="18"/>
      <c r="B20" s="166"/>
      <c r="C20" s="17"/>
      <c r="D20" s="31"/>
      <c r="E20" s="331"/>
      <c r="F20" s="331"/>
      <c r="G20" s="30">
        <f>SUM(G14:G19)</f>
        <v>217</v>
      </c>
      <c r="H20" s="331"/>
      <c r="I20" s="332"/>
    </row>
    <row r="21" spans="1:12" ht="15" x14ac:dyDescent="0.2">
      <c r="A21" s="18"/>
      <c r="B21" s="166"/>
      <c r="C21" s="17"/>
      <c r="D21" s="17"/>
      <c r="E21" s="2" t="s">
        <v>44</v>
      </c>
      <c r="F21" s="1" t="s">
        <v>45</v>
      </c>
      <c r="G21" s="13" t="s">
        <v>46</v>
      </c>
      <c r="H21" s="14" t="s">
        <v>47</v>
      </c>
      <c r="I21" s="1" t="s">
        <v>48</v>
      </c>
    </row>
    <row r="22" spans="1:12" x14ac:dyDescent="0.2">
      <c r="A22" s="15"/>
      <c r="B22" s="15"/>
      <c r="C22" s="2">
        <f>الجدول6[[#Totals],[±]]</f>
        <v>13</v>
      </c>
      <c r="D22" s="16"/>
      <c r="E22" s="2">
        <v>450</v>
      </c>
      <c r="F22" s="2">
        <f>J19-J21-J23</f>
        <v>0</v>
      </c>
      <c r="G22" s="2"/>
      <c r="H22" s="2"/>
      <c r="I22" s="2">
        <f>E22-F22+G22-H22</f>
        <v>450</v>
      </c>
    </row>
  </sheetData>
  <mergeCells count="20">
    <mergeCell ref="A15:C15"/>
    <mergeCell ref="E15:F15"/>
    <mergeCell ref="H15:I15"/>
    <mergeCell ref="H1:I1"/>
    <mergeCell ref="H2:I2"/>
    <mergeCell ref="A13:I13"/>
    <mergeCell ref="E14:F14"/>
    <mergeCell ref="H14:I14"/>
    <mergeCell ref="E20:F20"/>
    <mergeCell ref="H20:I20"/>
    <mergeCell ref="E16:F16"/>
    <mergeCell ref="H16:I16"/>
    <mergeCell ref="A17:C17"/>
    <mergeCell ref="E17:F17"/>
    <mergeCell ref="H17:I17"/>
    <mergeCell ref="A18:C19"/>
    <mergeCell ref="E18:F18"/>
    <mergeCell ref="H18:I18"/>
    <mergeCell ref="E19:F19"/>
    <mergeCell ref="H19:I19"/>
  </mergeCells>
  <conditionalFormatting sqref="I5:I11">
    <cfRule type="cellIs" dxfId="727" priority="1" operator="equal">
      <formula>0</formula>
    </cfRule>
    <cfRule type="cellIs" dxfId="726" priority="2" operator="equal">
      <formula>0</formula>
    </cfRule>
    <cfRule type="cellIs" dxfId="725" priority="3" operator="lessThan">
      <formula>0</formula>
    </cfRule>
    <cfRule type="cellIs" dxfId="724" priority="4" operator="equal">
      <formula>0</formula>
    </cfRule>
  </conditionalFormatting>
  <dataValidations count="2">
    <dataValidation type="list" allowBlank="1" showInputMessage="1" showErrorMessage="1" sqref="E14:F18" xr:uid="{64A85F6F-C269-4EBF-830F-06C2B748A294}">
      <formula1>$L$5:$L$18</formula1>
    </dataValidation>
    <dataValidation type="list" allowBlank="1" showInputMessage="1" showErrorMessage="1" sqref="E20:F20" xr:uid="{3BE690C5-77C7-4F5A-9220-C9DB67F958A8}">
      <formula1>$J$5:$J$16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4DAE-70AE-43DB-A306-BDC1375C1DB5}">
  <sheetPr codeName="ورقة10">
    <tabColor rgb="FFFF0000"/>
  </sheetPr>
  <dimension ref="A1:L23"/>
  <sheetViews>
    <sheetView rightToLeft="1" workbookViewId="0">
      <selection activeCell="G32" sqref="G32"/>
    </sheetView>
  </sheetViews>
  <sheetFormatPr defaultColWidth="9"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0" max="16383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'6'!H1:I1+1</f>
        <v>41796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41796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IFERROR(VLOOKUP(الجدول7[[#This Row],[كود الصنف]],'تكويد الأصناف'!A:F,6,0),"")</f>
        <v/>
      </c>
      <c r="B5" s="36" t="str">
        <f>IFERROR(VLOOKUP(الجدول7[[#This Row],[كود الصنف]],'تكويد الأصناف'!A:F,3,0)," ")</f>
        <v xml:space="preserve"> </v>
      </c>
      <c r="C5" s="25"/>
      <c r="D5" s="10" t="str">
        <f>IFERROR(VLOOKUP(الجدول7[[#This Row],[كود الصنف]],'تكويد الأصناف'!A:F,4,0),"")</f>
        <v/>
      </c>
      <c r="E5" s="21" t="str">
        <f>IFERROR(VLOOKUP(الجدول7[[#This Row],[كود الصنف]],'تكويد الأصناف'!A:F,5,0),"")</f>
        <v/>
      </c>
      <c r="F5" s="22">
        <v>1</v>
      </c>
      <c r="G5" s="23">
        <v>10</v>
      </c>
      <c r="H5" s="195" t="str">
        <f>IFERROR(الجدول7[[#This Row],[فئة التكلفة]]*الجدول7[[#This Row],[العدد]]," ")</f>
        <v xml:space="preserve"> </v>
      </c>
      <c r="I5" s="20" t="str">
        <f>IFERROR(الجدول7[[#This Row],[سعر البيع]]-الجدول7[[#This Row],[فئة التكلفة]]*الجدول7[[#This Row],[العدد]],"")</f>
        <v/>
      </c>
      <c r="L5" s="1" t="s">
        <v>50</v>
      </c>
    </row>
    <row r="6" spans="1:12" x14ac:dyDescent="0.2">
      <c r="A6" s="36" t="str">
        <f>IFERROR(VLOOKUP(الجدول7[[#This Row],[كود الصنف]],'تكويد الأصناف'!A:F,6,0),"")</f>
        <v/>
      </c>
      <c r="B6" s="36" t="str">
        <f>IFERROR(VLOOKUP(الجدول7[[#This Row],[كود الصنف]],'تكويد الأصناف'!A:F,3,0)," ")</f>
        <v xml:space="preserve"> </v>
      </c>
      <c r="C6" s="25"/>
      <c r="D6" s="10" t="str">
        <f>IFERROR(VLOOKUP(الجدول7[[#This Row],[كود الصنف]],'تكويد الأصناف'!A:F,4,0),"")</f>
        <v/>
      </c>
      <c r="E6" s="21" t="str">
        <f>IFERROR(VLOOKUP(الجدول7[[#This Row],[كود الصنف]],'تكويد الأصناف'!A:F,5,0),"")</f>
        <v/>
      </c>
      <c r="F6" s="22">
        <v>1</v>
      </c>
      <c r="G6" s="23">
        <v>10</v>
      </c>
      <c r="H6" s="167" t="str">
        <f>IFERROR(الجدول7[[#This Row],[فئة التكلفة]]*الجدول7[[#This Row],[العدد]]," ")</f>
        <v xml:space="preserve"> </v>
      </c>
      <c r="I6" s="20" t="str">
        <f>IFERROR(الجدول7[[#This Row],[سعر البيع]]-الجدول7[[#This Row],[فئة التكلفة]]*الجدول7[[#This Row],[العدد]],"")</f>
        <v/>
      </c>
      <c r="L6" s="1" t="s">
        <v>51</v>
      </c>
    </row>
    <row r="7" spans="1:12" x14ac:dyDescent="0.2">
      <c r="A7" s="36">
        <f>IFERROR(VLOOKUP(الجدول7[[#This Row],[كود الصنف]],'تكويد الأصناف'!A:F,6,0),"")</f>
        <v>10</v>
      </c>
      <c r="B7" s="36">
        <f>IFERROR(VLOOKUP(الجدول7[[#This Row],[كود الصنف]],'تكويد الأصناف'!A:F,3,0)," ")</f>
        <v>4</v>
      </c>
      <c r="C7" s="25">
        <v>1005</v>
      </c>
      <c r="D7" s="10" t="str">
        <f>IFERROR(VLOOKUP(الجدول7[[#This Row],[كود الصنف]],'تكويد الأصناف'!A:F,4,0),"")</f>
        <v>جلباب سبور كتانات منوع</v>
      </c>
      <c r="E7" s="21">
        <f>IFERROR(VLOOKUP(الجدول7[[#This Row],[كود الصنف]],'تكويد الأصناف'!A:F,5,0),"")</f>
        <v>15</v>
      </c>
      <c r="F7" s="22">
        <v>1</v>
      </c>
      <c r="G7" s="23">
        <v>15</v>
      </c>
      <c r="H7" s="167">
        <f>IFERROR(الجدول7[[#This Row],[فئة التكلفة]]*الجدول7[[#This Row],[العدد]]," ")</f>
        <v>10</v>
      </c>
      <c r="I7" s="20">
        <f>IFERROR(الجدول7[[#This Row],[سعر البيع]]-الجدول7[[#This Row],[فئة التكلفة]]*الجدول7[[#This Row],[العدد]],"")</f>
        <v>5</v>
      </c>
      <c r="L7" s="1" t="s">
        <v>52</v>
      </c>
    </row>
    <row r="8" spans="1:12" x14ac:dyDescent="0.2">
      <c r="A8" s="36">
        <f>IFERROR(VLOOKUP(الجدول7[[#This Row],[كود الصنف]],'تكويد الأصناف'!A:F,6,0),"")</f>
        <v>10</v>
      </c>
      <c r="B8" s="36">
        <f>IFERROR(VLOOKUP(الجدول7[[#This Row],[كود الصنف]],'تكويد الأصناف'!A:F,3,0)," ")</f>
        <v>4</v>
      </c>
      <c r="C8" s="25">
        <v>1005</v>
      </c>
      <c r="D8" s="10" t="str">
        <f>IFERROR(VLOOKUP(الجدول7[[#This Row],[كود الصنف]],'تكويد الأصناف'!A:F,4,0),"")</f>
        <v>جلباب سبور كتانات منوع</v>
      </c>
      <c r="E8" s="21">
        <f>IFERROR(VLOOKUP(الجدول7[[#This Row],[كود الصنف]],'تكويد الأصناف'!A:F,5,0),"")</f>
        <v>15</v>
      </c>
      <c r="F8" s="22">
        <v>1</v>
      </c>
      <c r="G8" s="23">
        <v>13</v>
      </c>
      <c r="H8" s="167">
        <f>IFERROR(الجدول7[[#This Row],[فئة التكلفة]]*الجدول7[[#This Row],[العدد]]," ")</f>
        <v>10</v>
      </c>
      <c r="I8" s="20">
        <f>IFERROR(الجدول7[[#This Row],[سعر البيع]]-الجدول7[[#This Row],[فئة التكلفة]]*الجدول7[[#This Row],[العدد]],"")</f>
        <v>3</v>
      </c>
      <c r="L8" s="1" t="s">
        <v>53</v>
      </c>
    </row>
    <row r="9" spans="1:12" x14ac:dyDescent="0.2">
      <c r="A9" s="36">
        <f>IFERROR(VLOOKUP(الجدول7[[#This Row],[كود الصنف]],'تكويد الأصناف'!A:F,6,0),"")</f>
        <v>10</v>
      </c>
      <c r="B9" s="36">
        <f>IFERROR(VLOOKUP(الجدول7[[#This Row],[كود الصنف]],'تكويد الأصناف'!A:F,3,0)," ")</f>
        <v>4</v>
      </c>
      <c r="C9" s="25">
        <v>1004</v>
      </c>
      <c r="D9" s="10" t="str">
        <f>IFERROR(VLOOKUP(الجدول7[[#This Row],[كود الصنف]],'تكويد الأصناف'!A:F,4,0),"")</f>
        <v>قفاطين وسهرات متنوعة</v>
      </c>
      <c r="E9" s="21">
        <f>IFERROR(VLOOKUP(الجدول7[[#This Row],[كود الصنف]],'تكويد الأصناف'!A:F,5,0),"")</f>
        <v>20</v>
      </c>
      <c r="F9" s="22">
        <v>1</v>
      </c>
      <c r="G9" s="23">
        <v>15</v>
      </c>
      <c r="H9" s="22">
        <f>IFERROR(الجدول7[[#This Row],[فئة التكلفة]]*الجدول7[[#This Row],[العدد]]," ")</f>
        <v>10</v>
      </c>
      <c r="I9" s="20">
        <f>IFERROR(الجدول7[[#This Row],[سعر البيع]]-الجدول7[[#This Row],[فئة التكلفة]]*الجدول7[[#This Row],[العدد]],"")</f>
        <v>5</v>
      </c>
      <c r="L9" s="1" t="s">
        <v>54</v>
      </c>
    </row>
    <row r="10" spans="1:12" x14ac:dyDescent="0.2">
      <c r="A10" s="36" t="str">
        <f>IFERROR(VLOOKUP(الجدول7[[#This Row],[كود الصنف]],'تكويد الأصناف'!A:F,6,0),"")</f>
        <v/>
      </c>
      <c r="B10" s="36" t="str">
        <f>IFERROR(VLOOKUP(الجدول7[[#This Row],[كود الصنف]],'تكويد الأصناف'!A:F,3,0)," ")</f>
        <v xml:space="preserve"> </v>
      </c>
      <c r="C10" s="25"/>
      <c r="D10" s="10" t="str">
        <f>IFERROR(VLOOKUP(الجدول7[[#This Row],[كود الصنف]],'تكويد الأصناف'!A:F,4,0),"")</f>
        <v/>
      </c>
      <c r="E10" s="21" t="str">
        <f>IFERROR(VLOOKUP(الجدول7[[#This Row],[كود الصنف]],'تكويد الأصناف'!A:F,5,0),"")</f>
        <v/>
      </c>
      <c r="F10" s="22"/>
      <c r="G10" s="23"/>
      <c r="H10" s="22" t="str">
        <f>IFERROR(الجدول7[[#This Row],[فئة التكلفة]]*الجدول7[[#This Row],[العدد]]," ")</f>
        <v xml:space="preserve"> </v>
      </c>
      <c r="I10" s="20" t="str">
        <f>IFERROR(الجدول7[[#This Row],[سعر البيع]]-الجدول7[[#This Row],[فئة التكلفة]]*الجدول7[[#This Row],[العدد]],"")</f>
        <v/>
      </c>
      <c r="L10" s="1" t="s">
        <v>55</v>
      </c>
    </row>
    <row r="11" spans="1:12" x14ac:dyDescent="0.2">
      <c r="A11" s="36" t="str">
        <f>IFERROR(VLOOKUP(الجدول7[[#This Row],[كود الصنف]],'تكويد الأصناف'!A:F,6,0),"")</f>
        <v/>
      </c>
      <c r="B11" s="36" t="str">
        <f>IFERROR(VLOOKUP(الجدول7[[#This Row],[كود الصنف]],'تكويد الأصناف'!A:F,3,0)," ")</f>
        <v xml:space="preserve"> </v>
      </c>
      <c r="C11" s="25"/>
      <c r="D11" s="10" t="str">
        <f>IFERROR(VLOOKUP(الجدول7[[#This Row],[كود الصنف]],'تكويد الأصناف'!A:F,4,0),"")</f>
        <v/>
      </c>
      <c r="E11" s="21" t="str">
        <f>IFERROR(VLOOKUP(الجدول7[[#This Row],[كود الصنف]],'تكويد الأصناف'!A:F,5,0),"")</f>
        <v/>
      </c>
      <c r="F11" s="22"/>
      <c r="G11" s="23"/>
      <c r="H11" s="22" t="str">
        <f>IFERROR(الجدول7[[#This Row],[فئة التكلفة]]*الجدول7[[#This Row],[العدد]]," ")</f>
        <v xml:space="preserve"> </v>
      </c>
      <c r="I11" s="20" t="str">
        <f>IFERROR(الجدول7[[#This Row],[سعر البيع]]-الجدول7[[#This Row],[فئة التكلفة]]*الجدول7[[#This Row],[العدد]],"")</f>
        <v/>
      </c>
      <c r="L11" s="1" t="s">
        <v>56</v>
      </c>
    </row>
    <row r="12" spans="1:12" x14ac:dyDescent="0.2">
      <c r="A12" s="36" t="str">
        <f>IFERROR(VLOOKUP(الجدول7[[#This Row],[كود الصنف]],'تكويد الأصناف'!A:F,6,0),"")</f>
        <v/>
      </c>
      <c r="B12" s="36" t="str">
        <f>IFERROR(VLOOKUP(الجدول7[[#This Row],[كود الصنف]],'تكويد الأصناف'!A:F,3,0)," ")</f>
        <v xml:space="preserve"> </v>
      </c>
      <c r="C12" s="25"/>
      <c r="D12" s="10" t="str">
        <f>IFERROR(VLOOKUP(الجدول7[[#This Row],[كود الصنف]],'تكويد الأصناف'!A:F,4,0),"")</f>
        <v/>
      </c>
      <c r="E12" s="21" t="str">
        <f>IFERROR(VLOOKUP(الجدول7[[#This Row],[كود الصنف]],'تكويد الأصناف'!A:F,5,0),"")</f>
        <v/>
      </c>
      <c r="F12" s="22"/>
      <c r="G12" s="23"/>
      <c r="H12" s="22" t="str">
        <f>IFERROR(الجدول7[[#This Row],[فئة التكلفة]]*الجدول7[[#This Row],[العدد]]," ")</f>
        <v xml:space="preserve"> </v>
      </c>
      <c r="I12" s="20" t="str">
        <f>IFERROR(الجدول7[[#This Row],[سعر البيع]]-الجدول7[[#This Row],[فئة التكلفة]]*الجدول7[[#This Row],[العدد]],"")</f>
        <v/>
      </c>
      <c r="L12" s="39" t="s">
        <v>57</v>
      </c>
    </row>
    <row r="13" spans="1:12" x14ac:dyDescent="0.2">
      <c r="A13" s="29"/>
      <c r="B13" s="29"/>
      <c r="C13" s="26"/>
      <c r="D13" s="27"/>
      <c r="E13" s="28"/>
      <c r="F13" s="29">
        <f>SUBTOTAL(109,الجدول7[العدد])</f>
        <v>5</v>
      </c>
      <c r="G13" s="24">
        <f>SUBTOTAL(109,الجدول7[سعر البيع])</f>
        <v>63</v>
      </c>
      <c r="H13" s="19"/>
      <c r="I13" s="24">
        <f>SUBTOTAL(109,الجدول7[±])</f>
        <v>13</v>
      </c>
      <c r="L13" s="1">
        <v>9</v>
      </c>
    </row>
    <row r="14" spans="1:12" x14ac:dyDescent="0.2">
      <c r="A14" s="341"/>
      <c r="B14" s="342"/>
      <c r="C14" s="342"/>
      <c r="D14" s="342"/>
      <c r="E14" s="342"/>
      <c r="F14" s="342"/>
      <c r="G14" s="342"/>
      <c r="H14" s="342"/>
      <c r="I14" s="343"/>
      <c r="L14" s="1">
        <v>10</v>
      </c>
    </row>
    <row r="15" spans="1:12" x14ac:dyDescent="0.2">
      <c r="A15" s="18"/>
      <c r="B15" s="166"/>
      <c r="C15" s="17"/>
      <c r="D15" s="17"/>
      <c r="E15" s="333"/>
      <c r="F15" s="333"/>
      <c r="G15" s="12"/>
      <c r="H15" s="333"/>
      <c r="I15" s="344"/>
      <c r="L15" s="1">
        <v>11</v>
      </c>
    </row>
    <row r="16" spans="1:12" x14ac:dyDescent="0.2">
      <c r="A16" s="336" t="s">
        <v>42</v>
      </c>
      <c r="B16" s="337"/>
      <c r="C16" s="337"/>
      <c r="D16" s="30">
        <f>'6'!G19</f>
        <v>217</v>
      </c>
      <c r="E16" s="333"/>
      <c r="F16" s="333"/>
      <c r="G16" s="30"/>
      <c r="H16" s="334"/>
      <c r="I16" s="335"/>
      <c r="L16" s="1">
        <v>13</v>
      </c>
    </row>
    <row r="17" spans="1:12" x14ac:dyDescent="0.2">
      <c r="A17" s="18"/>
      <c r="B17" s="166"/>
      <c r="C17" s="17"/>
      <c r="D17" s="31"/>
      <c r="E17" s="333"/>
      <c r="F17" s="333"/>
      <c r="G17" s="30"/>
      <c r="H17" s="334"/>
      <c r="I17" s="335"/>
      <c r="L17" s="1">
        <v>14</v>
      </c>
    </row>
    <row r="18" spans="1:12" x14ac:dyDescent="0.2">
      <c r="A18" s="336" t="s">
        <v>43</v>
      </c>
      <c r="B18" s="337"/>
      <c r="C18" s="337"/>
      <c r="D18" s="35">
        <f>الجدول7[[#Totals],[سعر البيع]]</f>
        <v>63</v>
      </c>
      <c r="E18" s="333"/>
      <c r="F18" s="333"/>
      <c r="G18" s="30"/>
      <c r="H18" s="334"/>
      <c r="I18" s="335"/>
      <c r="L18" s="1">
        <v>15</v>
      </c>
    </row>
    <row r="19" spans="1:12" x14ac:dyDescent="0.2">
      <c r="A19" s="338"/>
      <c r="B19" s="333"/>
      <c r="C19" s="333"/>
      <c r="D19" s="32">
        <f>SUM(D16:D18)</f>
        <v>280</v>
      </c>
      <c r="E19" s="333"/>
      <c r="F19" s="333"/>
      <c r="G19" s="30"/>
      <c r="H19" s="331"/>
      <c r="I19" s="332"/>
    </row>
    <row r="20" spans="1:12" x14ac:dyDescent="0.2">
      <c r="A20" s="338"/>
      <c r="B20" s="333"/>
      <c r="C20" s="333"/>
      <c r="D20" s="33"/>
      <c r="E20" s="331" t="s">
        <v>32</v>
      </c>
      <c r="F20" s="331"/>
      <c r="G20" s="34">
        <f>D19-G15-G16-G17-G18-G19</f>
        <v>280</v>
      </c>
      <c r="H20" s="331"/>
      <c r="I20" s="332"/>
    </row>
    <row r="21" spans="1:12" x14ac:dyDescent="0.2">
      <c r="A21" s="18"/>
      <c r="B21" s="166"/>
      <c r="C21" s="17"/>
      <c r="D21" s="31"/>
      <c r="E21" s="331"/>
      <c r="F21" s="331"/>
      <c r="G21" s="30">
        <f>SUM(G15:G20)</f>
        <v>280</v>
      </c>
      <c r="H21" s="331"/>
      <c r="I21" s="332"/>
    </row>
    <row r="22" spans="1:12" ht="15" x14ac:dyDescent="0.2">
      <c r="A22" s="18"/>
      <c r="B22" s="166"/>
      <c r="C22" s="17"/>
      <c r="D22" s="17"/>
      <c r="E22" s="2" t="s">
        <v>44</v>
      </c>
      <c r="F22" s="1" t="s">
        <v>45</v>
      </c>
      <c r="G22" s="13" t="s">
        <v>46</v>
      </c>
      <c r="H22" s="14" t="s">
        <v>47</v>
      </c>
      <c r="I22" s="1" t="s">
        <v>48</v>
      </c>
    </row>
    <row r="23" spans="1:12" x14ac:dyDescent="0.2">
      <c r="A23" s="15"/>
      <c r="B23" s="15"/>
      <c r="C23" s="2">
        <f>الجدول7[[#Totals],[±]]</f>
        <v>13</v>
      </c>
      <c r="D23" s="16"/>
      <c r="E23" s="2">
        <v>450</v>
      </c>
      <c r="F23" s="2">
        <f>J19-J21-J23</f>
        <v>0</v>
      </c>
      <c r="G23" s="2"/>
      <c r="H23" s="2"/>
      <c r="I23" s="2">
        <f>E23-F23+G23-H23</f>
        <v>450</v>
      </c>
    </row>
  </sheetData>
  <mergeCells count="20">
    <mergeCell ref="A16:C16"/>
    <mergeCell ref="E16:F16"/>
    <mergeCell ref="H16:I16"/>
    <mergeCell ref="H1:I1"/>
    <mergeCell ref="H2:I2"/>
    <mergeCell ref="A14:I14"/>
    <mergeCell ref="E15:F15"/>
    <mergeCell ref="H15:I15"/>
    <mergeCell ref="E21:F21"/>
    <mergeCell ref="H21:I21"/>
    <mergeCell ref="E17:F17"/>
    <mergeCell ref="H17:I17"/>
    <mergeCell ref="A18:C18"/>
    <mergeCell ref="E18:F18"/>
    <mergeCell ref="H18:I18"/>
    <mergeCell ref="A19:C20"/>
    <mergeCell ref="E19:F19"/>
    <mergeCell ref="H19:I19"/>
    <mergeCell ref="E20:F20"/>
    <mergeCell ref="H20:I20"/>
  </mergeCells>
  <conditionalFormatting sqref="I5:I12">
    <cfRule type="cellIs" dxfId="699" priority="1" operator="equal">
      <formula>0</formula>
    </cfRule>
    <cfRule type="cellIs" dxfId="698" priority="2" operator="equal">
      <formula>0</formula>
    </cfRule>
    <cfRule type="cellIs" dxfId="697" priority="3" operator="lessThan">
      <formula>0</formula>
    </cfRule>
    <cfRule type="cellIs" dxfId="696" priority="4" operator="equal">
      <formula>0</formula>
    </cfRule>
  </conditionalFormatting>
  <dataValidations count="2">
    <dataValidation type="list" allowBlank="1" showInputMessage="1" showErrorMessage="1" sqref="E21:F21" xr:uid="{FF9D65D7-F543-44C7-AEF5-32AF2F0A6016}">
      <formula1>$J$5:$J$16</formula1>
    </dataValidation>
    <dataValidation type="list" allowBlank="1" showInputMessage="1" showErrorMessage="1" sqref="E15:F19" xr:uid="{7E39D682-FA01-4BB0-A19E-7C2067360B68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7B83-36F0-4D9B-8D5D-999C4F2741C1}">
  <sheetPr codeName="ورقة11">
    <tabColor rgb="FFFF0000"/>
  </sheetPr>
  <dimension ref="A1:L19"/>
  <sheetViews>
    <sheetView rightToLeft="1" workbookViewId="0">
      <selection activeCell="H31" sqref="H31"/>
    </sheetView>
  </sheetViews>
  <sheetFormatPr defaultColWidth="9"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0" max="16383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'7'!H1:I1+1</f>
        <v>41797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41797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IFERROR(VLOOKUP(الجدول8[[#This Row],[كود الصنف]],'تكويد الأصناف'!A:F,6,0),"")</f>
        <v/>
      </c>
      <c r="B5" s="36" t="str">
        <f>IFERROR(VLOOKUP(الجدول8[[#This Row],[كود الصنف]],'تكويد الأصناف'!A:F,3,0)," ")</f>
        <v xml:space="preserve"> </v>
      </c>
      <c r="C5" s="25"/>
      <c r="D5" s="10" t="str">
        <f>IFERROR(VLOOKUP(الجدول8[[#This Row],[كود الصنف]],'تكويد الأصناف'!A:F,4,0),"")</f>
        <v/>
      </c>
      <c r="E5" s="21" t="str">
        <f>IFERROR(VLOOKUP(الجدول8[[#This Row],[كود الصنف]],'تكويد الأصناف'!A:F,5,0),"")</f>
        <v/>
      </c>
      <c r="F5" s="22"/>
      <c r="G5" s="23"/>
      <c r="H5" s="195" t="str">
        <f>IFERROR(الجدول8[[#This Row],[فئة التكلفة]]*الجدول8[[#This Row],[العدد]]," ")</f>
        <v xml:space="preserve"> </v>
      </c>
      <c r="I5" s="20" t="str">
        <f>IFERROR(الجدول8[[#This Row],[سعر البيع]]-الجدول8[[#This Row],[فئة التكلفة]]*الجدول8[[#This Row],[العدد]],"")</f>
        <v/>
      </c>
      <c r="L5" s="1" t="s">
        <v>50</v>
      </c>
    </row>
    <row r="6" spans="1:12" x14ac:dyDescent="0.2">
      <c r="A6" s="36" t="str">
        <f>IFERROR(VLOOKUP(الجدول8[[#This Row],[كود الصنف]],'تكويد الأصناف'!A:F,6,0),"")</f>
        <v/>
      </c>
      <c r="B6" s="36" t="str">
        <f>IFERROR(VLOOKUP(الجدول8[[#This Row],[كود الصنف]],'تكويد الأصناف'!A:F,3,0)," ")</f>
        <v xml:space="preserve"> </v>
      </c>
      <c r="C6" s="25"/>
      <c r="D6" s="10" t="str">
        <f>IFERROR(VLOOKUP(الجدول8[[#This Row],[كود الصنف]],'تكويد الأصناف'!A:F,4,0),"")</f>
        <v/>
      </c>
      <c r="E6" s="21" t="str">
        <f>IFERROR(VLOOKUP(الجدول8[[#This Row],[كود الصنف]],'تكويد الأصناف'!A:F,5,0),"")</f>
        <v/>
      </c>
      <c r="F6" s="22"/>
      <c r="G6" s="23"/>
      <c r="H6" s="167" t="str">
        <f>IFERROR(الجدول8[[#This Row],[فئة التكلفة]]*الجدول8[[#This Row],[العدد]]," ")</f>
        <v xml:space="preserve"> </v>
      </c>
      <c r="I6" s="20" t="str">
        <f>IFERROR(الجدول8[[#This Row],[سعر البيع]]-الجدول8[[#This Row],[فئة التكلفة]]*الجدول8[[#This Row],[العدد]],"")</f>
        <v/>
      </c>
      <c r="L6" s="1" t="s">
        <v>51</v>
      </c>
    </row>
    <row r="7" spans="1:12" x14ac:dyDescent="0.2">
      <c r="A7" s="36" t="str">
        <f>IFERROR(VLOOKUP(الجدول8[[#This Row],[كود الصنف]],'تكويد الأصناف'!A:F,6,0),"")</f>
        <v/>
      </c>
      <c r="B7" s="36" t="str">
        <f>IFERROR(VLOOKUP(الجدول8[[#This Row],[كود الصنف]],'تكويد الأصناف'!A:F,3,0)," ")</f>
        <v xml:space="preserve"> </v>
      </c>
      <c r="C7" s="25"/>
      <c r="D7" s="10" t="str">
        <f>IFERROR(VLOOKUP(الجدول8[[#This Row],[كود الصنف]],'تكويد الأصناف'!A:F,4,0),"")</f>
        <v/>
      </c>
      <c r="E7" s="21" t="str">
        <f>IFERROR(VLOOKUP(الجدول8[[#This Row],[كود الصنف]],'تكويد الأصناف'!A:F,5,0),"")</f>
        <v/>
      </c>
      <c r="F7" s="22"/>
      <c r="G7" s="23"/>
      <c r="H7" s="167" t="str">
        <f>IFERROR(الجدول8[[#This Row],[فئة التكلفة]]*الجدول8[[#This Row],[العدد]]," ")</f>
        <v xml:space="preserve"> </v>
      </c>
      <c r="I7" s="20" t="str">
        <f>IFERROR(الجدول8[[#This Row],[سعر البيع]]-الجدول8[[#This Row],[فئة التكلفة]]*الجدول8[[#This Row],[العدد]],"")</f>
        <v/>
      </c>
      <c r="L7" s="1" t="s">
        <v>52</v>
      </c>
    </row>
    <row r="8" spans="1:12" x14ac:dyDescent="0.2">
      <c r="A8" s="36" t="str">
        <f>IFERROR(VLOOKUP(الجدول8[[#This Row],[كود الصنف]],'تكويد الأصناف'!A:F,6,0),"")</f>
        <v/>
      </c>
      <c r="B8" s="36" t="str">
        <f>IFERROR(VLOOKUP(الجدول8[[#This Row],[كود الصنف]],'تكويد الأصناف'!A:F,3,0)," ")</f>
        <v xml:space="preserve"> </v>
      </c>
      <c r="C8" s="25"/>
      <c r="D8" s="10" t="str">
        <f>IFERROR(VLOOKUP(الجدول8[[#This Row],[كود الصنف]],'تكويد الأصناف'!A:F,4,0),"")</f>
        <v/>
      </c>
      <c r="E8" s="21" t="str">
        <f>IFERROR(VLOOKUP(الجدول8[[#This Row],[كود الصنف]],'تكويد الأصناف'!A:F,5,0),"")</f>
        <v/>
      </c>
      <c r="F8" s="22"/>
      <c r="G8" s="23"/>
      <c r="H8" s="167" t="str">
        <f>IFERROR(الجدول8[[#This Row],[فئة التكلفة]]*الجدول8[[#This Row],[العدد]]," ")</f>
        <v xml:space="preserve"> </v>
      </c>
      <c r="I8" s="20" t="str">
        <f>IFERROR(الجدول8[[#This Row],[سعر البيع]]-الجدول8[[#This Row],[فئة التكلفة]]*الجدول8[[#This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SUBTOTAL(109,الجدول8[العدد])</f>
        <v>0</v>
      </c>
      <c r="G9" s="24">
        <f>SUBTOTAL(109,الجدول8[سعر البيع])</f>
        <v>0</v>
      </c>
      <c r="H9" s="19"/>
      <c r="I9" s="24">
        <f>SUBTOTAL(109,الجدول8[±])</f>
        <v>0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66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'7'!G20</f>
        <v>280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66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الجدول8[[#Totals],[سعر البيع]]</f>
        <v>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280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280</v>
      </c>
      <c r="H16" s="331"/>
      <c r="I16" s="332"/>
      <c r="L16" s="1">
        <v>13</v>
      </c>
    </row>
    <row r="17" spans="1:12" x14ac:dyDescent="0.2">
      <c r="A17" s="18"/>
      <c r="B17" s="166"/>
      <c r="C17" s="17"/>
      <c r="D17" s="31"/>
      <c r="E17" s="331"/>
      <c r="F17" s="331"/>
      <c r="G17" s="30">
        <f>SUM(G11:G16)</f>
        <v>280</v>
      </c>
      <c r="H17" s="331"/>
      <c r="I17" s="332"/>
      <c r="L17" s="1">
        <v>14</v>
      </c>
    </row>
    <row r="18" spans="1:12" ht="15" x14ac:dyDescent="0.2">
      <c r="A18" s="18"/>
      <c r="B18" s="166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5"/>
      <c r="C19" s="2">
        <f>الجدول8[[#Totals],[±]]</f>
        <v>0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671" priority="1" operator="equal">
      <formula>0</formula>
    </cfRule>
    <cfRule type="cellIs" dxfId="670" priority="2" operator="equal">
      <formula>0</formula>
    </cfRule>
    <cfRule type="cellIs" dxfId="669" priority="3" operator="lessThan">
      <formula>0</formula>
    </cfRule>
    <cfRule type="cellIs" dxfId="668" priority="4" operator="equal">
      <formula>0</formula>
    </cfRule>
  </conditionalFormatting>
  <dataValidations count="2">
    <dataValidation type="list" allowBlank="1" showInputMessage="1" showErrorMessage="1" sqref="E11:F15" xr:uid="{F0B9C6A6-F5EA-42EC-8D75-CFC2B0CE2A24}">
      <formula1>$L$5:$L$18</formula1>
    </dataValidation>
    <dataValidation type="list" allowBlank="1" showInputMessage="1" showErrorMessage="1" sqref="E17:F17" xr:uid="{AE147A63-84B6-4E5A-8971-AF0E5EF008FD}">
      <formula1>$J$5:$J$16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FB52-2F0D-43C1-A5C0-FB191E2D05CB}">
  <sheetPr codeName="ورقة12">
    <tabColor rgb="FFFF0000"/>
  </sheetPr>
  <dimension ref="A1:L19"/>
  <sheetViews>
    <sheetView rightToLeft="1" workbookViewId="0">
      <selection activeCell="G27" sqref="G27"/>
    </sheetView>
  </sheetViews>
  <sheetFormatPr defaultColWidth="9"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0" max="16383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'8'!H1:I1+1</f>
        <v>41798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41798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>
        <f>IFERROR(VLOOKUP(الجدول9[[#This Row],[كود الصنف]],'تكويد الأصناف'!A:F,6,0),"")</f>
        <v>8</v>
      </c>
      <c r="B5" s="36">
        <f>IFERROR(VLOOKUP(الجدول9[[#This Row],[كود الصنف]],'تكويد الأصناف'!A:F,3,0)," ")</f>
        <v>4</v>
      </c>
      <c r="C5" s="25">
        <v>1002</v>
      </c>
      <c r="D5" s="10" t="str">
        <f>IFERROR(VLOOKUP(الجدول9[[#This Row],[كود الصنف]],'تكويد الأصناف'!A:F,4,0),"")</f>
        <v>جلباب شبك موديلين</v>
      </c>
      <c r="E5" s="21">
        <f>IFERROR(VLOOKUP(الجدول9[[#This Row],[كود الصنف]],'تكويد الأصناف'!A:F,5,0),"")</f>
        <v>10</v>
      </c>
      <c r="F5" s="22">
        <v>1</v>
      </c>
      <c r="G5" s="23">
        <v>10</v>
      </c>
      <c r="H5" s="195">
        <f>IFERROR(الجدول9[[#This Row],[فئة التكلفة]]*الجدول9[[#This Row],[العدد]]," ")</f>
        <v>8</v>
      </c>
      <c r="I5" s="20">
        <f>IFERROR(الجدول9[[#This Row],[سعر البيع]]-الجدول9[[#This Row],[فئة التكلفة]]*الجدول9[[#This Row],[العدد]],"")</f>
        <v>2</v>
      </c>
      <c r="L5" s="1" t="s">
        <v>50</v>
      </c>
    </row>
    <row r="6" spans="1:12" x14ac:dyDescent="0.2">
      <c r="A6" s="36">
        <f>IFERROR(VLOOKUP(الجدول9[[#This Row],[كود الصنف]],'تكويد الأصناف'!A:F,6,0),"")</f>
        <v>10</v>
      </c>
      <c r="B6" s="36">
        <f>IFERROR(VLOOKUP(الجدول9[[#This Row],[كود الصنف]],'تكويد الأصناف'!A:F,3,0)," ")</f>
        <v>4</v>
      </c>
      <c r="C6" s="25">
        <v>1005</v>
      </c>
      <c r="D6" s="10" t="str">
        <f>IFERROR(VLOOKUP(الجدول9[[#This Row],[كود الصنف]],'تكويد الأصناف'!A:F,4,0),"")</f>
        <v>جلباب سبور كتانات منوع</v>
      </c>
      <c r="E6" s="21">
        <f>IFERROR(VLOOKUP(الجدول9[[#This Row],[كود الصنف]],'تكويد الأصناف'!A:F,5,0),"")</f>
        <v>15</v>
      </c>
      <c r="F6" s="22">
        <v>1</v>
      </c>
      <c r="G6" s="23">
        <v>15</v>
      </c>
      <c r="H6" s="167">
        <f>IFERROR(الجدول9[[#This Row],[فئة التكلفة]]*الجدول9[[#This Row],[العدد]]," ")</f>
        <v>10</v>
      </c>
      <c r="I6" s="20">
        <f>IFERROR(الجدول9[[#This Row],[سعر البيع]]-الجدول9[[#This Row],[فئة التكلفة]]*الجدول9[[#This Row],[العدد]],"")</f>
        <v>5</v>
      </c>
      <c r="L6" s="1" t="s">
        <v>51</v>
      </c>
    </row>
    <row r="7" spans="1:12" x14ac:dyDescent="0.2">
      <c r="A7" s="36" t="str">
        <f>IFERROR(VLOOKUP(الجدول9[[#This Row],[كود الصنف]],'تكويد الأصناف'!A:F,6,0),"")</f>
        <v/>
      </c>
      <c r="B7" s="36" t="str">
        <f>IFERROR(VLOOKUP(الجدول9[[#This Row],[كود الصنف]],'تكويد الأصناف'!A:F,3,0)," ")</f>
        <v xml:space="preserve"> </v>
      </c>
      <c r="C7" s="25"/>
      <c r="D7" s="10" t="str">
        <f>IFERROR(VLOOKUP(الجدول9[[#This Row],[كود الصنف]],'تكويد الأصناف'!A:F,4,0),"")</f>
        <v/>
      </c>
      <c r="E7" s="21" t="str">
        <f>IFERROR(VLOOKUP(الجدول9[[#This Row],[كود الصنف]],'تكويد الأصناف'!A:F,5,0),"")</f>
        <v/>
      </c>
      <c r="F7" s="22">
        <v>2</v>
      </c>
      <c r="G7" s="23">
        <v>20</v>
      </c>
      <c r="H7" s="167" t="str">
        <f>IFERROR(الجدول9[[#This Row],[فئة التكلفة]]*الجدول9[[#This Row],[العدد]]," ")</f>
        <v xml:space="preserve"> </v>
      </c>
      <c r="I7" s="20" t="str">
        <f>IFERROR(الجدول9[[#This Row],[سعر البيع]]-الجدول9[[#This Row],[فئة التكلفة]]*الجدول9[[#This Row],[العدد]],"")</f>
        <v/>
      </c>
      <c r="L7" s="1" t="s">
        <v>52</v>
      </c>
    </row>
    <row r="8" spans="1:12" x14ac:dyDescent="0.2">
      <c r="A8" s="36" t="str">
        <f>IFERROR(VLOOKUP(الجدول9[[#This Row],[كود الصنف]],'تكويد الأصناف'!A:F,6,0),"")</f>
        <v/>
      </c>
      <c r="B8" s="36" t="str">
        <f>IFERROR(VLOOKUP(الجدول9[[#This Row],[كود الصنف]],'تكويد الأصناف'!A:F,3,0)," ")</f>
        <v xml:space="preserve"> </v>
      </c>
      <c r="C8" s="25"/>
      <c r="D8" s="10" t="str">
        <f>IFERROR(VLOOKUP(الجدول9[[#This Row],[كود الصنف]],'تكويد الأصناف'!A:F,4,0),"")</f>
        <v/>
      </c>
      <c r="E8" s="21" t="str">
        <f>IFERROR(VLOOKUP(الجدول9[[#This Row],[كود الصنف]],'تكويد الأصناف'!A:F,5,0),"")</f>
        <v/>
      </c>
      <c r="F8" s="22"/>
      <c r="G8" s="23"/>
      <c r="H8" s="167" t="str">
        <f>IFERROR(الجدول9[[#This Row],[فئة التكلفة]]*الجدول9[[#This Row],[العدد]]," ")</f>
        <v xml:space="preserve"> </v>
      </c>
      <c r="I8" s="20" t="str">
        <f>IFERROR(الجدول9[[#This Row],[سعر البيع]]-الجدول9[[#This Row],[فئة التكلفة]]*الجدول9[[#This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SUBTOTAL(109,الجدول9[العدد])</f>
        <v>4</v>
      </c>
      <c r="G9" s="24">
        <f>SUBTOTAL(109,الجدول9[سعر البيع])</f>
        <v>45</v>
      </c>
      <c r="H9" s="19"/>
      <c r="I9" s="24">
        <f>SUBTOTAL(109,الجدول9[±])</f>
        <v>7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66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'8'!G16</f>
        <v>280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66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الجدول9[[#Totals],[سعر البيع]]</f>
        <v>45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325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325</v>
      </c>
      <c r="H16" s="331"/>
      <c r="I16" s="332"/>
      <c r="L16" s="1">
        <v>13</v>
      </c>
    </row>
    <row r="17" spans="1:12" x14ac:dyDescent="0.2">
      <c r="A17" s="18"/>
      <c r="B17" s="166"/>
      <c r="C17" s="17"/>
      <c r="D17" s="31"/>
      <c r="E17" s="331"/>
      <c r="F17" s="331"/>
      <c r="G17" s="30">
        <f>SUM(G11:G16)</f>
        <v>325</v>
      </c>
      <c r="H17" s="331"/>
      <c r="I17" s="332"/>
      <c r="L17" s="1">
        <v>14</v>
      </c>
    </row>
    <row r="18" spans="1:12" ht="15" x14ac:dyDescent="0.2">
      <c r="A18" s="18"/>
      <c r="B18" s="166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5"/>
      <c r="C19" s="2">
        <f>الجدول9[[#Totals],[±]]</f>
        <v>7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643" priority="1" operator="equal">
      <formula>0</formula>
    </cfRule>
    <cfRule type="cellIs" dxfId="642" priority="2" operator="equal">
      <formula>0</formula>
    </cfRule>
    <cfRule type="cellIs" dxfId="641" priority="3" operator="lessThan">
      <formula>0</formula>
    </cfRule>
    <cfRule type="cellIs" dxfId="640" priority="4" operator="equal">
      <formula>0</formula>
    </cfRule>
  </conditionalFormatting>
  <dataValidations count="2">
    <dataValidation type="list" allowBlank="1" showInputMessage="1" showErrorMessage="1" sqref="E17:F17" xr:uid="{202C032F-4FDD-4803-AF67-43C0C2534733}">
      <formula1>$J$5:$J$16</formula1>
    </dataValidation>
    <dataValidation type="list" allowBlank="1" showInputMessage="1" showErrorMessage="1" sqref="E11:F15" xr:uid="{1637ED40-ACF4-4341-93F8-3927CB9DE927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B7B2-5D72-4722-BEA0-BFBE3E3F5104}">
  <sheetPr codeName="ورقة13">
    <tabColor rgb="FFFF0000"/>
  </sheetPr>
  <dimension ref="A1:L21"/>
  <sheetViews>
    <sheetView rightToLeft="1" workbookViewId="0">
      <selection activeCell="H31" sqref="H31"/>
    </sheetView>
  </sheetViews>
  <sheetFormatPr defaultColWidth="9" defaultRowHeight="14.25" x14ac:dyDescent="0.2"/>
  <cols>
    <col min="1" max="2" width="5.25" customWidth="1"/>
    <col min="3" max="3" width="8.375" customWidth="1"/>
    <col min="4" max="4" width="29.25" customWidth="1"/>
    <col min="5" max="5" width="6.75" customWidth="1"/>
    <col min="6" max="6" width="8" customWidth="1"/>
    <col min="7" max="7" width="11.375" customWidth="1"/>
    <col min="8" max="8" width="7.625" customWidth="1"/>
    <col min="9" max="9" width="9.5" customWidth="1"/>
    <col min="10" max="16383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'9'!H1:I1+1</f>
        <v>41799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41799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>
        <f>IFERROR(VLOOKUP(الجدول10[[#This Row],[كود الصنف]],'تكويد الأصناف'!A:F,6,0),"")</f>
        <v>10</v>
      </c>
      <c r="B5" s="36">
        <f>IFERROR(VLOOKUP(الجدول10[[#This Row],[كود الصنف]],'تكويد الأصناف'!A:F,3,0)," ")</f>
        <v>4</v>
      </c>
      <c r="C5" s="25">
        <v>1004</v>
      </c>
      <c r="D5" s="10" t="str">
        <f>IFERROR(VLOOKUP(الجدول10[[#This Row],[كود الصنف]],'تكويد الأصناف'!A:F,4,0),"")</f>
        <v>قفاطين وسهرات متنوعة</v>
      </c>
      <c r="E5" s="21">
        <f>IFERROR(VLOOKUP(الجدول10[[#This Row],[كود الصنف]],'تكويد الأصناف'!A:F,5,0),"")</f>
        <v>20</v>
      </c>
      <c r="F5" s="22">
        <v>1</v>
      </c>
      <c r="G5" s="23">
        <v>15</v>
      </c>
      <c r="H5" s="195">
        <f>IFERROR(الجدول10[[#This Row],[فئة التكلفة]]*الجدول10[[#This Row],[العدد]]," ")</f>
        <v>10</v>
      </c>
      <c r="I5" s="20">
        <f>IFERROR(الجدول10[[#This Row],[سعر البيع]]-الجدول10[[#This Row],[فئة التكلفة]]*الجدول10[[#This Row],[العدد]],"")</f>
        <v>5</v>
      </c>
      <c r="L5" s="1" t="s">
        <v>50</v>
      </c>
    </row>
    <row r="6" spans="1:12" x14ac:dyDescent="0.2">
      <c r="A6" s="36" t="str">
        <f>IFERROR(VLOOKUP(الجدول10[[#This Row],[كود الصنف]],'تكويد الأصناف'!A:F,6,0),"")</f>
        <v/>
      </c>
      <c r="B6" s="36" t="str">
        <f>IFERROR(VLOOKUP(الجدول10[[#This Row],[كود الصنف]],'تكويد الأصناف'!A:F,3,0)," ")</f>
        <v xml:space="preserve"> </v>
      </c>
      <c r="C6" s="25"/>
      <c r="D6" s="10" t="str">
        <f>IFERROR(VLOOKUP(الجدول10[[#This Row],[كود الصنف]],'تكويد الأصناف'!A:F,4,0),"")</f>
        <v/>
      </c>
      <c r="E6" s="21" t="str">
        <f>IFERROR(VLOOKUP(الجدول10[[#This Row],[كود الصنف]],'تكويد الأصناف'!A:F,5,0),"")</f>
        <v/>
      </c>
      <c r="F6" s="22">
        <v>1</v>
      </c>
      <c r="G6" s="23">
        <v>15</v>
      </c>
      <c r="H6" s="167" t="str">
        <f>IFERROR(الجدول10[[#This Row],[فئة التكلفة]]*الجدول10[[#This Row],[العدد]]," ")</f>
        <v xml:space="preserve"> </v>
      </c>
      <c r="I6" s="20" t="str">
        <f>IFERROR(الجدول10[[#This Row],[سعر البيع]]-الجدول10[[#This Row],[فئة التكلفة]]*الجدول10[[#This Row],[العدد]],"")</f>
        <v/>
      </c>
      <c r="L6" s="1" t="s">
        <v>51</v>
      </c>
    </row>
    <row r="7" spans="1:12" x14ac:dyDescent="0.2">
      <c r="A7" s="36">
        <f>IFERROR(VLOOKUP(الجدول10[[#This Row],[كود الصنف]],'تكويد الأصناف'!A:F,6,0),"")</f>
        <v>10</v>
      </c>
      <c r="B7" s="36">
        <f>IFERROR(VLOOKUP(الجدول10[[#This Row],[كود الصنف]],'تكويد الأصناف'!A:F,3,0)," ")</f>
        <v>4</v>
      </c>
      <c r="C7" s="25">
        <v>1005</v>
      </c>
      <c r="D7" s="10" t="str">
        <f>IFERROR(VLOOKUP(الجدول10[[#This Row],[كود الصنف]],'تكويد الأصناف'!A:F,4,0),"")</f>
        <v>جلباب سبور كتانات منوع</v>
      </c>
      <c r="E7" s="21">
        <f>IFERROR(VLOOKUP(الجدول10[[#This Row],[كود الصنف]],'تكويد الأصناف'!A:F,5,0),"")</f>
        <v>15</v>
      </c>
      <c r="F7" s="22">
        <v>1</v>
      </c>
      <c r="G7" s="23">
        <v>15</v>
      </c>
      <c r="H7" s="167">
        <f>IFERROR(الجدول10[[#This Row],[فئة التكلفة]]*الجدول10[[#This Row],[العدد]]," ")</f>
        <v>10</v>
      </c>
      <c r="I7" s="20">
        <f>IFERROR(الجدول10[[#This Row],[سعر البيع]]-الجدول10[[#This Row],[فئة التكلفة]]*الجدول10[[#This Row],[العدد]],"")</f>
        <v>5</v>
      </c>
      <c r="L7" s="1" t="s">
        <v>52</v>
      </c>
    </row>
    <row r="8" spans="1:12" x14ac:dyDescent="0.2">
      <c r="A8" s="36" t="str">
        <f>IFERROR(VLOOKUP(الجدول10[[#This Row],[كود الصنف]],'تكويد الأصناف'!A:F,6,0),"")</f>
        <v/>
      </c>
      <c r="B8" s="36" t="str">
        <f>IFERROR(VLOOKUP(الجدول10[[#This Row],[كود الصنف]],'تكويد الأصناف'!A:F,3,0)," ")</f>
        <v xml:space="preserve"> </v>
      </c>
      <c r="C8" s="25"/>
      <c r="D8" s="10" t="str">
        <f>IFERROR(VLOOKUP(الجدول10[[#This Row],[كود الصنف]],'تكويد الأصناف'!A:F,4,0),"")</f>
        <v/>
      </c>
      <c r="E8" s="21" t="str">
        <f>IFERROR(VLOOKUP(الجدول10[[#This Row],[كود الصنف]],'تكويد الأصناف'!A:F,5,0),"")</f>
        <v/>
      </c>
      <c r="F8" s="22">
        <v>1</v>
      </c>
      <c r="G8" s="23">
        <v>14.25</v>
      </c>
      <c r="H8" s="167" t="str">
        <f>IFERROR(الجدول10[[#This Row],[فئة التكلفة]]*الجدول10[[#This Row],[العدد]]," ")</f>
        <v xml:space="preserve"> </v>
      </c>
      <c r="I8" s="20" t="str">
        <f>IFERROR(الجدول10[[#This Row],[سعر البيع]]-الجدول10[[#This Row],[فئة التكلفة]]*الجدول10[[#This Row],[العدد]],"")</f>
        <v/>
      </c>
      <c r="L8" s="1" t="s">
        <v>53</v>
      </c>
    </row>
    <row r="9" spans="1:12" x14ac:dyDescent="0.2">
      <c r="A9" s="36">
        <f>IFERROR(VLOOKUP(الجدول10[[#This Row],[كود الصنف]],'تكويد الأصناف'!A:F,6,0),"")</f>
        <v>10</v>
      </c>
      <c r="B9" s="36">
        <f>IFERROR(VLOOKUP(الجدول10[[#This Row],[كود الصنف]],'تكويد الأصناف'!A:F,3,0)," ")</f>
        <v>4</v>
      </c>
      <c r="C9" s="25">
        <v>1005</v>
      </c>
      <c r="D9" s="10" t="str">
        <f>IFERROR(VLOOKUP(الجدول10[[#This Row],[كود الصنف]],'تكويد الأصناف'!A:F,4,0),"")</f>
        <v>جلباب سبور كتانات منوع</v>
      </c>
      <c r="E9" s="21">
        <f>IFERROR(VLOOKUP(الجدول10[[#This Row],[كود الصنف]],'تكويد الأصناف'!A:F,5,0),"")</f>
        <v>15</v>
      </c>
      <c r="F9" s="22">
        <v>1</v>
      </c>
      <c r="G9" s="23">
        <v>17</v>
      </c>
      <c r="H9" s="22">
        <f>IFERROR(الجدول10[[#This Row],[فئة التكلفة]]*الجدول10[[#This Row],[العدد]]," ")</f>
        <v>10</v>
      </c>
      <c r="I9" s="20">
        <f>IFERROR(الجدول10[[#This Row],[سعر البيع]]-الجدول10[[#This Row],[فئة التكلفة]]*الجدول10[[#This Row],[العدد]],"")</f>
        <v>7</v>
      </c>
      <c r="L9" s="1" t="s">
        <v>54</v>
      </c>
    </row>
    <row r="10" spans="1:12" x14ac:dyDescent="0.2">
      <c r="A10" s="36" t="str">
        <f>IFERROR(VLOOKUP(الجدول10[[#This Row],[كود الصنف]],'تكويد الأصناف'!A:F,6,0),"")</f>
        <v/>
      </c>
      <c r="B10" s="36" t="str">
        <f>IFERROR(VLOOKUP(الجدول10[[#This Row],[كود الصنف]],'تكويد الأصناف'!A:F,3,0)," ")</f>
        <v xml:space="preserve"> </v>
      </c>
      <c r="C10" s="25"/>
      <c r="D10" s="10" t="str">
        <f>IFERROR(VLOOKUP(الجدول10[[#This Row],[كود الصنف]],'تكويد الأصناف'!A:F,4,0),"")</f>
        <v/>
      </c>
      <c r="E10" s="21" t="str">
        <f>IFERROR(VLOOKUP(الجدول10[[#This Row],[كود الصنف]],'تكويد الأصناف'!A:F,5,0),"")</f>
        <v/>
      </c>
      <c r="F10" s="22"/>
      <c r="G10" s="23"/>
      <c r="H10" s="22" t="str">
        <f>IFERROR(الجدول10[[#This Row],[فئة التكلفة]]*الجدول10[[#This Row],[العدد]]," ")</f>
        <v xml:space="preserve"> </v>
      </c>
      <c r="I10" s="20" t="str">
        <f>IFERROR(الجدول10[[#This Row],[سعر البيع]]-الجدول10[[#This Row],[فئة التكلفة]]*الجدول10[[#This Row],[العدد]],"")</f>
        <v/>
      </c>
      <c r="L10" s="1" t="s">
        <v>55</v>
      </c>
    </row>
    <row r="11" spans="1:12" x14ac:dyDescent="0.2">
      <c r="A11" s="29"/>
      <c r="B11" s="29"/>
      <c r="C11" s="26"/>
      <c r="D11" s="27"/>
      <c r="E11" s="28"/>
      <c r="F11" s="29">
        <f>SUBTOTAL(109,الجدول10[العدد])</f>
        <v>5</v>
      </c>
      <c r="G11" s="24">
        <f>SUBTOTAL(109,الجدول10[سعر البيع])</f>
        <v>76.25</v>
      </c>
      <c r="H11" s="19"/>
      <c r="I11" s="24">
        <f>SUBTOTAL(109,الجدول10[±])</f>
        <v>17</v>
      </c>
      <c r="L11" s="1" t="s">
        <v>56</v>
      </c>
    </row>
    <row r="12" spans="1:12" x14ac:dyDescent="0.2">
      <c r="A12" s="341"/>
      <c r="B12" s="342"/>
      <c r="C12" s="342"/>
      <c r="D12" s="342"/>
      <c r="E12" s="342"/>
      <c r="F12" s="342"/>
      <c r="G12" s="342"/>
      <c r="H12" s="342"/>
      <c r="I12" s="343"/>
      <c r="L12" s="39" t="s">
        <v>57</v>
      </c>
    </row>
    <row r="13" spans="1:12" x14ac:dyDescent="0.2">
      <c r="A13" s="18"/>
      <c r="B13" s="166"/>
      <c r="C13" s="17"/>
      <c r="D13" s="17"/>
      <c r="E13" s="333"/>
      <c r="F13" s="333"/>
      <c r="G13" s="12"/>
      <c r="H13" s="333"/>
      <c r="I13" s="344"/>
      <c r="L13" s="1">
        <v>9</v>
      </c>
    </row>
    <row r="14" spans="1:12" x14ac:dyDescent="0.2">
      <c r="A14" s="336" t="s">
        <v>42</v>
      </c>
      <c r="B14" s="337"/>
      <c r="C14" s="337"/>
      <c r="D14" s="30">
        <f>'9'!G16</f>
        <v>325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18"/>
      <c r="B15" s="166"/>
      <c r="C15" s="17"/>
      <c r="D15" s="31"/>
      <c r="E15" s="333"/>
      <c r="F15" s="333"/>
      <c r="G15" s="30"/>
      <c r="H15" s="334"/>
      <c r="I15" s="335"/>
      <c r="L15" s="1">
        <v>11</v>
      </c>
    </row>
    <row r="16" spans="1:12" x14ac:dyDescent="0.2">
      <c r="A16" s="336" t="s">
        <v>43</v>
      </c>
      <c r="B16" s="337"/>
      <c r="C16" s="337"/>
      <c r="D16" s="35">
        <f>الجدول10[[#Totals],[سعر البيع]]</f>
        <v>76.25</v>
      </c>
      <c r="E16" s="333"/>
      <c r="F16" s="333"/>
      <c r="G16" s="30"/>
      <c r="H16" s="334"/>
      <c r="I16" s="335"/>
      <c r="L16" s="1">
        <v>13</v>
      </c>
    </row>
    <row r="17" spans="1:12" x14ac:dyDescent="0.2">
      <c r="A17" s="338"/>
      <c r="B17" s="333"/>
      <c r="C17" s="333"/>
      <c r="D17" s="32">
        <f>SUM(D14:D16)</f>
        <v>401.25</v>
      </c>
      <c r="E17" s="333"/>
      <c r="F17" s="333"/>
      <c r="G17" s="30"/>
      <c r="H17" s="331"/>
      <c r="I17" s="332"/>
      <c r="L17" s="1">
        <v>14</v>
      </c>
    </row>
    <row r="18" spans="1:12" x14ac:dyDescent="0.2">
      <c r="A18" s="338"/>
      <c r="B18" s="333"/>
      <c r="C18" s="333"/>
      <c r="D18" s="33"/>
      <c r="E18" s="331" t="s">
        <v>32</v>
      </c>
      <c r="F18" s="331"/>
      <c r="G18" s="34">
        <f>D17-G13-G14-G15-G16-G17</f>
        <v>401.25</v>
      </c>
      <c r="H18" s="331"/>
      <c r="I18" s="332"/>
      <c r="L18" s="1">
        <v>15</v>
      </c>
    </row>
    <row r="19" spans="1:12" x14ac:dyDescent="0.2">
      <c r="A19" s="18"/>
      <c r="B19" s="166"/>
      <c r="C19" s="17"/>
      <c r="D19" s="31"/>
      <c r="E19" s="331"/>
      <c r="F19" s="331"/>
      <c r="G19" s="30">
        <f>SUM(G13:G18)</f>
        <v>401.25</v>
      </c>
      <c r="H19" s="331"/>
      <c r="I19" s="332"/>
    </row>
    <row r="20" spans="1:12" ht="15" x14ac:dyDescent="0.2">
      <c r="A20" s="18"/>
      <c r="B20" s="166"/>
      <c r="C20" s="17"/>
      <c r="D20" s="17"/>
      <c r="E20" s="2" t="s">
        <v>44</v>
      </c>
      <c r="F20" s="1" t="s">
        <v>45</v>
      </c>
      <c r="G20" s="13" t="s">
        <v>46</v>
      </c>
      <c r="H20" s="14" t="s">
        <v>47</v>
      </c>
      <c r="I20" s="1" t="s">
        <v>48</v>
      </c>
    </row>
    <row r="21" spans="1:12" x14ac:dyDescent="0.2">
      <c r="A21" s="15"/>
      <c r="B21" s="187"/>
      <c r="C21" s="2">
        <f>الجدول10[[#Totals],[±]]</f>
        <v>17</v>
      </c>
      <c r="D21" s="16"/>
      <c r="E21" s="2">
        <v>450</v>
      </c>
      <c r="F21" s="2">
        <f>J19-J21-J23</f>
        <v>0</v>
      </c>
      <c r="G21" s="2"/>
      <c r="H21" s="2"/>
      <c r="I21" s="2">
        <f>E21-F21+G21-H21</f>
        <v>450</v>
      </c>
    </row>
  </sheetData>
  <mergeCells count="20">
    <mergeCell ref="A14:C14"/>
    <mergeCell ref="E14:F14"/>
    <mergeCell ref="H14:I14"/>
    <mergeCell ref="H1:I1"/>
    <mergeCell ref="H2:I2"/>
    <mergeCell ref="A12:I12"/>
    <mergeCell ref="E13:F13"/>
    <mergeCell ref="H13:I13"/>
    <mergeCell ref="E19:F19"/>
    <mergeCell ref="H19:I19"/>
    <mergeCell ref="E15:F15"/>
    <mergeCell ref="H15:I15"/>
    <mergeCell ref="A16:C16"/>
    <mergeCell ref="E16:F16"/>
    <mergeCell ref="H16:I16"/>
    <mergeCell ref="A17:C18"/>
    <mergeCell ref="E17:F17"/>
    <mergeCell ref="H17:I17"/>
    <mergeCell ref="E18:F18"/>
    <mergeCell ref="H18:I18"/>
  </mergeCells>
  <conditionalFormatting sqref="I5:I10">
    <cfRule type="cellIs" dxfId="615" priority="1" operator="equal">
      <formula>0</formula>
    </cfRule>
    <cfRule type="cellIs" dxfId="614" priority="2" operator="equal">
      <formula>0</formula>
    </cfRule>
    <cfRule type="cellIs" dxfId="613" priority="3" operator="lessThan">
      <formula>0</formula>
    </cfRule>
    <cfRule type="cellIs" dxfId="612" priority="4" operator="equal">
      <formula>0</formula>
    </cfRule>
  </conditionalFormatting>
  <dataValidations disablePrompts="1" count="2">
    <dataValidation type="list" allowBlank="1" showInputMessage="1" showErrorMessage="1" sqref="E13:F17" xr:uid="{166D3FC3-C642-4CA2-A916-FBB304A7692A}">
      <formula1>$L$5:$L$18</formula1>
    </dataValidation>
    <dataValidation type="list" allowBlank="1" showInputMessage="1" showErrorMessage="1" sqref="E19:F19" xr:uid="{B804F7C0-B7B7-4E31-8CF6-8A6E5DEDE572}">
      <formula1>$J$5:$J$16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9F4B-28CA-43C4-BD18-853608E33F91}">
  <sheetPr codeName="ورقة14">
    <tabColor rgb="FFFF0000"/>
  </sheetPr>
  <dimension ref="A1:L22"/>
  <sheetViews>
    <sheetView rightToLeft="1" zoomScaleNormal="100" workbookViewId="0">
      <selection activeCell="G10" sqref="G10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'10'!H1:I1+1</f>
        <v>41800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41800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IFERROR(VLOOKUP(الجدول11[[#This Row],[كود الصنف]],'تكويد الأصناف'!A:F,6,0),"")</f>
        <v/>
      </c>
      <c r="B5" s="36" t="str">
        <f>IFERROR(VLOOKUP(الجدول11[[#This Row],[كود الصنف]],'تكويد الأصناف'!A:F,3,0)," ")</f>
        <v xml:space="preserve"> </v>
      </c>
      <c r="C5" s="25"/>
      <c r="D5" s="10" t="str">
        <f>IFERROR(VLOOKUP(الجدول11[[#This Row],[كود الصنف]],'تكويد الأصناف'!A:F,4,0),"")</f>
        <v/>
      </c>
      <c r="E5" s="21" t="str">
        <f>IFERROR(VLOOKUP(الجدول11[[#This Row],[كود الصنف]],'تكويد الأصناف'!A:F,5,0),"")</f>
        <v/>
      </c>
      <c r="F5" s="22">
        <v>1</v>
      </c>
      <c r="G5" s="23">
        <v>15</v>
      </c>
      <c r="H5" s="195" t="str">
        <f>IFERROR(الجدول11[[#This Row],[فئة التكلفة]]*الجدول11[[#This Row],[العدد]]," ")</f>
        <v xml:space="preserve"> </v>
      </c>
      <c r="I5" s="20" t="str">
        <f>IFERROR(الجدول11[[#This Row],[سعر البيع]]-الجدول11[[#This Row],[فئة التكلفة]]*الجدول11[[#This Row],[العدد]],"")</f>
        <v/>
      </c>
      <c r="L5" s="1" t="s">
        <v>50</v>
      </c>
    </row>
    <row r="6" spans="1:12" x14ac:dyDescent="0.2">
      <c r="A6" s="36" t="str">
        <f>IFERROR(VLOOKUP(الجدول11[[#This Row],[كود الصنف]],'تكويد الأصناف'!A:F,6,0),"")</f>
        <v/>
      </c>
      <c r="B6" s="36" t="str">
        <f>IFERROR(VLOOKUP(الجدول11[[#This Row],[كود الصنف]],'تكويد الأصناف'!A:F,3,0)," ")</f>
        <v xml:space="preserve"> </v>
      </c>
      <c r="C6" s="25"/>
      <c r="D6" s="10" t="str">
        <f>IFERROR(VLOOKUP(الجدول11[[#This Row],[كود الصنف]],'تكويد الأصناف'!A:F,4,0),"")</f>
        <v/>
      </c>
      <c r="E6" s="21" t="str">
        <f>IFERROR(VLOOKUP(الجدول11[[#This Row],[كود الصنف]],'تكويد الأصناف'!A:F,5,0),"")</f>
        <v/>
      </c>
      <c r="F6" s="22">
        <v>1</v>
      </c>
      <c r="G6" s="23">
        <v>15</v>
      </c>
      <c r="H6" s="167" t="str">
        <f>IFERROR(الجدول11[[#This Row],[فئة التكلفة]]*الجدول11[[#This Row],[العدد]]," ")</f>
        <v xml:space="preserve"> </v>
      </c>
      <c r="I6" s="20" t="str">
        <f>IFERROR(الجدول11[[#This Row],[سعر البيع]]-الجدول11[[#This Row],[فئة التكلفة]]*الجدول11[[#This Row],[العدد]],"")</f>
        <v/>
      </c>
      <c r="L6" s="1" t="s">
        <v>51</v>
      </c>
    </row>
    <row r="7" spans="1:12" x14ac:dyDescent="0.2">
      <c r="A7" s="36" t="str">
        <f>IFERROR(VLOOKUP(الجدول11[[#This Row],[كود الصنف]],'تكويد الأصناف'!A:F,6,0),"")</f>
        <v/>
      </c>
      <c r="B7" s="36" t="str">
        <f>IFERROR(VLOOKUP(الجدول11[[#This Row],[كود الصنف]],'تكويد الأصناف'!A:F,3,0)," ")</f>
        <v xml:space="preserve"> </v>
      </c>
      <c r="C7" s="25"/>
      <c r="D7" s="10" t="str">
        <f>IFERROR(VLOOKUP(الجدول11[[#This Row],[كود الصنف]],'تكويد الأصناف'!A:F,4,0),"")</f>
        <v/>
      </c>
      <c r="E7" s="21" t="str">
        <f>IFERROR(VLOOKUP(الجدول11[[#This Row],[كود الصنف]],'تكويد الأصناف'!A:F,5,0),"")</f>
        <v/>
      </c>
      <c r="F7" s="22">
        <v>1</v>
      </c>
      <c r="G7" s="23">
        <v>15</v>
      </c>
      <c r="H7" s="167" t="str">
        <f>IFERROR(الجدول11[[#This Row],[فئة التكلفة]]*الجدول11[[#This Row],[العدد]]," ")</f>
        <v xml:space="preserve"> </v>
      </c>
      <c r="I7" s="20" t="str">
        <f>IFERROR(الجدول11[[#This Row],[سعر البيع]]-الجدول11[[#This Row],[فئة التكلفة]]*الجدول11[[#This Row],[العدد]],"")</f>
        <v/>
      </c>
      <c r="L7" s="1" t="s">
        <v>52</v>
      </c>
    </row>
    <row r="8" spans="1:12" x14ac:dyDescent="0.2">
      <c r="A8" s="36" t="str">
        <f>IFERROR(VLOOKUP(الجدول11[[#This Row],[كود الصنف]],'تكويد الأصناف'!A:F,6,0),"")</f>
        <v/>
      </c>
      <c r="B8" s="36" t="str">
        <f>IFERROR(VLOOKUP(الجدول11[[#This Row],[كود الصنف]],'تكويد الأصناف'!A:F,3,0)," ")</f>
        <v xml:space="preserve"> </v>
      </c>
      <c r="C8" s="25"/>
      <c r="D8" s="10" t="str">
        <f>IFERROR(VLOOKUP(الجدول11[[#This Row],[كود الصنف]],'تكويد الأصناف'!A:F,4,0),"")</f>
        <v/>
      </c>
      <c r="E8" s="21" t="str">
        <f>IFERROR(VLOOKUP(الجدول11[[#This Row],[كود الصنف]],'تكويد الأصناف'!A:F,5,0),"")</f>
        <v/>
      </c>
      <c r="F8" s="22">
        <v>1</v>
      </c>
      <c r="G8" s="23">
        <v>20</v>
      </c>
      <c r="H8" s="167" t="str">
        <f>IFERROR(الجدول11[[#This Row],[فئة التكلفة]]*الجدول11[[#This Row],[العدد]]," ")</f>
        <v xml:space="preserve"> </v>
      </c>
      <c r="I8" s="20" t="str">
        <f>IFERROR(الجدول11[[#This Row],[سعر البيع]]-الجدول11[[#This Row],[فئة التكلفة]]*الجدول11[[#This Row],[العدد]],"")</f>
        <v/>
      </c>
      <c r="L8" s="1" t="s">
        <v>53</v>
      </c>
    </row>
    <row r="9" spans="1:12" x14ac:dyDescent="0.2">
      <c r="A9" s="36">
        <f>IFERROR(VLOOKUP(الجدول11[[#This Row],[كود الصنف]],'تكويد الأصناف'!A:F,6,0),"")</f>
        <v>10</v>
      </c>
      <c r="B9" s="36">
        <f>IFERROR(VLOOKUP(الجدول11[[#This Row],[كود الصنف]],'تكويد الأصناف'!A:F,3,0)," ")</f>
        <v>4</v>
      </c>
      <c r="C9" s="25">
        <v>1005</v>
      </c>
      <c r="D9" s="10" t="str">
        <f>IFERROR(VLOOKUP(الجدول11[[#This Row],[كود الصنف]],'تكويد الأصناف'!A:F,4,0),"")</f>
        <v>جلباب سبور كتانات منوع</v>
      </c>
      <c r="E9" s="21">
        <f>IFERROR(VLOOKUP(الجدول11[[#This Row],[كود الصنف]],'تكويد الأصناف'!A:F,5,0),"")</f>
        <v>15</v>
      </c>
      <c r="F9" s="22">
        <v>1</v>
      </c>
      <c r="G9" s="23">
        <v>16</v>
      </c>
      <c r="H9" s="22">
        <f>IFERROR(الجدول11[[#This Row],[فئة التكلفة]]*الجدول11[[#This Row],[العدد]]," ")</f>
        <v>10</v>
      </c>
      <c r="I9" s="20">
        <f>IFERROR(الجدول11[[#This Row],[سعر البيع]]-الجدول11[[#This Row],[فئة التكلفة]]*الجدول11[[#This Row],[العدد]],"")</f>
        <v>6</v>
      </c>
      <c r="L9" s="1" t="s">
        <v>54</v>
      </c>
    </row>
    <row r="10" spans="1:12" x14ac:dyDescent="0.2">
      <c r="A10" s="36" t="str">
        <f>IFERROR(VLOOKUP(الجدول11[[#This Row],[كود الصنف]],'تكويد الأصناف'!A:F,6,0),"")</f>
        <v/>
      </c>
      <c r="B10" s="36" t="str">
        <f>IFERROR(VLOOKUP(الجدول11[[#This Row],[كود الصنف]],'تكويد الأصناف'!A:F,3,0)," ")</f>
        <v xml:space="preserve"> </v>
      </c>
      <c r="C10" s="25"/>
      <c r="D10" s="10" t="str">
        <f>IFERROR(VLOOKUP(الجدول11[[#This Row],[كود الصنف]],'تكويد الأصناف'!A:F,4,0),"")</f>
        <v/>
      </c>
      <c r="E10" s="21" t="str">
        <f>IFERROR(VLOOKUP(الجدول11[[#This Row],[كود الصنف]],'تكويد الأصناف'!A:F,5,0),"")</f>
        <v/>
      </c>
      <c r="F10" s="22"/>
      <c r="G10" s="23"/>
      <c r="H10" s="22" t="str">
        <f>IFERROR(الجدول11[[#This Row],[فئة التكلفة]]*الجدول11[[#This Row],[العدد]]," ")</f>
        <v xml:space="preserve"> </v>
      </c>
      <c r="I10" s="20" t="str">
        <f>IFERROR(الجدول11[[#This Row],[سعر البيع]]-الجدول11[[#This Row],[فئة التكلفة]]*الجدول11[[#This Row],[العدد]],"")</f>
        <v/>
      </c>
      <c r="L10" s="1" t="s">
        <v>55</v>
      </c>
    </row>
    <row r="11" spans="1:12" x14ac:dyDescent="0.2">
      <c r="A11" s="36" t="str">
        <f>IFERROR(VLOOKUP(الجدول11[[#This Row],[كود الصنف]],'تكويد الأصناف'!A:F,6,0),"")</f>
        <v/>
      </c>
      <c r="B11" s="36" t="str">
        <f>IFERROR(VLOOKUP(الجدول11[[#This Row],[كود الصنف]],'تكويد الأصناف'!A:F,3,0)," ")</f>
        <v xml:space="preserve"> </v>
      </c>
      <c r="C11" s="25"/>
      <c r="D11" s="10" t="str">
        <f>IFERROR(VLOOKUP(الجدول11[[#This Row],[كود الصنف]],'تكويد الأصناف'!A:F,4,0),"")</f>
        <v/>
      </c>
      <c r="E11" s="21" t="str">
        <f>IFERROR(VLOOKUP(الجدول11[[#This Row],[كود الصنف]],'تكويد الأصناف'!A:F,5,0),"")</f>
        <v/>
      </c>
      <c r="F11" s="22"/>
      <c r="G11" s="23"/>
      <c r="H11" s="22" t="str">
        <f>IFERROR(الجدول11[[#This Row],[فئة التكلفة]]*الجدول11[[#This Row],[العدد]]," ")</f>
        <v xml:space="preserve"> </v>
      </c>
      <c r="I11" s="20" t="str">
        <f>IFERROR(الجدول11[[#This Row],[سعر البيع]]-الجدول11[[#This Row],[فئة التكلفة]]*الجدول11[[#This Row],[العدد]],"")</f>
        <v/>
      </c>
      <c r="L11" s="1" t="s">
        <v>56</v>
      </c>
    </row>
    <row r="12" spans="1:12" x14ac:dyDescent="0.2">
      <c r="A12" s="29"/>
      <c r="B12" s="29"/>
      <c r="C12" s="26"/>
      <c r="D12" s="27"/>
      <c r="E12" s="28"/>
      <c r="F12" s="29">
        <f>SUBTOTAL(109,الجدول11[العدد])</f>
        <v>5</v>
      </c>
      <c r="G12" s="24">
        <f>SUBTOTAL(109,الجدول11[سعر البيع])</f>
        <v>81</v>
      </c>
      <c r="H12" s="19"/>
      <c r="I12" s="24">
        <f>SUBTOTAL(109,الجدول11[±])</f>
        <v>6</v>
      </c>
      <c r="L12" s="39" t="s">
        <v>57</v>
      </c>
    </row>
    <row r="13" spans="1:12" x14ac:dyDescent="0.2">
      <c r="A13" s="341"/>
      <c r="B13" s="342"/>
      <c r="C13" s="342"/>
      <c r="D13" s="342"/>
      <c r="E13" s="342"/>
      <c r="F13" s="342"/>
      <c r="G13" s="342"/>
      <c r="H13" s="342"/>
      <c r="I13" s="343"/>
      <c r="L13" s="1">
        <v>9</v>
      </c>
    </row>
    <row r="14" spans="1:12" x14ac:dyDescent="0.2">
      <c r="A14" s="18"/>
      <c r="B14" s="166"/>
      <c r="C14" s="17"/>
      <c r="D14" s="17"/>
      <c r="E14" s="333"/>
      <c r="F14" s="333"/>
      <c r="G14" s="12"/>
      <c r="H14" s="333"/>
      <c r="I14" s="344"/>
      <c r="L14" s="1">
        <v>10</v>
      </c>
    </row>
    <row r="15" spans="1:12" x14ac:dyDescent="0.2">
      <c r="A15" s="336" t="s">
        <v>42</v>
      </c>
      <c r="B15" s="337"/>
      <c r="C15" s="337"/>
      <c r="D15" s="30">
        <f>'10'!G18</f>
        <v>401.25</v>
      </c>
      <c r="E15" s="333"/>
      <c r="F15" s="333"/>
      <c r="G15" s="30"/>
      <c r="H15" s="334"/>
      <c r="I15" s="335"/>
      <c r="L15" s="1">
        <v>11</v>
      </c>
    </row>
    <row r="16" spans="1:12" x14ac:dyDescent="0.2">
      <c r="A16" s="18"/>
      <c r="B16" s="166"/>
      <c r="C16" s="17"/>
      <c r="D16" s="31"/>
      <c r="E16" s="333"/>
      <c r="F16" s="333"/>
      <c r="G16" s="30"/>
      <c r="H16" s="334"/>
      <c r="I16" s="335"/>
      <c r="L16" s="1">
        <v>13</v>
      </c>
    </row>
    <row r="17" spans="1:12" x14ac:dyDescent="0.2">
      <c r="A17" s="336" t="s">
        <v>43</v>
      </c>
      <c r="B17" s="337"/>
      <c r="C17" s="337"/>
      <c r="D17" s="35">
        <f>الجدول11[[#Totals],[سعر البيع]]</f>
        <v>81</v>
      </c>
      <c r="E17" s="333"/>
      <c r="F17" s="333"/>
      <c r="G17" s="30"/>
      <c r="H17" s="334"/>
      <c r="I17" s="335"/>
      <c r="L17" s="1">
        <v>14</v>
      </c>
    </row>
    <row r="18" spans="1:12" x14ac:dyDescent="0.2">
      <c r="A18" s="338"/>
      <c r="B18" s="333"/>
      <c r="C18" s="333"/>
      <c r="D18" s="32">
        <f>SUM(D15:D17)</f>
        <v>482.25</v>
      </c>
      <c r="E18" s="333"/>
      <c r="F18" s="333"/>
      <c r="G18" s="30"/>
      <c r="H18" s="331"/>
      <c r="I18" s="332"/>
      <c r="L18" s="1">
        <v>15</v>
      </c>
    </row>
    <row r="19" spans="1:12" x14ac:dyDescent="0.2">
      <c r="A19" s="338"/>
      <c r="B19" s="333"/>
      <c r="C19" s="333"/>
      <c r="D19" s="33"/>
      <c r="E19" s="331" t="s">
        <v>32</v>
      </c>
      <c r="F19" s="331"/>
      <c r="G19" s="34">
        <f>D18-G14-G15-G16-G17-G18</f>
        <v>482.25</v>
      </c>
      <c r="H19" s="331"/>
      <c r="I19" s="332"/>
    </row>
    <row r="20" spans="1:12" x14ac:dyDescent="0.2">
      <c r="A20" s="18"/>
      <c r="B20" s="166"/>
      <c r="C20" s="17"/>
      <c r="D20" s="31"/>
      <c r="E20" s="331"/>
      <c r="F20" s="331"/>
      <c r="G20" s="30">
        <f>SUM(G14:G19)</f>
        <v>482.25</v>
      </c>
      <c r="H20" s="331"/>
      <c r="I20" s="332"/>
    </row>
    <row r="21" spans="1:12" ht="15" x14ac:dyDescent="0.2">
      <c r="A21" s="18"/>
      <c r="B21" s="166"/>
      <c r="C21" s="17"/>
      <c r="D21" s="17"/>
      <c r="E21" s="2" t="s">
        <v>44</v>
      </c>
      <c r="F21" s="1" t="s">
        <v>45</v>
      </c>
      <c r="G21" s="13" t="s">
        <v>46</v>
      </c>
      <c r="H21" s="14" t="s">
        <v>47</v>
      </c>
      <c r="I21" s="1" t="s">
        <v>48</v>
      </c>
    </row>
    <row r="22" spans="1:12" x14ac:dyDescent="0.2">
      <c r="A22" s="15"/>
      <c r="B22" s="16"/>
      <c r="C22" s="2">
        <f>الجدول11[[#Totals],[±]]</f>
        <v>6</v>
      </c>
      <c r="D22" s="16"/>
      <c r="E22" s="2">
        <v>450</v>
      </c>
      <c r="F22" s="2">
        <f>J19-J21-J23</f>
        <v>0</v>
      </c>
      <c r="G22" s="2"/>
      <c r="H22" s="2"/>
      <c r="I22" s="2">
        <f>E22-F22+G22-H22</f>
        <v>450</v>
      </c>
    </row>
  </sheetData>
  <mergeCells count="20">
    <mergeCell ref="A15:C15"/>
    <mergeCell ref="E15:F15"/>
    <mergeCell ref="H15:I15"/>
    <mergeCell ref="H1:I1"/>
    <mergeCell ref="H2:I2"/>
    <mergeCell ref="A13:I13"/>
    <mergeCell ref="E14:F14"/>
    <mergeCell ref="H14:I14"/>
    <mergeCell ref="E20:F20"/>
    <mergeCell ref="H20:I20"/>
    <mergeCell ref="E16:F16"/>
    <mergeCell ref="H16:I16"/>
    <mergeCell ref="A17:C17"/>
    <mergeCell ref="E17:F17"/>
    <mergeCell ref="H17:I17"/>
    <mergeCell ref="A18:C19"/>
    <mergeCell ref="E18:F18"/>
    <mergeCell ref="H18:I18"/>
    <mergeCell ref="E19:F19"/>
    <mergeCell ref="H19:I19"/>
  </mergeCells>
  <conditionalFormatting sqref="I5:I11">
    <cfRule type="cellIs" dxfId="587" priority="1" operator="equal">
      <formula>0</formula>
    </cfRule>
    <cfRule type="cellIs" dxfId="586" priority="2" operator="equal">
      <formula>0</formula>
    </cfRule>
    <cfRule type="cellIs" dxfId="585" priority="3" operator="lessThan">
      <formula>0</formula>
    </cfRule>
    <cfRule type="cellIs" dxfId="584" priority="4" operator="equal">
      <formula>0</formula>
    </cfRule>
  </conditionalFormatting>
  <dataValidations count="2">
    <dataValidation type="list" allowBlank="1" showInputMessage="1" showErrorMessage="1" sqref="E20:F20" xr:uid="{3ECB64E5-10AC-4545-B2CF-53A5D5983E22}">
      <formula1>$J$5:$J$16</formula1>
    </dataValidation>
    <dataValidation type="list" allowBlank="1" showInputMessage="1" showErrorMessage="1" sqref="E14:F18" xr:uid="{7A6913F1-A52F-4448-A7E2-3B145EFF1B79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scale="96" orientation="portrait" verticalDpi="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8D1B-5B44-445C-BE6D-ED887403E1A7}">
  <sheetPr codeName="ورقة15">
    <tabColor rgb="FFFF0000"/>
  </sheetPr>
  <dimension ref="A1:L21"/>
  <sheetViews>
    <sheetView rightToLeft="1" zoomScaleNormal="100" workbookViewId="0">
      <selection activeCell="G31" sqref="G31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'11'!H1:I1+1</f>
        <v>41801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41801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IFERROR(VLOOKUP(الجدول12[[#This Row],[كود الصنف]],'تكويد الأصناف'!A:F,6,0),"")</f>
        <v/>
      </c>
      <c r="B5" s="36" t="str">
        <f>IFERROR(VLOOKUP(الجدول12[[#This Row],[كود الصنف]],'تكويد الأصناف'!A:F,3,0)," ")</f>
        <v xml:space="preserve"> </v>
      </c>
      <c r="C5" s="25"/>
      <c r="D5" s="10" t="str">
        <f>IFERROR(VLOOKUP(الجدول12[[#This Row],[كود الصنف]],'تكويد الأصناف'!A:F,4,0),"")</f>
        <v/>
      </c>
      <c r="E5" s="21" t="str">
        <f>IFERROR(VLOOKUP(الجدول12[[#This Row],[كود الصنف]],'تكويد الأصناف'!A:F,5,0),"")</f>
        <v/>
      </c>
      <c r="F5" s="22">
        <v>1</v>
      </c>
      <c r="G5" s="23">
        <v>15</v>
      </c>
      <c r="H5" s="195" t="str">
        <f>IFERROR(الجدول12[[#This Row],[فئة التكلفة]]*الجدول12[[#This Row],[العدد]]," ")</f>
        <v xml:space="preserve"> </v>
      </c>
      <c r="I5" s="20" t="str">
        <f>IFERROR(الجدول12[[#This Row],[سعر البيع]]-الجدول12[[#This Row],[فئة التكلفة]]*الجدول12[[#This Row],[العدد]],"")</f>
        <v/>
      </c>
      <c r="L5" s="1" t="s">
        <v>50</v>
      </c>
    </row>
    <row r="6" spans="1:12" x14ac:dyDescent="0.2">
      <c r="A6" s="36" t="str">
        <f>IFERROR(VLOOKUP(الجدول12[[#This Row],[كود الصنف]],'تكويد الأصناف'!A:F,6,0),"")</f>
        <v/>
      </c>
      <c r="B6" s="36" t="str">
        <f>IFERROR(VLOOKUP(الجدول12[[#This Row],[كود الصنف]],'تكويد الأصناف'!A:F,3,0)," ")</f>
        <v xml:space="preserve"> </v>
      </c>
      <c r="C6" s="25"/>
      <c r="D6" s="10" t="str">
        <f>IFERROR(VLOOKUP(الجدول12[[#This Row],[كود الصنف]],'تكويد الأصناف'!A:F,4,0),"")</f>
        <v/>
      </c>
      <c r="E6" s="21" t="str">
        <f>IFERROR(VLOOKUP(الجدول12[[#This Row],[كود الصنف]],'تكويد الأصناف'!A:F,5,0),"")</f>
        <v/>
      </c>
      <c r="F6" s="22">
        <v>1</v>
      </c>
      <c r="G6" s="23">
        <v>20</v>
      </c>
      <c r="H6" s="167" t="str">
        <f>IFERROR(الجدول12[[#This Row],[فئة التكلفة]]*الجدول12[[#This Row],[العدد]]," ")</f>
        <v xml:space="preserve"> </v>
      </c>
      <c r="I6" s="20" t="str">
        <f>IFERROR(الجدول12[[#This Row],[سعر البيع]]-الجدول12[[#This Row],[فئة التكلفة]]*الجدول12[[#This Row],[العدد]],"")</f>
        <v/>
      </c>
      <c r="L6" s="1" t="s">
        <v>51</v>
      </c>
    </row>
    <row r="7" spans="1:12" x14ac:dyDescent="0.2">
      <c r="A7" s="36">
        <f>IFERROR(VLOOKUP(الجدول12[[#This Row],[كود الصنف]],'تكويد الأصناف'!A:F,6,0),"")</f>
        <v>10</v>
      </c>
      <c r="B7" s="36">
        <f>IFERROR(VLOOKUP(الجدول12[[#This Row],[كود الصنف]],'تكويد الأصناف'!A:F,3,0)," ")</f>
        <v>4</v>
      </c>
      <c r="C7" s="25">
        <v>1005</v>
      </c>
      <c r="D7" s="10" t="str">
        <f>IFERROR(VLOOKUP(الجدول12[[#This Row],[كود الصنف]],'تكويد الأصناف'!A:F,4,0),"")</f>
        <v>جلباب سبور كتانات منوع</v>
      </c>
      <c r="E7" s="21">
        <f>IFERROR(VLOOKUP(الجدول12[[#This Row],[كود الصنف]],'تكويد الأصناف'!A:F,5,0),"")</f>
        <v>15</v>
      </c>
      <c r="F7" s="22">
        <v>2</v>
      </c>
      <c r="G7" s="23">
        <v>30</v>
      </c>
      <c r="H7" s="167">
        <f>IFERROR(الجدول12[[#This Row],[فئة التكلفة]]*الجدول12[[#This Row],[العدد]]," ")</f>
        <v>20</v>
      </c>
      <c r="I7" s="20">
        <f>IFERROR(الجدول12[[#This Row],[سعر البيع]]-الجدول12[[#This Row],[فئة التكلفة]]*الجدول12[[#This Row],[العدد]],"")</f>
        <v>10</v>
      </c>
      <c r="L7" s="1" t="s">
        <v>52</v>
      </c>
    </row>
    <row r="8" spans="1:12" x14ac:dyDescent="0.2">
      <c r="A8" s="261">
        <f>IFERROR(VLOOKUP(الجدول12[[#This Row],[كود الصنف]],'تكويد الأصناف'!A:F,6,0),"")</f>
        <v>10</v>
      </c>
      <c r="B8" s="261">
        <f>IFERROR(VLOOKUP(الجدول12[[#This Row],[كود الصنف]],'تكويد الأصناف'!A:F,3,0)," ")</f>
        <v>4</v>
      </c>
      <c r="C8" s="262">
        <v>1005</v>
      </c>
      <c r="D8" s="263" t="str">
        <f>IFERROR(VLOOKUP(الجدول12[[#This Row],[كود الصنف]],'تكويد الأصناف'!A:F,4,0),"")</f>
        <v>جلباب سبور كتانات منوع</v>
      </c>
      <c r="E8" s="264">
        <f>IFERROR(VLOOKUP(الجدول12[[#This Row],[كود الصنف]],'تكويد الأصناف'!A:F,5,0),"")</f>
        <v>15</v>
      </c>
      <c r="F8" s="265">
        <v>1</v>
      </c>
      <c r="G8" s="23">
        <v>15</v>
      </c>
      <c r="H8" s="265">
        <f>IFERROR(الجدول12[[#This Row],[فئة التكلفة]]*الجدول12[[#This Row],[العدد]]," ")</f>
        <v>10</v>
      </c>
      <c r="I8" s="266">
        <f>IFERROR(الجدول12[[#This Row],[سعر البيع]]-الجدول12[[#This Row],[فئة التكلفة]]*الجدول12[[#This Row],[العدد]],"")</f>
        <v>5</v>
      </c>
      <c r="L8" s="1" t="s">
        <v>53</v>
      </c>
    </row>
    <row r="9" spans="1:12" x14ac:dyDescent="0.2">
      <c r="A9" s="36" t="str">
        <f>IFERROR(VLOOKUP(الجدول12[[#This Row],[كود الصنف]],'تكويد الأصناف'!A:F,6,0),"")</f>
        <v/>
      </c>
      <c r="B9" s="36" t="str">
        <f>IFERROR(VLOOKUP(الجدول12[[#This Row],[كود الصنف]],'تكويد الأصناف'!A:F,3,0)," ")</f>
        <v xml:space="preserve"> </v>
      </c>
      <c r="C9" s="25"/>
      <c r="D9" s="10" t="str">
        <f>IFERROR(VLOOKUP(الجدول12[[#This Row],[كود الصنف]],'تكويد الأصناف'!A:F,4,0),"")</f>
        <v/>
      </c>
      <c r="E9" s="21" t="str">
        <f>IFERROR(VLOOKUP(الجدول12[[#This Row],[كود الصنف]],'تكويد الأصناف'!A:F,5,0),"")</f>
        <v/>
      </c>
      <c r="F9" s="22">
        <v>1</v>
      </c>
      <c r="G9" s="23">
        <v>15</v>
      </c>
      <c r="H9" s="22" t="str">
        <f>IFERROR(الجدول12[[#This Row],[فئة التكلفة]]*الجدول12[[#This Row],[العدد]]," ")</f>
        <v xml:space="preserve"> </v>
      </c>
      <c r="I9" s="20" t="str">
        <f>IFERROR(الجدول12[[#This Row],[سعر البيع]]-الجدول12[[#This Row],[فئة التكلفة]]*الجدول12[[#This Row],[العدد]],"")</f>
        <v/>
      </c>
      <c r="L9" s="1" t="s">
        <v>54</v>
      </c>
    </row>
    <row r="10" spans="1:12" x14ac:dyDescent="0.2">
      <c r="A10" s="36" t="str">
        <f>IFERROR(VLOOKUP(الجدول12[[#This Row],[كود الصنف]],'تكويد الأصناف'!A:F,6,0),"")</f>
        <v/>
      </c>
      <c r="B10" s="36" t="str">
        <f>IFERROR(VLOOKUP(الجدول12[[#This Row],[كود الصنف]],'تكويد الأصناف'!A:F,3,0)," ")</f>
        <v xml:space="preserve"> </v>
      </c>
      <c r="C10" s="25"/>
      <c r="D10" s="10" t="str">
        <f>IFERROR(VLOOKUP(الجدول12[[#This Row],[كود الصنف]],'تكويد الأصناف'!A:F,4,0),"")</f>
        <v/>
      </c>
      <c r="E10" s="21" t="str">
        <f>IFERROR(VLOOKUP(الجدول12[[#This Row],[كود الصنف]],'تكويد الأصناف'!A:F,5,0),"")</f>
        <v/>
      </c>
      <c r="F10" s="22">
        <v>1</v>
      </c>
      <c r="G10" s="23">
        <v>15</v>
      </c>
      <c r="H10" s="22" t="str">
        <f>IFERROR(الجدول12[[#This Row],[فئة التكلفة]]*الجدول12[[#This Row],[العدد]]," ")</f>
        <v xml:space="preserve"> </v>
      </c>
      <c r="I10" s="20" t="str">
        <f>IFERROR(الجدول12[[#This Row],[سعر البيع]]-الجدول12[[#This Row],[فئة التكلفة]]*الجدول12[[#This Row],[العدد]],"")</f>
        <v/>
      </c>
      <c r="L10" s="1" t="s">
        <v>55</v>
      </c>
    </row>
    <row r="11" spans="1:12" x14ac:dyDescent="0.2">
      <c r="A11" s="29"/>
      <c r="B11" s="29"/>
      <c r="C11" s="26"/>
      <c r="D11" s="27"/>
      <c r="E11" s="28"/>
      <c r="F11" s="29">
        <f>SUBTOTAL(109,الجدول12[العدد])</f>
        <v>7</v>
      </c>
      <c r="G11" s="24">
        <f>SUBTOTAL(109,الجدول12[سعر البيع])</f>
        <v>110</v>
      </c>
      <c r="H11" s="19"/>
      <c r="I11" s="24">
        <f>SUBTOTAL(109,الجدول12[±])</f>
        <v>15</v>
      </c>
      <c r="L11" s="1" t="s">
        <v>56</v>
      </c>
    </row>
    <row r="12" spans="1:12" x14ac:dyDescent="0.2">
      <c r="A12" s="341"/>
      <c r="B12" s="342"/>
      <c r="C12" s="342"/>
      <c r="D12" s="342"/>
      <c r="E12" s="342"/>
      <c r="F12" s="342"/>
      <c r="G12" s="342"/>
      <c r="H12" s="342"/>
      <c r="I12" s="343"/>
      <c r="L12" s="39" t="s">
        <v>57</v>
      </c>
    </row>
    <row r="13" spans="1:12" x14ac:dyDescent="0.2">
      <c r="A13" s="18"/>
      <c r="B13" s="166"/>
      <c r="C13" s="17"/>
      <c r="D13" s="17"/>
      <c r="E13" s="333"/>
      <c r="F13" s="333"/>
      <c r="G13" s="12"/>
      <c r="H13" s="333"/>
      <c r="I13" s="344"/>
      <c r="L13" s="1">
        <v>9</v>
      </c>
    </row>
    <row r="14" spans="1:12" x14ac:dyDescent="0.2">
      <c r="A14" s="336" t="s">
        <v>42</v>
      </c>
      <c r="B14" s="337"/>
      <c r="C14" s="337"/>
      <c r="D14" s="30">
        <f>'11'!G19</f>
        <v>482.25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18"/>
      <c r="B15" s="166"/>
      <c r="C15" s="17"/>
      <c r="D15" s="31"/>
      <c r="E15" s="333"/>
      <c r="F15" s="333"/>
      <c r="G15" s="30"/>
      <c r="H15" s="334"/>
      <c r="I15" s="335"/>
      <c r="L15" s="1">
        <v>11</v>
      </c>
    </row>
    <row r="16" spans="1:12" x14ac:dyDescent="0.2">
      <c r="A16" s="336" t="s">
        <v>43</v>
      </c>
      <c r="B16" s="337"/>
      <c r="C16" s="337"/>
      <c r="D16" s="35">
        <f>الجدول12[[#Totals],[سعر البيع]]</f>
        <v>110</v>
      </c>
      <c r="E16" s="333"/>
      <c r="F16" s="333"/>
      <c r="G16" s="30"/>
      <c r="H16" s="334"/>
      <c r="I16" s="335"/>
      <c r="L16" s="1">
        <v>13</v>
      </c>
    </row>
    <row r="17" spans="1:12" x14ac:dyDescent="0.2">
      <c r="A17" s="338"/>
      <c r="B17" s="333"/>
      <c r="C17" s="333"/>
      <c r="D17" s="32">
        <f>SUM(D14:D16)</f>
        <v>592.25</v>
      </c>
      <c r="E17" s="333"/>
      <c r="F17" s="333"/>
      <c r="G17" s="30"/>
      <c r="H17" s="331"/>
      <c r="I17" s="332"/>
      <c r="L17" s="1">
        <v>14</v>
      </c>
    </row>
    <row r="18" spans="1:12" x14ac:dyDescent="0.2">
      <c r="A18" s="338"/>
      <c r="B18" s="333"/>
      <c r="C18" s="333"/>
      <c r="D18" s="33"/>
      <c r="E18" s="331" t="s">
        <v>32</v>
      </c>
      <c r="F18" s="331"/>
      <c r="G18" s="34">
        <f>D17-G13-G14-G15-G16-G17</f>
        <v>592.25</v>
      </c>
      <c r="H18" s="331"/>
      <c r="I18" s="332"/>
      <c r="L18" s="1">
        <v>15</v>
      </c>
    </row>
    <row r="19" spans="1:12" x14ac:dyDescent="0.2">
      <c r="A19" s="18"/>
      <c r="B19" s="166"/>
      <c r="C19" s="17"/>
      <c r="D19" s="31"/>
      <c r="E19" s="331"/>
      <c r="F19" s="331"/>
      <c r="G19" s="30">
        <f>SUM(G13:G18)</f>
        <v>592.25</v>
      </c>
      <c r="H19" s="331"/>
      <c r="I19" s="332"/>
    </row>
    <row r="20" spans="1:12" ht="15" x14ac:dyDescent="0.2">
      <c r="A20" s="18"/>
      <c r="B20" s="166"/>
      <c r="C20" s="17"/>
      <c r="D20" s="17"/>
      <c r="E20" s="2" t="s">
        <v>44</v>
      </c>
      <c r="F20" s="1" t="s">
        <v>45</v>
      </c>
      <c r="G20" s="13" t="s">
        <v>46</v>
      </c>
      <c r="H20" s="14" t="s">
        <v>47</v>
      </c>
      <c r="I20" s="1" t="s">
        <v>48</v>
      </c>
    </row>
    <row r="21" spans="1:12" x14ac:dyDescent="0.2">
      <c r="A21" s="15"/>
      <c r="B21" s="187"/>
      <c r="C21" s="2">
        <f>الجدول12[[#Totals],[±]]</f>
        <v>15</v>
      </c>
      <c r="D21" s="16"/>
      <c r="E21" s="2">
        <v>450</v>
      </c>
      <c r="F21" s="2">
        <f>J19-J21-J23</f>
        <v>0</v>
      </c>
      <c r="G21" s="2"/>
      <c r="H21" s="2"/>
      <c r="I21" s="2">
        <f>E21-F21+G21-H21</f>
        <v>450</v>
      </c>
    </row>
  </sheetData>
  <mergeCells count="20">
    <mergeCell ref="A14:C14"/>
    <mergeCell ref="E14:F14"/>
    <mergeCell ref="H14:I14"/>
    <mergeCell ref="H1:I1"/>
    <mergeCell ref="H2:I2"/>
    <mergeCell ref="A12:I12"/>
    <mergeCell ref="E13:F13"/>
    <mergeCell ref="H13:I13"/>
    <mergeCell ref="E19:F19"/>
    <mergeCell ref="H19:I19"/>
    <mergeCell ref="E15:F15"/>
    <mergeCell ref="H15:I15"/>
    <mergeCell ref="A16:C16"/>
    <mergeCell ref="E16:F16"/>
    <mergeCell ref="H16:I16"/>
    <mergeCell ref="A17:C18"/>
    <mergeCell ref="E17:F17"/>
    <mergeCell ref="H17:I17"/>
    <mergeCell ref="E18:F18"/>
    <mergeCell ref="H18:I18"/>
  </mergeCells>
  <conditionalFormatting sqref="I5:I10">
    <cfRule type="cellIs" dxfId="559" priority="1" operator="equal">
      <formula>0</formula>
    </cfRule>
    <cfRule type="cellIs" dxfId="558" priority="2" operator="equal">
      <formula>0</formula>
    </cfRule>
    <cfRule type="cellIs" dxfId="557" priority="3" operator="lessThan">
      <formula>0</formula>
    </cfRule>
    <cfRule type="cellIs" dxfId="556" priority="4" operator="equal">
      <formula>0</formula>
    </cfRule>
  </conditionalFormatting>
  <dataValidations count="2">
    <dataValidation type="list" allowBlank="1" showInputMessage="1" showErrorMessage="1" sqref="E13:F17" xr:uid="{7892B5CC-8015-4B20-8A75-717B8113B08D}">
      <formula1>$L$5:$L$18</formula1>
    </dataValidation>
    <dataValidation type="list" allowBlank="1" showInputMessage="1" showErrorMessage="1" sqref="E19:F19" xr:uid="{D2C14CC9-17E6-4242-BF8B-F44DE7910924}">
      <formula1>$J$5:$J$16</formula1>
    </dataValidation>
  </dataValidations>
  <printOptions horizontalCentered="1"/>
  <pageMargins left="0.11811023622047245" right="0.11811023622047245" top="0.35433070866141736" bottom="0.35433070866141736" header="0.31496062992125984" footer="0.31496062992125984"/>
  <pageSetup paperSize="9" scale="98" orientation="portrait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C593A-91AD-4D20-B7D9-E7045C3AB08E}">
  <sheetPr codeName="ورقة16">
    <tabColor rgb="FFFF0000"/>
  </sheetPr>
  <dimension ref="A1:L23"/>
  <sheetViews>
    <sheetView rightToLeft="1" zoomScaleNormal="100" workbookViewId="0">
      <selection activeCell="P11" sqref="P11"/>
    </sheetView>
  </sheetViews>
  <sheetFormatPr defaultRowHeight="14.25" x14ac:dyDescent="0.2"/>
  <cols>
    <col min="1" max="1" width="5.25" customWidth="1"/>
    <col min="2" max="2" width="4.625" customWidth="1"/>
    <col min="3" max="3" width="8" customWidth="1"/>
    <col min="4" max="4" width="28" customWidth="1"/>
    <col min="5" max="5" width="6.75" customWidth="1"/>
    <col min="6" max="6" width="8" customWidth="1"/>
    <col min="7" max="7" width="11.375" customWidth="1"/>
    <col min="8" max="8" width="8.12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'12'!H1:I1+1</f>
        <v>41802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41802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>
        <f>IFERROR(VLOOKUP(الجدول13[[#This Row],[كود الصنف]],'تكويد الأصناف'!A:F,6,0),"")</f>
        <v>7</v>
      </c>
      <c r="B5" s="36">
        <f>IFERROR(VLOOKUP(الجدول13[[#This Row],[كود الصنف]],'تكويد الأصناف'!A:F,3,0)," ")</f>
        <v>4</v>
      </c>
      <c r="C5" s="25">
        <v>1001</v>
      </c>
      <c r="D5" s="10" t="str">
        <f>IFERROR(VLOOKUP(الجدول13[[#This Row],[كود الصنف]],'تكويد الأصناف'!A:F,4,0),"")</f>
        <v>جلباب سبور مورد</v>
      </c>
      <c r="E5" s="21">
        <f>IFERROR(VLOOKUP(الجدول13[[#This Row],[كود الصنف]],'تكويد الأصناف'!A:F,5,0),"")</f>
        <v>10</v>
      </c>
      <c r="F5" s="22">
        <v>1</v>
      </c>
      <c r="G5" s="23">
        <v>10</v>
      </c>
      <c r="H5" s="195">
        <f>IFERROR(الجدول13[[#This Row],[فئة التكلفة]]*الجدول13[[#This Row],[العدد]]," ")</f>
        <v>7</v>
      </c>
      <c r="I5" s="20">
        <f>IFERROR(الجدول13[[#This Row],[سعر البيع]]-الجدول13[[#This Row],[فئة التكلفة]]*الجدول13[[#This Row],[العدد]],"")</f>
        <v>3</v>
      </c>
      <c r="L5" s="1" t="s">
        <v>50</v>
      </c>
    </row>
    <row r="6" spans="1:12" x14ac:dyDescent="0.2">
      <c r="A6" s="36">
        <f>IFERROR(VLOOKUP(الجدول13[[#This Row],[كود الصنف]],'تكويد الأصناف'!A:F,6,0),"")</f>
        <v>8</v>
      </c>
      <c r="B6" s="36">
        <f>IFERROR(VLOOKUP(الجدول13[[#This Row],[كود الصنف]],'تكويد الأصناف'!A:F,3,0)," ")</f>
        <v>4</v>
      </c>
      <c r="C6" s="25">
        <v>1002</v>
      </c>
      <c r="D6" s="10" t="str">
        <f>IFERROR(VLOOKUP(الجدول13[[#This Row],[كود الصنف]],'تكويد الأصناف'!A:F,4,0),"")</f>
        <v>جلباب شبك موديلين</v>
      </c>
      <c r="E6" s="21">
        <f>IFERROR(VLOOKUP(الجدول13[[#This Row],[كود الصنف]],'تكويد الأصناف'!A:F,5,0),"")</f>
        <v>10</v>
      </c>
      <c r="F6" s="22">
        <v>1</v>
      </c>
      <c r="G6" s="23">
        <v>10</v>
      </c>
      <c r="H6" s="167">
        <f>IFERROR(الجدول13[[#This Row],[فئة التكلفة]]*الجدول13[[#This Row],[العدد]]," ")</f>
        <v>8</v>
      </c>
      <c r="I6" s="20">
        <f>IFERROR(الجدول13[[#This Row],[سعر البيع]]-الجدول13[[#This Row],[فئة التكلفة]]*الجدول13[[#This Row],[العدد]],"")</f>
        <v>2</v>
      </c>
      <c r="L6" s="1" t="s">
        <v>51</v>
      </c>
    </row>
    <row r="7" spans="1:12" x14ac:dyDescent="0.2">
      <c r="A7" s="36" t="str">
        <f>IFERROR(VLOOKUP(الجدول13[[#This Row],[كود الصنف]],'تكويد الأصناف'!A:F,6,0),"")</f>
        <v/>
      </c>
      <c r="B7" s="36" t="str">
        <f>IFERROR(VLOOKUP(الجدول13[[#This Row],[كود الصنف]],'تكويد الأصناف'!A:F,3,0)," ")</f>
        <v xml:space="preserve"> </v>
      </c>
      <c r="C7" s="25"/>
      <c r="D7" s="10" t="str">
        <f>IFERROR(VLOOKUP(الجدول13[[#This Row],[كود الصنف]],'تكويد الأصناف'!A:F,4,0),"")</f>
        <v/>
      </c>
      <c r="E7" s="21" t="str">
        <f>IFERROR(VLOOKUP(الجدول13[[#This Row],[كود الصنف]],'تكويد الأصناف'!A:F,5,0),"")</f>
        <v/>
      </c>
      <c r="F7" s="22">
        <v>2</v>
      </c>
      <c r="G7" s="23">
        <v>10</v>
      </c>
      <c r="H7" s="167" t="str">
        <f>IFERROR(الجدول13[[#This Row],[فئة التكلفة]]*الجدول13[[#This Row],[العدد]]," ")</f>
        <v xml:space="preserve"> </v>
      </c>
      <c r="I7" s="20" t="str">
        <f>IFERROR(الجدول13[[#This Row],[سعر البيع]]-الجدول13[[#This Row],[فئة التكلفة]]*الجدول13[[#This Row],[العدد]],"")</f>
        <v/>
      </c>
      <c r="L7" s="1" t="s">
        <v>52</v>
      </c>
    </row>
    <row r="8" spans="1:12" x14ac:dyDescent="0.2">
      <c r="A8" s="36">
        <f>IFERROR(VLOOKUP(الجدول13[[#This Row],[كود الصنف]],'تكويد الأصناف'!A:F,6,0),"")</f>
        <v>10</v>
      </c>
      <c r="B8" s="36">
        <f>IFERROR(VLOOKUP(الجدول13[[#This Row],[كود الصنف]],'تكويد الأصناف'!A:F,3,0)," ")</f>
        <v>4</v>
      </c>
      <c r="C8" s="25">
        <v>1005</v>
      </c>
      <c r="D8" s="10" t="str">
        <f>IFERROR(VLOOKUP(الجدول13[[#This Row],[كود الصنف]],'تكويد الأصناف'!A:F,4,0),"")</f>
        <v>جلباب سبور كتانات منوع</v>
      </c>
      <c r="E8" s="21">
        <f>IFERROR(VLOOKUP(الجدول13[[#This Row],[كود الصنف]],'تكويد الأصناف'!A:F,5,0),"")</f>
        <v>15</v>
      </c>
      <c r="F8" s="22">
        <v>1</v>
      </c>
      <c r="G8" s="23">
        <v>17</v>
      </c>
      <c r="H8" s="167">
        <f>IFERROR(الجدول13[[#This Row],[فئة التكلفة]]*الجدول13[[#This Row],[العدد]]," ")</f>
        <v>10</v>
      </c>
      <c r="I8" s="20">
        <f>IFERROR(الجدول13[[#This Row],[سعر البيع]]-الجدول13[[#This Row],[فئة التكلفة]]*الجدول13[[#This Row],[العدد]],"")</f>
        <v>7</v>
      </c>
      <c r="L8" s="1" t="s">
        <v>53</v>
      </c>
    </row>
    <row r="9" spans="1:12" x14ac:dyDescent="0.2">
      <c r="A9" s="36">
        <f>IFERROR(VLOOKUP(الجدول13[[#This Row],[كود الصنف]],'تكويد الأصناف'!A:F,6,0),"")</f>
        <v>7</v>
      </c>
      <c r="B9" s="36">
        <f>IFERROR(VLOOKUP(الجدول13[[#This Row],[كود الصنف]],'تكويد الأصناف'!A:F,3,0)," ")</f>
        <v>4</v>
      </c>
      <c r="C9" s="25">
        <v>1001</v>
      </c>
      <c r="D9" s="10" t="str">
        <f>IFERROR(VLOOKUP(الجدول13[[#This Row],[كود الصنف]],'تكويد الأصناف'!A:F,4,0),"")</f>
        <v>جلباب سبور مورد</v>
      </c>
      <c r="E9" s="21">
        <f>IFERROR(VLOOKUP(الجدول13[[#This Row],[كود الصنف]],'تكويد الأصناف'!A:F,5,0),"")</f>
        <v>10</v>
      </c>
      <c r="F9" s="22">
        <v>1</v>
      </c>
      <c r="G9" s="23">
        <v>10</v>
      </c>
      <c r="H9" s="22">
        <f>IFERROR(الجدول13[[#This Row],[فئة التكلفة]]*الجدول13[[#This Row],[العدد]]," ")</f>
        <v>7</v>
      </c>
      <c r="I9" s="20">
        <f>IFERROR(الجدول13[[#This Row],[سعر البيع]]-الجدول13[[#This Row],[فئة التكلفة]]*الجدول13[[#This Row],[العدد]],"")</f>
        <v>3</v>
      </c>
      <c r="L9" s="1" t="s">
        <v>54</v>
      </c>
    </row>
    <row r="10" spans="1:12" x14ac:dyDescent="0.2">
      <c r="A10" s="36" t="str">
        <f>IFERROR(VLOOKUP(الجدول13[[#This Row],[كود الصنف]],'تكويد الأصناف'!A:F,6,0),"")</f>
        <v/>
      </c>
      <c r="B10" s="36" t="str">
        <f>IFERROR(VLOOKUP(الجدول13[[#This Row],[كود الصنف]],'تكويد الأصناف'!A:F,3,0)," ")</f>
        <v xml:space="preserve"> </v>
      </c>
      <c r="C10" s="25"/>
      <c r="D10" s="10" t="str">
        <f>IFERROR(VLOOKUP(الجدول13[[#This Row],[كود الصنف]],'تكويد الأصناف'!A:F,4,0),"")</f>
        <v/>
      </c>
      <c r="E10" s="21" t="str">
        <f>IFERROR(VLOOKUP(الجدول13[[#This Row],[كود الصنف]],'تكويد الأصناف'!A:F,5,0),"")</f>
        <v/>
      </c>
      <c r="F10" s="22"/>
      <c r="G10" s="23"/>
      <c r="H10" s="22" t="str">
        <f>IFERROR(الجدول13[[#This Row],[فئة التكلفة]]*الجدول13[[#This Row],[العدد]]," ")</f>
        <v xml:space="preserve"> </v>
      </c>
      <c r="I10" s="20" t="str">
        <f>IFERROR(الجدول13[[#This Row],[سعر البيع]]-الجدول13[[#This Row],[فئة التكلفة]]*الجدول13[[#This Row],[العدد]],"")</f>
        <v/>
      </c>
      <c r="L10" s="1" t="s">
        <v>55</v>
      </c>
    </row>
    <row r="11" spans="1:12" x14ac:dyDescent="0.2">
      <c r="A11" s="36" t="str">
        <f>IFERROR(VLOOKUP(الجدول13[[#This Row],[كود الصنف]],'تكويد الأصناف'!A:F,6,0),"")</f>
        <v/>
      </c>
      <c r="B11" s="36" t="str">
        <f>IFERROR(VLOOKUP(الجدول13[[#This Row],[كود الصنف]],'تكويد الأصناف'!A:F,3,0)," ")</f>
        <v xml:space="preserve"> </v>
      </c>
      <c r="C11" s="25"/>
      <c r="D11" s="10" t="str">
        <f>IFERROR(VLOOKUP(الجدول13[[#This Row],[كود الصنف]],'تكويد الأصناف'!A:F,4,0),"")</f>
        <v/>
      </c>
      <c r="E11" s="21" t="str">
        <f>IFERROR(VLOOKUP(الجدول13[[#This Row],[كود الصنف]],'تكويد الأصناف'!A:F,5,0),"")</f>
        <v/>
      </c>
      <c r="F11" s="22"/>
      <c r="G11" s="23"/>
      <c r="H11" s="22" t="str">
        <f>IFERROR(الجدول13[[#This Row],[فئة التكلفة]]*الجدول13[[#This Row],[العدد]]," ")</f>
        <v xml:space="preserve"> </v>
      </c>
      <c r="I11" s="20" t="str">
        <f>IFERROR(الجدول13[[#This Row],[سعر البيع]]-الجدول13[[#This Row],[فئة التكلفة]]*الجدول13[[#This Row],[العدد]],"")</f>
        <v/>
      </c>
      <c r="L11" s="1" t="s">
        <v>56</v>
      </c>
    </row>
    <row r="12" spans="1:12" x14ac:dyDescent="0.2">
      <c r="A12" s="36" t="str">
        <f>IFERROR(VLOOKUP(الجدول13[[#This Row],[كود الصنف]],'تكويد الأصناف'!A:F,6,0),"")</f>
        <v/>
      </c>
      <c r="B12" s="36" t="str">
        <f>IFERROR(VLOOKUP(الجدول13[[#This Row],[كود الصنف]],'تكويد الأصناف'!A:F,3,0)," ")</f>
        <v xml:space="preserve"> </v>
      </c>
      <c r="C12" s="25"/>
      <c r="D12" s="10" t="str">
        <f>IFERROR(VLOOKUP(الجدول13[[#This Row],[كود الصنف]],'تكويد الأصناف'!A:F,4,0),"")</f>
        <v/>
      </c>
      <c r="E12" s="21" t="str">
        <f>IFERROR(VLOOKUP(الجدول13[[#This Row],[كود الصنف]],'تكويد الأصناف'!A:F,5,0),"")</f>
        <v/>
      </c>
      <c r="F12" s="22"/>
      <c r="G12" s="23"/>
      <c r="H12" s="22" t="str">
        <f>IFERROR(الجدول13[[#This Row],[فئة التكلفة]]*الجدول13[[#This Row],[العدد]]," ")</f>
        <v xml:space="preserve"> </v>
      </c>
      <c r="I12" s="20" t="str">
        <f>IFERROR(الجدول13[[#This Row],[سعر البيع]]-الجدول13[[#This Row],[فئة التكلفة]]*الجدول13[[#This Row],[العدد]],"")</f>
        <v/>
      </c>
      <c r="L12" s="39" t="s">
        <v>57</v>
      </c>
    </row>
    <row r="13" spans="1:12" x14ac:dyDescent="0.2">
      <c r="A13" s="29"/>
      <c r="B13" s="29"/>
      <c r="C13" s="26"/>
      <c r="D13" s="27"/>
      <c r="E13" s="28"/>
      <c r="F13" s="29">
        <f>SUBTOTAL(109,الجدول13[العدد])</f>
        <v>6</v>
      </c>
      <c r="G13" s="24">
        <f>SUBTOTAL(109,الجدول13[سعر البيع])</f>
        <v>57</v>
      </c>
      <c r="H13" s="19"/>
      <c r="I13" s="24">
        <f>SUBTOTAL(109,الجدول13[±])</f>
        <v>15</v>
      </c>
      <c r="L13" s="1">
        <v>9</v>
      </c>
    </row>
    <row r="14" spans="1:12" x14ac:dyDescent="0.2">
      <c r="A14" s="341"/>
      <c r="B14" s="342"/>
      <c r="C14" s="342"/>
      <c r="D14" s="342"/>
      <c r="E14" s="342"/>
      <c r="F14" s="342"/>
      <c r="G14" s="342"/>
      <c r="H14" s="342"/>
      <c r="I14" s="343"/>
      <c r="L14" s="1">
        <v>10</v>
      </c>
    </row>
    <row r="15" spans="1:12" x14ac:dyDescent="0.2">
      <c r="A15" s="18"/>
      <c r="B15" s="188"/>
      <c r="C15" s="17"/>
      <c r="D15" s="17"/>
      <c r="E15" s="333"/>
      <c r="F15" s="333"/>
      <c r="G15" s="12"/>
      <c r="H15" s="333"/>
      <c r="I15" s="344"/>
      <c r="L15" s="1">
        <v>11</v>
      </c>
    </row>
    <row r="16" spans="1:12" x14ac:dyDescent="0.2">
      <c r="A16" s="336" t="s">
        <v>42</v>
      </c>
      <c r="B16" s="337"/>
      <c r="C16" s="337"/>
      <c r="D16" s="30">
        <f>'12'!G18</f>
        <v>592.25</v>
      </c>
      <c r="E16" s="333"/>
      <c r="F16" s="333"/>
      <c r="G16" s="30"/>
      <c r="H16" s="334"/>
      <c r="I16" s="335"/>
      <c r="L16" s="1">
        <v>13</v>
      </c>
    </row>
    <row r="17" spans="1:12" x14ac:dyDescent="0.2">
      <c r="A17" s="18"/>
      <c r="B17" s="188"/>
      <c r="C17" s="17"/>
      <c r="D17" s="31"/>
      <c r="E17" s="333"/>
      <c r="F17" s="333"/>
      <c r="G17" s="30"/>
      <c r="H17" s="334"/>
      <c r="I17" s="335"/>
      <c r="L17" s="1">
        <v>14</v>
      </c>
    </row>
    <row r="18" spans="1:12" x14ac:dyDescent="0.2">
      <c r="A18" s="336" t="s">
        <v>43</v>
      </c>
      <c r="B18" s="337"/>
      <c r="C18" s="337"/>
      <c r="D18" s="35">
        <f>الجدول13[[#Totals],[سعر البيع]]</f>
        <v>57</v>
      </c>
      <c r="E18" s="333"/>
      <c r="F18" s="333"/>
      <c r="G18" s="30"/>
      <c r="H18" s="334"/>
      <c r="I18" s="335"/>
      <c r="L18" s="1">
        <v>15</v>
      </c>
    </row>
    <row r="19" spans="1:12" x14ac:dyDescent="0.2">
      <c r="A19" s="338"/>
      <c r="B19" s="333"/>
      <c r="C19" s="333"/>
      <c r="D19" s="32">
        <f>SUM(D16:D18)</f>
        <v>649.25</v>
      </c>
      <c r="E19" s="333"/>
      <c r="F19" s="333"/>
      <c r="G19" s="30"/>
      <c r="H19" s="331"/>
      <c r="I19" s="332"/>
    </row>
    <row r="20" spans="1:12" x14ac:dyDescent="0.2">
      <c r="A20" s="338"/>
      <c r="B20" s="333"/>
      <c r="C20" s="333"/>
      <c r="D20" s="33"/>
      <c r="E20" s="331" t="s">
        <v>32</v>
      </c>
      <c r="F20" s="331"/>
      <c r="G20" s="34">
        <f>D19-G15-G16-G17-G18-G19</f>
        <v>649.25</v>
      </c>
      <c r="H20" s="331"/>
      <c r="I20" s="332"/>
    </row>
    <row r="21" spans="1:12" x14ac:dyDescent="0.2">
      <c r="A21" s="18"/>
      <c r="B21" s="188"/>
      <c r="C21" s="17"/>
      <c r="D21" s="31"/>
      <c r="E21" s="331"/>
      <c r="F21" s="331"/>
      <c r="G21" s="30">
        <f>SUM(G15:G20)</f>
        <v>649.25</v>
      </c>
      <c r="H21" s="345"/>
      <c r="I21" s="346"/>
    </row>
    <row r="22" spans="1:12" ht="15" x14ac:dyDescent="0.2">
      <c r="A22" s="18"/>
      <c r="B22" s="188"/>
      <c r="C22" s="17"/>
      <c r="D22" s="17"/>
      <c r="E22" s="2" t="s">
        <v>44</v>
      </c>
      <c r="F22" s="1" t="s">
        <v>45</v>
      </c>
      <c r="G22" s="13" t="s">
        <v>46</v>
      </c>
      <c r="H22" s="14" t="s">
        <v>47</v>
      </c>
      <c r="I22" s="1" t="s">
        <v>48</v>
      </c>
    </row>
    <row r="23" spans="1:12" x14ac:dyDescent="0.2">
      <c r="A23" s="15"/>
      <c r="B23" s="16"/>
      <c r="C23" s="2">
        <f>الجدول13[[#Totals],[±]]</f>
        <v>15</v>
      </c>
      <c r="D23" s="16"/>
      <c r="E23" s="2">
        <v>450</v>
      </c>
      <c r="F23" s="2">
        <f>J19-J21-J23</f>
        <v>0</v>
      </c>
      <c r="G23" s="2"/>
      <c r="H23" s="2"/>
      <c r="I23" s="2">
        <f>E23-F23+G23-H23</f>
        <v>450</v>
      </c>
    </row>
  </sheetData>
  <mergeCells count="20">
    <mergeCell ref="H2:I2"/>
    <mergeCell ref="H1:I1"/>
    <mergeCell ref="H21:I21"/>
    <mergeCell ref="H20:I20"/>
    <mergeCell ref="H19:I19"/>
    <mergeCell ref="H18:I18"/>
    <mergeCell ref="H17:I17"/>
    <mergeCell ref="A16:C16"/>
    <mergeCell ref="E16:F16"/>
    <mergeCell ref="H16:I16"/>
    <mergeCell ref="A14:I14"/>
    <mergeCell ref="E15:F15"/>
    <mergeCell ref="H15:I15"/>
    <mergeCell ref="E21:F21"/>
    <mergeCell ref="E17:F17"/>
    <mergeCell ref="A18:C18"/>
    <mergeCell ref="E18:F18"/>
    <mergeCell ref="A19:C20"/>
    <mergeCell ref="E19:F19"/>
    <mergeCell ref="E20:F20"/>
  </mergeCells>
  <conditionalFormatting sqref="I5:I12">
    <cfRule type="cellIs" dxfId="531" priority="1" operator="equal">
      <formula>0</formula>
    </cfRule>
    <cfRule type="cellIs" dxfId="530" priority="2" operator="equal">
      <formula>0</formula>
    </cfRule>
    <cfRule type="cellIs" dxfId="529" priority="3" operator="lessThan">
      <formula>0</formula>
    </cfRule>
    <cfRule type="cellIs" dxfId="528" priority="4" operator="equal">
      <formula>0</formula>
    </cfRule>
  </conditionalFormatting>
  <dataValidations count="2">
    <dataValidation type="list" allowBlank="1" showInputMessage="1" showErrorMessage="1" sqref="E21:F21" xr:uid="{F3CBF93E-DA74-482E-8772-F6F274DB1A36}">
      <formula1>$J$5:$J$16</formula1>
    </dataValidation>
    <dataValidation type="list" allowBlank="1" showInputMessage="1" showErrorMessage="1" sqref="E15:F19" xr:uid="{65BFBC57-8F1D-452F-8031-63BC6ACBEC92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203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A183-1EA4-4170-9870-84DCF612906B}">
  <sheetPr codeName="ورقة17">
    <tabColor rgb="FFFF0000"/>
  </sheetPr>
  <dimension ref="A1:L19"/>
  <sheetViews>
    <sheetView rightToLeft="1" workbookViewId="0">
      <selection activeCell="L34" sqref="L34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5.62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'13'!H1:I1+1</f>
        <v>41803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41803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>
        <f>IFERROR(VLOOKUP(الجدول14[[#This Row],[كود الصنف]],'تكويد الأصناف'!A:F,6,0),"")</f>
        <v>10</v>
      </c>
      <c r="B5" s="36">
        <f>IFERROR(VLOOKUP(الجدول14[[#This Row],[كود الصنف]],'تكويد الأصناف'!A:F,3,0)," ")</f>
        <v>4</v>
      </c>
      <c r="C5" s="25">
        <v>1005</v>
      </c>
      <c r="D5" s="10" t="str">
        <f>IFERROR(VLOOKUP(الجدول14[[#This Row],[كود الصنف]],'تكويد الأصناف'!A:F,4,0),"")</f>
        <v>جلباب سبور كتانات منوع</v>
      </c>
      <c r="E5" s="21">
        <f>IFERROR(VLOOKUP(الجدول14[[#This Row],[كود الصنف]],'تكويد الأصناف'!A:F,5,0),"")</f>
        <v>15</v>
      </c>
      <c r="F5" s="22">
        <v>2</v>
      </c>
      <c r="G5" s="23">
        <v>31</v>
      </c>
      <c r="H5" s="195">
        <f>IFERROR(الجدول14[[#This Row],[فئة التكلفة]]*الجدول14[[#This Row],[العدد]]," ")</f>
        <v>20</v>
      </c>
      <c r="I5" s="20">
        <f>IFERROR(الجدول14[[#This Row],[سعر البيع]]-الجدول14[[#This Row],[فئة التكلفة]]*الجدول14[[#This Row],[العدد]],"")</f>
        <v>11</v>
      </c>
      <c r="L5" s="1" t="s">
        <v>50</v>
      </c>
    </row>
    <row r="6" spans="1:12" x14ac:dyDescent="0.2">
      <c r="A6" s="36">
        <f>IFERROR(VLOOKUP(الجدول14[[#This Row],[كود الصنف]],'تكويد الأصناف'!A:F,6,0),"")</f>
        <v>10</v>
      </c>
      <c r="B6" s="36">
        <f>IFERROR(VLOOKUP(الجدول14[[#This Row],[كود الصنف]],'تكويد الأصناف'!A:F,3,0)," ")</f>
        <v>4</v>
      </c>
      <c r="C6" s="25">
        <v>1005</v>
      </c>
      <c r="D6" s="10" t="str">
        <f>IFERROR(VLOOKUP(الجدول14[[#This Row],[كود الصنف]],'تكويد الأصناف'!A:F,4,0),"")</f>
        <v>جلباب سبور كتانات منوع</v>
      </c>
      <c r="E6" s="21">
        <f>IFERROR(VLOOKUP(الجدول14[[#This Row],[كود الصنف]],'تكويد الأصناف'!A:F,5,0),"")</f>
        <v>15</v>
      </c>
      <c r="F6" s="22">
        <v>1</v>
      </c>
      <c r="G6" s="23">
        <v>13</v>
      </c>
      <c r="H6" s="167">
        <f>IFERROR(الجدول14[[#This Row],[فئة التكلفة]]*الجدول14[[#This Row],[العدد]]," ")</f>
        <v>10</v>
      </c>
      <c r="I6" s="20">
        <f>IFERROR(الجدول14[[#This Row],[سعر البيع]]-الجدول14[[#This Row],[فئة التكلفة]]*الجدول14[[#This Row],[العدد]],"")</f>
        <v>3</v>
      </c>
      <c r="L6" s="1" t="s">
        <v>51</v>
      </c>
    </row>
    <row r="7" spans="1:12" x14ac:dyDescent="0.2">
      <c r="A7" s="36">
        <f>IFERROR(VLOOKUP(الجدول14[[#This Row],[كود الصنف]],'تكويد الأصناف'!A:F,6,0),"")</f>
        <v>10</v>
      </c>
      <c r="B7" s="36">
        <f>IFERROR(VLOOKUP(الجدول14[[#This Row],[كود الصنف]],'تكويد الأصناف'!A:F,3,0)," ")</f>
        <v>4</v>
      </c>
      <c r="C7" s="25">
        <v>1004</v>
      </c>
      <c r="D7" s="10" t="str">
        <f>IFERROR(VLOOKUP(الجدول14[[#This Row],[كود الصنف]],'تكويد الأصناف'!A:F,4,0),"")</f>
        <v>قفاطين وسهرات متنوعة</v>
      </c>
      <c r="E7" s="21">
        <f>IFERROR(VLOOKUP(الجدول14[[#This Row],[كود الصنف]],'تكويد الأصناف'!A:F,5,0),"")</f>
        <v>20</v>
      </c>
      <c r="F7" s="22">
        <v>1</v>
      </c>
      <c r="G7" s="23">
        <v>15</v>
      </c>
      <c r="H7" s="167">
        <f>IFERROR(الجدول14[[#This Row],[فئة التكلفة]]*الجدول14[[#This Row],[العدد]]," ")</f>
        <v>10</v>
      </c>
      <c r="I7" s="20">
        <f>IFERROR(الجدول14[[#This Row],[سعر البيع]]-الجدول14[[#This Row],[فئة التكلفة]]*الجدول14[[#This Row],[العدد]],"")</f>
        <v>5</v>
      </c>
      <c r="L7" s="1" t="s">
        <v>52</v>
      </c>
    </row>
    <row r="8" spans="1:12" x14ac:dyDescent="0.2">
      <c r="A8" s="36" t="str">
        <f>IFERROR(VLOOKUP(الجدول14[[#This Row],[كود الصنف]],'تكويد الأصناف'!A:F,6,0),"")</f>
        <v/>
      </c>
      <c r="B8" s="36" t="str">
        <f>IFERROR(VLOOKUP(الجدول14[[#This Row],[كود الصنف]],'تكويد الأصناف'!A:F,3,0)," ")</f>
        <v xml:space="preserve"> </v>
      </c>
      <c r="C8" s="25"/>
      <c r="D8" s="10" t="str">
        <f>IFERROR(VLOOKUP(الجدول14[[#This Row],[كود الصنف]],'تكويد الأصناف'!A:F,4,0),"")</f>
        <v/>
      </c>
      <c r="E8" s="21" t="str">
        <f>IFERROR(VLOOKUP(الجدول14[[#This Row],[كود الصنف]],'تكويد الأصناف'!A:F,5,0),"")</f>
        <v/>
      </c>
      <c r="F8" s="22"/>
      <c r="G8" s="23"/>
      <c r="H8" s="167" t="str">
        <f>IFERROR(الجدول14[[#This Row],[فئة التكلفة]]*الجدول14[[#This Row],[العدد]]," ")</f>
        <v xml:space="preserve"> </v>
      </c>
      <c r="I8" s="20" t="str">
        <f>IFERROR(الجدول14[[#This Row],[سعر البيع]]-الجدول14[[#This Row],[فئة التكلفة]]*الجدول14[[#This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SUBTOTAL(109,الجدول14[العدد])</f>
        <v>4</v>
      </c>
      <c r="G9" s="24">
        <f>SUBTOTAL(109,الجدول14[سعر البيع])</f>
        <v>59</v>
      </c>
      <c r="H9" s="19"/>
      <c r="I9" s="24">
        <f>SUBTOTAL(109,الجدول14[±])</f>
        <v>19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88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'13'!G20</f>
        <v>649.25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88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الجدول14[[#Totals],[سعر البيع]]</f>
        <v>59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708.25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708.25</v>
      </c>
      <c r="H16" s="331"/>
      <c r="I16" s="332"/>
      <c r="L16" s="1">
        <v>13</v>
      </c>
    </row>
    <row r="17" spans="1:12" x14ac:dyDescent="0.2">
      <c r="A17" s="18"/>
      <c r="B17" s="188"/>
      <c r="C17" s="17"/>
      <c r="D17" s="31"/>
      <c r="E17" s="331"/>
      <c r="F17" s="331"/>
      <c r="G17" s="30">
        <f>SUM(G11:G16)</f>
        <v>708.25</v>
      </c>
      <c r="H17" s="331"/>
      <c r="I17" s="332"/>
      <c r="L17" s="1">
        <v>14</v>
      </c>
    </row>
    <row r="18" spans="1:12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الجدول14[[#Totals],[±]]</f>
        <v>19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503" priority="1" operator="equal">
      <formula>0</formula>
    </cfRule>
    <cfRule type="cellIs" dxfId="502" priority="2" operator="equal">
      <formula>0</formula>
    </cfRule>
    <cfRule type="cellIs" dxfId="501" priority="3" operator="lessThan">
      <formula>0</formula>
    </cfRule>
    <cfRule type="cellIs" dxfId="500" priority="4" operator="equal">
      <formula>0</formula>
    </cfRule>
  </conditionalFormatting>
  <dataValidations count="2">
    <dataValidation type="list" allowBlank="1" showInputMessage="1" showErrorMessage="1" sqref="E11:F15" xr:uid="{DDF8A95D-F677-41C5-80E8-0F53B28FF112}">
      <formula1>$L$5:$L$18</formula1>
    </dataValidation>
    <dataValidation type="list" allowBlank="1" showInputMessage="1" showErrorMessage="1" sqref="E17:F17" xr:uid="{B1916F65-E011-445C-A5C2-30F4B78C0436}">
      <formula1>$J$5:$J$16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BE38A-EA2D-4D9D-943D-BCB2EE099B70}">
  <sheetPr codeName="ورقة1">
    <tabColor theme="4" tint="-0.499984740745262"/>
  </sheetPr>
  <dimension ref="A1:AC156"/>
  <sheetViews>
    <sheetView rightToLeft="1" zoomScaleNormal="100" workbookViewId="0">
      <selection activeCell="L5" sqref="L5"/>
    </sheetView>
  </sheetViews>
  <sheetFormatPr defaultColWidth="0" defaultRowHeight="15" x14ac:dyDescent="0.25"/>
  <cols>
    <col min="1" max="1" width="8.125" style="90" customWidth="1"/>
    <col min="2" max="3" width="6.625" style="90" customWidth="1"/>
    <col min="4" max="4" width="28.125" style="91" customWidth="1"/>
    <col min="5" max="6" width="9.125" style="92" customWidth="1"/>
    <col min="7" max="9" width="9" style="60" customWidth="1"/>
    <col min="10" max="10" width="11.375" style="60" customWidth="1"/>
    <col min="11" max="11" width="6.875" style="60" customWidth="1"/>
    <col min="12" max="12" width="26.25" style="60" customWidth="1"/>
    <col min="13" max="16" width="7.125" style="60" customWidth="1"/>
    <col min="17" max="18" width="9" style="61" customWidth="1"/>
    <col min="19" max="29" width="0" style="61" hidden="1" customWidth="1"/>
    <col min="30" max="32" width="9" style="61" hidden="1" customWidth="1"/>
    <col min="33" max="16384" width="9" style="61" hidden="1"/>
  </cols>
  <sheetData>
    <row r="1" spans="1:17" ht="15" customHeight="1" x14ac:dyDescent="0.25">
      <c r="A1" s="310" t="s">
        <v>25</v>
      </c>
      <c r="B1" s="310"/>
      <c r="C1" s="310"/>
      <c r="D1" s="310"/>
      <c r="E1" s="310"/>
      <c r="F1" s="310"/>
      <c r="J1" s="304" t="s">
        <v>72</v>
      </c>
      <c r="K1" s="304"/>
      <c r="L1" s="304"/>
      <c r="M1" s="304"/>
      <c r="N1" s="304"/>
      <c r="O1" s="304"/>
      <c r="P1" s="304"/>
      <c r="Q1" s="304"/>
    </row>
    <row r="2" spans="1:17" ht="15.75" customHeight="1" thickBot="1" x14ac:dyDescent="0.3">
      <c r="A2" s="311"/>
      <c r="B2" s="311"/>
      <c r="C2" s="311"/>
      <c r="D2" s="311"/>
      <c r="E2" s="311"/>
      <c r="F2" s="311"/>
      <c r="G2" s="61"/>
      <c r="J2" s="305"/>
      <c r="K2" s="305"/>
      <c r="L2" s="305"/>
      <c r="M2" s="305"/>
      <c r="N2" s="305"/>
      <c r="O2" s="305"/>
      <c r="P2" s="305"/>
      <c r="Q2" s="305"/>
    </row>
    <row r="3" spans="1:17" ht="32.25" customHeight="1" thickBot="1" x14ac:dyDescent="0.3">
      <c r="A3" s="62" t="s">
        <v>1</v>
      </c>
      <c r="B3" s="63" t="s">
        <v>20</v>
      </c>
      <c r="C3" s="64" t="s">
        <v>10</v>
      </c>
      <c r="D3" s="63" t="s">
        <v>17</v>
      </c>
      <c r="E3" s="65" t="s">
        <v>18</v>
      </c>
      <c r="F3" s="66" t="s">
        <v>19</v>
      </c>
      <c r="G3" s="61"/>
      <c r="J3" s="306" t="s">
        <v>0</v>
      </c>
      <c r="K3" s="306" t="s">
        <v>1</v>
      </c>
      <c r="L3" s="306" t="s">
        <v>2</v>
      </c>
      <c r="M3" s="308" t="s">
        <v>31</v>
      </c>
      <c r="N3" s="309"/>
      <c r="O3" s="312" t="s">
        <v>71</v>
      </c>
      <c r="P3" s="312"/>
      <c r="Q3" s="312"/>
    </row>
    <row r="4" spans="1:17" x14ac:dyDescent="0.25">
      <c r="A4" s="67">
        <v>1001</v>
      </c>
      <c r="B4" s="68">
        <v>101</v>
      </c>
      <c r="C4" s="69">
        <v>4</v>
      </c>
      <c r="D4" s="70" t="s">
        <v>65</v>
      </c>
      <c r="E4" s="71">
        <v>10</v>
      </c>
      <c r="F4" s="72">
        <v>7</v>
      </c>
      <c r="G4" s="61"/>
      <c r="J4" s="307"/>
      <c r="K4" s="307"/>
      <c r="L4" s="307"/>
      <c r="M4" s="168" t="s">
        <v>33</v>
      </c>
      <c r="N4" s="168" t="s">
        <v>34</v>
      </c>
      <c r="O4" s="312"/>
      <c r="P4" s="312"/>
      <c r="Q4" s="312"/>
    </row>
    <row r="5" spans="1:17" ht="15" customHeight="1" x14ac:dyDescent="0.25">
      <c r="A5" s="73">
        <v>1002</v>
      </c>
      <c r="B5" s="74">
        <v>102</v>
      </c>
      <c r="C5" s="75">
        <v>4</v>
      </c>
      <c r="D5" s="76" t="s">
        <v>66</v>
      </c>
      <c r="E5" s="77">
        <v>10</v>
      </c>
      <c r="F5" s="78">
        <v>8</v>
      </c>
      <c r="G5" s="61"/>
      <c r="J5" s="169"/>
      <c r="K5" s="170"/>
      <c r="L5" s="171" t="e">
        <f>VLOOKUP(K5,A:F,4,0)</f>
        <v>#N/A</v>
      </c>
      <c r="M5" s="170"/>
      <c r="N5" s="170"/>
      <c r="O5" s="303"/>
      <c r="P5" s="303"/>
      <c r="Q5" s="303"/>
    </row>
    <row r="6" spans="1:17" ht="15" customHeight="1" x14ac:dyDescent="0.25">
      <c r="A6" s="73">
        <v>1003</v>
      </c>
      <c r="B6" s="74">
        <v>103</v>
      </c>
      <c r="C6" s="75">
        <v>4</v>
      </c>
      <c r="D6" s="76" t="s">
        <v>67</v>
      </c>
      <c r="E6" s="77">
        <v>25</v>
      </c>
      <c r="F6" s="78">
        <v>15</v>
      </c>
      <c r="G6" s="61"/>
      <c r="J6" s="169"/>
      <c r="K6" s="170"/>
      <c r="L6" s="171" t="e">
        <f t="shared" ref="L6:L43" si="0">VLOOKUP(K6,A:F,4,0)</f>
        <v>#N/A</v>
      </c>
      <c r="M6" s="170"/>
      <c r="N6" s="170"/>
      <c r="O6" s="303"/>
      <c r="P6" s="303"/>
      <c r="Q6" s="303"/>
    </row>
    <row r="7" spans="1:17" x14ac:dyDescent="0.25">
      <c r="A7" s="73">
        <v>1004</v>
      </c>
      <c r="B7" s="74">
        <v>104</v>
      </c>
      <c r="C7" s="75">
        <v>4</v>
      </c>
      <c r="D7" s="76" t="s">
        <v>68</v>
      </c>
      <c r="E7" s="77">
        <v>20</v>
      </c>
      <c r="F7" s="78">
        <v>10</v>
      </c>
      <c r="G7" s="61"/>
      <c r="J7" s="169"/>
      <c r="K7" s="170"/>
      <c r="L7" s="171" t="e">
        <f t="shared" si="0"/>
        <v>#N/A</v>
      </c>
      <c r="M7" s="170"/>
      <c r="N7" s="170"/>
      <c r="O7" s="303"/>
      <c r="P7" s="303"/>
      <c r="Q7" s="303"/>
    </row>
    <row r="8" spans="1:17" x14ac:dyDescent="0.25">
      <c r="A8" s="73">
        <v>1005</v>
      </c>
      <c r="B8" s="74">
        <v>105</v>
      </c>
      <c r="C8" s="75">
        <v>4</v>
      </c>
      <c r="D8" s="76" t="s">
        <v>69</v>
      </c>
      <c r="E8" s="77">
        <v>15</v>
      </c>
      <c r="F8" s="78">
        <v>10</v>
      </c>
      <c r="G8" s="61"/>
      <c r="J8" s="169"/>
      <c r="K8" s="170"/>
      <c r="L8" s="171" t="e">
        <f t="shared" si="0"/>
        <v>#N/A</v>
      </c>
      <c r="M8" s="170"/>
      <c r="N8" s="170"/>
      <c r="O8" s="303"/>
      <c r="P8" s="303"/>
      <c r="Q8" s="303"/>
    </row>
    <row r="9" spans="1:17" x14ac:dyDescent="0.25">
      <c r="A9" s="79">
        <v>1006</v>
      </c>
      <c r="B9" s="74">
        <v>106</v>
      </c>
      <c r="C9" s="75">
        <v>1</v>
      </c>
      <c r="D9" s="76" t="s">
        <v>73</v>
      </c>
      <c r="E9" s="77">
        <v>15</v>
      </c>
      <c r="F9" s="78">
        <v>11</v>
      </c>
      <c r="G9" s="61"/>
      <c r="J9" s="169"/>
      <c r="K9" s="170"/>
      <c r="L9" s="171" t="e">
        <f t="shared" si="0"/>
        <v>#N/A</v>
      </c>
      <c r="M9" s="170"/>
      <c r="N9" s="170"/>
      <c r="O9" s="303"/>
      <c r="P9" s="303"/>
      <c r="Q9" s="303"/>
    </row>
    <row r="10" spans="1:17" x14ac:dyDescent="0.25">
      <c r="A10" s="79">
        <v>1007</v>
      </c>
      <c r="B10" s="74">
        <v>107</v>
      </c>
      <c r="C10" s="75">
        <v>1</v>
      </c>
      <c r="D10" s="76" t="s">
        <v>74</v>
      </c>
      <c r="E10" s="77">
        <v>25</v>
      </c>
      <c r="F10" s="78">
        <v>20</v>
      </c>
      <c r="G10" s="61"/>
      <c r="J10" s="169"/>
      <c r="K10" s="170"/>
      <c r="L10" s="171" t="e">
        <f t="shared" si="0"/>
        <v>#N/A</v>
      </c>
      <c r="M10" s="170"/>
      <c r="N10" s="170"/>
      <c r="O10" s="303"/>
      <c r="P10" s="303"/>
      <c r="Q10" s="303"/>
    </row>
    <row r="11" spans="1:17" x14ac:dyDescent="0.25">
      <c r="A11" s="79">
        <v>1008</v>
      </c>
      <c r="B11" s="74">
        <v>108</v>
      </c>
      <c r="C11" s="75">
        <v>1</v>
      </c>
      <c r="D11" s="76" t="s">
        <v>91</v>
      </c>
      <c r="E11" s="77">
        <v>20</v>
      </c>
      <c r="F11" s="78">
        <v>13</v>
      </c>
      <c r="G11" s="61"/>
      <c r="J11" s="172"/>
      <c r="K11" s="173"/>
      <c r="L11" s="171" t="e">
        <f t="shared" si="0"/>
        <v>#N/A</v>
      </c>
      <c r="M11" s="173"/>
      <c r="N11" s="173"/>
      <c r="O11" s="303"/>
      <c r="P11" s="303"/>
      <c r="Q11" s="303"/>
    </row>
    <row r="12" spans="1:17" x14ac:dyDescent="0.25">
      <c r="A12" s="73">
        <v>1009</v>
      </c>
      <c r="B12" s="74">
        <v>109</v>
      </c>
      <c r="C12" s="75">
        <v>1</v>
      </c>
      <c r="D12" s="76"/>
      <c r="E12" s="77"/>
      <c r="F12" s="78"/>
      <c r="G12" s="61"/>
      <c r="J12" s="169"/>
      <c r="K12" s="170"/>
      <c r="L12" s="171" t="e">
        <f t="shared" si="0"/>
        <v>#N/A</v>
      </c>
      <c r="M12" s="170"/>
      <c r="N12" s="170"/>
      <c r="O12" s="303"/>
      <c r="P12" s="303"/>
      <c r="Q12" s="303"/>
    </row>
    <row r="13" spans="1:17" x14ac:dyDescent="0.25">
      <c r="A13" s="73">
        <v>1010</v>
      </c>
      <c r="B13" s="74">
        <v>110</v>
      </c>
      <c r="C13" s="75">
        <v>1</v>
      </c>
      <c r="D13" s="76"/>
      <c r="E13" s="77"/>
      <c r="F13" s="78"/>
      <c r="G13" s="61"/>
      <c r="J13" s="169"/>
      <c r="K13" s="170"/>
      <c r="L13" s="171" t="e">
        <f t="shared" si="0"/>
        <v>#N/A</v>
      </c>
      <c r="M13" s="170"/>
      <c r="N13" s="170"/>
      <c r="O13" s="303"/>
      <c r="P13" s="303"/>
      <c r="Q13" s="303"/>
    </row>
    <row r="14" spans="1:17" x14ac:dyDescent="0.25">
      <c r="A14" s="73">
        <v>1011</v>
      </c>
      <c r="B14" s="74">
        <v>111</v>
      </c>
      <c r="C14" s="75">
        <v>1</v>
      </c>
      <c r="D14" s="76"/>
      <c r="E14" s="77"/>
      <c r="F14" s="78"/>
      <c r="G14" s="61"/>
      <c r="J14" s="169"/>
      <c r="K14" s="170"/>
      <c r="L14" s="171" t="e">
        <f t="shared" si="0"/>
        <v>#N/A</v>
      </c>
      <c r="M14" s="170"/>
      <c r="N14" s="170"/>
      <c r="O14" s="303"/>
      <c r="P14" s="303"/>
      <c r="Q14" s="303"/>
    </row>
    <row r="15" spans="1:17" x14ac:dyDescent="0.25">
      <c r="A15" s="73">
        <v>1012</v>
      </c>
      <c r="B15" s="74">
        <v>112</v>
      </c>
      <c r="C15" s="75">
        <v>1</v>
      </c>
      <c r="D15" s="76"/>
      <c r="E15" s="77"/>
      <c r="F15" s="78"/>
      <c r="G15" s="61"/>
      <c r="J15" s="169"/>
      <c r="K15" s="170"/>
      <c r="L15" s="171" t="e">
        <f t="shared" si="0"/>
        <v>#N/A</v>
      </c>
      <c r="M15" s="170"/>
      <c r="N15" s="170"/>
      <c r="O15" s="303"/>
      <c r="P15" s="303"/>
      <c r="Q15" s="303"/>
    </row>
    <row r="16" spans="1:17" x14ac:dyDescent="0.25">
      <c r="A16" s="73">
        <v>1013</v>
      </c>
      <c r="B16" s="74">
        <v>113</v>
      </c>
      <c r="C16" s="75">
        <v>1</v>
      </c>
      <c r="D16" s="76"/>
      <c r="E16" s="77"/>
      <c r="F16" s="78"/>
      <c r="G16" s="61"/>
      <c r="J16" s="169"/>
      <c r="K16" s="170"/>
      <c r="L16" s="171" t="e">
        <f t="shared" si="0"/>
        <v>#N/A</v>
      </c>
      <c r="M16" s="170"/>
      <c r="N16" s="170"/>
      <c r="O16" s="303"/>
      <c r="P16" s="303"/>
      <c r="Q16" s="303"/>
    </row>
    <row r="17" spans="1:17" x14ac:dyDescent="0.25">
      <c r="A17" s="73">
        <v>1014</v>
      </c>
      <c r="B17" s="74">
        <v>114</v>
      </c>
      <c r="C17" s="75">
        <v>1</v>
      </c>
      <c r="D17" s="76"/>
      <c r="E17" s="77"/>
      <c r="F17" s="78"/>
      <c r="G17" s="61"/>
      <c r="J17" s="169"/>
      <c r="K17" s="170"/>
      <c r="L17" s="171" t="e">
        <f t="shared" si="0"/>
        <v>#N/A</v>
      </c>
      <c r="M17" s="170"/>
      <c r="N17" s="170"/>
      <c r="O17" s="303"/>
      <c r="P17" s="303"/>
      <c r="Q17" s="303"/>
    </row>
    <row r="18" spans="1:17" x14ac:dyDescent="0.25">
      <c r="A18" s="73">
        <v>1015</v>
      </c>
      <c r="B18" s="74">
        <v>115</v>
      </c>
      <c r="C18" s="75">
        <v>1</v>
      </c>
      <c r="D18" s="76"/>
      <c r="E18" s="77"/>
      <c r="F18" s="78"/>
      <c r="G18" s="61"/>
      <c r="J18" s="169"/>
      <c r="K18" s="170"/>
      <c r="L18" s="171" t="e">
        <f t="shared" si="0"/>
        <v>#N/A</v>
      </c>
      <c r="M18" s="170"/>
      <c r="N18" s="170"/>
      <c r="O18" s="303"/>
      <c r="P18" s="303"/>
      <c r="Q18" s="303"/>
    </row>
    <row r="19" spans="1:17" x14ac:dyDescent="0.25">
      <c r="A19" s="73">
        <v>1016</v>
      </c>
      <c r="B19" s="74">
        <v>116</v>
      </c>
      <c r="C19" s="75">
        <v>1</v>
      </c>
      <c r="D19" s="76"/>
      <c r="E19" s="77"/>
      <c r="F19" s="78"/>
      <c r="G19" s="61"/>
      <c r="J19" s="169"/>
      <c r="K19" s="170"/>
      <c r="L19" s="171" t="e">
        <f t="shared" si="0"/>
        <v>#N/A</v>
      </c>
      <c r="M19" s="170"/>
      <c r="N19" s="170"/>
      <c r="O19" s="303"/>
      <c r="P19" s="303"/>
      <c r="Q19" s="303"/>
    </row>
    <row r="20" spans="1:17" x14ac:dyDescent="0.25">
      <c r="A20" s="73">
        <v>1017</v>
      </c>
      <c r="B20" s="74">
        <v>117</v>
      </c>
      <c r="C20" s="75">
        <v>1</v>
      </c>
      <c r="D20" s="76"/>
      <c r="E20" s="77"/>
      <c r="F20" s="78"/>
      <c r="G20" s="61"/>
      <c r="J20" s="169"/>
      <c r="K20" s="170"/>
      <c r="L20" s="171" t="e">
        <f t="shared" si="0"/>
        <v>#N/A</v>
      </c>
      <c r="M20" s="174"/>
      <c r="N20" s="174"/>
      <c r="O20" s="303"/>
      <c r="P20" s="303"/>
      <c r="Q20" s="303"/>
    </row>
    <row r="21" spans="1:17" x14ac:dyDescent="0.25">
      <c r="A21" s="73">
        <v>1018</v>
      </c>
      <c r="B21" s="74">
        <v>118</v>
      </c>
      <c r="C21" s="75">
        <v>1</v>
      </c>
      <c r="D21" s="76"/>
      <c r="E21" s="77"/>
      <c r="F21" s="78"/>
      <c r="G21" s="61"/>
      <c r="J21" s="169"/>
      <c r="K21" s="170"/>
      <c r="L21" s="171" t="e">
        <f t="shared" si="0"/>
        <v>#N/A</v>
      </c>
      <c r="M21" s="174"/>
      <c r="N21" s="174"/>
      <c r="O21" s="303"/>
      <c r="P21" s="303"/>
      <c r="Q21" s="303"/>
    </row>
    <row r="22" spans="1:17" x14ac:dyDescent="0.25">
      <c r="A22" s="73">
        <v>1019</v>
      </c>
      <c r="B22" s="74">
        <v>119</v>
      </c>
      <c r="C22" s="75">
        <v>1</v>
      </c>
      <c r="D22" s="76"/>
      <c r="E22" s="77"/>
      <c r="F22" s="78"/>
      <c r="G22" s="61"/>
      <c r="J22" s="169"/>
      <c r="K22" s="170"/>
      <c r="L22" s="171" t="e">
        <f t="shared" si="0"/>
        <v>#N/A</v>
      </c>
      <c r="M22" s="174"/>
      <c r="N22" s="174"/>
      <c r="O22" s="303"/>
      <c r="P22" s="303"/>
      <c r="Q22" s="303"/>
    </row>
    <row r="23" spans="1:17" x14ac:dyDescent="0.25">
      <c r="A23" s="73">
        <v>1020</v>
      </c>
      <c r="B23" s="74">
        <v>120</v>
      </c>
      <c r="C23" s="75">
        <v>1</v>
      </c>
      <c r="D23" s="76"/>
      <c r="E23" s="77"/>
      <c r="F23" s="78"/>
      <c r="G23" s="61"/>
      <c r="J23" s="169"/>
      <c r="K23" s="170"/>
      <c r="L23" s="171" t="e">
        <f t="shared" si="0"/>
        <v>#N/A</v>
      </c>
      <c r="M23" s="174"/>
      <c r="N23" s="174"/>
      <c r="O23" s="303"/>
      <c r="P23" s="303"/>
      <c r="Q23" s="303"/>
    </row>
    <row r="24" spans="1:17" x14ac:dyDescent="0.25">
      <c r="A24" s="73">
        <v>1021</v>
      </c>
      <c r="B24" s="74">
        <v>121</v>
      </c>
      <c r="C24" s="75">
        <v>1</v>
      </c>
      <c r="D24" s="76"/>
      <c r="E24" s="77"/>
      <c r="F24" s="78"/>
      <c r="G24" s="61"/>
      <c r="J24" s="169"/>
      <c r="K24" s="170"/>
      <c r="L24" s="171" t="e">
        <f t="shared" si="0"/>
        <v>#N/A</v>
      </c>
      <c r="M24" s="174"/>
      <c r="N24" s="174"/>
      <c r="O24" s="303"/>
      <c r="P24" s="303"/>
      <c r="Q24" s="303"/>
    </row>
    <row r="25" spans="1:17" x14ac:dyDescent="0.25">
      <c r="A25" s="73">
        <v>1022</v>
      </c>
      <c r="B25" s="74">
        <v>122</v>
      </c>
      <c r="C25" s="75">
        <v>1</v>
      </c>
      <c r="D25" s="76"/>
      <c r="E25" s="77"/>
      <c r="F25" s="78"/>
      <c r="G25" s="61"/>
      <c r="J25" s="169"/>
      <c r="K25" s="170"/>
      <c r="L25" s="171" t="e">
        <f t="shared" si="0"/>
        <v>#N/A</v>
      </c>
      <c r="M25" s="174"/>
      <c r="N25" s="174"/>
      <c r="O25" s="303"/>
      <c r="P25" s="303"/>
      <c r="Q25" s="303"/>
    </row>
    <row r="26" spans="1:17" x14ac:dyDescent="0.25">
      <c r="A26" s="73">
        <v>1023</v>
      </c>
      <c r="B26" s="74">
        <v>123</v>
      </c>
      <c r="C26" s="75">
        <v>1</v>
      </c>
      <c r="D26" s="76"/>
      <c r="E26" s="77"/>
      <c r="F26" s="78"/>
      <c r="G26" s="61"/>
      <c r="J26" s="169"/>
      <c r="K26" s="170"/>
      <c r="L26" s="171" t="e">
        <f t="shared" si="0"/>
        <v>#N/A</v>
      </c>
      <c r="M26" s="174"/>
      <c r="N26" s="174"/>
      <c r="O26" s="303"/>
      <c r="P26" s="303"/>
      <c r="Q26" s="303"/>
    </row>
    <row r="27" spans="1:17" x14ac:dyDescent="0.25">
      <c r="A27" s="73">
        <v>1024</v>
      </c>
      <c r="B27" s="74">
        <v>124</v>
      </c>
      <c r="C27" s="75">
        <v>1</v>
      </c>
      <c r="D27" s="76"/>
      <c r="E27" s="77"/>
      <c r="F27" s="78"/>
      <c r="G27" s="61"/>
      <c r="J27" s="169"/>
      <c r="K27" s="170"/>
      <c r="L27" s="171" t="e">
        <f t="shared" si="0"/>
        <v>#N/A</v>
      </c>
      <c r="M27" s="174"/>
      <c r="N27" s="174"/>
      <c r="O27" s="303"/>
      <c r="P27" s="303"/>
      <c r="Q27" s="303"/>
    </row>
    <row r="28" spans="1:17" x14ac:dyDescent="0.25">
      <c r="A28" s="73">
        <v>1025</v>
      </c>
      <c r="B28" s="74">
        <v>125</v>
      </c>
      <c r="C28" s="75">
        <v>1</v>
      </c>
      <c r="D28" s="76"/>
      <c r="E28" s="77"/>
      <c r="F28" s="78"/>
      <c r="G28" s="61"/>
      <c r="J28" s="169"/>
      <c r="K28" s="170"/>
      <c r="L28" s="171" t="e">
        <f t="shared" si="0"/>
        <v>#N/A</v>
      </c>
      <c r="M28" s="170"/>
      <c r="N28" s="170"/>
      <c r="O28" s="303"/>
      <c r="P28" s="303"/>
      <c r="Q28" s="303"/>
    </row>
    <row r="29" spans="1:17" x14ac:dyDescent="0.25">
      <c r="A29" s="73">
        <v>1026</v>
      </c>
      <c r="B29" s="74">
        <v>126</v>
      </c>
      <c r="C29" s="75">
        <v>1</v>
      </c>
      <c r="D29" s="76"/>
      <c r="E29" s="77"/>
      <c r="F29" s="78"/>
      <c r="G29" s="61"/>
      <c r="J29" s="169"/>
      <c r="K29" s="170"/>
      <c r="L29" s="171" t="e">
        <f t="shared" si="0"/>
        <v>#N/A</v>
      </c>
      <c r="M29" s="170"/>
      <c r="N29" s="170"/>
      <c r="O29" s="303"/>
      <c r="P29" s="303"/>
      <c r="Q29" s="303"/>
    </row>
    <row r="30" spans="1:17" x14ac:dyDescent="0.25">
      <c r="A30" s="73">
        <v>1027</v>
      </c>
      <c r="B30" s="74">
        <v>127</v>
      </c>
      <c r="C30" s="75">
        <v>1</v>
      </c>
      <c r="D30" s="76"/>
      <c r="E30" s="77"/>
      <c r="F30" s="78"/>
      <c r="G30" s="61"/>
      <c r="J30" s="169"/>
      <c r="K30" s="170"/>
      <c r="L30" s="171" t="e">
        <f t="shared" si="0"/>
        <v>#N/A</v>
      </c>
      <c r="M30" s="174"/>
      <c r="N30" s="174"/>
      <c r="O30" s="303"/>
      <c r="P30" s="303"/>
      <c r="Q30" s="303"/>
    </row>
    <row r="31" spans="1:17" x14ac:dyDescent="0.25">
      <c r="A31" s="73">
        <v>1028</v>
      </c>
      <c r="B31" s="74">
        <v>128</v>
      </c>
      <c r="C31" s="75">
        <v>1</v>
      </c>
      <c r="D31" s="76"/>
      <c r="E31" s="77"/>
      <c r="F31" s="78"/>
      <c r="G31" s="61"/>
      <c r="J31" s="169"/>
      <c r="K31" s="170"/>
      <c r="L31" s="171" t="e">
        <f t="shared" si="0"/>
        <v>#N/A</v>
      </c>
      <c r="M31" s="174"/>
      <c r="N31" s="174"/>
      <c r="O31" s="303"/>
      <c r="P31" s="303"/>
      <c r="Q31" s="303"/>
    </row>
    <row r="32" spans="1:17" x14ac:dyDescent="0.25">
      <c r="A32" s="73">
        <v>1029</v>
      </c>
      <c r="B32" s="74">
        <v>129</v>
      </c>
      <c r="C32" s="75">
        <v>1</v>
      </c>
      <c r="D32" s="76"/>
      <c r="E32" s="77"/>
      <c r="F32" s="78"/>
      <c r="G32" s="61"/>
      <c r="J32" s="169"/>
      <c r="K32" s="170"/>
      <c r="L32" s="171" t="e">
        <f t="shared" si="0"/>
        <v>#N/A</v>
      </c>
      <c r="M32" s="174"/>
      <c r="N32" s="174"/>
      <c r="O32" s="303"/>
      <c r="P32" s="303"/>
      <c r="Q32" s="303"/>
    </row>
    <row r="33" spans="1:17" x14ac:dyDescent="0.25">
      <c r="A33" s="73">
        <v>1030</v>
      </c>
      <c r="B33" s="74">
        <v>130</v>
      </c>
      <c r="C33" s="75">
        <v>1</v>
      </c>
      <c r="D33" s="76"/>
      <c r="E33" s="77"/>
      <c r="F33" s="78"/>
      <c r="G33" s="61"/>
      <c r="J33" s="169"/>
      <c r="K33" s="170"/>
      <c r="L33" s="171" t="e">
        <f t="shared" si="0"/>
        <v>#N/A</v>
      </c>
      <c r="M33" s="174"/>
      <c r="N33" s="174"/>
      <c r="O33" s="303"/>
      <c r="P33" s="303"/>
      <c r="Q33" s="303"/>
    </row>
    <row r="34" spans="1:17" x14ac:dyDescent="0.25">
      <c r="A34" s="73">
        <v>1031</v>
      </c>
      <c r="B34" s="74">
        <v>131</v>
      </c>
      <c r="C34" s="75">
        <v>1</v>
      </c>
      <c r="D34" s="76"/>
      <c r="E34" s="77"/>
      <c r="F34" s="78"/>
      <c r="G34" s="61"/>
      <c r="J34" s="169"/>
      <c r="K34" s="170"/>
      <c r="L34" s="171" t="e">
        <f t="shared" si="0"/>
        <v>#N/A</v>
      </c>
      <c r="M34" s="174"/>
      <c r="N34" s="174"/>
      <c r="O34" s="303"/>
      <c r="P34" s="303"/>
      <c r="Q34" s="303"/>
    </row>
    <row r="35" spans="1:17" x14ac:dyDescent="0.25">
      <c r="A35" s="73">
        <v>1032</v>
      </c>
      <c r="B35" s="74">
        <v>132</v>
      </c>
      <c r="C35" s="75">
        <v>1</v>
      </c>
      <c r="D35" s="76"/>
      <c r="E35" s="77"/>
      <c r="F35" s="78"/>
      <c r="G35" s="61"/>
      <c r="J35" s="169"/>
      <c r="K35" s="170"/>
      <c r="L35" s="171" t="e">
        <f t="shared" si="0"/>
        <v>#N/A</v>
      </c>
      <c r="M35" s="174"/>
      <c r="N35" s="174"/>
      <c r="O35" s="303"/>
      <c r="P35" s="303"/>
      <c r="Q35" s="303"/>
    </row>
    <row r="36" spans="1:17" x14ac:dyDescent="0.25">
      <c r="A36" s="73">
        <v>1033</v>
      </c>
      <c r="B36" s="74">
        <v>133</v>
      </c>
      <c r="C36" s="75">
        <v>1</v>
      </c>
      <c r="D36" s="76"/>
      <c r="E36" s="77"/>
      <c r="F36" s="78"/>
      <c r="G36" s="61"/>
      <c r="J36" s="169"/>
      <c r="K36" s="170"/>
      <c r="L36" s="171" t="e">
        <f t="shared" si="0"/>
        <v>#N/A</v>
      </c>
      <c r="M36" s="174"/>
      <c r="N36" s="174"/>
      <c r="O36" s="303"/>
      <c r="P36" s="303"/>
      <c r="Q36" s="303"/>
    </row>
    <row r="37" spans="1:17" x14ac:dyDescent="0.25">
      <c r="A37" s="73">
        <v>1034</v>
      </c>
      <c r="B37" s="74">
        <v>134</v>
      </c>
      <c r="C37" s="75">
        <v>1</v>
      </c>
      <c r="D37" s="76"/>
      <c r="E37" s="77"/>
      <c r="F37" s="78"/>
      <c r="G37" s="61"/>
      <c r="J37" s="169"/>
      <c r="K37" s="170"/>
      <c r="L37" s="171" t="e">
        <f t="shared" si="0"/>
        <v>#N/A</v>
      </c>
      <c r="M37" s="174"/>
      <c r="N37" s="174"/>
      <c r="O37" s="303"/>
      <c r="P37" s="303"/>
      <c r="Q37" s="303"/>
    </row>
    <row r="38" spans="1:17" x14ac:dyDescent="0.25">
      <c r="A38" s="73">
        <v>1035</v>
      </c>
      <c r="B38" s="74">
        <v>135</v>
      </c>
      <c r="C38" s="75">
        <v>1</v>
      </c>
      <c r="D38" s="76"/>
      <c r="E38" s="77"/>
      <c r="F38" s="78"/>
      <c r="G38" s="61"/>
      <c r="J38" s="169"/>
      <c r="K38" s="170"/>
      <c r="L38" s="171" t="e">
        <f t="shared" si="0"/>
        <v>#N/A</v>
      </c>
      <c r="M38" s="174"/>
      <c r="N38" s="174"/>
      <c r="O38" s="303"/>
      <c r="P38" s="303"/>
      <c r="Q38" s="303"/>
    </row>
    <row r="39" spans="1:17" x14ac:dyDescent="0.25">
      <c r="A39" s="73">
        <v>1036</v>
      </c>
      <c r="B39" s="74">
        <v>136</v>
      </c>
      <c r="C39" s="75">
        <v>1</v>
      </c>
      <c r="D39" s="76"/>
      <c r="E39" s="77"/>
      <c r="F39" s="78"/>
      <c r="G39" s="61"/>
      <c r="J39" s="169"/>
      <c r="K39" s="170"/>
      <c r="L39" s="171" t="e">
        <f t="shared" si="0"/>
        <v>#N/A</v>
      </c>
      <c r="M39" s="174"/>
      <c r="N39" s="174"/>
      <c r="O39" s="303"/>
      <c r="P39" s="303"/>
      <c r="Q39" s="303"/>
    </row>
    <row r="40" spans="1:17" x14ac:dyDescent="0.25">
      <c r="A40" s="73">
        <v>1037</v>
      </c>
      <c r="B40" s="74">
        <v>137</v>
      </c>
      <c r="C40" s="75">
        <v>1</v>
      </c>
      <c r="D40" s="76"/>
      <c r="E40" s="77"/>
      <c r="F40" s="78"/>
      <c r="G40" s="61"/>
      <c r="J40" s="169"/>
      <c r="K40" s="170"/>
      <c r="L40" s="171" t="e">
        <f t="shared" si="0"/>
        <v>#N/A</v>
      </c>
      <c r="M40" s="174"/>
      <c r="N40" s="174"/>
      <c r="O40" s="303"/>
      <c r="P40" s="303"/>
      <c r="Q40" s="303"/>
    </row>
    <row r="41" spans="1:17" x14ac:dyDescent="0.25">
      <c r="A41" s="73">
        <v>1038</v>
      </c>
      <c r="B41" s="74">
        <v>138</v>
      </c>
      <c r="C41" s="75">
        <v>1</v>
      </c>
      <c r="D41" s="76"/>
      <c r="E41" s="77"/>
      <c r="F41" s="78"/>
      <c r="G41" s="61"/>
      <c r="J41" s="169"/>
      <c r="K41" s="170"/>
      <c r="L41" s="171" t="e">
        <f t="shared" si="0"/>
        <v>#N/A</v>
      </c>
      <c r="M41" s="174"/>
      <c r="N41" s="174"/>
      <c r="O41" s="303"/>
      <c r="P41" s="303"/>
      <c r="Q41" s="303"/>
    </row>
    <row r="42" spans="1:17" x14ac:dyDescent="0.25">
      <c r="A42" s="73">
        <v>1039</v>
      </c>
      <c r="B42" s="74">
        <v>139</v>
      </c>
      <c r="C42" s="75">
        <v>1</v>
      </c>
      <c r="D42" s="76"/>
      <c r="E42" s="77"/>
      <c r="F42" s="78"/>
      <c r="G42" s="61"/>
      <c r="J42" s="169"/>
      <c r="K42" s="170"/>
      <c r="L42" s="171" t="e">
        <f t="shared" si="0"/>
        <v>#N/A</v>
      </c>
      <c r="M42" s="174"/>
      <c r="N42" s="174"/>
      <c r="O42" s="303"/>
      <c r="P42" s="303"/>
      <c r="Q42" s="303"/>
    </row>
    <row r="43" spans="1:17" x14ac:dyDescent="0.25">
      <c r="A43" s="73">
        <v>1040</v>
      </c>
      <c r="B43" s="74">
        <v>140</v>
      </c>
      <c r="C43" s="75">
        <v>1</v>
      </c>
      <c r="D43" s="76"/>
      <c r="E43" s="77"/>
      <c r="F43" s="78"/>
      <c r="G43" s="61"/>
      <c r="J43" s="169"/>
      <c r="K43" s="170"/>
      <c r="L43" s="171" t="e">
        <f t="shared" si="0"/>
        <v>#N/A</v>
      </c>
      <c r="M43" s="174"/>
      <c r="N43" s="174"/>
      <c r="O43" s="303"/>
      <c r="P43" s="303"/>
      <c r="Q43" s="303"/>
    </row>
    <row r="44" spans="1:17" x14ac:dyDescent="0.25">
      <c r="A44" s="73">
        <v>1041</v>
      </c>
      <c r="B44" s="74">
        <v>141</v>
      </c>
      <c r="C44" s="75">
        <v>1</v>
      </c>
      <c r="D44" s="76"/>
      <c r="E44" s="77"/>
      <c r="F44" s="78"/>
      <c r="G44" s="61"/>
    </row>
    <row r="45" spans="1:17" x14ac:dyDescent="0.25">
      <c r="A45" s="73">
        <v>1042</v>
      </c>
      <c r="B45" s="74">
        <v>142</v>
      </c>
      <c r="C45" s="75">
        <v>1</v>
      </c>
      <c r="D45" s="76"/>
      <c r="E45" s="77"/>
      <c r="F45" s="78"/>
      <c r="G45" s="61"/>
    </row>
    <row r="46" spans="1:17" x14ac:dyDescent="0.25">
      <c r="A46" s="73">
        <v>1043</v>
      </c>
      <c r="B46" s="74">
        <v>143</v>
      </c>
      <c r="C46" s="75">
        <v>1</v>
      </c>
      <c r="D46" s="76"/>
      <c r="E46" s="77"/>
      <c r="F46" s="78"/>
      <c r="G46" s="61"/>
    </row>
    <row r="47" spans="1:17" x14ac:dyDescent="0.25">
      <c r="A47" s="73">
        <v>1044</v>
      </c>
      <c r="B47" s="74">
        <v>144</v>
      </c>
      <c r="C47" s="75">
        <v>1</v>
      </c>
      <c r="D47" s="76"/>
      <c r="E47" s="77"/>
      <c r="F47" s="78"/>
      <c r="G47" s="61"/>
    </row>
    <row r="48" spans="1:17" x14ac:dyDescent="0.25">
      <c r="A48" s="73">
        <v>1045</v>
      </c>
      <c r="B48" s="74">
        <v>145</v>
      </c>
      <c r="C48" s="75">
        <v>1</v>
      </c>
      <c r="D48" s="76"/>
      <c r="E48" s="77"/>
      <c r="F48" s="78"/>
      <c r="G48" s="61"/>
    </row>
    <row r="49" spans="1:7" x14ac:dyDescent="0.25">
      <c r="A49" s="73">
        <v>1046</v>
      </c>
      <c r="B49" s="74">
        <v>146</v>
      </c>
      <c r="C49" s="75">
        <v>1</v>
      </c>
      <c r="D49" s="76"/>
      <c r="E49" s="77"/>
      <c r="F49" s="78"/>
      <c r="G49" s="61"/>
    </row>
    <row r="50" spans="1:7" x14ac:dyDescent="0.25">
      <c r="A50" s="73">
        <v>1047</v>
      </c>
      <c r="B50" s="74">
        <v>147</v>
      </c>
      <c r="C50" s="75">
        <v>1</v>
      </c>
      <c r="D50" s="76"/>
      <c r="E50" s="77"/>
      <c r="F50" s="78"/>
      <c r="G50" s="61"/>
    </row>
    <row r="51" spans="1:7" x14ac:dyDescent="0.25">
      <c r="A51" s="73">
        <v>1048</v>
      </c>
      <c r="B51" s="74">
        <v>148</v>
      </c>
      <c r="C51" s="75">
        <v>1</v>
      </c>
      <c r="D51" s="76"/>
      <c r="E51" s="77"/>
      <c r="F51" s="78"/>
      <c r="G51" s="61"/>
    </row>
    <row r="52" spans="1:7" x14ac:dyDescent="0.25">
      <c r="A52" s="73">
        <v>1049</v>
      </c>
      <c r="B52" s="74">
        <v>149</v>
      </c>
      <c r="C52" s="75">
        <v>1</v>
      </c>
      <c r="D52" s="76"/>
      <c r="E52" s="77"/>
      <c r="F52" s="78"/>
      <c r="G52" s="61"/>
    </row>
    <row r="53" spans="1:7" x14ac:dyDescent="0.25">
      <c r="A53" s="73">
        <v>1050</v>
      </c>
      <c r="B53" s="74">
        <v>150</v>
      </c>
      <c r="C53" s="75">
        <v>1</v>
      </c>
      <c r="D53" s="76"/>
      <c r="E53" s="77"/>
      <c r="F53" s="78"/>
      <c r="G53" s="61"/>
    </row>
    <row r="54" spans="1:7" x14ac:dyDescent="0.25">
      <c r="A54" s="73">
        <v>1051</v>
      </c>
      <c r="B54" s="74">
        <v>151</v>
      </c>
      <c r="C54" s="75">
        <v>1</v>
      </c>
      <c r="D54" s="76"/>
      <c r="E54" s="77"/>
      <c r="F54" s="78"/>
      <c r="G54" s="61"/>
    </row>
    <row r="55" spans="1:7" x14ac:dyDescent="0.25">
      <c r="A55" s="73">
        <v>1052</v>
      </c>
      <c r="B55" s="74">
        <v>152</v>
      </c>
      <c r="C55" s="75">
        <v>1</v>
      </c>
      <c r="D55" s="76"/>
      <c r="E55" s="77"/>
      <c r="F55" s="78"/>
      <c r="G55" s="61"/>
    </row>
    <row r="56" spans="1:7" x14ac:dyDescent="0.25">
      <c r="A56" s="73">
        <v>1053</v>
      </c>
      <c r="B56" s="74">
        <v>153</v>
      </c>
      <c r="C56" s="75">
        <v>1</v>
      </c>
      <c r="D56" s="76"/>
      <c r="E56" s="77"/>
      <c r="F56" s="78"/>
      <c r="G56" s="61"/>
    </row>
    <row r="57" spans="1:7" x14ac:dyDescent="0.25">
      <c r="A57" s="73">
        <v>1054</v>
      </c>
      <c r="B57" s="74">
        <v>154</v>
      </c>
      <c r="C57" s="75">
        <v>1</v>
      </c>
      <c r="D57" s="76"/>
      <c r="E57" s="77"/>
      <c r="F57" s="78"/>
      <c r="G57" s="61"/>
    </row>
    <row r="58" spans="1:7" x14ac:dyDescent="0.25">
      <c r="A58" s="73">
        <v>1055</v>
      </c>
      <c r="B58" s="74">
        <v>155</v>
      </c>
      <c r="C58" s="75">
        <v>1</v>
      </c>
      <c r="D58" s="76"/>
      <c r="E58" s="77"/>
      <c r="F58" s="78"/>
      <c r="G58" s="61"/>
    </row>
    <row r="59" spans="1:7" x14ac:dyDescent="0.25">
      <c r="A59" s="73">
        <v>1056</v>
      </c>
      <c r="B59" s="74">
        <v>156</v>
      </c>
      <c r="C59" s="75">
        <v>1</v>
      </c>
      <c r="D59" s="76"/>
      <c r="E59" s="77"/>
      <c r="F59" s="78"/>
      <c r="G59" s="61"/>
    </row>
    <row r="60" spans="1:7" x14ac:dyDescent="0.25">
      <c r="A60" s="73">
        <v>1057</v>
      </c>
      <c r="B60" s="74">
        <v>157</v>
      </c>
      <c r="C60" s="75">
        <v>1</v>
      </c>
      <c r="D60" s="76"/>
      <c r="E60" s="77"/>
      <c r="F60" s="78"/>
      <c r="G60" s="61"/>
    </row>
    <row r="61" spans="1:7" x14ac:dyDescent="0.25">
      <c r="A61" s="73">
        <v>1058</v>
      </c>
      <c r="B61" s="74">
        <v>158</v>
      </c>
      <c r="C61" s="75">
        <v>1</v>
      </c>
      <c r="D61" s="76"/>
      <c r="E61" s="77"/>
      <c r="F61" s="78"/>
      <c r="G61" s="61"/>
    </row>
    <row r="62" spans="1:7" x14ac:dyDescent="0.25">
      <c r="A62" s="73">
        <v>1059</v>
      </c>
      <c r="B62" s="74">
        <v>159</v>
      </c>
      <c r="C62" s="75">
        <v>1</v>
      </c>
      <c r="D62" s="76"/>
      <c r="E62" s="77"/>
      <c r="F62" s="78"/>
      <c r="G62" s="61"/>
    </row>
    <row r="63" spans="1:7" x14ac:dyDescent="0.25">
      <c r="A63" s="73">
        <v>1060</v>
      </c>
      <c r="B63" s="74">
        <v>160</v>
      </c>
      <c r="C63" s="75">
        <v>1</v>
      </c>
      <c r="D63" s="76"/>
      <c r="E63" s="77"/>
      <c r="F63" s="78"/>
      <c r="G63" s="61"/>
    </row>
    <row r="64" spans="1:7" x14ac:dyDescent="0.25">
      <c r="A64" s="73">
        <v>1061</v>
      </c>
      <c r="B64" s="74">
        <v>161</v>
      </c>
      <c r="C64" s="75">
        <v>1</v>
      </c>
      <c r="D64" s="76"/>
      <c r="E64" s="77"/>
      <c r="F64" s="78"/>
      <c r="G64" s="61"/>
    </row>
    <row r="65" spans="1:7" x14ac:dyDescent="0.25">
      <c r="A65" s="73">
        <v>1062</v>
      </c>
      <c r="B65" s="74">
        <v>162</v>
      </c>
      <c r="C65" s="75">
        <v>1</v>
      </c>
      <c r="D65" s="76"/>
      <c r="E65" s="77"/>
      <c r="F65" s="78"/>
      <c r="G65" s="61"/>
    </row>
    <row r="66" spans="1:7" x14ac:dyDescent="0.25">
      <c r="A66" s="73">
        <v>1063</v>
      </c>
      <c r="B66" s="74">
        <v>163</v>
      </c>
      <c r="C66" s="75">
        <v>1</v>
      </c>
      <c r="D66" s="76"/>
      <c r="E66" s="77"/>
      <c r="F66" s="78"/>
      <c r="G66" s="61"/>
    </row>
    <row r="67" spans="1:7" x14ac:dyDescent="0.25">
      <c r="A67" s="73">
        <v>1064</v>
      </c>
      <c r="B67" s="74">
        <v>164</v>
      </c>
      <c r="C67" s="75">
        <v>1</v>
      </c>
      <c r="D67" s="76"/>
      <c r="E67" s="77"/>
      <c r="F67" s="78"/>
      <c r="G67" s="61"/>
    </row>
    <row r="68" spans="1:7" x14ac:dyDescent="0.25">
      <c r="A68" s="73">
        <v>1065</v>
      </c>
      <c r="B68" s="74">
        <v>165</v>
      </c>
      <c r="C68" s="75">
        <v>1</v>
      </c>
      <c r="D68" s="76"/>
      <c r="E68" s="77"/>
      <c r="F68" s="78"/>
      <c r="G68" s="61"/>
    </row>
    <row r="69" spans="1:7" x14ac:dyDescent="0.25">
      <c r="A69" s="73">
        <v>1066</v>
      </c>
      <c r="B69" s="74">
        <v>166</v>
      </c>
      <c r="C69" s="75">
        <v>1</v>
      </c>
      <c r="D69" s="76"/>
      <c r="E69" s="77"/>
      <c r="F69" s="78"/>
      <c r="G69" s="61"/>
    </row>
    <row r="70" spans="1:7" x14ac:dyDescent="0.25">
      <c r="A70" s="73">
        <v>1067</v>
      </c>
      <c r="B70" s="74">
        <v>167</v>
      </c>
      <c r="C70" s="75">
        <v>1</v>
      </c>
      <c r="D70" s="76"/>
      <c r="E70" s="77"/>
      <c r="F70" s="78"/>
      <c r="G70" s="61"/>
    </row>
    <row r="71" spans="1:7" x14ac:dyDescent="0.25">
      <c r="A71" s="73">
        <v>1068</v>
      </c>
      <c r="B71" s="74">
        <v>168</v>
      </c>
      <c r="C71" s="75">
        <v>1</v>
      </c>
      <c r="D71" s="76"/>
      <c r="E71" s="77"/>
      <c r="F71" s="78"/>
      <c r="G71" s="61"/>
    </row>
    <row r="72" spans="1:7" x14ac:dyDescent="0.25">
      <c r="A72" s="73">
        <v>1069</v>
      </c>
      <c r="B72" s="74">
        <v>169</v>
      </c>
      <c r="C72" s="75">
        <v>1</v>
      </c>
      <c r="D72" s="76"/>
      <c r="E72" s="77"/>
      <c r="F72" s="78"/>
      <c r="G72" s="61"/>
    </row>
    <row r="73" spans="1:7" x14ac:dyDescent="0.25">
      <c r="A73" s="73">
        <v>1070</v>
      </c>
      <c r="B73" s="74">
        <v>170</v>
      </c>
      <c r="C73" s="75">
        <v>1</v>
      </c>
      <c r="D73" s="76"/>
      <c r="E73" s="77"/>
      <c r="F73" s="78"/>
      <c r="G73" s="61"/>
    </row>
    <row r="74" spans="1:7" x14ac:dyDescent="0.25">
      <c r="A74" s="73">
        <v>1071</v>
      </c>
      <c r="B74" s="74">
        <v>171</v>
      </c>
      <c r="C74" s="75">
        <v>1</v>
      </c>
      <c r="D74" s="76"/>
      <c r="E74" s="77"/>
      <c r="F74" s="78"/>
      <c r="G74" s="61"/>
    </row>
    <row r="75" spans="1:7" x14ac:dyDescent="0.25">
      <c r="A75" s="73">
        <v>1072</v>
      </c>
      <c r="B75" s="74">
        <v>172</v>
      </c>
      <c r="C75" s="75">
        <v>1</v>
      </c>
      <c r="D75" s="76"/>
      <c r="E75" s="77"/>
      <c r="F75" s="78"/>
      <c r="G75" s="61"/>
    </row>
    <row r="76" spans="1:7" x14ac:dyDescent="0.25">
      <c r="A76" s="73">
        <v>1073</v>
      </c>
      <c r="B76" s="74">
        <v>173</v>
      </c>
      <c r="C76" s="75">
        <v>1</v>
      </c>
      <c r="D76" s="76"/>
      <c r="E76" s="77"/>
      <c r="F76" s="78"/>
      <c r="G76" s="61"/>
    </row>
    <row r="77" spans="1:7" x14ac:dyDescent="0.25">
      <c r="A77" s="73">
        <v>1074</v>
      </c>
      <c r="B77" s="74">
        <v>174</v>
      </c>
      <c r="C77" s="75">
        <v>1</v>
      </c>
      <c r="D77" s="76"/>
      <c r="E77" s="77"/>
      <c r="F77" s="78"/>
      <c r="G77" s="61"/>
    </row>
    <row r="78" spans="1:7" x14ac:dyDescent="0.25">
      <c r="A78" s="73">
        <v>1075</v>
      </c>
      <c r="B78" s="74">
        <v>175</v>
      </c>
      <c r="C78" s="75">
        <v>1</v>
      </c>
      <c r="D78" s="76"/>
      <c r="E78" s="77"/>
      <c r="F78" s="78"/>
      <c r="G78" s="61"/>
    </row>
    <row r="79" spans="1:7" x14ac:dyDescent="0.25">
      <c r="A79" s="73">
        <v>1076</v>
      </c>
      <c r="B79" s="74">
        <v>176</v>
      </c>
      <c r="C79" s="75">
        <v>1</v>
      </c>
      <c r="D79" s="76"/>
      <c r="E79" s="77"/>
      <c r="F79" s="78"/>
      <c r="G79" s="61"/>
    </row>
    <row r="80" spans="1:7" x14ac:dyDescent="0.25">
      <c r="A80" s="73">
        <v>1077</v>
      </c>
      <c r="B80" s="74">
        <v>177</v>
      </c>
      <c r="C80" s="75">
        <v>1</v>
      </c>
      <c r="D80" s="76"/>
      <c r="E80" s="77"/>
      <c r="F80" s="78"/>
      <c r="G80" s="61"/>
    </row>
    <row r="81" spans="1:7" x14ac:dyDescent="0.25">
      <c r="A81" s="73">
        <v>1078</v>
      </c>
      <c r="B81" s="74">
        <v>178</v>
      </c>
      <c r="C81" s="75">
        <v>1</v>
      </c>
      <c r="D81" s="76"/>
      <c r="E81" s="77"/>
      <c r="F81" s="78"/>
      <c r="G81" s="61"/>
    </row>
    <row r="82" spans="1:7" x14ac:dyDescent="0.25">
      <c r="A82" s="73">
        <v>1079</v>
      </c>
      <c r="B82" s="74">
        <v>179</v>
      </c>
      <c r="C82" s="75">
        <v>1</v>
      </c>
      <c r="D82" s="76"/>
      <c r="E82" s="77"/>
      <c r="F82" s="78"/>
      <c r="G82" s="61"/>
    </row>
    <row r="83" spans="1:7" x14ac:dyDescent="0.25">
      <c r="A83" s="73">
        <v>1080</v>
      </c>
      <c r="B83" s="74">
        <v>180</v>
      </c>
      <c r="C83" s="75">
        <v>1</v>
      </c>
      <c r="D83" s="76"/>
      <c r="E83" s="77"/>
      <c r="F83" s="78"/>
      <c r="G83" s="61"/>
    </row>
    <row r="84" spans="1:7" x14ac:dyDescent="0.25">
      <c r="A84" s="73">
        <v>1081</v>
      </c>
      <c r="B84" s="74">
        <v>181</v>
      </c>
      <c r="C84" s="75">
        <v>1</v>
      </c>
      <c r="D84" s="76"/>
      <c r="E84" s="77"/>
      <c r="F84" s="78"/>
      <c r="G84" s="61"/>
    </row>
    <row r="85" spans="1:7" x14ac:dyDescent="0.25">
      <c r="A85" s="73">
        <v>1082</v>
      </c>
      <c r="B85" s="74">
        <v>182</v>
      </c>
      <c r="C85" s="75">
        <v>1</v>
      </c>
      <c r="D85" s="76"/>
      <c r="E85" s="77"/>
      <c r="F85" s="78"/>
      <c r="G85" s="61"/>
    </row>
    <row r="86" spans="1:7" x14ac:dyDescent="0.25">
      <c r="A86" s="73">
        <v>1083</v>
      </c>
      <c r="B86" s="74">
        <v>183</v>
      </c>
      <c r="C86" s="75">
        <v>1</v>
      </c>
      <c r="D86" s="76"/>
      <c r="E86" s="77"/>
      <c r="F86" s="78"/>
      <c r="G86" s="61"/>
    </row>
    <row r="87" spans="1:7" x14ac:dyDescent="0.25">
      <c r="A87" s="73">
        <v>1084</v>
      </c>
      <c r="B87" s="74">
        <v>184</v>
      </c>
      <c r="C87" s="75">
        <v>1</v>
      </c>
      <c r="D87" s="76"/>
      <c r="E87" s="77"/>
      <c r="F87" s="78"/>
      <c r="G87" s="61"/>
    </row>
    <row r="88" spans="1:7" x14ac:dyDescent="0.25">
      <c r="A88" s="73">
        <v>1085</v>
      </c>
      <c r="B88" s="74">
        <v>185</v>
      </c>
      <c r="C88" s="75">
        <v>1</v>
      </c>
      <c r="D88" s="76"/>
      <c r="E88" s="77"/>
      <c r="F88" s="78"/>
      <c r="G88" s="61"/>
    </row>
    <row r="89" spans="1:7" x14ac:dyDescent="0.25">
      <c r="A89" s="73">
        <v>1086</v>
      </c>
      <c r="B89" s="74">
        <v>186</v>
      </c>
      <c r="C89" s="75">
        <v>1</v>
      </c>
      <c r="D89" s="76"/>
      <c r="E89" s="77"/>
      <c r="F89" s="78"/>
      <c r="G89" s="61"/>
    </row>
    <row r="90" spans="1:7" x14ac:dyDescent="0.25">
      <c r="A90" s="73">
        <v>1087</v>
      </c>
      <c r="B90" s="74">
        <v>187</v>
      </c>
      <c r="C90" s="75">
        <v>1</v>
      </c>
      <c r="D90" s="76"/>
      <c r="E90" s="77"/>
      <c r="F90" s="78"/>
      <c r="G90" s="61"/>
    </row>
    <row r="91" spans="1:7" x14ac:dyDescent="0.25">
      <c r="A91" s="73">
        <v>1088</v>
      </c>
      <c r="B91" s="74">
        <v>188</v>
      </c>
      <c r="C91" s="75">
        <v>1</v>
      </c>
      <c r="D91" s="76"/>
      <c r="E91" s="77"/>
      <c r="F91" s="78"/>
      <c r="G91" s="61"/>
    </row>
    <row r="92" spans="1:7" x14ac:dyDescent="0.25">
      <c r="A92" s="73">
        <v>1089</v>
      </c>
      <c r="B92" s="74">
        <v>189</v>
      </c>
      <c r="C92" s="75">
        <v>1</v>
      </c>
      <c r="D92" s="76"/>
      <c r="E92" s="77"/>
      <c r="F92" s="78"/>
      <c r="G92" s="61"/>
    </row>
    <row r="93" spans="1:7" x14ac:dyDescent="0.25">
      <c r="A93" s="73">
        <v>1090</v>
      </c>
      <c r="B93" s="74">
        <v>190</v>
      </c>
      <c r="C93" s="75">
        <v>1</v>
      </c>
      <c r="D93" s="76"/>
      <c r="E93" s="77"/>
      <c r="F93" s="78"/>
      <c r="G93" s="61"/>
    </row>
    <row r="94" spans="1:7" x14ac:dyDescent="0.25">
      <c r="A94" s="175">
        <v>2001</v>
      </c>
      <c r="B94" s="176">
        <v>201</v>
      </c>
      <c r="C94" s="177">
        <v>1</v>
      </c>
      <c r="D94" s="178" t="s">
        <v>96</v>
      </c>
      <c r="E94" s="179">
        <v>15</v>
      </c>
      <c r="F94" s="180">
        <v>8</v>
      </c>
      <c r="G94" s="61"/>
    </row>
    <row r="95" spans="1:7" x14ac:dyDescent="0.25">
      <c r="A95" s="73">
        <v>2002</v>
      </c>
      <c r="B95" s="74">
        <v>202</v>
      </c>
      <c r="C95" s="75">
        <v>1</v>
      </c>
      <c r="D95" s="76"/>
      <c r="E95" s="77"/>
      <c r="F95" s="78"/>
      <c r="G95" s="61"/>
    </row>
    <row r="96" spans="1:7" x14ac:dyDescent="0.25">
      <c r="A96" s="73">
        <v>2003</v>
      </c>
      <c r="B96" s="74">
        <v>203</v>
      </c>
      <c r="C96" s="75">
        <v>1</v>
      </c>
      <c r="D96" s="76"/>
      <c r="E96" s="77"/>
      <c r="F96" s="78"/>
      <c r="G96" s="61"/>
    </row>
    <row r="97" spans="1:7" x14ac:dyDescent="0.25">
      <c r="A97" s="73">
        <v>2004</v>
      </c>
      <c r="B97" s="74">
        <v>204</v>
      </c>
      <c r="C97" s="75">
        <v>1</v>
      </c>
      <c r="D97" s="76"/>
      <c r="E97" s="77"/>
      <c r="F97" s="78"/>
      <c r="G97" s="61"/>
    </row>
    <row r="98" spans="1:7" x14ac:dyDescent="0.25">
      <c r="A98" s="73">
        <v>2005</v>
      </c>
      <c r="B98" s="74">
        <v>205</v>
      </c>
      <c r="C98" s="75">
        <v>1</v>
      </c>
      <c r="D98" s="76"/>
      <c r="E98" s="77"/>
      <c r="F98" s="78"/>
      <c r="G98" s="61"/>
    </row>
    <row r="99" spans="1:7" x14ac:dyDescent="0.25">
      <c r="A99" s="73">
        <v>2006</v>
      </c>
      <c r="B99" s="74">
        <v>206</v>
      </c>
      <c r="C99" s="75">
        <v>1</v>
      </c>
      <c r="D99" s="76"/>
      <c r="E99" s="77"/>
      <c r="F99" s="78"/>
      <c r="G99" s="61"/>
    </row>
    <row r="100" spans="1:7" x14ac:dyDescent="0.25">
      <c r="A100" s="73">
        <v>2007</v>
      </c>
      <c r="B100" s="74">
        <v>207</v>
      </c>
      <c r="C100" s="75">
        <v>1</v>
      </c>
      <c r="D100" s="76"/>
      <c r="E100" s="77"/>
      <c r="F100" s="78"/>
      <c r="G100" s="61"/>
    </row>
    <row r="101" spans="1:7" x14ac:dyDescent="0.25">
      <c r="A101" s="73">
        <v>2008</v>
      </c>
      <c r="B101" s="74">
        <v>208</v>
      </c>
      <c r="C101" s="75">
        <v>1</v>
      </c>
      <c r="D101" s="76"/>
      <c r="E101" s="77"/>
      <c r="F101" s="78"/>
      <c r="G101" s="61"/>
    </row>
    <row r="102" spans="1:7" x14ac:dyDescent="0.25">
      <c r="A102" s="73">
        <v>2009</v>
      </c>
      <c r="B102" s="74">
        <v>209</v>
      </c>
      <c r="C102" s="75">
        <v>1</v>
      </c>
      <c r="D102" s="76"/>
      <c r="E102" s="77"/>
      <c r="F102" s="78"/>
      <c r="G102" s="61"/>
    </row>
    <row r="103" spans="1:7" x14ac:dyDescent="0.25">
      <c r="A103" s="73">
        <v>2010</v>
      </c>
      <c r="B103" s="74">
        <v>210</v>
      </c>
      <c r="C103" s="75">
        <v>1</v>
      </c>
      <c r="D103" s="76"/>
      <c r="E103" s="77"/>
      <c r="F103" s="78"/>
      <c r="G103" s="61"/>
    </row>
    <row r="104" spans="1:7" x14ac:dyDescent="0.25">
      <c r="A104" s="73">
        <v>2011</v>
      </c>
      <c r="B104" s="74">
        <v>211</v>
      </c>
      <c r="C104" s="75">
        <v>1</v>
      </c>
      <c r="D104" s="76"/>
      <c r="E104" s="77"/>
      <c r="F104" s="78"/>
      <c r="G104" s="61"/>
    </row>
    <row r="105" spans="1:7" x14ac:dyDescent="0.25">
      <c r="A105" s="73">
        <v>2012</v>
      </c>
      <c r="B105" s="74">
        <v>212</v>
      </c>
      <c r="C105" s="75">
        <v>1</v>
      </c>
      <c r="D105" s="76"/>
      <c r="E105" s="77"/>
      <c r="F105" s="78"/>
      <c r="G105" s="61"/>
    </row>
    <row r="106" spans="1:7" x14ac:dyDescent="0.25">
      <c r="A106" s="73">
        <v>2013</v>
      </c>
      <c r="B106" s="74">
        <v>213</v>
      </c>
      <c r="C106" s="75">
        <v>1</v>
      </c>
      <c r="D106" s="76"/>
      <c r="E106" s="77"/>
      <c r="F106" s="78"/>
      <c r="G106" s="61"/>
    </row>
    <row r="107" spans="1:7" x14ac:dyDescent="0.25">
      <c r="A107" s="73">
        <v>2014</v>
      </c>
      <c r="B107" s="74">
        <v>214</v>
      </c>
      <c r="C107" s="75">
        <v>1</v>
      </c>
      <c r="D107" s="76"/>
      <c r="E107" s="77"/>
      <c r="F107" s="78"/>
      <c r="G107" s="61"/>
    </row>
    <row r="108" spans="1:7" x14ac:dyDescent="0.25">
      <c r="A108" s="73">
        <v>2015</v>
      </c>
      <c r="B108" s="74">
        <v>215</v>
      </c>
      <c r="C108" s="75">
        <v>1</v>
      </c>
      <c r="D108" s="76"/>
      <c r="E108" s="77"/>
      <c r="F108" s="78"/>
      <c r="G108" s="61"/>
    </row>
    <row r="109" spans="1:7" x14ac:dyDescent="0.25">
      <c r="A109" s="73">
        <v>2016</v>
      </c>
      <c r="B109" s="74">
        <v>216</v>
      </c>
      <c r="C109" s="75">
        <v>1</v>
      </c>
      <c r="D109" s="76"/>
      <c r="E109" s="77"/>
      <c r="F109" s="78"/>
      <c r="G109" s="61"/>
    </row>
    <row r="110" spans="1:7" x14ac:dyDescent="0.25">
      <c r="A110" s="73">
        <v>2017</v>
      </c>
      <c r="B110" s="74">
        <v>217</v>
      </c>
      <c r="C110" s="75">
        <v>1</v>
      </c>
      <c r="D110" s="76"/>
      <c r="E110" s="77"/>
      <c r="F110" s="78"/>
      <c r="G110" s="61"/>
    </row>
    <row r="111" spans="1:7" x14ac:dyDescent="0.25">
      <c r="A111" s="73">
        <v>2018</v>
      </c>
      <c r="B111" s="74">
        <v>218</v>
      </c>
      <c r="C111" s="75">
        <v>1</v>
      </c>
      <c r="D111" s="76"/>
      <c r="E111" s="77"/>
      <c r="F111" s="78"/>
      <c r="G111" s="61"/>
    </row>
    <row r="112" spans="1:7" x14ac:dyDescent="0.25">
      <c r="A112" s="73">
        <v>2019</v>
      </c>
      <c r="B112" s="74">
        <v>219</v>
      </c>
      <c r="C112" s="75">
        <v>1</v>
      </c>
      <c r="D112" s="76"/>
      <c r="E112" s="77"/>
      <c r="F112" s="78"/>
      <c r="G112" s="61"/>
    </row>
    <row r="113" spans="1:7" x14ac:dyDescent="0.25">
      <c r="A113" s="73">
        <v>2020</v>
      </c>
      <c r="B113" s="74">
        <v>220</v>
      </c>
      <c r="C113" s="75">
        <v>1</v>
      </c>
      <c r="D113" s="76"/>
      <c r="E113" s="77"/>
      <c r="F113" s="78"/>
      <c r="G113" s="61"/>
    </row>
    <row r="114" spans="1:7" x14ac:dyDescent="0.25">
      <c r="A114" s="73">
        <v>2021</v>
      </c>
      <c r="B114" s="74">
        <v>221</v>
      </c>
      <c r="C114" s="75">
        <v>1</v>
      </c>
      <c r="D114" s="76"/>
      <c r="E114" s="77"/>
      <c r="F114" s="78"/>
      <c r="G114" s="61"/>
    </row>
    <row r="115" spans="1:7" x14ac:dyDescent="0.25">
      <c r="A115" s="73">
        <v>2022</v>
      </c>
      <c r="B115" s="74">
        <v>222</v>
      </c>
      <c r="C115" s="75">
        <v>1</v>
      </c>
      <c r="D115" s="76"/>
      <c r="E115" s="77"/>
      <c r="F115" s="78"/>
      <c r="G115" s="61"/>
    </row>
    <row r="116" spans="1:7" x14ac:dyDescent="0.25">
      <c r="A116" s="73">
        <v>2023</v>
      </c>
      <c r="B116" s="74">
        <v>223</v>
      </c>
      <c r="C116" s="75">
        <v>1</v>
      </c>
      <c r="D116" s="76"/>
      <c r="E116" s="77"/>
      <c r="F116" s="78"/>
      <c r="G116" s="61"/>
    </row>
    <row r="117" spans="1:7" x14ac:dyDescent="0.25">
      <c r="A117" s="73">
        <v>2024</v>
      </c>
      <c r="B117" s="74">
        <v>224</v>
      </c>
      <c r="C117" s="75">
        <v>1</v>
      </c>
      <c r="D117" s="76"/>
      <c r="E117" s="77"/>
      <c r="F117" s="78"/>
      <c r="G117" s="61"/>
    </row>
    <row r="118" spans="1:7" x14ac:dyDescent="0.25">
      <c r="A118" s="73">
        <v>2025</v>
      </c>
      <c r="B118" s="74">
        <v>225</v>
      </c>
      <c r="C118" s="75">
        <v>1</v>
      </c>
      <c r="D118" s="76"/>
      <c r="E118" s="77"/>
      <c r="F118" s="78"/>
      <c r="G118" s="61"/>
    </row>
    <row r="119" spans="1:7" x14ac:dyDescent="0.25">
      <c r="A119" s="73">
        <v>2026</v>
      </c>
      <c r="B119" s="74">
        <v>226</v>
      </c>
      <c r="C119" s="75">
        <v>1</v>
      </c>
      <c r="D119" s="76"/>
      <c r="E119" s="77"/>
      <c r="F119" s="78"/>
      <c r="G119" s="61"/>
    </row>
    <row r="120" spans="1:7" x14ac:dyDescent="0.25">
      <c r="A120" s="73">
        <v>2027</v>
      </c>
      <c r="B120" s="74">
        <v>227</v>
      </c>
      <c r="C120" s="75">
        <v>1</v>
      </c>
      <c r="D120" s="76"/>
      <c r="E120" s="77"/>
      <c r="F120" s="78"/>
      <c r="G120" s="61"/>
    </row>
    <row r="121" spans="1:7" x14ac:dyDescent="0.25">
      <c r="A121" s="73">
        <v>2028</v>
      </c>
      <c r="B121" s="74">
        <v>228</v>
      </c>
      <c r="C121" s="75">
        <v>1</v>
      </c>
      <c r="D121" s="76"/>
      <c r="E121" s="77"/>
      <c r="F121" s="78"/>
      <c r="G121" s="61"/>
    </row>
    <row r="122" spans="1:7" x14ac:dyDescent="0.25">
      <c r="A122" s="73">
        <v>2029</v>
      </c>
      <c r="B122" s="74">
        <v>229</v>
      </c>
      <c r="C122" s="75">
        <v>1</v>
      </c>
      <c r="D122" s="76"/>
      <c r="E122" s="77"/>
      <c r="F122" s="78"/>
      <c r="G122" s="61"/>
    </row>
    <row r="123" spans="1:7" x14ac:dyDescent="0.25">
      <c r="A123" s="73">
        <v>2030</v>
      </c>
      <c r="B123" s="74">
        <v>230</v>
      </c>
      <c r="C123" s="75">
        <v>1</v>
      </c>
      <c r="D123" s="76"/>
      <c r="E123" s="77"/>
      <c r="F123" s="78"/>
      <c r="G123" s="61"/>
    </row>
    <row r="124" spans="1:7" x14ac:dyDescent="0.25">
      <c r="A124" s="181">
        <v>3001</v>
      </c>
      <c r="B124" s="182">
        <v>301</v>
      </c>
      <c r="C124" s="183">
        <v>1</v>
      </c>
      <c r="D124" s="184"/>
      <c r="E124" s="185"/>
      <c r="F124" s="186"/>
      <c r="G124" s="61"/>
    </row>
    <row r="125" spans="1:7" x14ac:dyDescent="0.25">
      <c r="A125" s="73">
        <v>3002</v>
      </c>
      <c r="B125" s="74">
        <v>302</v>
      </c>
      <c r="C125" s="75">
        <v>1</v>
      </c>
      <c r="D125" s="76"/>
      <c r="E125" s="77"/>
      <c r="F125" s="78"/>
      <c r="G125" s="61"/>
    </row>
    <row r="126" spans="1:7" x14ac:dyDescent="0.25">
      <c r="A126" s="73">
        <v>3003</v>
      </c>
      <c r="B126" s="74">
        <v>303</v>
      </c>
      <c r="C126" s="75">
        <v>1</v>
      </c>
      <c r="D126" s="76"/>
      <c r="E126" s="77"/>
      <c r="F126" s="78"/>
      <c r="G126" s="61"/>
    </row>
    <row r="127" spans="1:7" x14ac:dyDescent="0.25">
      <c r="A127" s="73">
        <v>3004</v>
      </c>
      <c r="B127" s="74">
        <v>304</v>
      </c>
      <c r="C127" s="75">
        <v>1</v>
      </c>
      <c r="D127" s="76"/>
      <c r="E127" s="77"/>
      <c r="F127" s="78"/>
      <c r="G127" s="61"/>
    </row>
    <row r="128" spans="1:7" x14ac:dyDescent="0.25">
      <c r="A128" s="73">
        <v>3005</v>
      </c>
      <c r="B128" s="74">
        <v>305</v>
      </c>
      <c r="C128" s="75">
        <v>1</v>
      </c>
      <c r="D128" s="76"/>
      <c r="E128" s="77"/>
      <c r="F128" s="78"/>
      <c r="G128" s="61"/>
    </row>
    <row r="129" spans="1:7" x14ac:dyDescent="0.25">
      <c r="A129" s="73">
        <v>3006</v>
      </c>
      <c r="B129" s="74">
        <v>306</v>
      </c>
      <c r="C129" s="75">
        <v>1</v>
      </c>
      <c r="D129" s="76"/>
      <c r="E129" s="77"/>
      <c r="F129" s="78"/>
      <c r="G129" s="61"/>
    </row>
    <row r="130" spans="1:7" x14ac:dyDescent="0.25">
      <c r="A130" s="73">
        <v>3007</v>
      </c>
      <c r="B130" s="74">
        <v>307</v>
      </c>
      <c r="C130" s="75">
        <v>1</v>
      </c>
      <c r="D130" s="76"/>
      <c r="E130" s="77"/>
      <c r="F130" s="78"/>
      <c r="G130" s="61"/>
    </row>
    <row r="131" spans="1:7" x14ac:dyDescent="0.25">
      <c r="A131" s="73">
        <v>3008</v>
      </c>
      <c r="B131" s="74">
        <v>308</v>
      </c>
      <c r="C131" s="75">
        <v>1</v>
      </c>
      <c r="D131" s="76"/>
      <c r="E131" s="77"/>
      <c r="F131" s="78"/>
      <c r="G131" s="61"/>
    </row>
    <row r="132" spans="1:7" x14ac:dyDescent="0.25">
      <c r="A132" s="73">
        <v>3009</v>
      </c>
      <c r="B132" s="74">
        <v>309</v>
      </c>
      <c r="C132" s="75">
        <v>1</v>
      </c>
      <c r="D132" s="76"/>
      <c r="E132" s="77"/>
      <c r="F132" s="78"/>
      <c r="G132" s="61"/>
    </row>
    <row r="133" spans="1:7" x14ac:dyDescent="0.25">
      <c r="A133" s="73">
        <v>3010</v>
      </c>
      <c r="B133" s="74">
        <v>310</v>
      </c>
      <c r="C133" s="75">
        <v>1</v>
      </c>
      <c r="D133" s="76"/>
      <c r="E133" s="77"/>
      <c r="F133" s="78"/>
      <c r="G133" s="61"/>
    </row>
    <row r="134" spans="1:7" x14ac:dyDescent="0.25">
      <c r="A134" s="73">
        <v>3011</v>
      </c>
      <c r="B134" s="74">
        <v>311</v>
      </c>
      <c r="C134" s="75">
        <v>1</v>
      </c>
      <c r="D134" s="76"/>
      <c r="E134" s="77"/>
      <c r="F134" s="78"/>
      <c r="G134" s="61"/>
    </row>
    <row r="135" spans="1:7" x14ac:dyDescent="0.25">
      <c r="A135" s="73">
        <v>3012</v>
      </c>
      <c r="B135" s="74">
        <v>312</v>
      </c>
      <c r="C135" s="75">
        <v>1</v>
      </c>
      <c r="D135" s="76"/>
      <c r="E135" s="77"/>
      <c r="F135" s="78"/>
      <c r="G135" s="61"/>
    </row>
    <row r="136" spans="1:7" x14ac:dyDescent="0.25">
      <c r="A136" s="73">
        <v>3013</v>
      </c>
      <c r="B136" s="74">
        <v>313</v>
      </c>
      <c r="C136" s="75">
        <v>1</v>
      </c>
      <c r="D136" s="76"/>
      <c r="E136" s="77"/>
      <c r="F136" s="78"/>
      <c r="G136" s="61"/>
    </row>
    <row r="137" spans="1:7" x14ac:dyDescent="0.25">
      <c r="A137" s="73">
        <v>3014</v>
      </c>
      <c r="B137" s="74">
        <v>314</v>
      </c>
      <c r="C137" s="75">
        <v>1</v>
      </c>
      <c r="D137" s="76"/>
      <c r="E137" s="77"/>
      <c r="F137" s="78"/>
      <c r="G137" s="61"/>
    </row>
    <row r="138" spans="1:7" x14ac:dyDescent="0.25">
      <c r="A138" s="73">
        <v>3015</v>
      </c>
      <c r="B138" s="74">
        <v>315</v>
      </c>
      <c r="C138" s="75">
        <v>1</v>
      </c>
      <c r="D138" s="76"/>
      <c r="E138" s="77"/>
      <c r="F138" s="78"/>
      <c r="G138" s="61"/>
    </row>
    <row r="139" spans="1:7" x14ac:dyDescent="0.25">
      <c r="A139" s="73">
        <v>3016</v>
      </c>
      <c r="B139" s="74">
        <v>316</v>
      </c>
      <c r="C139" s="75">
        <v>1</v>
      </c>
      <c r="D139" s="76"/>
      <c r="E139" s="77"/>
      <c r="F139" s="78"/>
      <c r="G139" s="61"/>
    </row>
    <row r="140" spans="1:7" x14ac:dyDescent="0.25">
      <c r="A140" s="73">
        <v>3017</v>
      </c>
      <c r="B140" s="74">
        <v>317</v>
      </c>
      <c r="C140" s="75">
        <v>1</v>
      </c>
      <c r="D140" s="76"/>
      <c r="E140" s="77"/>
      <c r="F140" s="78"/>
      <c r="G140" s="61"/>
    </row>
    <row r="141" spans="1:7" x14ac:dyDescent="0.25">
      <c r="A141" s="73">
        <v>3018</v>
      </c>
      <c r="B141" s="74">
        <v>318</v>
      </c>
      <c r="C141" s="75">
        <v>1</v>
      </c>
      <c r="D141" s="76"/>
      <c r="E141" s="77"/>
      <c r="F141" s="78"/>
      <c r="G141" s="61"/>
    </row>
    <row r="142" spans="1:7" x14ac:dyDescent="0.25">
      <c r="A142" s="73">
        <v>3019</v>
      </c>
      <c r="B142" s="74">
        <v>319</v>
      </c>
      <c r="C142" s="75">
        <v>1</v>
      </c>
      <c r="D142" s="76"/>
      <c r="E142" s="77"/>
      <c r="F142" s="78"/>
      <c r="G142" s="61"/>
    </row>
    <row r="143" spans="1:7" x14ac:dyDescent="0.25">
      <c r="A143" s="73">
        <v>3020</v>
      </c>
      <c r="B143" s="74">
        <v>320</v>
      </c>
      <c r="C143" s="75">
        <v>1</v>
      </c>
      <c r="D143" s="76"/>
      <c r="E143" s="77"/>
      <c r="F143" s="78"/>
      <c r="G143" s="61"/>
    </row>
    <row r="144" spans="1:7" x14ac:dyDescent="0.25">
      <c r="A144" s="73">
        <v>3021</v>
      </c>
      <c r="B144" s="74">
        <v>321</v>
      </c>
      <c r="C144" s="75">
        <v>1</v>
      </c>
      <c r="D144" s="76"/>
      <c r="E144" s="77"/>
      <c r="F144" s="78"/>
      <c r="G144" s="61"/>
    </row>
    <row r="145" spans="1:7" x14ac:dyDescent="0.25">
      <c r="A145" s="73">
        <v>3022</v>
      </c>
      <c r="B145" s="74">
        <v>322</v>
      </c>
      <c r="C145" s="75">
        <v>1</v>
      </c>
      <c r="D145" s="76"/>
      <c r="E145" s="77"/>
      <c r="F145" s="78"/>
      <c r="G145" s="61"/>
    </row>
    <row r="146" spans="1:7" x14ac:dyDescent="0.25">
      <c r="A146" s="73">
        <v>3023</v>
      </c>
      <c r="B146" s="74">
        <v>323</v>
      </c>
      <c r="C146" s="75">
        <v>1</v>
      </c>
      <c r="D146" s="76"/>
      <c r="E146" s="77"/>
      <c r="F146" s="78"/>
      <c r="G146" s="61"/>
    </row>
    <row r="147" spans="1:7" x14ac:dyDescent="0.25">
      <c r="A147" s="73">
        <v>3024</v>
      </c>
      <c r="B147" s="74">
        <v>324</v>
      </c>
      <c r="C147" s="75">
        <v>1</v>
      </c>
      <c r="D147" s="76"/>
      <c r="E147" s="77"/>
      <c r="F147" s="78"/>
      <c r="G147" s="61"/>
    </row>
    <row r="148" spans="1:7" x14ac:dyDescent="0.25">
      <c r="A148" s="73">
        <v>3025</v>
      </c>
      <c r="B148" s="74">
        <v>325</v>
      </c>
      <c r="C148" s="75">
        <v>1</v>
      </c>
      <c r="D148" s="76"/>
      <c r="E148" s="77"/>
      <c r="F148" s="78"/>
      <c r="G148" s="61"/>
    </row>
    <row r="149" spans="1:7" x14ac:dyDescent="0.25">
      <c r="A149" s="73">
        <v>3026</v>
      </c>
      <c r="B149" s="74">
        <v>326</v>
      </c>
      <c r="C149" s="75">
        <v>1</v>
      </c>
      <c r="D149" s="76"/>
      <c r="E149" s="77"/>
      <c r="F149" s="78"/>
      <c r="G149" s="61"/>
    </row>
    <row r="150" spans="1:7" x14ac:dyDescent="0.25">
      <c r="A150" s="73">
        <v>3027</v>
      </c>
      <c r="B150" s="74">
        <v>327</v>
      </c>
      <c r="C150" s="75">
        <v>1</v>
      </c>
      <c r="D150" s="76"/>
      <c r="E150" s="77"/>
      <c r="F150" s="78"/>
      <c r="G150" s="61"/>
    </row>
    <row r="151" spans="1:7" x14ac:dyDescent="0.25">
      <c r="A151" s="73">
        <v>3028</v>
      </c>
      <c r="B151" s="74">
        <v>328</v>
      </c>
      <c r="C151" s="75">
        <v>1</v>
      </c>
      <c r="D151" s="76"/>
      <c r="E151" s="77"/>
      <c r="F151" s="78"/>
      <c r="G151" s="61"/>
    </row>
    <row r="152" spans="1:7" x14ac:dyDescent="0.25">
      <c r="A152" s="73">
        <v>3029</v>
      </c>
      <c r="B152" s="74">
        <v>329</v>
      </c>
      <c r="C152" s="75">
        <v>1</v>
      </c>
      <c r="D152" s="76"/>
      <c r="E152" s="77"/>
      <c r="F152" s="78"/>
      <c r="G152" s="61"/>
    </row>
    <row r="153" spans="1:7" x14ac:dyDescent="0.25">
      <c r="A153" s="73">
        <v>3030</v>
      </c>
      <c r="B153" s="74">
        <v>330</v>
      </c>
      <c r="C153" s="75">
        <v>1</v>
      </c>
      <c r="D153" s="76"/>
      <c r="E153" s="77"/>
      <c r="F153" s="78"/>
      <c r="G153" s="61"/>
    </row>
    <row r="154" spans="1:7" x14ac:dyDescent="0.25">
      <c r="A154" s="73" t="s">
        <v>21</v>
      </c>
      <c r="B154" s="74"/>
      <c r="C154" s="75">
        <v>1</v>
      </c>
      <c r="D154" s="76" t="s">
        <v>22</v>
      </c>
      <c r="E154" s="77">
        <v>0</v>
      </c>
      <c r="F154" s="78"/>
      <c r="G154" s="61"/>
    </row>
    <row r="155" spans="1:7" ht="15.75" thickBot="1" x14ac:dyDescent="0.3">
      <c r="A155" s="80" t="s">
        <v>23</v>
      </c>
      <c r="B155" s="81"/>
      <c r="C155" s="82">
        <v>1</v>
      </c>
      <c r="D155" s="83" t="s">
        <v>24</v>
      </c>
      <c r="E155" s="84">
        <v>0</v>
      </c>
      <c r="F155" s="85"/>
      <c r="G155" s="61"/>
    </row>
    <row r="156" spans="1:7" ht="15.75" thickBot="1" x14ac:dyDescent="0.3">
      <c r="A156" s="86" t="s">
        <v>6</v>
      </c>
      <c r="B156" s="87" t="s">
        <v>6</v>
      </c>
      <c r="C156" s="86" t="s">
        <v>6</v>
      </c>
      <c r="D156" s="88" t="s">
        <v>6</v>
      </c>
      <c r="E156" s="86" t="s">
        <v>6</v>
      </c>
      <c r="F156" s="89"/>
      <c r="G156" s="61"/>
    </row>
  </sheetData>
  <autoFilter ref="A3:F156" xr:uid="{7FA5FF96-560F-48A4-B395-E09E918E5F84}"/>
  <mergeCells count="46">
    <mergeCell ref="K3:K4"/>
    <mergeCell ref="J3:J4"/>
    <mergeCell ref="M3:N3"/>
    <mergeCell ref="A1:F2"/>
    <mergeCell ref="O3:Q4"/>
    <mergeCell ref="O5:Q5"/>
    <mergeCell ref="O6:Q6"/>
    <mergeCell ref="O7:Q7"/>
    <mergeCell ref="L3:L4"/>
    <mergeCell ref="O8:Q8"/>
    <mergeCell ref="O9:Q9"/>
    <mergeCell ref="O10:Q10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20:Q20"/>
    <mergeCell ref="O21:Q21"/>
    <mergeCell ref="O22:Q22"/>
    <mergeCell ref="O32:Q32"/>
    <mergeCell ref="O23:Q23"/>
    <mergeCell ref="O24:Q24"/>
    <mergeCell ref="O25:Q25"/>
    <mergeCell ref="O26:Q26"/>
    <mergeCell ref="O27:Q27"/>
    <mergeCell ref="O43:Q43"/>
    <mergeCell ref="J1:Q2"/>
    <mergeCell ref="O38:Q38"/>
    <mergeCell ref="O39:Q39"/>
    <mergeCell ref="O40:Q40"/>
    <mergeCell ref="O41:Q41"/>
    <mergeCell ref="O42:Q42"/>
    <mergeCell ref="O33:Q33"/>
    <mergeCell ref="O34:Q34"/>
    <mergeCell ref="O35:Q35"/>
    <mergeCell ref="O36:Q36"/>
    <mergeCell ref="O37:Q37"/>
    <mergeCell ref="O28:Q28"/>
    <mergeCell ref="O29:Q29"/>
    <mergeCell ref="O30:Q30"/>
    <mergeCell ref="O31:Q31"/>
  </mergeCells>
  <printOptions horizontalCentered="1"/>
  <pageMargins left="0.31496062992125984" right="0.31496062992125984" top="0.35433070866141736" bottom="0.35433070866141736" header="0.31496062992125984" footer="0.31496062992125984"/>
  <pageSetup orientation="portrait" verticalDpi="20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5F65-D71C-4F5C-9C42-B24F74D719C9}">
  <sheetPr codeName="ورقة18">
    <tabColor rgb="FFFF0000"/>
  </sheetPr>
  <dimension ref="A1:L19"/>
  <sheetViews>
    <sheetView rightToLeft="1" workbookViewId="0">
      <selection activeCell="F25" sqref="F25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'14'!H1:I1+1</f>
        <v>41804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41804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IFERROR(VLOOKUP(الجدول15[[#This Row],[كود الصنف]],'تكويد الأصناف'!A:F,6,0),"")</f>
        <v/>
      </c>
      <c r="B5" s="36" t="str">
        <f>IFERROR(VLOOKUP(الجدول15[[#This Row],[كود الصنف]],'تكويد الأصناف'!A:F,3,0)," ")</f>
        <v xml:space="preserve"> </v>
      </c>
      <c r="C5" s="25"/>
      <c r="D5" s="10" t="str">
        <f>IFERROR(VLOOKUP(الجدول15[[#This Row],[كود الصنف]],'تكويد الأصناف'!A:F,4,0),"")</f>
        <v/>
      </c>
      <c r="E5" s="21" t="str">
        <f>IFERROR(VLOOKUP(الجدول15[[#This Row],[كود الصنف]],'تكويد الأصناف'!A:F,5,0),"")</f>
        <v/>
      </c>
      <c r="F5" s="22"/>
      <c r="G5" s="23"/>
      <c r="H5" s="195" t="str">
        <f>IFERROR(الجدول15[[#This Row],[فئة التكلفة]]*الجدول15[[#This Row],[العدد]]," ")</f>
        <v xml:space="preserve"> </v>
      </c>
      <c r="I5" s="20" t="str">
        <f>IFERROR(الجدول15[[#This Row],[سعر البيع]]-الجدول15[[#This Row],[فئة التكلفة]]*الجدول15[[#This Row],[العدد]],"")</f>
        <v/>
      </c>
      <c r="L5" s="1" t="s">
        <v>50</v>
      </c>
    </row>
    <row r="6" spans="1:12" x14ac:dyDescent="0.2">
      <c r="A6" s="36" t="str">
        <f>IFERROR(VLOOKUP(الجدول15[[#This Row],[كود الصنف]],'تكويد الأصناف'!A:F,6,0),"")</f>
        <v/>
      </c>
      <c r="B6" s="36" t="str">
        <f>IFERROR(VLOOKUP(الجدول15[[#This Row],[كود الصنف]],'تكويد الأصناف'!A:F,3,0)," ")</f>
        <v xml:space="preserve"> </v>
      </c>
      <c r="C6" s="25"/>
      <c r="D6" s="10" t="str">
        <f>IFERROR(VLOOKUP(الجدول15[[#This Row],[كود الصنف]],'تكويد الأصناف'!A:F,4,0),"")</f>
        <v/>
      </c>
      <c r="E6" s="21" t="str">
        <f>IFERROR(VLOOKUP(الجدول15[[#This Row],[كود الصنف]],'تكويد الأصناف'!A:F,5,0),"")</f>
        <v/>
      </c>
      <c r="F6" s="22"/>
      <c r="G6" s="23"/>
      <c r="H6" s="167" t="str">
        <f>IFERROR(الجدول15[[#This Row],[فئة التكلفة]]*الجدول15[[#This Row],[العدد]]," ")</f>
        <v xml:space="preserve"> </v>
      </c>
      <c r="I6" s="20" t="str">
        <f>IFERROR(الجدول15[[#This Row],[سعر البيع]]-الجدول15[[#This Row],[فئة التكلفة]]*الجدول15[[#This Row],[العدد]],"")</f>
        <v/>
      </c>
      <c r="L6" s="1" t="s">
        <v>51</v>
      </c>
    </row>
    <row r="7" spans="1:12" x14ac:dyDescent="0.2">
      <c r="A7" s="36" t="str">
        <f>IFERROR(VLOOKUP(الجدول15[[#This Row],[كود الصنف]],'تكويد الأصناف'!A:F,6,0),"")</f>
        <v/>
      </c>
      <c r="B7" s="36" t="str">
        <f>IFERROR(VLOOKUP(الجدول15[[#This Row],[كود الصنف]],'تكويد الأصناف'!A:F,3,0)," ")</f>
        <v xml:space="preserve"> </v>
      </c>
      <c r="C7" s="25"/>
      <c r="D7" s="10" t="str">
        <f>IFERROR(VLOOKUP(الجدول15[[#This Row],[كود الصنف]],'تكويد الأصناف'!A:F,4,0),"")</f>
        <v/>
      </c>
      <c r="E7" s="21" t="str">
        <f>IFERROR(VLOOKUP(الجدول15[[#This Row],[كود الصنف]],'تكويد الأصناف'!A:F,5,0),"")</f>
        <v/>
      </c>
      <c r="F7" s="22"/>
      <c r="G7" s="23"/>
      <c r="H7" s="167" t="str">
        <f>IFERROR(الجدول15[[#This Row],[فئة التكلفة]]*الجدول15[[#This Row],[العدد]]," ")</f>
        <v xml:space="preserve"> </v>
      </c>
      <c r="I7" s="20" t="str">
        <f>IFERROR(الجدول15[[#This Row],[سعر البيع]]-الجدول15[[#This Row],[فئة التكلفة]]*الجدول15[[#This Row],[العدد]],"")</f>
        <v/>
      </c>
      <c r="L7" s="1" t="s">
        <v>52</v>
      </c>
    </row>
    <row r="8" spans="1:12" x14ac:dyDescent="0.2">
      <c r="A8" s="36" t="str">
        <f>IFERROR(VLOOKUP(الجدول15[[#This Row],[كود الصنف]],'تكويد الأصناف'!A:F,6,0),"")</f>
        <v/>
      </c>
      <c r="B8" s="36" t="str">
        <f>IFERROR(VLOOKUP(الجدول15[[#This Row],[كود الصنف]],'تكويد الأصناف'!A:F,3,0)," ")</f>
        <v xml:space="preserve"> </v>
      </c>
      <c r="C8" s="25"/>
      <c r="D8" s="10" t="str">
        <f>IFERROR(VLOOKUP(الجدول15[[#This Row],[كود الصنف]],'تكويد الأصناف'!A:F,4,0),"")</f>
        <v/>
      </c>
      <c r="E8" s="21" t="str">
        <f>IFERROR(VLOOKUP(الجدول15[[#This Row],[كود الصنف]],'تكويد الأصناف'!A:F,5,0),"")</f>
        <v/>
      </c>
      <c r="F8" s="22"/>
      <c r="G8" s="23"/>
      <c r="H8" s="167" t="str">
        <f>IFERROR(الجدول15[[#This Row],[فئة التكلفة]]*الجدول15[[#This Row],[العدد]]," ")</f>
        <v xml:space="preserve"> </v>
      </c>
      <c r="I8" s="20" t="str">
        <f>IFERROR(الجدول15[[#This Row],[سعر البيع]]-الجدول15[[#This Row],[فئة التكلفة]]*الجدول15[[#This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SUBTOTAL(109,الجدول15[العدد])</f>
        <v>0</v>
      </c>
      <c r="G9" s="24">
        <f>SUBTOTAL(109,الجدول15[سعر البيع])</f>
        <v>0</v>
      </c>
      <c r="H9" s="19"/>
      <c r="I9" s="24">
        <f>SUBTOTAL(109,الجدول15[±])</f>
        <v>0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88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'14'!G16</f>
        <v>708.25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88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الجدول15[[#Totals],[سعر البيع]]</f>
        <v>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708.25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708.25</v>
      </c>
      <c r="H16" s="331"/>
      <c r="I16" s="332"/>
      <c r="L16" s="1">
        <v>13</v>
      </c>
    </row>
    <row r="17" spans="1:12" x14ac:dyDescent="0.2">
      <c r="A17" s="18"/>
      <c r="B17" s="188"/>
      <c r="C17" s="17"/>
      <c r="D17" s="31"/>
      <c r="E17" s="331"/>
      <c r="F17" s="331"/>
      <c r="G17" s="30">
        <f>SUM(G11:G16)</f>
        <v>708.25</v>
      </c>
      <c r="H17" s="331"/>
      <c r="I17" s="332"/>
      <c r="L17" s="1">
        <v>14</v>
      </c>
    </row>
    <row r="18" spans="1:12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الجدول15[[#Totals],[±]]</f>
        <v>0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475" priority="1" operator="equal">
      <formula>0</formula>
    </cfRule>
    <cfRule type="cellIs" dxfId="474" priority="2" operator="equal">
      <formula>0</formula>
    </cfRule>
    <cfRule type="cellIs" dxfId="473" priority="3" operator="lessThan">
      <formula>0</formula>
    </cfRule>
    <cfRule type="cellIs" dxfId="472" priority="4" operator="equal">
      <formula>0</formula>
    </cfRule>
  </conditionalFormatting>
  <dataValidations count="2">
    <dataValidation type="list" allowBlank="1" showInputMessage="1" showErrorMessage="1" sqref="E17:F17" xr:uid="{C3347AC6-BB24-499E-82D0-04CAA1C0EC45}">
      <formula1>$J$5:$J$16</formula1>
    </dataValidation>
    <dataValidation type="list" allowBlank="1" showInputMessage="1" showErrorMessage="1" sqref="E11:F15" xr:uid="{198116E9-2675-4944-AA8D-CC1C294A1E1F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A346-5012-4E12-BBE7-6AA8AB3974E8}">
  <sheetPr codeName="ورقة19">
    <tabColor rgb="FFFF0000"/>
  </sheetPr>
  <dimension ref="A1:L19"/>
  <sheetViews>
    <sheetView rightToLeft="1" tabSelected="1" workbookViewId="0">
      <selection activeCell="P12" sqref="P12"/>
    </sheetView>
  </sheetViews>
  <sheetFormatPr defaultRowHeight="14.25" x14ac:dyDescent="0.2"/>
  <cols>
    <col min="1" max="2" width="5.25" customWidth="1"/>
    <col min="3" max="3" width="7.875" customWidth="1"/>
    <col min="4" max="4" width="28.125" customWidth="1"/>
    <col min="5" max="5" width="6.75" customWidth="1"/>
    <col min="6" max="6" width="8" customWidth="1"/>
    <col min="7" max="7" width="11.375" customWidth="1"/>
    <col min="8" max="8" width="8.8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'15'!H1:I1+1</f>
        <v>41805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41805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>
        <f>IFERROR(VLOOKUP(الجدول16[[#This Row],[كود الصنف]],'تكويد الأصناف'!A:F,6,0),"")</f>
        <v>10</v>
      </c>
      <c r="B5" s="36">
        <f>IFERROR(VLOOKUP(الجدول16[[#This Row],[كود الصنف]],'تكويد الأصناف'!A:F,3,0)," ")</f>
        <v>4</v>
      </c>
      <c r="C5" s="25">
        <v>1004</v>
      </c>
      <c r="D5" s="10" t="str">
        <f>IFERROR(VLOOKUP(الجدول16[[#This Row],[كود الصنف]],'تكويد الأصناف'!A:F,4,0),"")</f>
        <v>قفاطين وسهرات متنوعة</v>
      </c>
      <c r="E5" s="21">
        <f>IFERROR(VLOOKUP(الجدول16[[#This Row],[كود الصنف]],'تكويد الأصناف'!A:F,5,0),"")</f>
        <v>20</v>
      </c>
      <c r="F5" s="22">
        <v>1</v>
      </c>
      <c r="G5" s="23">
        <v>20</v>
      </c>
      <c r="H5" s="195">
        <f>IFERROR(الجدول16[[#This Row],[فئة التكلفة]]*الجدول16[[#This Row],[العدد]]," ")</f>
        <v>10</v>
      </c>
      <c r="I5" s="20">
        <f>IFERROR(الجدول16[[#This Row],[سعر البيع]]-الجدول16[[#This Row],[فئة التكلفة]]*الجدول16[[#This Row],[العدد]],"")</f>
        <v>10</v>
      </c>
      <c r="L5" s="1" t="s">
        <v>50</v>
      </c>
    </row>
    <row r="6" spans="1:12" x14ac:dyDescent="0.2">
      <c r="A6" s="36">
        <f>IFERROR(VLOOKUP(الجدول16[[#This Row],[كود الصنف]],'تكويد الأصناف'!A:F,6,0),"")</f>
        <v>10</v>
      </c>
      <c r="B6" s="36">
        <f>IFERROR(VLOOKUP(الجدول16[[#This Row],[كود الصنف]],'تكويد الأصناف'!A:F,3,0)," ")</f>
        <v>4</v>
      </c>
      <c r="C6" s="25">
        <v>1005</v>
      </c>
      <c r="D6" s="10" t="str">
        <f>IFERROR(VLOOKUP(الجدول16[[#This Row],[كود الصنف]],'تكويد الأصناف'!A:F,4,0),"")</f>
        <v>جلباب سبور كتانات منوع</v>
      </c>
      <c r="E6" s="21">
        <f>IFERROR(VLOOKUP(الجدول16[[#This Row],[كود الصنف]],'تكويد الأصناف'!A:F,5,0),"")</f>
        <v>15</v>
      </c>
      <c r="F6" s="22">
        <v>1</v>
      </c>
      <c r="G6" s="23">
        <v>18</v>
      </c>
      <c r="H6" s="167">
        <f>IFERROR(الجدول16[[#This Row],[فئة التكلفة]]*الجدول16[[#This Row],[العدد]]," ")</f>
        <v>10</v>
      </c>
      <c r="I6" s="20">
        <f>IFERROR(الجدول16[[#This Row],[سعر البيع]]-الجدول16[[#This Row],[فئة التكلفة]]*الجدول16[[#This Row],[العدد]],"")</f>
        <v>8</v>
      </c>
      <c r="L6" s="1" t="s">
        <v>51</v>
      </c>
    </row>
    <row r="7" spans="1:12" x14ac:dyDescent="0.2">
      <c r="A7" s="36" t="str">
        <f>IFERROR(VLOOKUP(الجدول16[[#This Row],[كود الصنف]],'تكويد الأصناف'!A:F,6,0),"")</f>
        <v/>
      </c>
      <c r="B7" s="36" t="str">
        <f>IFERROR(VLOOKUP(الجدول16[[#This Row],[كود الصنف]],'تكويد الأصناف'!A:F,3,0)," ")</f>
        <v xml:space="preserve"> </v>
      </c>
      <c r="C7" s="25"/>
      <c r="D7" s="10" t="str">
        <f>IFERROR(VLOOKUP(الجدول16[[#This Row],[كود الصنف]],'تكويد الأصناف'!A:F,4,0),"")</f>
        <v/>
      </c>
      <c r="E7" s="21" t="str">
        <f>IFERROR(VLOOKUP(الجدول16[[#This Row],[كود الصنف]],'تكويد الأصناف'!A:F,5,0),"")</f>
        <v/>
      </c>
      <c r="F7" s="22"/>
      <c r="G7" s="23"/>
      <c r="H7" s="167" t="str">
        <f>IFERROR(الجدول16[[#This Row],[فئة التكلفة]]*الجدول16[[#This Row],[العدد]]," ")</f>
        <v xml:space="preserve"> </v>
      </c>
      <c r="I7" s="20" t="str">
        <f>IFERROR(الجدول16[[#This Row],[سعر البيع]]-الجدول16[[#This Row],[فئة التكلفة]]*الجدول16[[#This Row],[العدد]],"")</f>
        <v/>
      </c>
      <c r="L7" s="1" t="s">
        <v>52</v>
      </c>
    </row>
    <row r="8" spans="1:12" x14ac:dyDescent="0.2">
      <c r="A8" s="36" t="str">
        <f>IFERROR(VLOOKUP(الجدول16[[#This Row],[كود الصنف]],'تكويد الأصناف'!A:F,6,0),"")</f>
        <v/>
      </c>
      <c r="B8" s="36" t="str">
        <f>IFERROR(VLOOKUP(الجدول16[[#This Row],[كود الصنف]],'تكويد الأصناف'!A:F,3,0)," ")</f>
        <v xml:space="preserve"> </v>
      </c>
      <c r="C8" s="25"/>
      <c r="D8" s="10" t="str">
        <f>IFERROR(VLOOKUP(الجدول16[[#This Row],[كود الصنف]],'تكويد الأصناف'!A:F,4,0),"")</f>
        <v/>
      </c>
      <c r="E8" s="21" t="str">
        <f>IFERROR(VLOOKUP(الجدول16[[#This Row],[كود الصنف]],'تكويد الأصناف'!A:F,5,0),"")</f>
        <v/>
      </c>
      <c r="F8" s="22"/>
      <c r="G8" s="23"/>
      <c r="H8" s="167" t="str">
        <f>IFERROR(الجدول16[[#This Row],[فئة التكلفة]]*الجدول16[[#This Row],[العدد]]," ")</f>
        <v xml:space="preserve"> </v>
      </c>
      <c r="I8" s="20" t="str">
        <f>IFERROR(الجدول16[[#This Row],[سعر البيع]]-الجدول16[[#This Row],[فئة التكلفة]]*الجدول16[[#This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SUBTOTAL(109,الجدول16[العدد])</f>
        <v>2</v>
      </c>
      <c r="G9" s="24">
        <f>SUBTOTAL(109,الجدول16[سعر البيع])</f>
        <v>38</v>
      </c>
      <c r="H9" s="19"/>
      <c r="I9" s="24">
        <f>SUBTOTAL(109,الجدول16[±])</f>
        <v>18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88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'15'!G16</f>
        <v>708.25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88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الجدول16[[#Totals],[سعر البيع]]</f>
        <v>38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L16" s="1">
        <v>13</v>
      </c>
    </row>
    <row r="17" spans="1:12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L17" s="1">
        <v>14</v>
      </c>
    </row>
    <row r="18" spans="1:12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6"/>
      <c r="C19" s="2">
        <f>الجدول16[[#Totals],[±]]</f>
        <v>18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447" priority="1" operator="equal">
      <formula>0</formula>
    </cfRule>
    <cfRule type="cellIs" dxfId="446" priority="2" operator="equal">
      <formula>0</formula>
    </cfRule>
    <cfRule type="cellIs" dxfId="445" priority="3" operator="lessThan">
      <formula>0</formula>
    </cfRule>
    <cfRule type="cellIs" dxfId="444" priority="4" operator="equal">
      <formula>0</formula>
    </cfRule>
  </conditionalFormatting>
  <dataValidations count="2">
    <dataValidation type="list" allowBlank="1" showInputMessage="1" showErrorMessage="1" sqref="E11:F15" xr:uid="{816183DF-0D50-48DA-B284-6BC3AAE5B36C}">
      <formula1>$L$5:$L$18</formula1>
    </dataValidation>
    <dataValidation type="list" allowBlank="1" showInputMessage="1" showErrorMessage="1" sqref="E17:F17" xr:uid="{276DA44E-A141-4F73-9495-DDB38328F1AC}">
      <formula1>$J$5:$J$16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203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4BB2-B384-4068-BD8F-04094CC0FDAA}">
  <sheetPr codeName="ورقة20">
    <tabColor rgb="FFFF0000"/>
  </sheetPr>
  <dimension ref="A1:L19"/>
  <sheetViews>
    <sheetView rightToLeft="1" workbookViewId="0">
      <selection activeCell="F29" sqref="F29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'16'!H1:I1+1</f>
        <v>41806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41806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IFERROR(VLOOKUP(الجدول17[[#This Row],[كود الصنف]],'تكويد الأصناف'!A:F,6,0),"")</f>
        <v/>
      </c>
      <c r="B5" s="36" t="str">
        <f>IFERROR(VLOOKUP(الجدول17[[#This Row],[كود الصنف]],'تكويد الأصناف'!A:F,3,0)," ")</f>
        <v xml:space="preserve"> </v>
      </c>
      <c r="C5" s="25"/>
      <c r="D5" s="10" t="str">
        <f>IFERROR(VLOOKUP(الجدول17[[#This Row],[كود الصنف]],'تكويد الأصناف'!A:F,4,0),"")</f>
        <v/>
      </c>
      <c r="E5" s="21" t="str">
        <f>IFERROR(VLOOKUP(الجدول17[[#This Row],[كود الصنف]],'تكويد الأصناف'!A:F,5,0),"")</f>
        <v/>
      </c>
      <c r="F5" s="22"/>
      <c r="G5" s="23"/>
      <c r="H5" s="195" t="str">
        <f>IFERROR(الجدول17[[#This Row],[فئة التكلفة]]*الجدول17[[#This Row],[العدد]]," ")</f>
        <v xml:space="preserve"> </v>
      </c>
      <c r="I5" s="20" t="str">
        <f>IFERROR(الجدول17[[#This Row],[سعر البيع]]-الجدول17[[#This Row],[فئة التكلفة]]*الجدول17[[#This Row],[العدد]],"")</f>
        <v/>
      </c>
      <c r="L5" s="1" t="s">
        <v>50</v>
      </c>
    </row>
    <row r="6" spans="1:12" x14ac:dyDescent="0.2">
      <c r="A6" s="36" t="str">
        <f>IFERROR(VLOOKUP(الجدول17[[#This Row],[كود الصنف]],'تكويد الأصناف'!A:F,6,0),"")</f>
        <v/>
      </c>
      <c r="B6" s="36" t="str">
        <f>IFERROR(VLOOKUP(الجدول17[[#This Row],[كود الصنف]],'تكويد الأصناف'!A:F,3,0)," ")</f>
        <v xml:space="preserve"> </v>
      </c>
      <c r="C6" s="25"/>
      <c r="D6" s="10" t="str">
        <f>IFERROR(VLOOKUP(الجدول17[[#This Row],[كود الصنف]],'تكويد الأصناف'!A:F,4,0),"")</f>
        <v/>
      </c>
      <c r="E6" s="21" t="str">
        <f>IFERROR(VLOOKUP(الجدول17[[#This Row],[كود الصنف]],'تكويد الأصناف'!A:F,5,0),"")</f>
        <v/>
      </c>
      <c r="F6" s="22"/>
      <c r="G6" s="23"/>
      <c r="H6" s="167" t="str">
        <f>IFERROR(الجدول17[[#This Row],[فئة التكلفة]]*الجدول17[[#This Row],[العدد]]," ")</f>
        <v xml:space="preserve"> </v>
      </c>
      <c r="I6" s="20" t="str">
        <f>IFERROR(الجدول17[[#This Row],[سعر البيع]]-الجدول17[[#This Row],[فئة التكلفة]]*الجدول17[[#This Row],[العدد]],"")</f>
        <v/>
      </c>
      <c r="L6" s="1" t="s">
        <v>51</v>
      </c>
    </row>
    <row r="7" spans="1:12" x14ac:dyDescent="0.2">
      <c r="A7" s="36" t="str">
        <f>IFERROR(VLOOKUP(الجدول17[[#This Row],[كود الصنف]],'تكويد الأصناف'!A:F,6,0),"")</f>
        <v/>
      </c>
      <c r="B7" s="36" t="str">
        <f>IFERROR(VLOOKUP(الجدول17[[#This Row],[كود الصنف]],'تكويد الأصناف'!A:F,3,0)," ")</f>
        <v xml:space="preserve"> </v>
      </c>
      <c r="C7" s="25"/>
      <c r="D7" s="10" t="str">
        <f>IFERROR(VLOOKUP(الجدول17[[#This Row],[كود الصنف]],'تكويد الأصناف'!A:F,4,0),"")</f>
        <v/>
      </c>
      <c r="E7" s="21" t="str">
        <f>IFERROR(VLOOKUP(الجدول17[[#This Row],[كود الصنف]],'تكويد الأصناف'!A:F,5,0),"")</f>
        <v/>
      </c>
      <c r="F7" s="22"/>
      <c r="G7" s="23"/>
      <c r="H7" s="167" t="str">
        <f>IFERROR(الجدول17[[#This Row],[فئة التكلفة]]*الجدول17[[#This Row],[العدد]]," ")</f>
        <v xml:space="preserve"> </v>
      </c>
      <c r="I7" s="20" t="str">
        <f>IFERROR(الجدول17[[#This Row],[سعر البيع]]-الجدول17[[#This Row],[فئة التكلفة]]*الجدول17[[#This Row],[العدد]],"")</f>
        <v/>
      </c>
      <c r="L7" s="1" t="s">
        <v>52</v>
      </c>
    </row>
    <row r="8" spans="1:12" x14ac:dyDescent="0.2">
      <c r="A8" s="36" t="str">
        <f>IFERROR(VLOOKUP(الجدول17[[#This Row],[كود الصنف]],'تكويد الأصناف'!A:F,6,0),"")</f>
        <v/>
      </c>
      <c r="B8" s="36" t="str">
        <f>IFERROR(VLOOKUP(الجدول17[[#This Row],[كود الصنف]],'تكويد الأصناف'!A:F,3,0)," ")</f>
        <v xml:space="preserve"> </v>
      </c>
      <c r="C8" s="25"/>
      <c r="D8" s="10" t="str">
        <f>IFERROR(VLOOKUP(الجدول17[[#This Row],[كود الصنف]],'تكويد الأصناف'!A:F,4,0),"")</f>
        <v/>
      </c>
      <c r="E8" s="21" t="str">
        <f>IFERROR(VLOOKUP(الجدول17[[#This Row],[كود الصنف]],'تكويد الأصناف'!A:F,5,0),"")</f>
        <v/>
      </c>
      <c r="F8" s="22"/>
      <c r="G8" s="23"/>
      <c r="H8" s="167" t="str">
        <f>IFERROR(الجدول17[[#This Row],[فئة التكلفة]]*الجدول17[[#This Row],[العدد]]," ")</f>
        <v xml:space="preserve"> </v>
      </c>
      <c r="I8" s="20" t="str">
        <f>IFERROR(الجدول17[[#This Row],[سعر البيع]]-الجدول17[[#This Row],[فئة التكلفة]]*الجدول17[[#This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SUBTOTAL(109,الجدول17[العدد])</f>
        <v>0</v>
      </c>
      <c r="G9" s="24">
        <f>SUBTOTAL(109,الجدول17[سعر البيع])</f>
        <v>0</v>
      </c>
      <c r="H9" s="19"/>
      <c r="I9" s="24">
        <f>SUBTOTAL(109,الجدول17[±])</f>
        <v>0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88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'16'!G16</f>
        <v>746.25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88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الجدول17[[#Totals],[سعر البيع]]</f>
        <v>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L16" s="1">
        <v>13</v>
      </c>
    </row>
    <row r="17" spans="1:12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L17" s="1">
        <v>14</v>
      </c>
    </row>
    <row r="18" spans="1:12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الجدول17[[#Totals],[±]]</f>
        <v>0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428" priority="1" operator="equal">
      <formula>0</formula>
    </cfRule>
    <cfRule type="cellIs" dxfId="427" priority="2" operator="equal">
      <formula>0</formula>
    </cfRule>
    <cfRule type="cellIs" dxfId="426" priority="3" operator="lessThan">
      <formula>0</formula>
    </cfRule>
    <cfRule type="cellIs" dxfId="425" priority="4" operator="equal">
      <formula>0</formula>
    </cfRule>
  </conditionalFormatting>
  <dataValidations count="2">
    <dataValidation type="list" allowBlank="1" showInputMessage="1" showErrorMessage="1" sqref="E17:F17" xr:uid="{AD093365-BFEC-4BD1-99A6-88776C7C69CD}">
      <formula1>$J$5:$J$16</formula1>
    </dataValidation>
    <dataValidation type="list" allowBlank="1" showInputMessage="1" showErrorMessage="1" sqref="E11:F15" xr:uid="{21E0CF5A-7E2F-4FBF-8813-640726767250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77D7-DE52-4008-BE77-267E8E3A3013}">
  <sheetPr codeName="ورقة21">
    <tabColor rgb="FFFF0000"/>
  </sheetPr>
  <dimension ref="A1:L19"/>
  <sheetViews>
    <sheetView rightToLeft="1" workbookViewId="0">
      <selection activeCell="E38" sqref="E38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'17'!H1:I1+1</f>
        <v>41807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41807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IFERROR(VLOOKUP(الجدول18[[#This Row],[كود الصنف]],'تكويد الأصناف'!A:F,6,0),"")</f>
        <v/>
      </c>
      <c r="B5" s="36" t="str">
        <f>IFERROR(VLOOKUP(الجدول18[[#This Row],[كود الصنف]],'تكويد الأصناف'!A:F,3,0)," ")</f>
        <v xml:space="preserve"> </v>
      </c>
      <c r="C5" s="25"/>
      <c r="D5" s="10" t="str">
        <f>IFERROR(VLOOKUP(الجدول18[[#This Row],[كود الصنف]],'تكويد الأصناف'!A:F,4,0),"")</f>
        <v/>
      </c>
      <c r="E5" s="21" t="str">
        <f>IFERROR(VLOOKUP(الجدول18[[#This Row],[كود الصنف]],'تكويد الأصناف'!A:F,5,0),"")</f>
        <v/>
      </c>
      <c r="F5" s="22"/>
      <c r="G5" s="23"/>
      <c r="H5" s="195" t="str">
        <f>IFERROR(الجدول18[[#This Row],[فئة التكلفة]]*الجدول18[[#This Row],[العدد]]," ")</f>
        <v xml:space="preserve"> </v>
      </c>
      <c r="I5" s="20" t="str">
        <f>IFERROR(الجدول18[[#This Row],[سعر البيع]]-الجدول18[[#This Row],[فئة التكلفة]]*الجدول18[[#This Row],[العدد]],"")</f>
        <v/>
      </c>
      <c r="L5" s="1" t="s">
        <v>50</v>
      </c>
    </row>
    <row r="6" spans="1:12" x14ac:dyDescent="0.2">
      <c r="A6" s="36" t="str">
        <f>IFERROR(VLOOKUP(الجدول18[[#This Row],[كود الصنف]],'تكويد الأصناف'!A:F,6,0),"")</f>
        <v/>
      </c>
      <c r="B6" s="36" t="str">
        <f>IFERROR(VLOOKUP(الجدول18[[#This Row],[كود الصنف]],'تكويد الأصناف'!A:F,3,0)," ")</f>
        <v xml:space="preserve"> </v>
      </c>
      <c r="C6" s="25"/>
      <c r="D6" s="10" t="str">
        <f>IFERROR(VLOOKUP(الجدول18[[#This Row],[كود الصنف]],'تكويد الأصناف'!A:F,4,0),"")</f>
        <v/>
      </c>
      <c r="E6" s="21" t="str">
        <f>IFERROR(VLOOKUP(الجدول18[[#This Row],[كود الصنف]],'تكويد الأصناف'!A:F,5,0),"")</f>
        <v/>
      </c>
      <c r="F6" s="22"/>
      <c r="G6" s="23"/>
      <c r="H6" s="167" t="str">
        <f>IFERROR(الجدول18[[#This Row],[فئة التكلفة]]*الجدول18[[#This Row],[العدد]]," ")</f>
        <v xml:space="preserve"> </v>
      </c>
      <c r="I6" s="20" t="str">
        <f>IFERROR(الجدول18[[#This Row],[سعر البيع]]-الجدول18[[#This Row],[فئة التكلفة]]*الجدول18[[#This Row],[العدد]],"")</f>
        <v/>
      </c>
      <c r="L6" s="1" t="s">
        <v>51</v>
      </c>
    </row>
    <row r="7" spans="1:12" x14ac:dyDescent="0.2">
      <c r="A7" s="36" t="str">
        <f>IFERROR(VLOOKUP(الجدول18[[#This Row],[كود الصنف]],'تكويد الأصناف'!A:F,6,0),"")</f>
        <v/>
      </c>
      <c r="B7" s="36" t="str">
        <f>IFERROR(VLOOKUP(الجدول18[[#This Row],[كود الصنف]],'تكويد الأصناف'!A:F,3,0)," ")</f>
        <v xml:space="preserve"> </v>
      </c>
      <c r="C7" s="25"/>
      <c r="D7" s="10" t="str">
        <f>IFERROR(VLOOKUP(الجدول18[[#This Row],[كود الصنف]],'تكويد الأصناف'!A:F,4,0),"")</f>
        <v/>
      </c>
      <c r="E7" s="21" t="str">
        <f>IFERROR(VLOOKUP(الجدول18[[#This Row],[كود الصنف]],'تكويد الأصناف'!A:F,5,0),"")</f>
        <v/>
      </c>
      <c r="F7" s="22"/>
      <c r="G7" s="23"/>
      <c r="H7" s="167" t="str">
        <f>IFERROR(الجدول18[[#This Row],[فئة التكلفة]]*الجدول18[[#This Row],[العدد]]," ")</f>
        <v xml:space="preserve"> </v>
      </c>
      <c r="I7" s="20" t="str">
        <f>IFERROR(الجدول18[[#This Row],[سعر البيع]]-الجدول18[[#This Row],[فئة التكلفة]]*الجدول18[[#This Row],[العدد]],"")</f>
        <v/>
      </c>
      <c r="L7" s="1" t="s">
        <v>52</v>
      </c>
    </row>
    <row r="8" spans="1:12" x14ac:dyDescent="0.2">
      <c r="A8" s="36" t="str">
        <f>IFERROR(VLOOKUP(الجدول18[[#This Row],[كود الصنف]],'تكويد الأصناف'!A:F,6,0),"")</f>
        <v/>
      </c>
      <c r="B8" s="36" t="str">
        <f>IFERROR(VLOOKUP(الجدول18[[#This Row],[كود الصنف]],'تكويد الأصناف'!A:F,3,0)," ")</f>
        <v xml:space="preserve"> </v>
      </c>
      <c r="C8" s="25"/>
      <c r="D8" s="10" t="str">
        <f>IFERROR(VLOOKUP(الجدول18[[#This Row],[كود الصنف]],'تكويد الأصناف'!A:F,4,0),"")</f>
        <v/>
      </c>
      <c r="E8" s="21" t="str">
        <f>IFERROR(VLOOKUP(الجدول18[[#This Row],[كود الصنف]],'تكويد الأصناف'!A:F,5,0),"")</f>
        <v/>
      </c>
      <c r="F8" s="22"/>
      <c r="G8" s="23"/>
      <c r="H8" s="167" t="str">
        <f>IFERROR(الجدول18[[#This Row],[فئة التكلفة]]*الجدول18[[#This Row],[العدد]]," ")</f>
        <v xml:space="preserve"> </v>
      </c>
      <c r="I8" s="20" t="str">
        <f>IFERROR(الجدول18[[#This Row],[سعر البيع]]-الجدول18[[#This Row],[فئة التكلفة]]*الجدول18[[#This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SUBTOTAL(109,الجدول18[العدد])</f>
        <v>0</v>
      </c>
      <c r="G9" s="24">
        <f>SUBTOTAL(109,الجدول18[سعر البيع])</f>
        <v>0</v>
      </c>
      <c r="H9" s="19"/>
      <c r="I9" s="24">
        <f>SUBTOTAL(109,الجدول18[±])</f>
        <v>0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88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'17'!G16</f>
        <v>746.25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88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الجدول18[[#Totals],[سعر البيع]]</f>
        <v>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L16" s="1">
        <v>13</v>
      </c>
    </row>
    <row r="17" spans="1:12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L17" s="1">
        <v>14</v>
      </c>
    </row>
    <row r="18" spans="1:12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الجدول18[[#Totals],[±]]</f>
        <v>0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400" priority="1" operator="equal">
      <formula>0</formula>
    </cfRule>
    <cfRule type="cellIs" dxfId="399" priority="2" operator="equal">
      <formula>0</formula>
    </cfRule>
    <cfRule type="cellIs" dxfId="398" priority="3" operator="lessThan">
      <formula>0</formula>
    </cfRule>
    <cfRule type="cellIs" dxfId="397" priority="4" operator="equal">
      <formula>0</formula>
    </cfRule>
  </conditionalFormatting>
  <dataValidations count="2">
    <dataValidation type="list" allowBlank="1" showInputMessage="1" showErrorMessage="1" sqref="E11:F15" xr:uid="{83D7C195-1773-4869-877C-5C7DE6912691}">
      <formula1>$L$5:$L$18</formula1>
    </dataValidation>
    <dataValidation type="list" allowBlank="1" showInputMessage="1" showErrorMessage="1" sqref="E17:F17" xr:uid="{8885275F-12E0-4267-9D16-E5FFBAD652F1}">
      <formula1>$J$5:$J$16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498E-DF7F-4201-B63E-9002B29FF8B2}">
  <sheetPr codeName="ورقة22">
    <tabColor rgb="FFFF0000"/>
  </sheetPr>
  <dimension ref="A1:L19"/>
  <sheetViews>
    <sheetView rightToLeft="1" workbookViewId="0">
      <selection activeCell="G23" sqref="G23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'18'!H1:I1+1</f>
        <v>41808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41808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IFERROR(VLOOKUP(الجدول19[[#This Row],[كود الصنف]],'تكويد الأصناف'!A:F,6,0),"")</f>
        <v/>
      </c>
      <c r="B5" s="36" t="str">
        <f>IFERROR(VLOOKUP(الجدول19[[#This Row],[كود الصنف]],'تكويد الأصناف'!A:F,3,0)," ")</f>
        <v xml:space="preserve"> </v>
      </c>
      <c r="C5" s="25"/>
      <c r="D5" s="10" t="str">
        <f>IFERROR(VLOOKUP(الجدول19[[#This Row],[كود الصنف]],'تكويد الأصناف'!A:F,4,0),"")</f>
        <v/>
      </c>
      <c r="E5" s="21" t="str">
        <f>IFERROR(VLOOKUP(الجدول19[[#This Row],[كود الصنف]],'تكويد الأصناف'!A:F,5,0),"")</f>
        <v/>
      </c>
      <c r="F5" s="22"/>
      <c r="G5" s="23"/>
      <c r="H5" s="195" t="str">
        <f>IFERROR(الجدول19[[#This Row],[فئة التكلفة]]*الجدول19[[#This Row],[العدد]]," ")</f>
        <v xml:space="preserve"> </v>
      </c>
      <c r="I5" s="20" t="str">
        <f>IFERROR(الجدول19[[#This Row],[سعر البيع]]-الجدول19[[#This Row],[فئة التكلفة]]*الجدول19[[#This Row],[العدد]],"")</f>
        <v/>
      </c>
      <c r="L5" s="1" t="s">
        <v>50</v>
      </c>
    </row>
    <row r="6" spans="1:12" x14ac:dyDescent="0.2">
      <c r="A6" s="36" t="str">
        <f>IFERROR(VLOOKUP(الجدول19[[#This Row],[كود الصنف]],'تكويد الأصناف'!A:F,6,0),"")</f>
        <v/>
      </c>
      <c r="B6" s="36" t="str">
        <f>IFERROR(VLOOKUP(الجدول19[[#This Row],[كود الصنف]],'تكويد الأصناف'!A:F,3,0)," ")</f>
        <v xml:space="preserve"> </v>
      </c>
      <c r="C6" s="25"/>
      <c r="D6" s="10" t="str">
        <f>IFERROR(VLOOKUP(الجدول19[[#This Row],[كود الصنف]],'تكويد الأصناف'!A:F,4,0),"")</f>
        <v/>
      </c>
      <c r="E6" s="21" t="str">
        <f>IFERROR(VLOOKUP(الجدول19[[#This Row],[كود الصنف]],'تكويد الأصناف'!A:F,5,0),"")</f>
        <v/>
      </c>
      <c r="F6" s="22"/>
      <c r="G6" s="23"/>
      <c r="H6" s="167" t="str">
        <f>IFERROR(الجدول19[[#This Row],[فئة التكلفة]]*الجدول19[[#This Row],[العدد]]," ")</f>
        <v xml:space="preserve"> </v>
      </c>
      <c r="I6" s="20" t="str">
        <f>IFERROR(الجدول19[[#This Row],[سعر البيع]]-الجدول19[[#This Row],[فئة التكلفة]]*الجدول19[[#This Row],[العدد]],"")</f>
        <v/>
      </c>
      <c r="L6" s="1" t="s">
        <v>51</v>
      </c>
    </row>
    <row r="7" spans="1:12" x14ac:dyDescent="0.2">
      <c r="A7" s="36" t="str">
        <f>IFERROR(VLOOKUP(الجدول19[[#This Row],[كود الصنف]],'تكويد الأصناف'!A:F,6,0),"")</f>
        <v/>
      </c>
      <c r="B7" s="36" t="str">
        <f>IFERROR(VLOOKUP(الجدول19[[#This Row],[كود الصنف]],'تكويد الأصناف'!A:F,3,0)," ")</f>
        <v xml:space="preserve"> </v>
      </c>
      <c r="C7" s="25"/>
      <c r="D7" s="10" t="str">
        <f>IFERROR(VLOOKUP(الجدول19[[#This Row],[كود الصنف]],'تكويد الأصناف'!A:F,4,0),"")</f>
        <v/>
      </c>
      <c r="E7" s="21" t="str">
        <f>IFERROR(VLOOKUP(الجدول19[[#This Row],[كود الصنف]],'تكويد الأصناف'!A:F,5,0),"")</f>
        <v/>
      </c>
      <c r="F7" s="22"/>
      <c r="G7" s="23"/>
      <c r="H7" s="167" t="str">
        <f>IFERROR(الجدول19[[#This Row],[فئة التكلفة]]*الجدول19[[#This Row],[العدد]]," ")</f>
        <v xml:space="preserve"> </v>
      </c>
      <c r="I7" s="20" t="str">
        <f>IFERROR(الجدول19[[#This Row],[سعر البيع]]-الجدول19[[#This Row],[فئة التكلفة]]*الجدول19[[#This Row],[العدد]],"")</f>
        <v/>
      </c>
      <c r="L7" s="1" t="s">
        <v>52</v>
      </c>
    </row>
    <row r="8" spans="1:12" x14ac:dyDescent="0.2">
      <c r="A8" s="36" t="str">
        <f>IFERROR(VLOOKUP(الجدول19[[#This Row],[كود الصنف]],'تكويد الأصناف'!A:F,6,0),"")</f>
        <v/>
      </c>
      <c r="B8" s="36" t="str">
        <f>IFERROR(VLOOKUP(الجدول19[[#This Row],[كود الصنف]],'تكويد الأصناف'!A:F,3,0)," ")</f>
        <v xml:space="preserve"> </v>
      </c>
      <c r="C8" s="25"/>
      <c r="D8" s="10" t="str">
        <f>IFERROR(VLOOKUP(الجدول19[[#This Row],[كود الصنف]],'تكويد الأصناف'!A:F,4,0),"")</f>
        <v/>
      </c>
      <c r="E8" s="21" t="str">
        <f>IFERROR(VLOOKUP(الجدول19[[#This Row],[كود الصنف]],'تكويد الأصناف'!A:F,5,0),"")</f>
        <v/>
      </c>
      <c r="F8" s="22"/>
      <c r="G8" s="23"/>
      <c r="H8" s="167" t="str">
        <f>IFERROR(الجدول19[[#This Row],[فئة التكلفة]]*الجدول19[[#This Row],[العدد]]," ")</f>
        <v xml:space="preserve"> </v>
      </c>
      <c r="I8" s="20" t="str">
        <f>IFERROR(الجدول19[[#This Row],[سعر البيع]]-الجدول19[[#This Row],[فئة التكلفة]]*الجدول19[[#This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SUBTOTAL(109,الجدول19[العدد])</f>
        <v>0</v>
      </c>
      <c r="G9" s="24">
        <f>SUBTOTAL(109,الجدول19[سعر البيع])</f>
        <v>0</v>
      </c>
      <c r="H9" s="19"/>
      <c r="I9" s="24">
        <f>SUBTOTAL(109,الجدول19[±])</f>
        <v>0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88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'18'!G16</f>
        <v>746.25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88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الجدول19[[#Totals],[سعر البيع]]</f>
        <v>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L16" s="1">
        <v>13</v>
      </c>
    </row>
    <row r="17" spans="1:12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L17" s="1">
        <v>14</v>
      </c>
    </row>
    <row r="18" spans="1:12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الجدول19[[#Totals],[±]]</f>
        <v>0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372" priority="1" operator="equal">
      <formula>0</formula>
    </cfRule>
    <cfRule type="cellIs" dxfId="371" priority="2" operator="equal">
      <formula>0</formula>
    </cfRule>
    <cfRule type="cellIs" dxfId="370" priority="3" operator="lessThan">
      <formula>0</formula>
    </cfRule>
    <cfRule type="cellIs" dxfId="369" priority="4" operator="equal">
      <formula>0</formula>
    </cfRule>
  </conditionalFormatting>
  <dataValidations count="2">
    <dataValidation type="list" allowBlank="1" showInputMessage="1" showErrorMessage="1" sqref="E17:F17" xr:uid="{8A8D7E19-A0C2-4BEE-9F25-86505DAC7EDD}">
      <formula1>$J$5:$J$16</formula1>
    </dataValidation>
    <dataValidation type="list" allowBlank="1" showInputMessage="1" showErrorMessage="1" sqref="E11:F15" xr:uid="{839E85E3-15D1-4868-89A0-BF3CE3D19A68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0913-07F1-46EF-A3C8-48C9913BFB2B}">
  <sheetPr codeName="ورقة23">
    <tabColor rgb="FFFF0000"/>
  </sheetPr>
  <dimension ref="A1:L19"/>
  <sheetViews>
    <sheetView rightToLeft="1" workbookViewId="0">
      <selection activeCell="H27" sqref="H27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'19'!H1:I1+1</f>
        <v>41809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41809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IFERROR(VLOOKUP(الجدول20[[#This Row],[كود الصنف]],'تكويد الأصناف'!A:F,6,0),"")</f>
        <v/>
      </c>
      <c r="B5" s="36" t="str">
        <f>IFERROR(VLOOKUP(الجدول20[[#This Row],[كود الصنف]],'تكويد الأصناف'!A:F,3,0)," ")</f>
        <v xml:space="preserve"> </v>
      </c>
      <c r="C5" s="25"/>
      <c r="D5" s="10" t="str">
        <f>IFERROR(VLOOKUP(الجدول20[[#This Row],[كود الصنف]],'تكويد الأصناف'!A:F,4,0),"")</f>
        <v/>
      </c>
      <c r="E5" s="21" t="str">
        <f>IFERROR(VLOOKUP(الجدول20[[#This Row],[كود الصنف]],'تكويد الأصناف'!A:F,5,0),"")</f>
        <v/>
      </c>
      <c r="F5" s="22"/>
      <c r="G5" s="23"/>
      <c r="H5" s="195" t="str">
        <f>IFERROR(الجدول20[[#This Row],[فئة التكلفة]]*الجدول20[[#This Row],[العدد]]," ")</f>
        <v xml:space="preserve"> </v>
      </c>
      <c r="I5" s="20" t="str">
        <f>IFERROR(الجدول20[[#This Row],[سعر البيع]]-الجدول20[[#This Row],[فئة التكلفة]]*الجدول20[[#This Row],[العدد]],"")</f>
        <v/>
      </c>
      <c r="L5" s="1" t="s">
        <v>50</v>
      </c>
    </row>
    <row r="6" spans="1:12" x14ac:dyDescent="0.2">
      <c r="A6" s="36" t="str">
        <f>IFERROR(VLOOKUP(الجدول20[[#This Row],[كود الصنف]],'تكويد الأصناف'!A:F,6,0),"")</f>
        <v/>
      </c>
      <c r="B6" s="36" t="str">
        <f>IFERROR(VLOOKUP(الجدول20[[#This Row],[كود الصنف]],'تكويد الأصناف'!A:F,3,0)," ")</f>
        <v xml:space="preserve"> </v>
      </c>
      <c r="C6" s="25"/>
      <c r="D6" s="10" t="str">
        <f>IFERROR(VLOOKUP(الجدول20[[#This Row],[كود الصنف]],'تكويد الأصناف'!A:F,4,0),"")</f>
        <v/>
      </c>
      <c r="E6" s="21" t="str">
        <f>IFERROR(VLOOKUP(الجدول20[[#This Row],[كود الصنف]],'تكويد الأصناف'!A:F,5,0),"")</f>
        <v/>
      </c>
      <c r="F6" s="22"/>
      <c r="G6" s="23"/>
      <c r="H6" s="167" t="str">
        <f>IFERROR(الجدول20[[#This Row],[فئة التكلفة]]*الجدول20[[#This Row],[العدد]]," ")</f>
        <v xml:space="preserve"> </v>
      </c>
      <c r="I6" s="20" t="str">
        <f>IFERROR(الجدول20[[#This Row],[سعر البيع]]-الجدول20[[#This Row],[فئة التكلفة]]*الجدول20[[#This Row],[العدد]],"")</f>
        <v/>
      </c>
      <c r="L6" s="1" t="s">
        <v>51</v>
      </c>
    </row>
    <row r="7" spans="1:12" x14ac:dyDescent="0.2">
      <c r="A7" s="36" t="str">
        <f>IFERROR(VLOOKUP(الجدول20[[#This Row],[كود الصنف]],'تكويد الأصناف'!A:F,6,0),"")</f>
        <v/>
      </c>
      <c r="B7" s="36" t="str">
        <f>IFERROR(VLOOKUP(الجدول20[[#This Row],[كود الصنف]],'تكويد الأصناف'!A:F,3,0)," ")</f>
        <v xml:space="preserve"> </v>
      </c>
      <c r="C7" s="25"/>
      <c r="D7" s="10" t="str">
        <f>IFERROR(VLOOKUP(الجدول20[[#This Row],[كود الصنف]],'تكويد الأصناف'!A:F,4,0),"")</f>
        <v/>
      </c>
      <c r="E7" s="21" t="str">
        <f>IFERROR(VLOOKUP(الجدول20[[#This Row],[كود الصنف]],'تكويد الأصناف'!A:F,5,0),"")</f>
        <v/>
      </c>
      <c r="F7" s="22"/>
      <c r="G7" s="23"/>
      <c r="H7" s="167" t="str">
        <f>IFERROR(الجدول20[[#This Row],[فئة التكلفة]]*الجدول20[[#This Row],[العدد]]," ")</f>
        <v xml:space="preserve"> </v>
      </c>
      <c r="I7" s="20" t="str">
        <f>IFERROR(الجدول20[[#This Row],[سعر البيع]]-الجدول20[[#This Row],[فئة التكلفة]]*الجدول20[[#This Row],[العدد]],"")</f>
        <v/>
      </c>
      <c r="L7" s="1" t="s">
        <v>52</v>
      </c>
    </row>
    <row r="8" spans="1:12" x14ac:dyDescent="0.2">
      <c r="A8" s="36" t="str">
        <f>IFERROR(VLOOKUP(الجدول20[[#This Row],[كود الصنف]],'تكويد الأصناف'!A:F,6,0),"")</f>
        <v/>
      </c>
      <c r="B8" s="36" t="str">
        <f>IFERROR(VLOOKUP(الجدول20[[#This Row],[كود الصنف]],'تكويد الأصناف'!A:F,3,0)," ")</f>
        <v xml:space="preserve"> </v>
      </c>
      <c r="C8" s="25"/>
      <c r="D8" s="10" t="str">
        <f>IFERROR(VLOOKUP(الجدول20[[#This Row],[كود الصنف]],'تكويد الأصناف'!A:F,4,0),"")</f>
        <v/>
      </c>
      <c r="E8" s="21" t="str">
        <f>IFERROR(VLOOKUP(الجدول20[[#This Row],[كود الصنف]],'تكويد الأصناف'!A:F,5,0),"")</f>
        <v/>
      </c>
      <c r="F8" s="22"/>
      <c r="G8" s="23"/>
      <c r="H8" s="167" t="str">
        <f>IFERROR(الجدول20[[#This Row],[فئة التكلفة]]*الجدول20[[#This Row],[العدد]]," ")</f>
        <v xml:space="preserve"> </v>
      </c>
      <c r="I8" s="20" t="str">
        <f>IFERROR(الجدول20[[#This Row],[سعر البيع]]-الجدول20[[#This Row],[فئة التكلفة]]*الجدول20[[#This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SUBTOTAL(109,الجدول20[العدد])</f>
        <v>0</v>
      </c>
      <c r="G9" s="24">
        <f>SUBTOTAL(109,الجدول20[سعر البيع])</f>
        <v>0</v>
      </c>
      <c r="H9" s="19"/>
      <c r="I9" s="24">
        <f>SUBTOTAL(109,الجدول20[±])</f>
        <v>0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88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'19'!G16</f>
        <v>746.25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88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الجدول20[[#Totals],[سعر البيع]]</f>
        <v>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L16" s="1">
        <v>13</v>
      </c>
    </row>
    <row r="17" spans="1:12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L17" s="1">
        <v>14</v>
      </c>
    </row>
    <row r="18" spans="1:12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الجدول20[[#Totals],[±]]</f>
        <v>0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344" priority="1" operator="equal">
      <formula>0</formula>
    </cfRule>
    <cfRule type="cellIs" dxfId="343" priority="2" operator="equal">
      <formula>0</formula>
    </cfRule>
    <cfRule type="cellIs" dxfId="342" priority="3" operator="lessThan">
      <formula>0</formula>
    </cfRule>
    <cfRule type="cellIs" dxfId="341" priority="4" operator="equal">
      <formula>0</formula>
    </cfRule>
  </conditionalFormatting>
  <dataValidations count="2">
    <dataValidation type="list" allowBlank="1" showInputMessage="1" showErrorMessage="1" sqref="E11:F15" xr:uid="{1674CA90-234E-41D7-8634-9CC78EF0D3AF}">
      <formula1>$L$5:$L$18</formula1>
    </dataValidation>
    <dataValidation type="list" allowBlank="1" showInputMessage="1" showErrorMessage="1" sqref="E17:F17" xr:uid="{1B452FC0-0160-477B-A26B-1878E10129AE}">
      <formula1>$J$5:$J$16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B0E1-464E-446C-8299-BBC1F5DE1895}">
  <sheetPr codeName="ورقة24">
    <tabColor rgb="FFFF0000"/>
  </sheetPr>
  <dimension ref="A1:L19"/>
  <sheetViews>
    <sheetView rightToLeft="1" workbookViewId="0">
      <selection activeCell="F26" sqref="F26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'20'!H1:I1+1</f>
        <v>41810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41810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IFERROR(VLOOKUP(الجدول21[[#This Row],[كود الصنف]],'تكويد الأصناف'!A:F,6,0),"")</f>
        <v/>
      </c>
      <c r="B5" s="36" t="str">
        <f>IFERROR(VLOOKUP(الجدول21[[#This Row],[كود الصنف]],'تكويد الأصناف'!A:F,3,0)," ")</f>
        <v xml:space="preserve"> </v>
      </c>
      <c r="C5" s="25"/>
      <c r="D5" s="10" t="str">
        <f>IFERROR(VLOOKUP(الجدول21[[#This Row],[كود الصنف]],'تكويد الأصناف'!A:F,4,0),"")</f>
        <v/>
      </c>
      <c r="E5" s="21" t="str">
        <f>IFERROR(VLOOKUP(الجدول21[[#This Row],[كود الصنف]],'تكويد الأصناف'!A:F,5,0),"")</f>
        <v/>
      </c>
      <c r="F5" s="22"/>
      <c r="G5" s="23"/>
      <c r="H5" s="195" t="str">
        <f>IFERROR(الجدول21[[#This Row],[فئة التكلفة]]*الجدول21[[#This Row],[العدد]]," ")</f>
        <v xml:space="preserve"> </v>
      </c>
      <c r="I5" s="20" t="str">
        <f>IFERROR(الجدول21[[#This Row],[سعر البيع]]-الجدول21[[#This Row],[فئة التكلفة]]*الجدول21[[#This Row],[العدد]],"")</f>
        <v/>
      </c>
      <c r="L5" s="1" t="s">
        <v>50</v>
      </c>
    </row>
    <row r="6" spans="1:12" x14ac:dyDescent="0.2">
      <c r="A6" s="36" t="str">
        <f>IFERROR(VLOOKUP(الجدول21[[#This Row],[كود الصنف]],'تكويد الأصناف'!A:F,6,0),"")</f>
        <v/>
      </c>
      <c r="B6" s="36" t="str">
        <f>IFERROR(VLOOKUP(الجدول21[[#This Row],[كود الصنف]],'تكويد الأصناف'!A:F,3,0)," ")</f>
        <v xml:space="preserve"> </v>
      </c>
      <c r="C6" s="25"/>
      <c r="D6" s="10" t="str">
        <f>IFERROR(VLOOKUP(الجدول21[[#This Row],[كود الصنف]],'تكويد الأصناف'!A:F,4,0),"")</f>
        <v/>
      </c>
      <c r="E6" s="21" t="str">
        <f>IFERROR(VLOOKUP(الجدول21[[#This Row],[كود الصنف]],'تكويد الأصناف'!A:F,5,0),"")</f>
        <v/>
      </c>
      <c r="F6" s="22"/>
      <c r="G6" s="23"/>
      <c r="H6" s="167" t="str">
        <f>IFERROR(الجدول21[[#This Row],[فئة التكلفة]]*الجدول21[[#This Row],[العدد]]," ")</f>
        <v xml:space="preserve"> </v>
      </c>
      <c r="I6" s="20" t="str">
        <f>IFERROR(الجدول21[[#This Row],[سعر البيع]]-الجدول21[[#This Row],[فئة التكلفة]]*الجدول21[[#This Row],[العدد]],"")</f>
        <v/>
      </c>
      <c r="L6" s="1" t="s">
        <v>51</v>
      </c>
    </row>
    <row r="7" spans="1:12" x14ac:dyDescent="0.2">
      <c r="A7" s="36" t="str">
        <f>IFERROR(VLOOKUP(الجدول21[[#This Row],[كود الصنف]],'تكويد الأصناف'!A:F,6,0),"")</f>
        <v/>
      </c>
      <c r="B7" s="36" t="str">
        <f>IFERROR(VLOOKUP(الجدول21[[#This Row],[كود الصنف]],'تكويد الأصناف'!A:F,3,0)," ")</f>
        <v xml:space="preserve"> </v>
      </c>
      <c r="C7" s="25"/>
      <c r="D7" s="10" t="str">
        <f>IFERROR(VLOOKUP(الجدول21[[#This Row],[كود الصنف]],'تكويد الأصناف'!A:F,4,0),"")</f>
        <v/>
      </c>
      <c r="E7" s="21" t="str">
        <f>IFERROR(VLOOKUP(الجدول21[[#This Row],[كود الصنف]],'تكويد الأصناف'!A:F,5,0),"")</f>
        <v/>
      </c>
      <c r="F7" s="22"/>
      <c r="G7" s="23"/>
      <c r="H7" s="167" t="str">
        <f>IFERROR(الجدول21[[#This Row],[فئة التكلفة]]*الجدول21[[#This Row],[العدد]]," ")</f>
        <v xml:space="preserve"> </v>
      </c>
      <c r="I7" s="20" t="str">
        <f>IFERROR(الجدول21[[#This Row],[سعر البيع]]-الجدول21[[#This Row],[فئة التكلفة]]*الجدول21[[#This Row],[العدد]],"")</f>
        <v/>
      </c>
      <c r="L7" s="1" t="s">
        <v>52</v>
      </c>
    </row>
    <row r="8" spans="1:12" x14ac:dyDescent="0.2">
      <c r="A8" s="36" t="str">
        <f>IFERROR(VLOOKUP(الجدول21[[#This Row],[كود الصنف]],'تكويد الأصناف'!A:F,6,0),"")</f>
        <v/>
      </c>
      <c r="B8" s="36" t="str">
        <f>IFERROR(VLOOKUP(الجدول21[[#This Row],[كود الصنف]],'تكويد الأصناف'!A:F,3,0)," ")</f>
        <v xml:space="preserve"> </v>
      </c>
      <c r="C8" s="25"/>
      <c r="D8" s="10" t="str">
        <f>IFERROR(VLOOKUP(الجدول21[[#This Row],[كود الصنف]],'تكويد الأصناف'!A:F,4,0),"")</f>
        <v/>
      </c>
      <c r="E8" s="21" t="str">
        <f>IFERROR(VLOOKUP(الجدول21[[#This Row],[كود الصنف]],'تكويد الأصناف'!A:F,5,0),"")</f>
        <v/>
      </c>
      <c r="F8" s="22"/>
      <c r="G8" s="23"/>
      <c r="H8" s="167" t="str">
        <f>IFERROR(الجدول21[[#This Row],[فئة التكلفة]]*الجدول21[[#This Row],[العدد]]," ")</f>
        <v xml:space="preserve"> </v>
      </c>
      <c r="I8" s="20" t="str">
        <f>IFERROR(الجدول21[[#This Row],[سعر البيع]]-الجدول21[[#This Row],[فئة التكلفة]]*الجدول21[[#This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SUBTOTAL(109,الجدول21[العدد])</f>
        <v>0</v>
      </c>
      <c r="G9" s="24">
        <f>SUBTOTAL(109,الجدول21[سعر البيع])</f>
        <v>0</v>
      </c>
      <c r="H9" s="19"/>
      <c r="I9" s="24">
        <f>SUBTOTAL(109,الجدول21[±])</f>
        <v>0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88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'20'!G16</f>
        <v>746.25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88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الجدول21[[#Totals],[سعر البيع]]</f>
        <v>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L16" s="1">
        <v>13</v>
      </c>
    </row>
    <row r="17" spans="1:12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L17" s="1">
        <v>14</v>
      </c>
    </row>
    <row r="18" spans="1:12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الجدول21[[#Totals],[±]]</f>
        <v>0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316" priority="1" operator="equal">
      <formula>0</formula>
    </cfRule>
    <cfRule type="cellIs" dxfId="315" priority="2" operator="equal">
      <formula>0</formula>
    </cfRule>
    <cfRule type="cellIs" dxfId="314" priority="3" operator="lessThan">
      <formula>0</formula>
    </cfRule>
    <cfRule type="cellIs" dxfId="313" priority="4" operator="equal">
      <formula>0</formula>
    </cfRule>
  </conditionalFormatting>
  <dataValidations count="2">
    <dataValidation type="list" allowBlank="1" showInputMessage="1" showErrorMessage="1" sqref="E17:F17" xr:uid="{1EDA63DD-6650-4BE7-BEA8-B82EBF7AB99B}">
      <formula1>$J$5:$J$16</formula1>
    </dataValidation>
    <dataValidation type="list" allowBlank="1" showInputMessage="1" showErrorMessage="1" sqref="E11:F15" xr:uid="{4F223313-4DF4-4695-BF29-8477661995FB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4837-C136-43A7-AE7E-7DF1EA0974C6}">
  <sheetPr codeName="ورقة25">
    <tabColor rgb="FFFF0000"/>
  </sheetPr>
  <dimension ref="A1:L19"/>
  <sheetViews>
    <sheetView rightToLeft="1" workbookViewId="0">
      <selection activeCell="M30" sqref="M30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'21'!H1:I1+1</f>
        <v>41811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41811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IFERROR(VLOOKUP(الجدول22[[#This Row],[كود الصنف]],'تكويد الأصناف'!A:F,6,0),"")</f>
        <v/>
      </c>
      <c r="B5" s="36" t="str">
        <f>IFERROR(VLOOKUP(الجدول22[[#This Row],[كود الصنف]],'تكويد الأصناف'!A:F,3,0)," ")</f>
        <v xml:space="preserve"> </v>
      </c>
      <c r="C5" s="25"/>
      <c r="D5" s="10" t="str">
        <f>IFERROR(VLOOKUP(الجدول22[[#This Row],[كود الصنف]],'تكويد الأصناف'!A:F,4,0),"")</f>
        <v/>
      </c>
      <c r="E5" s="21" t="str">
        <f>IFERROR(VLOOKUP(الجدول22[[#This Row],[كود الصنف]],'تكويد الأصناف'!A:F,5,0),"")</f>
        <v/>
      </c>
      <c r="F5" s="22"/>
      <c r="G5" s="23"/>
      <c r="H5" s="195" t="str">
        <f>IFERROR(الجدول22[[#This Row],[فئة التكلفة]]*الجدول22[[#This Row],[العدد]]," ")</f>
        <v xml:space="preserve"> </v>
      </c>
      <c r="I5" s="20" t="str">
        <f>IFERROR(الجدول22[[#This Row],[سعر البيع]]-الجدول22[[#This Row],[فئة التكلفة]]*الجدول22[[#This Row],[العدد]],"")</f>
        <v/>
      </c>
      <c r="L5" s="1" t="s">
        <v>50</v>
      </c>
    </row>
    <row r="6" spans="1:12" x14ac:dyDescent="0.2">
      <c r="A6" s="36" t="str">
        <f>IFERROR(VLOOKUP(الجدول22[[#This Row],[كود الصنف]],'تكويد الأصناف'!A:F,6,0),"")</f>
        <v/>
      </c>
      <c r="B6" s="36" t="str">
        <f>IFERROR(VLOOKUP(الجدول22[[#This Row],[كود الصنف]],'تكويد الأصناف'!A:F,3,0)," ")</f>
        <v xml:space="preserve"> </v>
      </c>
      <c r="C6" s="25"/>
      <c r="D6" s="10" t="str">
        <f>IFERROR(VLOOKUP(الجدول22[[#This Row],[كود الصنف]],'تكويد الأصناف'!A:F,4,0),"")</f>
        <v/>
      </c>
      <c r="E6" s="21" t="str">
        <f>IFERROR(VLOOKUP(الجدول22[[#This Row],[كود الصنف]],'تكويد الأصناف'!A:F,5,0),"")</f>
        <v/>
      </c>
      <c r="F6" s="22"/>
      <c r="G6" s="23"/>
      <c r="H6" s="167" t="str">
        <f>IFERROR(الجدول22[[#This Row],[فئة التكلفة]]*الجدول22[[#This Row],[العدد]]," ")</f>
        <v xml:space="preserve"> </v>
      </c>
      <c r="I6" s="20" t="str">
        <f>IFERROR(الجدول22[[#This Row],[سعر البيع]]-الجدول22[[#This Row],[فئة التكلفة]]*الجدول22[[#This Row],[العدد]],"")</f>
        <v/>
      </c>
      <c r="L6" s="1" t="s">
        <v>51</v>
      </c>
    </row>
    <row r="7" spans="1:12" x14ac:dyDescent="0.2">
      <c r="A7" s="36" t="str">
        <f>IFERROR(VLOOKUP(الجدول22[[#This Row],[كود الصنف]],'تكويد الأصناف'!A:F,6,0),"")</f>
        <v/>
      </c>
      <c r="B7" s="36" t="str">
        <f>IFERROR(VLOOKUP(الجدول22[[#This Row],[كود الصنف]],'تكويد الأصناف'!A:F,3,0)," ")</f>
        <v xml:space="preserve"> </v>
      </c>
      <c r="C7" s="25"/>
      <c r="D7" s="10" t="str">
        <f>IFERROR(VLOOKUP(الجدول22[[#This Row],[كود الصنف]],'تكويد الأصناف'!A:F,4,0),"")</f>
        <v/>
      </c>
      <c r="E7" s="21" t="str">
        <f>IFERROR(VLOOKUP(الجدول22[[#This Row],[كود الصنف]],'تكويد الأصناف'!A:F,5,0),"")</f>
        <v/>
      </c>
      <c r="F7" s="22"/>
      <c r="G7" s="23"/>
      <c r="H7" s="167" t="str">
        <f>IFERROR(الجدول22[[#This Row],[فئة التكلفة]]*الجدول22[[#This Row],[العدد]]," ")</f>
        <v xml:space="preserve"> </v>
      </c>
      <c r="I7" s="20" t="str">
        <f>IFERROR(الجدول22[[#This Row],[سعر البيع]]-الجدول22[[#This Row],[فئة التكلفة]]*الجدول22[[#This Row],[العدد]],"")</f>
        <v/>
      </c>
      <c r="L7" s="1" t="s">
        <v>52</v>
      </c>
    </row>
    <row r="8" spans="1:12" x14ac:dyDescent="0.2">
      <c r="A8" s="36" t="str">
        <f>IFERROR(VLOOKUP(الجدول22[[#This Row],[كود الصنف]],'تكويد الأصناف'!A:F,6,0),"")</f>
        <v/>
      </c>
      <c r="B8" s="36" t="str">
        <f>IFERROR(VLOOKUP(الجدول22[[#This Row],[كود الصنف]],'تكويد الأصناف'!A:F,3,0)," ")</f>
        <v xml:space="preserve"> </v>
      </c>
      <c r="C8" s="25"/>
      <c r="D8" s="10" t="str">
        <f>IFERROR(VLOOKUP(الجدول22[[#This Row],[كود الصنف]],'تكويد الأصناف'!A:F,4,0),"")</f>
        <v/>
      </c>
      <c r="E8" s="21" t="str">
        <f>IFERROR(VLOOKUP(الجدول22[[#This Row],[كود الصنف]],'تكويد الأصناف'!A:F,5,0),"")</f>
        <v/>
      </c>
      <c r="F8" s="22"/>
      <c r="G8" s="23"/>
      <c r="H8" s="167" t="str">
        <f>IFERROR(الجدول22[[#This Row],[فئة التكلفة]]*الجدول22[[#This Row],[العدد]]," ")</f>
        <v xml:space="preserve"> </v>
      </c>
      <c r="I8" s="20" t="str">
        <f>IFERROR(الجدول22[[#This Row],[سعر البيع]]-الجدول22[[#This Row],[فئة التكلفة]]*الجدول22[[#This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SUBTOTAL(109,الجدول22[العدد])</f>
        <v>0</v>
      </c>
      <c r="G9" s="24">
        <f>SUBTOTAL(109,الجدول22[سعر البيع])</f>
        <v>0</v>
      </c>
      <c r="H9" s="19"/>
      <c r="I9" s="24">
        <f>SUBTOTAL(109,الجدول22[±])</f>
        <v>0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88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'21'!G16</f>
        <v>746.25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88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الجدول22[[#Totals],[سعر البيع]]</f>
        <v>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L16" s="1">
        <v>13</v>
      </c>
    </row>
    <row r="17" spans="1:12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L17" s="1">
        <v>14</v>
      </c>
    </row>
    <row r="18" spans="1:12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6"/>
      <c r="C19" s="2">
        <f>الجدول22[[#Totals],[±]]</f>
        <v>0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288" priority="1" operator="equal">
      <formula>0</formula>
    </cfRule>
    <cfRule type="cellIs" dxfId="287" priority="2" operator="equal">
      <formula>0</formula>
    </cfRule>
    <cfRule type="cellIs" dxfId="286" priority="3" operator="lessThan">
      <formula>0</formula>
    </cfRule>
    <cfRule type="cellIs" dxfId="285" priority="4" operator="equal">
      <formula>0</formula>
    </cfRule>
  </conditionalFormatting>
  <dataValidations count="2">
    <dataValidation type="list" allowBlank="1" showInputMessage="1" showErrorMessage="1" sqref="E11:F15" xr:uid="{40BF1332-EDE4-4FE6-BBE9-3D68748A7E24}">
      <formula1>$L$5:$L$18</formula1>
    </dataValidation>
    <dataValidation type="list" allowBlank="1" showInputMessage="1" showErrorMessage="1" sqref="E17:F17" xr:uid="{9DDBD819-5D81-473B-B01B-539F04F93F62}">
      <formula1>$J$5:$J$16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28F3-A74D-4C2A-A683-ED5A38D791FB}">
  <sheetPr codeName="ورقة26">
    <tabColor rgb="FFFF0000"/>
  </sheetPr>
  <dimension ref="A1:L19"/>
  <sheetViews>
    <sheetView rightToLeft="1" workbookViewId="0">
      <selection activeCell="D25" sqref="D25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2" max="12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'22'!H1:I1+1</f>
        <v>41812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41812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IFERROR(VLOOKUP(الجدول23[[#This Row],[كود الصنف]],'تكويد الأصناف'!A:F,6,0),"")</f>
        <v/>
      </c>
      <c r="B5" s="36" t="str">
        <f>IFERROR(VLOOKUP(الجدول23[[#This Row],[كود الصنف]],'تكويد الأصناف'!A:F,3,0)," ")</f>
        <v xml:space="preserve"> </v>
      </c>
      <c r="C5" s="25"/>
      <c r="D5" s="10" t="str">
        <f>IFERROR(VLOOKUP(الجدول23[[#This Row],[كود الصنف]],'تكويد الأصناف'!A:F,4,0),"")</f>
        <v/>
      </c>
      <c r="E5" s="21" t="str">
        <f>IFERROR(VLOOKUP(الجدول23[[#This Row],[كود الصنف]],'تكويد الأصناف'!A:F,5,0),"")</f>
        <v/>
      </c>
      <c r="F5" s="22"/>
      <c r="G5" s="23"/>
      <c r="H5" s="195" t="str">
        <f>IFERROR(الجدول23[[#This Row],[فئة التكلفة]]*الجدول23[[#This Row],[العدد]]," ")</f>
        <v xml:space="preserve"> </v>
      </c>
      <c r="I5" s="20" t="str">
        <f>IFERROR(الجدول23[[#This Row],[سعر البيع]]-الجدول23[[#This Row],[فئة التكلفة]]*الجدول23[[#This Row],[العدد]],"")</f>
        <v/>
      </c>
      <c r="L5" s="1" t="s">
        <v>50</v>
      </c>
    </row>
    <row r="6" spans="1:12" x14ac:dyDescent="0.2">
      <c r="A6" s="36" t="str">
        <f>IFERROR(VLOOKUP(الجدول23[[#This Row],[كود الصنف]],'تكويد الأصناف'!A:F,6,0),"")</f>
        <v/>
      </c>
      <c r="B6" s="36" t="str">
        <f>IFERROR(VLOOKUP(الجدول23[[#This Row],[كود الصنف]],'تكويد الأصناف'!A:F,3,0)," ")</f>
        <v xml:space="preserve"> </v>
      </c>
      <c r="C6" s="25"/>
      <c r="D6" s="10" t="str">
        <f>IFERROR(VLOOKUP(الجدول23[[#This Row],[كود الصنف]],'تكويد الأصناف'!A:F,4,0),"")</f>
        <v/>
      </c>
      <c r="E6" s="21" t="str">
        <f>IFERROR(VLOOKUP(الجدول23[[#This Row],[كود الصنف]],'تكويد الأصناف'!A:F,5,0),"")</f>
        <v/>
      </c>
      <c r="F6" s="22"/>
      <c r="G6" s="23"/>
      <c r="H6" s="167" t="str">
        <f>IFERROR(الجدول23[[#This Row],[فئة التكلفة]]*الجدول23[[#This Row],[العدد]]," ")</f>
        <v xml:space="preserve"> </v>
      </c>
      <c r="I6" s="20" t="str">
        <f>IFERROR(الجدول23[[#This Row],[سعر البيع]]-الجدول23[[#This Row],[فئة التكلفة]]*الجدول23[[#This Row],[العدد]],"")</f>
        <v/>
      </c>
      <c r="L6" s="1" t="s">
        <v>51</v>
      </c>
    </row>
    <row r="7" spans="1:12" x14ac:dyDescent="0.2">
      <c r="A7" s="36" t="str">
        <f>IFERROR(VLOOKUP(الجدول23[[#This Row],[كود الصنف]],'تكويد الأصناف'!A:F,6,0),"")</f>
        <v/>
      </c>
      <c r="B7" s="36" t="str">
        <f>IFERROR(VLOOKUP(الجدول23[[#This Row],[كود الصنف]],'تكويد الأصناف'!A:F,3,0)," ")</f>
        <v xml:space="preserve"> </v>
      </c>
      <c r="C7" s="25"/>
      <c r="D7" s="10" t="str">
        <f>IFERROR(VLOOKUP(الجدول23[[#This Row],[كود الصنف]],'تكويد الأصناف'!A:F,4,0),"")</f>
        <v/>
      </c>
      <c r="E7" s="21" t="str">
        <f>IFERROR(VLOOKUP(الجدول23[[#This Row],[كود الصنف]],'تكويد الأصناف'!A:F,5,0),"")</f>
        <v/>
      </c>
      <c r="F7" s="22"/>
      <c r="G7" s="23"/>
      <c r="H7" s="167" t="str">
        <f>IFERROR(الجدول23[[#This Row],[فئة التكلفة]]*الجدول23[[#This Row],[العدد]]," ")</f>
        <v xml:space="preserve"> </v>
      </c>
      <c r="I7" s="20" t="str">
        <f>IFERROR(الجدول23[[#This Row],[سعر البيع]]-الجدول23[[#This Row],[فئة التكلفة]]*الجدول23[[#This Row],[العدد]],"")</f>
        <v/>
      </c>
      <c r="L7" s="1" t="s">
        <v>52</v>
      </c>
    </row>
    <row r="8" spans="1:12" x14ac:dyDescent="0.2">
      <c r="A8" s="36" t="str">
        <f>IFERROR(VLOOKUP(الجدول23[[#This Row],[كود الصنف]],'تكويد الأصناف'!A:F,6,0),"")</f>
        <v/>
      </c>
      <c r="B8" s="36" t="str">
        <f>IFERROR(VLOOKUP(الجدول23[[#This Row],[كود الصنف]],'تكويد الأصناف'!A:F,3,0)," ")</f>
        <v xml:space="preserve"> </v>
      </c>
      <c r="C8" s="25"/>
      <c r="D8" s="10" t="str">
        <f>IFERROR(VLOOKUP(الجدول23[[#This Row],[كود الصنف]],'تكويد الأصناف'!A:F,4,0),"")</f>
        <v/>
      </c>
      <c r="E8" s="21" t="str">
        <f>IFERROR(VLOOKUP(الجدول23[[#This Row],[كود الصنف]],'تكويد الأصناف'!A:F,5,0),"")</f>
        <v/>
      </c>
      <c r="F8" s="22"/>
      <c r="G8" s="23"/>
      <c r="H8" s="167" t="str">
        <f>IFERROR(الجدول23[[#This Row],[فئة التكلفة]]*الجدول23[[#This Row],[العدد]]," ")</f>
        <v xml:space="preserve"> </v>
      </c>
      <c r="I8" s="20" t="str">
        <f>IFERROR(الجدول23[[#This Row],[سعر البيع]]-الجدول23[[#This Row],[فئة التكلفة]]*الجدول23[[#This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SUBTOTAL(109,الجدول23[العدد])</f>
        <v>0</v>
      </c>
      <c r="G9" s="24">
        <f>SUBTOTAL(109,الجدول23[سعر البيع])</f>
        <v>0</v>
      </c>
      <c r="H9" s="19"/>
      <c r="I9" s="24">
        <f>SUBTOTAL(109,الجدول23[±])</f>
        <v>0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88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'22'!G16</f>
        <v>746.25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88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الجدول23[[#Totals],[سعر البيع]]</f>
        <v>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L16" s="1">
        <v>13</v>
      </c>
    </row>
    <row r="17" spans="1:12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L17" s="1">
        <v>14</v>
      </c>
    </row>
    <row r="18" spans="1:12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الجدول23[[#Totals],[±]]</f>
        <v>0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260" priority="1" operator="equal">
      <formula>0</formula>
    </cfRule>
    <cfRule type="cellIs" dxfId="259" priority="2" operator="equal">
      <formula>0</formula>
    </cfRule>
    <cfRule type="cellIs" dxfId="258" priority="3" operator="lessThan">
      <formula>0</formula>
    </cfRule>
    <cfRule type="cellIs" dxfId="257" priority="4" operator="equal">
      <formula>0</formula>
    </cfRule>
  </conditionalFormatting>
  <dataValidations disablePrompts="1" count="2">
    <dataValidation type="list" allowBlank="1" showInputMessage="1" showErrorMessage="1" sqref="E17:F17" xr:uid="{D60977BF-D7C2-41F5-A495-12110A36383F}">
      <formula1>$J$5:$J$16</formula1>
    </dataValidation>
    <dataValidation type="list" allowBlank="1" showInputMessage="1" showErrorMessage="1" sqref="E11:F15" xr:uid="{564B8F67-5921-4AFF-BA3A-DD7BD222C864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5B6E-4D5F-4C2C-835F-CC63342F9134}">
  <sheetPr codeName="ورقة27">
    <tabColor rgb="FFFF0000"/>
  </sheetPr>
  <dimension ref="A1:M19"/>
  <sheetViews>
    <sheetView rightToLeft="1" workbookViewId="0">
      <selection activeCell="N34" sqref="N34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3" max="13" width="9" customWidth="1"/>
  </cols>
  <sheetData>
    <row r="1" spans="1:13" x14ac:dyDescent="0.2">
      <c r="A1" s="3"/>
      <c r="B1" s="3"/>
      <c r="C1" s="3"/>
      <c r="D1" s="3"/>
      <c r="E1" s="3"/>
      <c r="F1" s="3"/>
      <c r="G1" s="4" t="s">
        <v>0</v>
      </c>
      <c r="H1" s="339">
        <f>'23'!H1:I1+1</f>
        <v>41813</v>
      </c>
      <c r="I1" s="339"/>
    </row>
    <row r="2" spans="1:13" ht="15" x14ac:dyDescent="0.2">
      <c r="A2" s="3"/>
      <c r="B2" s="3"/>
      <c r="C2" s="3"/>
      <c r="D2" s="3"/>
      <c r="E2" s="17"/>
      <c r="F2" s="6"/>
      <c r="G2" s="7"/>
      <c r="H2" s="340">
        <f>H1</f>
        <v>41813</v>
      </c>
      <c r="I2" s="340"/>
    </row>
    <row r="3" spans="1:13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3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3" x14ac:dyDescent="0.2">
      <c r="A5" s="36" t="str">
        <f>IFERROR(VLOOKUP(الجدول24[[#This Row],[كود الصنف]],'تكويد الأصناف'!A:F,6,0),"")</f>
        <v/>
      </c>
      <c r="B5" s="36" t="str">
        <f>IFERROR(VLOOKUP(الجدول24[[#This Row],[كود الصنف]],'تكويد الأصناف'!A:F,3,0)," ")</f>
        <v xml:space="preserve"> </v>
      </c>
      <c r="C5" s="25"/>
      <c r="D5" s="10" t="str">
        <f>IFERROR(VLOOKUP(الجدول24[[#This Row],[كود الصنف]],'تكويد الأصناف'!A:F,4,0),"")</f>
        <v/>
      </c>
      <c r="E5" s="21" t="str">
        <f>IFERROR(VLOOKUP(الجدول24[[#This Row],[كود الصنف]],'تكويد الأصناف'!A:F,5,0),"")</f>
        <v/>
      </c>
      <c r="F5" s="22"/>
      <c r="G5" s="23"/>
      <c r="H5" s="195" t="str">
        <f>IFERROR(الجدول24[[#This Row],[فئة التكلفة]]*الجدول24[[#This Row],[العدد]]," ")</f>
        <v xml:space="preserve"> </v>
      </c>
      <c r="I5" s="20" t="str">
        <f>IFERROR(الجدول24[[#This Row],[سعر البيع]]-الجدول24[[#This Row],[فئة التكلفة]]*الجدول24[[#This Row],[العدد]],"")</f>
        <v/>
      </c>
      <c r="M5" s="1" t="s">
        <v>50</v>
      </c>
    </row>
    <row r="6" spans="1:13" x14ac:dyDescent="0.2">
      <c r="A6" s="36" t="str">
        <f>IFERROR(VLOOKUP(الجدول24[[#This Row],[كود الصنف]],'تكويد الأصناف'!A:F,6,0),"")</f>
        <v/>
      </c>
      <c r="B6" s="36" t="str">
        <f>IFERROR(VLOOKUP(الجدول24[[#This Row],[كود الصنف]],'تكويد الأصناف'!A:F,3,0)," ")</f>
        <v xml:space="preserve"> </v>
      </c>
      <c r="C6" s="25"/>
      <c r="D6" s="10" t="str">
        <f>IFERROR(VLOOKUP(الجدول24[[#This Row],[كود الصنف]],'تكويد الأصناف'!A:F,4,0),"")</f>
        <v/>
      </c>
      <c r="E6" s="21" t="str">
        <f>IFERROR(VLOOKUP(الجدول24[[#This Row],[كود الصنف]],'تكويد الأصناف'!A:F,5,0),"")</f>
        <v/>
      </c>
      <c r="F6" s="22"/>
      <c r="G6" s="23"/>
      <c r="H6" s="167" t="str">
        <f>IFERROR(الجدول24[[#This Row],[فئة التكلفة]]*الجدول24[[#This Row],[العدد]]," ")</f>
        <v xml:space="preserve"> </v>
      </c>
      <c r="I6" s="20" t="str">
        <f>IFERROR(الجدول24[[#This Row],[سعر البيع]]-الجدول24[[#This Row],[فئة التكلفة]]*الجدول24[[#This Row],[العدد]],"")</f>
        <v/>
      </c>
      <c r="M6" s="1" t="s">
        <v>51</v>
      </c>
    </row>
    <row r="7" spans="1:13" x14ac:dyDescent="0.2">
      <c r="A7" s="36" t="str">
        <f>IFERROR(VLOOKUP(الجدول24[[#This Row],[كود الصنف]],'تكويد الأصناف'!A:F,6,0),"")</f>
        <v/>
      </c>
      <c r="B7" s="36" t="str">
        <f>IFERROR(VLOOKUP(الجدول24[[#This Row],[كود الصنف]],'تكويد الأصناف'!A:F,3,0)," ")</f>
        <v xml:space="preserve"> </v>
      </c>
      <c r="C7" s="25"/>
      <c r="D7" s="10" t="str">
        <f>IFERROR(VLOOKUP(الجدول24[[#This Row],[كود الصنف]],'تكويد الأصناف'!A:F,4,0),"")</f>
        <v/>
      </c>
      <c r="E7" s="21" t="str">
        <f>IFERROR(VLOOKUP(الجدول24[[#This Row],[كود الصنف]],'تكويد الأصناف'!A:F,5,0),"")</f>
        <v/>
      </c>
      <c r="F7" s="22"/>
      <c r="G7" s="23"/>
      <c r="H7" s="167" t="str">
        <f>IFERROR(الجدول24[[#This Row],[فئة التكلفة]]*الجدول24[[#This Row],[العدد]]," ")</f>
        <v xml:space="preserve"> </v>
      </c>
      <c r="I7" s="20" t="str">
        <f>IFERROR(الجدول24[[#This Row],[سعر البيع]]-الجدول24[[#This Row],[فئة التكلفة]]*الجدول24[[#This Row],[العدد]],"")</f>
        <v/>
      </c>
      <c r="M7" s="1" t="s">
        <v>52</v>
      </c>
    </row>
    <row r="8" spans="1:13" x14ac:dyDescent="0.2">
      <c r="A8" s="36" t="str">
        <f>IFERROR(VLOOKUP(الجدول24[[#This Row],[كود الصنف]],'تكويد الأصناف'!A:F,6,0),"")</f>
        <v/>
      </c>
      <c r="B8" s="36" t="str">
        <f>IFERROR(VLOOKUP(الجدول24[[#This Row],[كود الصنف]],'تكويد الأصناف'!A:F,3,0)," ")</f>
        <v xml:space="preserve"> </v>
      </c>
      <c r="C8" s="25"/>
      <c r="D8" s="10" t="str">
        <f>IFERROR(VLOOKUP(الجدول24[[#This Row],[كود الصنف]],'تكويد الأصناف'!A:F,4,0),"")</f>
        <v/>
      </c>
      <c r="E8" s="21" t="str">
        <f>IFERROR(VLOOKUP(الجدول24[[#This Row],[كود الصنف]],'تكويد الأصناف'!A:F,5,0),"")</f>
        <v/>
      </c>
      <c r="F8" s="22"/>
      <c r="G8" s="23"/>
      <c r="H8" s="167" t="str">
        <f>IFERROR(الجدول24[[#This Row],[فئة التكلفة]]*الجدول24[[#This Row],[العدد]]," ")</f>
        <v xml:space="preserve"> </v>
      </c>
      <c r="I8" s="20" t="str">
        <f>IFERROR(الجدول24[[#This Row],[سعر البيع]]-الجدول24[[#This Row],[فئة التكلفة]]*الجدول24[[#This Row],[العدد]],"")</f>
        <v/>
      </c>
      <c r="M8" s="1" t="s">
        <v>53</v>
      </c>
    </row>
    <row r="9" spans="1:13" x14ac:dyDescent="0.2">
      <c r="A9" s="29"/>
      <c r="B9" s="29"/>
      <c r="C9" s="26"/>
      <c r="D9" s="27"/>
      <c r="E9" s="28"/>
      <c r="F9" s="29">
        <f>SUBTOTAL(109,الجدول24[العدد])</f>
        <v>0</v>
      </c>
      <c r="G9" s="24">
        <f>SUBTOTAL(109,الجدول24[سعر البيع])</f>
        <v>0</v>
      </c>
      <c r="H9" s="19"/>
      <c r="I9" s="24">
        <f>SUBTOTAL(109,الجدول24[±])</f>
        <v>0</v>
      </c>
      <c r="M9" s="1" t="s">
        <v>54</v>
      </c>
    </row>
    <row r="10" spans="1:13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M10" s="1" t="s">
        <v>55</v>
      </c>
    </row>
    <row r="11" spans="1:13" x14ac:dyDescent="0.2">
      <c r="A11" s="18"/>
      <c r="B11" s="188"/>
      <c r="C11" s="17"/>
      <c r="D11" s="17"/>
      <c r="E11" s="333"/>
      <c r="F11" s="333"/>
      <c r="G11" s="12"/>
      <c r="H11" s="333"/>
      <c r="I11" s="344"/>
      <c r="M11" s="1" t="s">
        <v>56</v>
      </c>
    </row>
    <row r="12" spans="1:13" x14ac:dyDescent="0.2">
      <c r="A12" s="336" t="s">
        <v>42</v>
      </c>
      <c r="B12" s="337"/>
      <c r="C12" s="337"/>
      <c r="D12" s="30">
        <f>'23'!G16</f>
        <v>746.25</v>
      </c>
      <c r="E12" s="333"/>
      <c r="F12" s="333"/>
      <c r="G12" s="30"/>
      <c r="H12" s="334"/>
      <c r="I12" s="335"/>
      <c r="M12" s="39" t="s">
        <v>57</v>
      </c>
    </row>
    <row r="13" spans="1:13" x14ac:dyDescent="0.2">
      <c r="A13" s="18"/>
      <c r="B13" s="188"/>
      <c r="C13" s="17"/>
      <c r="D13" s="31"/>
      <c r="E13" s="333"/>
      <c r="F13" s="333"/>
      <c r="G13" s="30"/>
      <c r="H13" s="334"/>
      <c r="I13" s="335"/>
      <c r="M13" s="1">
        <v>9</v>
      </c>
    </row>
    <row r="14" spans="1:13" x14ac:dyDescent="0.2">
      <c r="A14" s="336" t="s">
        <v>43</v>
      </c>
      <c r="B14" s="337"/>
      <c r="C14" s="337"/>
      <c r="D14" s="35">
        <f>الجدول24[[#Totals],[سعر البيع]]</f>
        <v>0</v>
      </c>
      <c r="E14" s="333"/>
      <c r="F14" s="333"/>
      <c r="G14" s="30"/>
      <c r="H14" s="334"/>
      <c r="I14" s="335"/>
      <c r="M14" s="1">
        <v>10</v>
      </c>
    </row>
    <row r="15" spans="1:13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M15" s="1">
        <v>11</v>
      </c>
    </row>
    <row r="16" spans="1:13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M16" s="1">
        <v>13</v>
      </c>
    </row>
    <row r="17" spans="1:13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M17" s="1">
        <v>14</v>
      </c>
    </row>
    <row r="18" spans="1:13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M18" s="1">
        <v>15</v>
      </c>
    </row>
    <row r="19" spans="1:13" x14ac:dyDescent="0.2">
      <c r="A19" s="15"/>
      <c r="B19" s="16"/>
      <c r="C19" s="2">
        <f>الجدول24[[#Totals],[±]]</f>
        <v>0</v>
      </c>
      <c r="D19" s="16"/>
      <c r="E19" s="2">
        <v>450</v>
      </c>
      <c r="F19" s="2">
        <f>K19-K21-K23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232" priority="1" operator="equal">
      <formula>0</formula>
    </cfRule>
    <cfRule type="cellIs" dxfId="231" priority="2" operator="equal">
      <formula>0</formula>
    </cfRule>
    <cfRule type="cellIs" dxfId="230" priority="3" operator="lessThan">
      <formula>0</formula>
    </cfRule>
    <cfRule type="cellIs" dxfId="229" priority="4" operator="equal">
      <formula>0</formula>
    </cfRule>
  </conditionalFormatting>
  <dataValidations count="2">
    <dataValidation type="list" allowBlank="1" showInputMessage="1" showErrorMessage="1" sqref="E11:F15" xr:uid="{DB3BEC55-2C3B-4EBE-9AAB-6801C4A8D96B}">
      <formula1>$M$5:$M$18</formula1>
    </dataValidation>
    <dataValidation type="list" allowBlank="1" showInputMessage="1" showErrorMessage="1" sqref="E17:F17" xr:uid="{DD324BE8-2113-4C77-88EC-D732E232F825}">
      <formula1>$K$5:$K$16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2">
    <tabColor theme="1"/>
  </sheetPr>
  <dimension ref="A1:W34"/>
  <sheetViews>
    <sheetView rightToLeft="1" zoomScale="90" zoomScaleNormal="90" workbookViewId="0">
      <selection activeCell="I21" sqref="I21"/>
    </sheetView>
  </sheetViews>
  <sheetFormatPr defaultRowHeight="18.75" customHeight="1" x14ac:dyDescent="0.25"/>
  <cols>
    <col min="1" max="1" width="14.875" style="113" customWidth="1"/>
    <col min="2" max="2" width="9.75" style="113" customWidth="1"/>
    <col min="3" max="3" width="6.375" style="113" customWidth="1"/>
    <col min="4" max="4" width="29.75" style="113" customWidth="1"/>
    <col min="5" max="5" width="7.25" style="113" customWidth="1"/>
    <col min="6" max="6" width="9.375" style="113" customWidth="1"/>
    <col min="7" max="7" width="11.75" style="113" customWidth="1"/>
    <col min="8" max="8" width="1.375" style="113" customWidth="1"/>
    <col min="9" max="9" width="14.875" style="113" customWidth="1"/>
    <col min="10" max="10" width="9.75" style="113" customWidth="1"/>
    <col min="11" max="11" width="6.375" style="113" customWidth="1"/>
    <col min="12" max="12" width="29.75" style="113" customWidth="1"/>
    <col min="13" max="13" width="7.25" style="113" customWidth="1"/>
    <col min="14" max="14" width="9.375" style="113" customWidth="1"/>
    <col min="15" max="15" width="11.75" style="113" customWidth="1"/>
    <col min="16" max="16" width="9" style="113"/>
    <col min="17" max="17" width="9.125" style="113" customWidth="1"/>
    <col min="18" max="18" width="18.125" style="113" customWidth="1"/>
    <col min="19" max="19" width="11.875" style="113" customWidth="1"/>
    <col min="20" max="20" width="21.375" style="113" customWidth="1"/>
    <col min="21" max="22" width="9" style="113"/>
    <col min="23" max="23" width="9" style="114"/>
    <col min="24" max="16384" width="9" style="113"/>
  </cols>
  <sheetData>
    <row r="1" spans="1:23" ht="18.75" customHeight="1" x14ac:dyDescent="0.25">
      <c r="A1" s="314" t="s">
        <v>8</v>
      </c>
      <c r="B1" s="314"/>
      <c r="C1" s="314"/>
      <c r="D1" s="314"/>
      <c r="E1" s="314"/>
      <c r="F1" s="314"/>
      <c r="G1" s="313">
        <v>41790</v>
      </c>
      <c r="I1" s="314" t="s">
        <v>9</v>
      </c>
      <c r="J1" s="314"/>
      <c r="K1" s="314"/>
      <c r="L1" s="314"/>
      <c r="M1" s="314"/>
      <c r="N1" s="314"/>
      <c r="O1" s="313">
        <v>41790</v>
      </c>
      <c r="Q1" s="314" t="s">
        <v>16</v>
      </c>
      <c r="R1" s="314"/>
      <c r="S1" s="314"/>
      <c r="T1" s="314"/>
    </row>
    <row r="2" spans="1:23" ht="18.75" customHeight="1" x14ac:dyDescent="0.25">
      <c r="A2" s="314"/>
      <c r="B2" s="314"/>
      <c r="C2" s="314"/>
      <c r="D2" s="314"/>
      <c r="E2" s="314"/>
      <c r="F2" s="314"/>
      <c r="G2" s="313"/>
      <c r="I2" s="314"/>
      <c r="J2" s="314"/>
      <c r="K2" s="314"/>
      <c r="L2" s="314"/>
      <c r="M2" s="314"/>
      <c r="N2" s="314"/>
      <c r="O2" s="313"/>
      <c r="Q2" s="314"/>
      <c r="R2" s="314"/>
      <c r="S2" s="314"/>
      <c r="T2" s="314"/>
    </row>
    <row r="3" spans="1:23" ht="18.75" customHeight="1" x14ac:dyDescent="0.25">
      <c r="A3" s="115" t="s">
        <v>0</v>
      </c>
      <c r="B3" s="116" t="s">
        <v>1</v>
      </c>
      <c r="C3" s="116" t="s">
        <v>7</v>
      </c>
      <c r="D3" s="116" t="s">
        <v>2</v>
      </c>
      <c r="E3" s="117" t="s">
        <v>3</v>
      </c>
      <c r="F3" s="118" t="s">
        <v>4</v>
      </c>
      <c r="G3" s="119" t="s">
        <v>5</v>
      </c>
      <c r="I3" s="115" t="s">
        <v>0</v>
      </c>
      <c r="J3" s="116" t="s">
        <v>1</v>
      </c>
      <c r="K3" s="116" t="s">
        <v>7</v>
      </c>
      <c r="L3" s="116" t="s">
        <v>2</v>
      </c>
      <c r="M3" s="117" t="s">
        <v>3</v>
      </c>
      <c r="N3" s="118" t="s">
        <v>4</v>
      </c>
      <c r="O3" s="119" t="s">
        <v>5</v>
      </c>
      <c r="Q3" s="120" t="s">
        <v>10</v>
      </c>
      <c r="R3" s="120" t="s">
        <v>11</v>
      </c>
      <c r="S3" s="120" t="s">
        <v>12</v>
      </c>
      <c r="T3" s="120" t="s">
        <v>13</v>
      </c>
      <c r="W3" s="121"/>
    </row>
    <row r="4" spans="1:23" ht="18.75" customHeight="1" x14ac:dyDescent="0.25">
      <c r="A4" s="164"/>
      <c r="B4" s="163"/>
      <c r="C4" s="163" t="str">
        <f>IFERROR(VLOOKUP(الوارد[[#This Row],[كود الصنف]],'تكويد الأصناف'!A:F,3,0)," ")</f>
        <v xml:space="preserve"> </v>
      </c>
      <c r="D4" s="193" t="str">
        <f>IFERROR(VLOOKUP(الوارد[[#This Row],[كود الصنف]],'تكويد الأصناف'!A:F,4,0),"")</f>
        <v/>
      </c>
      <c r="E4" s="157"/>
      <c r="F4" s="158" t="str">
        <f>IFERROR(VLOOKUP(الوارد[[#This Row],[كود الصنف]],'تكويد الأصناف'!A:F,6,0),"")</f>
        <v/>
      </c>
      <c r="G4" s="159" t="str">
        <f>IFERROR(الوارد[[#This Row],[العدد]]*الوارد[[#This Row],[سعر القطعة]],"")</f>
        <v/>
      </c>
      <c r="I4" s="122"/>
      <c r="J4" s="123"/>
      <c r="K4" s="124" t="str">
        <f>IFERROR(VLOOKUP(المرتجع[[#This Row],[كود الصنف]],'تكويد الأصناف'!A:F,3,0)," ")</f>
        <v xml:space="preserve"> </v>
      </c>
      <c r="L4" s="125" t="str">
        <f>IFERROR(VLOOKUP(المرتجع[[#This Row],[كود الصنف]],'تكويد الأصناف'!A:F,4,0),"")</f>
        <v/>
      </c>
      <c r="M4" s="123"/>
      <c r="N4" s="126" t="str">
        <f>IFERROR(VLOOKUP(المرتجع[[#This Row],[كود الصنف]],'تكويد الأصناف'!A:F,6,0),"")</f>
        <v/>
      </c>
      <c r="O4" s="126" t="str">
        <f>IFERROR(المرتجع[[#This Row],[العدد]]*المرتجع[[#This Row],[سعر القطعة]],"")</f>
        <v/>
      </c>
      <c r="Q4" s="127">
        <v>1</v>
      </c>
      <c r="R4" s="128" t="s">
        <v>37</v>
      </c>
      <c r="S4" s="129">
        <v>0</v>
      </c>
      <c r="T4" s="128"/>
      <c r="W4" s="130"/>
    </row>
    <row r="5" spans="1:23" ht="18.75" customHeight="1" x14ac:dyDescent="0.25">
      <c r="A5" s="164"/>
      <c r="B5" s="163"/>
      <c r="C5" s="163" t="str">
        <f>IFERROR(VLOOKUP(الوارد[[#This Row],[كود الصنف]],'تكويد الأصناف'!A:F,3,0)," ")</f>
        <v xml:space="preserve"> </v>
      </c>
      <c r="D5" s="193" t="str">
        <f>IFERROR(VLOOKUP(الوارد[[#This Row],[كود الصنف]],'تكويد الأصناف'!A:F,4,0),"")</f>
        <v/>
      </c>
      <c r="E5" s="157"/>
      <c r="F5" s="158" t="str">
        <f>IFERROR(VLOOKUP(الوارد[[#This Row],[كود الصنف]],'تكويد الأصناف'!A:F,6,0),"")</f>
        <v/>
      </c>
      <c r="G5" s="159" t="str">
        <f>IFERROR(الوارد[[#This Row],[العدد]]*الوارد[[#This Row],[سعر القطعة]],"")</f>
        <v/>
      </c>
      <c r="I5" s="131"/>
      <c r="J5" s="132"/>
      <c r="K5" s="133" t="str">
        <f>IFERROR(VLOOKUP(المرتجع[[#This Row],[كود الصنف]],'تكويد الأصناف'!A:F,3,0)," ")</f>
        <v xml:space="preserve"> </v>
      </c>
      <c r="L5" s="134" t="str">
        <f>IFERROR(VLOOKUP(المرتجع[[#This Row],[كود الصنف]],'تكويد الأصناف'!A:F,4,0),"")</f>
        <v/>
      </c>
      <c r="M5" s="132"/>
      <c r="N5" s="135" t="str">
        <f>IFERROR(VLOOKUP(المرتجع[[#This Row],[كود الصنف]],'تكويد الأصناف'!A:F,6,0),"")</f>
        <v/>
      </c>
      <c r="O5" s="135" t="str">
        <f>IFERROR(المرتجع[[#This Row],[العدد]]*المرتجع[[#This Row],[سعر القطعة]],"")</f>
        <v/>
      </c>
      <c r="Q5" s="127">
        <v>2</v>
      </c>
      <c r="R5" s="128" t="s">
        <v>14</v>
      </c>
      <c r="S5" s="129">
        <v>0</v>
      </c>
      <c r="T5" s="128"/>
      <c r="W5" s="130"/>
    </row>
    <row r="6" spans="1:23" ht="18.75" customHeight="1" x14ac:dyDescent="0.25">
      <c r="A6" s="164"/>
      <c r="B6" s="163"/>
      <c r="C6" s="163" t="str">
        <f>IFERROR(VLOOKUP(الوارد[[#This Row],[كود الصنف]],'تكويد الأصناف'!A:F,3,0)," ")</f>
        <v xml:space="preserve"> </v>
      </c>
      <c r="D6" s="193" t="str">
        <f>IFERROR(VLOOKUP(الوارد[[#This Row],[كود الصنف]],'تكويد الأصناف'!A:F,4,0),"")</f>
        <v/>
      </c>
      <c r="E6" s="157"/>
      <c r="F6" s="158" t="str">
        <f>IFERROR(VLOOKUP(الوارد[[#This Row],[كود الصنف]],'تكويد الأصناف'!A:F,6,0),"")</f>
        <v/>
      </c>
      <c r="G6" s="159" t="str">
        <f>IFERROR(الوارد[[#This Row],[العدد]]*الوارد[[#This Row],[سعر القطعة]],"")</f>
        <v/>
      </c>
      <c r="I6" s="136"/>
      <c r="J6" s="137"/>
      <c r="K6" s="138" t="str">
        <f>IFERROR(VLOOKUP(المرتجع[[#This Row],[كود الصنف]],'تكويد الأصناف'!A:F,3,0)," ")</f>
        <v xml:space="preserve"> </v>
      </c>
      <c r="L6" s="139" t="str">
        <f>IFERROR(VLOOKUP(المرتجع[[#This Row],[كود الصنف]],'تكويد الأصناف'!A:F,4,0),"")</f>
        <v/>
      </c>
      <c r="M6" s="137"/>
      <c r="N6" s="140" t="str">
        <f>IFERROR(VLOOKUP(المرتجع[[#This Row],[كود الصنف]],'تكويد الأصناف'!A:F,6,0),"")</f>
        <v/>
      </c>
      <c r="O6" s="140" t="str">
        <f>IFERROR(المرتجع[[#This Row],[العدد]]*المرتجع[[#This Row],[سعر القطعة]],"")</f>
        <v/>
      </c>
      <c r="Q6" s="127">
        <v>3</v>
      </c>
      <c r="R6" s="128" t="s">
        <v>15</v>
      </c>
      <c r="S6" s="129">
        <v>0</v>
      </c>
      <c r="T6" s="128"/>
      <c r="W6" s="130"/>
    </row>
    <row r="7" spans="1:23" ht="18.75" customHeight="1" x14ac:dyDescent="0.25">
      <c r="A7" s="164"/>
      <c r="B7" s="163"/>
      <c r="C7" s="163" t="str">
        <f>IFERROR(VLOOKUP(الوارد[[#This Row],[كود الصنف]],'تكويد الأصناف'!A:F,3,0)," ")</f>
        <v xml:space="preserve"> </v>
      </c>
      <c r="D7" s="193" t="str">
        <f>IFERROR(VLOOKUP(الوارد[[#This Row],[كود الصنف]],'تكويد الأصناف'!A:F,4,0),"")</f>
        <v/>
      </c>
      <c r="E7" s="157"/>
      <c r="F7" s="158" t="str">
        <f>IFERROR(VLOOKUP(الوارد[[#This Row],[كود الصنف]],'تكويد الأصناف'!A:F,6,0),"")</f>
        <v/>
      </c>
      <c r="G7" s="159" t="str">
        <f>IFERROR(الوارد[[#This Row],[العدد]]*الوارد[[#This Row],[سعر القطعة]],"")</f>
        <v/>
      </c>
      <c r="I7" s="136"/>
      <c r="J7" s="137"/>
      <c r="K7" s="138" t="str">
        <f>IFERROR(VLOOKUP(المرتجع[[#This Row],[كود الصنف]],'تكويد الأصناف'!A:F,3,0)," ")</f>
        <v xml:space="preserve"> </v>
      </c>
      <c r="L7" s="139" t="str">
        <f>IFERROR(VLOOKUP(المرتجع[[#This Row],[كود الصنف]],'تكويد الأصناف'!A:F,4,0),"")</f>
        <v/>
      </c>
      <c r="M7" s="137"/>
      <c r="N7" s="140" t="str">
        <f>IFERROR(VLOOKUP(المرتجع[[#This Row],[كود الصنف]],'تكويد الأصناف'!A:F,6,0),"")</f>
        <v/>
      </c>
      <c r="O7" s="140" t="str">
        <f>IFERROR(المرتجع[[#This Row],[العدد]]*المرتجع[[#This Row],[سعر القطعة]],"")</f>
        <v/>
      </c>
      <c r="Q7" s="127">
        <v>4</v>
      </c>
      <c r="R7" s="128" t="s">
        <v>59</v>
      </c>
      <c r="S7" s="129">
        <v>0</v>
      </c>
      <c r="T7" s="128"/>
      <c r="W7" s="130"/>
    </row>
    <row r="8" spans="1:23" ht="18.75" customHeight="1" x14ac:dyDescent="0.25">
      <c r="A8" s="164"/>
      <c r="B8" s="163"/>
      <c r="C8" s="163" t="str">
        <f>IFERROR(VLOOKUP(الوارد[[#This Row],[كود الصنف]],'تكويد الأصناف'!A:F,3,0)," ")</f>
        <v xml:space="preserve"> </v>
      </c>
      <c r="D8" s="193" t="str">
        <f>IFERROR(VLOOKUP(الوارد[[#This Row],[كود الصنف]],'تكويد الأصناف'!A:F,4,0),"")</f>
        <v/>
      </c>
      <c r="E8" s="157"/>
      <c r="F8" s="158" t="str">
        <f>IFERROR(VLOOKUP(الوارد[[#This Row],[كود الصنف]],'تكويد الأصناف'!A:F,6,0),"")</f>
        <v/>
      </c>
      <c r="G8" s="159" t="str">
        <f>IFERROR(الوارد[[#This Row],[العدد]]*الوارد[[#This Row],[سعر القطعة]],"")</f>
        <v/>
      </c>
      <c r="I8" s="141" t="s">
        <v>6</v>
      </c>
      <c r="J8" s="142"/>
      <c r="K8" s="143"/>
      <c r="L8" s="144"/>
      <c r="M8" s="142">
        <f>SUBTOTAL(109,المرتجع[العدد])</f>
        <v>0</v>
      </c>
      <c r="N8" s="145"/>
      <c r="O8" s="146">
        <f>SUBTOTAL(109,المرتجع[الاجمالي])</f>
        <v>0</v>
      </c>
      <c r="W8" s="130"/>
    </row>
    <row r="9" spans="1:23" ht="18.75" customHeight="1" x14ac:dyDescent="0.25">
      <c r="A9" s="164"/>
      <c r="B9" s="163"/>
      <c r="C9" s="163" t="str">
        <f>IFERROR(VLOOKUP(الوارد[[#This Row],[كود الصنف]],'تكويد الأصناف'!A:F,3,0)," ")</f>
        <v xml:space="preserve"> </v>
      </c>
      <c r="D9" s="193" t="str">
        <f>IFERROR(VLOOKUP(الوارد[[#This Row],[كود الصنف]],'تكويد الأصناف'!A:F,4,0),"")</f>
        <v/>
      </c>
      <c r="E9" s="157"/>
      <c r="F9" s="158" t="str">
        <f>IFERROR(VLOOKUP(الوارد[[#This Row],[كود الصنف]],'تكويد الأصناف'!A:F,6,0),"")</f>
        <v/>
      </c>
      <c r="G9" s="159" t="str">
        <f>IFERROR(الوارد[[#This Row],[العدد]]*الوارد[[#This Row],[سعر القطعة]],"")</f>
        <v/>
      </c>
      <c r="W9" s="130"/>
    </row>
    <row r="10" spans="1:23" ht="18.75" customHeight="1" x14ac:dyDescent="0.25">
      <c r="A10" s="164"/>
      <c r="B10" s="163"/>
      <c r="C10" s="163" t="str">
        <f>IFERROR(VLOOKUP(الوارد[[#This Row],[كود الصنف]],'تكويد الأصناف'!A:F,3,0)," ")</f>
        <v xml:space="preserve"> </v>
      </c>
      <c r="D10" s="193" t="str">
        <f>IFERROR(VLOOKUP(الوارد[[#This Row],[كود الصنف]],'تكويد الأصناف'!A:F,4,0),"")</f>
        <v/>
      </c>
      <c r="E10" s="157"/>
      <c r="F10" s="158" t="str">
        <f>IFERROR(VLOOKUP(الوارد[[#This Row],[كود الصنف]],'تكويد الأصناف'!A:F,6,0),"")</f>
        <v/>
      </c>
      <c r="G10" s="159" t="str">
        <f>IFERROR(الوارد[[#This Row],[العدد]]*الوارد[[#This Row],[سعر القطعة]],"")</f>
        <v/>
      </c>
      <c r="W10" s="130"/>
    </row>
    <row r="11" spans="1:23" ht="18.75" customHeight="1" x14ac:dyDescent="0.25">
      <c r="A11" s="190"/>
      <c r="B11" s="189"/>
      <c r="C11" s="189" t="str">
        <f>IFERROR(VLOOKUP(الوارد[[#This Row],[كود الصنف]],'تكويد الأصناف'!A:F,3,0)," ")</f>
        <v xml:space="preserve"> </v>
      </c>
      <c r="D11" s="194" t="str">
        <f>IFERROR(VLOOKUP(الوارد[[#This Row],[كود الصنف]],'تكويد الأصناف'!A:F,4,0),"")</f>
        <v/>
      </c>
      <c r="E11" s="191"/>
      <c r="F11" s="192" t="str">
        <f>IFERROR(VLOOKUP(الوارد[[#This Row],[كود الصنف]],'تكويد الأصناف'!A:F,6,0),"")</f>
        <v/>
      </c>
      <c r="G11" s="192" t="str">
        <f>IFERROR(الوارد[[#This Row],[العدد]]*الوارد[[#This Row],[سعر القطعة]],"")</f>
        <v/>
      </c>
      <c r="W11" s="130"/>
    </row>
    <row r="12" spans="1:23" ht="18.75" customHeight="1" x14ac:dyDescent="0.25">
      <c r="A12" s="190"/>
      <c r="B12" s="189"/>
      <c r="C12" s="189" t="str">
        <f>IFERROR(VLOOKUP(الوارد[[#This Row],[كود الصنف]],'تكويد الأصناف'!A:F,3,0)," ")</f>
        <v xml:space="preserve"> </v>
      </c>
      <c r="D12" s="194" t="str">
        <f>IFERROR(VLOOKUP(الوارد[[#This Row],[كود الصنف]],'تكويد الأصناف'!A:F,4,0),"")</f>
        <v/>
      </c>
      <c r="E12" s="191"/>
      <c r="F12" s="192" t="str">
        <f>IFERROR(VLOOKUP(الوارد[[#This Row],[كود الصنف]],'تكويد الأصناف'!A:F,6,0),"")</f>
        <v/>
      </c>
      <c r="G12" s="192" t="str">
        <f>IFERROR(الوارد[[#This Row],[العدد]]*الوارد[[#This Row],[سعر القطعة]],"")</f>
        <v/>
      </c>
      <c r="W12" s="130"/>
    </row>
    <row r="13" spans="1:23" ht="18.75" customHeight="1" x14ac:dyDescent="0.25">
      <c r="A13" s="141" t="s">
        <v>6</v>
      </c>
      <c r="B13" s="142"/>
      <c r="C13" s="143"/>
      <c r="D13" s="144"/>
      <c r="E13" s="160">
        <f>SUBTOTAL(109,الوارد[العدد])</f>
        <v>0</v>
      </c>
      <c r="F13" s="161"/>
      <c r="G13" s="162">
        <f>SUBTOTAL(109,الوارد[الاجمالي])</f>
        <v>0</v>
      </c>
      <c r="W13" s="130"/>
    </row>
    <row r="14" spans="1:23" ht="18.75" customHeight="1" x14ac:dyDescent="0.25">
      <c r="W14" s="130"/>
    </row>
    <row r="15" spans="1:23" ht="18.75" customHeight="1" x14ac:dyDescent="0.25">
      <c r="W15" s="130"/>
    </row>
    <row r="16" spans="1:23" ht="18.75" customHeight="1" x14ac:dyDescent="0.25">
      <c r="W16" s="130"/>
    </row>
    <row r="17" spans="23:23" ht="18.75" customHeight="1" x14ac:dyDescent="0.25">
      <c r="W17" s="130"/>
    </row>
    <row r="18" spans="23:23" ht="18.75" customHeight="1" x14ac:dyDescent="0.25">
      <c r="W18" s="130"/>
    </row>
    <row r="19" spans="23:23" ht="18.75" customHeight="1" x14ac:dyDescent="0.25">
      <c r="W19" s="130"/>
    </row>
    <row r="20" spans="23:23" ht="18.75" customHeight="1" x14ac:dyDescent="0.25">
      <c r="W20" s="130"/>
    </row>
    <row r="21" spans="23:23" ht="18.75" customHeight="1" x14ac:dyDescent="0.25">
      <c r="W21" s="130"/>
    </row>
    <row r="22" spans="23:23" ht="18.75" customHeight="1" x14ac:dyDescent="0.25">
      <c r="W22" s="130"/>
    </row>
    <row r="23" spans="23:23" ht="18.75" customHeight="1" x14ac:dyDescent="0.25">
      <c r="W23" s="130"/>
    </row>
    <row r="24" spans="23:23" ht="18.75" customHeight="1" x14ac:dyDescent="0.25">
      <c r="W24" s="130"/>
    </row>
    <row r="25" spans="23:23" ht="18.75" customHeight="1" x14ac:dyDescent="0.25">
      <c r="W25" s="130"/>
    </row>
    <row r="26" spans="23:23" ht="18.75" customHeight="1" x14ac:dyDescent="0.25">
      <c r="W26" s="130"/>
    </row>
    <row r="27" spans="23:23" ht="18.75" customHeight="1" x14ac:dyDescent="0.25">
      <c r="W27" s="130"/>
    </row>
    <row r="28" spans="23:23" ht="18.75" customHeight="1" x14ac:dyDescent="0.25">
      <c r="W28" s="130"/>
    </row>
    <row r="29" spans="23:23" ht="18.75" customHeight="1" x14ac:dyDescent="0.25">
      <c r="W29" s="130"/>
    </row>
    <row r="30" spans="23:23" ht="18.75" customHeight="1" x14ac:dyDescent="0.25">
      <c r="W30" s="130"/>
    </row>
    <row r="31" spans="23:23" ht="18.75" customHeight="1" x14ac:dyDescent="0.25">
      <c r="W31" s="130"/>
    </row>
    <row r="32" spans="23:23" ht="18.75" customHeight="1" x14ac:dyDescent="0.25">
      <c r="W32" s="130"/>
    </row>
    <row r="33" spans="23:23" ht="18.75" customHeight="1" x14ac:dyDescent="0.25">
      <c r="W33" s="130"/>
    </row>
    <row r="34" spans="23:23" ht="18.75" customHeight="1" x14ac:dyDescent="0.25">
      <c r="W34" s="130"/>
    </row>
  </sheetData>
  <mergeCells count="5">
    <mergeCell ref="O1:O2"/>
    <mergeCell ref="I1:N2"/>
    <mergeCell ref="Q1:T2"/>
    <mergeCell ref="A1:F2"/>
    <mergeCell ref="G1:G2"/>
  </mergeCells>
  <printOptions horizontalCentered="1"/>
  <pageMargins left="3.937007874015748E-2" right="3.937007874015748E-2" top="0.35433070866141736" bottom="0.35433070866141736" header="0.31496062992125984" footer="0.31496062992125984"/>
  <pageSetup paperSize="9" orientation="portrait" verticalDpi="203" r:id="rId1"/>
  <tableParts count="3">
    <tablePart r:id="rId2"/>
    <tablePart r:id="rId3"/>
    <tablePart r:id="rId4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8C6C-9760-4B35-9776-B229DAB42F70}">
  <sheetPr codeName="ورقة28">
    <tabColor rgb="FFFF0000"/>
  </sheetPr>
  <dimension ref="A1:M19"/>
  <sheetViews>
    <sheetView rightToLeft="1" workbookViewId="0">
      <selection activeCell="P8" sqref="P8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3" max="13" width="9" customWidth="1"/>
  </cols>
  <sheetData>
    <row r="1" spans="1:13" x14ac:dyDescent="0.2">
      <c r="A1" s="3"/>
      <c r="B1" s="3"/>
      <c r="C1" s="3"/>
      <c r="D1" s="3"/>
      <c r="E1" s="3"/>
      <c r="F1" s="3"/>
      <c r="G1" s="4" t="s">
        <v>0</v>
      </c>
      <c r="H1" s="339">
        <f>'24'!H1:I1+1</f>
        <v>41814</v>
      </c>
      <c r="I1" s="339"/>
    </row>
    <row r="2" spans="1:13" ht="15" x14ac:dyDescent="0.2">
      <c r="A2" s="3"/>
      <c r="B2" s="3"/>
      <c r="C2" s="3"/>
      <c r="D2" s="3"/>
      <c r="E2" s="17"/>
      <c r="F2" s="6"/>
      <c r="G2" s="7"/>
      <c r="H2" s="340">
        <f>H1</f>
        <v>41814</v>
      </c>
      <c r="I2" s="340"/>
    </row>
    <row r="3" spans="1:13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3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3" x14ac:dyDescent="0.2">
      <c r="A5" s="36" t="str">
        <f>IFERROR(VLOOKUP(الجدول25[[#This Row],[كود الصنف]],'تكويد الأصناف'!A:F,6,0),"")</f>
        <v/>
      </c>
      <c r="B5" s="36" t="str">
        <f>IFERROR(VLOOKUP(الجدول25[[#This Row],[كود الصنف]],'تكويد الأصناف'!A:F,3,0)," ")</f>
        <v xml:space="preserve"> </v>
      </c>
      <c r="C5" s="25"/>
      <c r="D5" s="10" t="str">
        <f>IFERROR(VLOOKUP(الجدول25[[#This Row],[كود الصنف]],'تكويد الأصناف'!A:F,4,0),"")</f>
        <v/>
      </c>
      <c r="E5" s="21" t="str">
        <f>IFERROR(VLOOKUP(الجدول25[[#This Row],[كود الصنف]],'تكويد الأصناف'!A:F,5,0),"")</f>
        <v/>
      </c>
      <c r="F5" s="22"/>
      <c r="G5" s="23"/>
      <c r="H5" s="195" t="str">
        <f>IFERROR(الجدول25[[#This Row],[فئة التكلفة]]*الجدول25[[#This Row],[العدد]]," ")</f>
        <v xml:space="preserve"> </v>
      </c>
      <c r="I5" s="20" t="str">
        <f>IFERROR(الجدول25[[#This Row],[سعر البيع]]-الجدول25[[#This Row],[فئة التكلفة]]*الجدول25[[#This Row],[العدد]],"")</f>
        <v/>
      </c>
      <c r="M5" s="1" t="s">
        <v>50</v>
      </c>
    </row>
    <row r="6" spans="1:13" x14ac:dyDescent="0.2">
      <c r="A6" s="36" t="str">
        <f>IFERROR(VLOOKUP(الجدول25[[#This Row],[كود الصنف]],'تكويد الأصناف'!A:F,6,0),"")</f>
        <v/>
      </c>
      <c r="B6" s="36" t="str">
        <f>IFERROR(VLOOKUP(الجدول25[[#This Row],[كود الصنف]],'تكويد الأصناف'!A:F,3,0)," ")</f>
        <v xml:space="preserve"> </v>
      </c>
      <c r="C6" s="25"/>
      <c r="D6" s="10" t="str">
        <f>IFERROR(VLOOKUP(الجدول25[[#This Row],[كود الصنف]],'تكويد الأصناف'!A:F,4,0),"")</f>
        <v/>
      </c>
      <c r="E6" s="21" t="str">
        <f>IFERROR(VLOOKUP(الجدول25[[#This Row],[كود الصنف]],'تكويد الأصناف'!A:F,5,0),"")</f>
        <v/>
      </c>
      <c r="F6" s="22"/>
      <c r="G6" s="23"/>
      <c r="H6" s="167" t="str">
        <f>IFERROR(الجدول25[[#This Row],[فئة التكلفة]]*الجدول25[[#This Row],[العدد]]," ")</f>
        <v xml:space="preserve"> </v>
      </c>
      <c r="I6" s="20" t="str">
        <f>IFERROR(الجدول25[[#This Row],[سعر البيع]]-الجدول25[[#This Row],[فئة التكلفة]]*الجدول25[[#This Row],[العدد]],"")</f>
        <v/>
      </c>
      <c r="M6" s="1" t="s">
        <v>51</v>
      </c>
    </row>
    <row r="7" spans="1:13" x14ac:dyDescent="0.2">
      <c r="A7" s="36" t="str">
        <f>IFERROR(VLOOKUP(الجدول25[[#This Row],[كود الصنف]],'تكويد الأصناف'!A:F,6,0),"")</f>
        <v/>
      </c>
      <c r="B7" s="36" t="str">
        <f>IFERROR(VLOOKUP(الجدول25[[#This Row],[كود الصنف]],'تكويد الأصناف'!A:F,3,0)," ")</f>
        <v xml:space="preserve"> </v>
      </c>
      <c r="C7" s="25"/>
      <c r="D7" s="10" t="str">
        <f>IFERROR(VLOOKUP(الجدول25[[#This Row],[كود الصنف]],'تكويد الأصناف'!A:F,4,0),"")</f>
        <v/>
      </c>
      <c r="E7" s="21" t="str">
        <f>IFERROR(VLOOKUP(الجدول25[[#This Row],[كود الصنف]],'تكويد الأصناف'!A:F,5,0),"")</f>
        <v/>
      </c>
      <c r="F7" s="22"/>
      <c r="G7" s="23"/>
      <c r="H7" s="167" t="str">
        <f>IFERROR(الجدول25[[#This Row],[فئة التكلفة]]*الجدول25[[#This Row],[العدد]]," ")</f>
        <v xml:space="preserve"> </v>
      </c>
      <c r="I7" s="20" t="str">
        <f>IFERROR(الجدول25[[#This Row],[سعر البيع]]-الجدول25[[#This Row],[فئة التكلفة]]*الجدول25[[#This Row],[العدد]],"")</f>
        <v/>
      </c>
      <c r="M7" s="1" t="s">
        <v>52</v>
      </c>
    </row>
    <row r="8" spans="1:13" x14ac:dyDescent="0.2">
      <c r="A8" s="36" t="str">
        <f>IFERROR(VLOOKUP(الجدول25[[#This Row],[كود الصنف]],'تكويد الأصناف'!A:F,6,0),"")</f>
        <v/>
      </c>
      <c r="B8" s="36" t="str">
        <f>IFERROR(VLOOKUP(الجدول25[[#This Row],[كود الصنف]],'تكويد الأصناف'!A:F,3,0)," ")</f>
        <v xml:space="preserve"> </v>
      </c>
      <c r="C8" s="25"/>
      <c r="D8" s="10" t="str">
        <f>IFERROR(VLOOKUP(الجدول25[[#This Row],[كود الصنف]],'تكويد الأصناف'!A:F,4,0),"")</f>
        <v/>
      </c>
      <c r="E8" s="21" t="str">
        <f>IFERROR(VLOOKUP(الجدول25[[#This Row],[كود الصنف]],'تكويد الأصناف'!A:F,5,0),"")</f>
        <v/>
      </c>
      <c r="F8" s="22"/>
      <c r="G8" s="23"/>
      <c r="H8" s="167" t="str">
        <f>IFERROR(الجدول25[[#This Row],[فئة التكلفة]]*الجدول25[[#This Row],[العدد]]," ")</f>
        <v xml:space="preserve"> </v>
      </c>
      <c r="I8" s="20" t="str">
        <f>IFERROR(الجدول25[[#This Row],[سعر البيع]]-الجدول25[[#This Row],[فئة التكلفة]]*الجدول25[[#This Row],[العدد]],"")</f>
        <v/>
      </c>
      <c r="M8" s="1" t="s">
        <v>53</v>
      </c>
    </row>
    <row r="9" spans="1:13" x14ac:dyDescent="0.2">
      <c r="A9" s="29"/>
      <c r="B9" s="29"/>
      <c r="C9" s="26"/>
      <c r="D9" s="27"/>
      <c r="E9" s="28"/>
      <c r="F9" s="29">
        <f>SUBTOTAL(109,الجدول25[العدد])</f>
        <v>0</v>
      </c>
      <c r="G9" s="24">
        <f>SUBTOTAL(109,الجدول25[سعر البيع])</f>
        <v>0</v>
      </c>
      <c r="H9" s="19"/>
      <c r="I9" s="24">
        <f>SUBTOTAL(109,الجدول25[±])</f>
        <v>0</v>
      </c>
      <c r="M9" s="1" t="s">
        <v>54</v>
      </c>
    </row>
    <row r="10" spans="1:13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M10" s="1" t="s">
        <v>55</v>
      </c>
    </row>
    <row r="11" spans="1:13" x14ac:dyDescent="0.2">
      <c r="A11" s="18"/>
      <c r="B11" s="188"/>
      <c r="C11" s="17"/>
      <c r="D11" s="17"/>
      <c r="E11" s="333"/>
      <c r="F11" s="333"/>
      <c r="G11" s="12"/>
      <c r="H11" s="333"/>
      <c r="I11" s="344"/>
      <c r="M11" s="1" t="s">
        <v>56</v>
      </c>
    </row>
    <row r="12" spans="1:13" x14ac:dyDescent="0.2">
      <c r="A12" s="336" t="s">
        <v>42</v>
      </c>
      <c r="B12" s="337"/>
      <c r="C12" s="337"/>
      <c r="D12" s="30">
        <f>'24'!G16</f>
        <v>746.25</v>
      </c>
      <c r="E12" s="333"/>
      <c r="F12" s="333"/>
      <c r="G12" s="30"/>
      <c r="H12" s="334"/>
      <c r="I12" s="335"/>
      <c r="M12" s="39" t="s">
        <v>57</v>
      </c>
    </row>
    <row r="13" spans="1:13" x14ac:dyDescent="0.2">
      <c r="A13" s="18"/>
      <c r="B13" s="188"/>
      <c r="C13" s="17"/>
      <c r="D13" s="31"/>
      <c r="E13" s="333"/>
      <c r="F13" s="333"/>
      <c r="G13" s="30"/>
      <c r="H13" s="334"/>
      <c r="I13" s="335"/>
      <c r="M13" s="1">
        <v>9</v>
      </c>
    </row>
    <row r="14" spans="1:13" x14ac:dyDescent="0.2">
      <c r="A14" s="336" t="s">
        <v>43</v>
      </c>
      <c r="B14" s="337"/>
      <c r="C14" s="337"/>
      <c r="D14" s="35">
        <f>الجدول25[[#Totals],[سعر البيع]]</f>
        <v>0</v>
      </c>
      <c r="E14" s="333"/>
      <c r="F14" s="333"/>
      <c r="G14" s="30"/>
      <c r="H14" s="334"/>
      <c r="I14" s="335"/>
      <c r="M14" s="1">
        <v>10</v>
      </c>
    </row>
    <row r="15" spans="1:13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M15" s="1">
        <v>11</v>
      </c>
    </row>
    <row r="16" spans="1:13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M16" s="1">
        <v>13</v>
      </c>
    </row>
    <row r="17" spans="1:13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M17" s="1">
        <v>14</v>
      </c>
    </row>
    <row r="18" spans="1:13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M18" s="1">
        <v>15</v>
      </c>
    </row>
    <row r="19" spans="1:13" x14ac:dyDescent="0.2">
      <c r="A19" s="15"/>
      <c r="B19" s="187"/>
      <c r="C19" s="2">
        <f>الجدول25[[#Totals],[±]]</f>
        <v>0</v>
      </c>
      <c r="D19" s="16"/>
      <c r="E19" s="2">
        <v>450</v>
      </c>
      <c r="F19" s="2">
        <f>K19-K21-K23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204" priority="1" operator="equal">
      <formula>0</formula>
    </cfRule>
    <cfRule type="cellIs" dxfId="203" priority="2" operator="equal">
      <formula>0</formula>
    </cfRule>
    <cfRule type="cellIs" dxfId="202" priority="3" operator="lessThan">
      <formula>0</formula>
    </cfRule>
    <cfRule type="cellIs" dxfId="201" priority="4" operator="equal">
      <formula>0</formula>
    </cfRule>
  </conditionalFormatting>
  <dataValidations count="2">
    <dataValidation type="list" allowBlank="1" showInputMessage="1" showErrorMessage="1" sqref="E17:F17" xr:uid="{89D5C69D-320F-4A9D-8E7F-81DC249E5B49}">
      <formula1>$K$5:$K$16</formula1>
    </dataValidation>
    <dataValidation type="list" allowBlank="1" showInputMessage="1" showErrorMessage="1" sqref="E11:F15" xr:uid="{5732B7AA-2AFE-4518-8AAB-664045F33FCF}">
      <formula1>$M$5:$M$18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41CB-50EA-4E15-97AE-FCE99A1C3979}">
  <sheetPr codeName="ورقة30">
    <tabColor rgb="FFFF0000"/>
  </sheetPr>
  <dimension ref="A1:M19"/>
  <sheetViews>
    <sheetView rightToLeft="1" workbookViewId="0">
      <selection activeCell="H1" sqref="H1:I1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3" max="13" width="9" customWidth="1"/>
  </cols>
  <sheetData>
    <row r="1" spans="1:13" x14ac:dyDescent="0.2">
      <c r="A1" s="3"/>
      <c r="B1" s="3"/>
      <c r="C1" s="3"/>
      <c r="D1" s="3"/>
      <c r="E1" s="3"/>
      <c r="F1" s="3"/>
      <c r="G1" s="4" t="s">
        <v>0</v>
      </c>
      <c r="H1" s="339">
        <f>'26'!H1:I1+1</f>
        <v>41816</v>
      </c>
      <c r="I1" s="339"/>
    </row>
    <row r="2" spans="1:13" ht="15" x14ac:dyDescent="0.2">
      <c r="A2" s="3"/>
      <c r="B2" s="3"/>
      <c r="C2" s="3"/>
      <c r="D2" s="3"/>
      <c r="E2" s="17"/>
      <c r="F2" s="6"/>
      <c r="G2" s="7"/>
      <c r="H2" s="340">
        <f>H1</f>
        <v>41816</v>
      </c>
      <c r="I2" s="340"/>
    </row>
    <row r="3" spans="1:13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3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3" x14ac:dyDescent="0.2">
      <c r="A5" s="36" t="str">
        <f>IFERROR(VLOOKUP(الجدول27[[#This Row],[كود الصنف]],'تكويد الأصناف'!A:F,6,0),"")</f>
        <v/>
      </c>
      <c r="B5" s="36" t="str">
        <f>IFERROR(VLOOKUP(الجدول27[[#This Row],[كود الصنف]],'تكويد الأصناف'!A:F,3,0)," ")</f>
        <v xml:space="preserve"> </v>
      </c>
      <c r="C5" s="25"/>
      <c r="D5" s="10" t="str">
        <f>IFERROR(VLOOKUP(الجدول27[[#This Row],[كود الصنف]],'تكويد الأصناف'!A:F,4,0),"")</f>
        <v/>
      </c>
      <c r="E5" s="21" t="str">
        <f>IFERROR(VLOOKUP(الجدول27[[#This Row],[كود الصنف]],'تكويد الأصناف'!A:F,5,0),"")</f>
        <v/>
      </c>
      <c r="F5" s="22"/>
      <c r="G5" s="23"/>
      <c r="H5" s="195" t="str">
        <f>IFERROR(الجدول27[[#This Row],[فئة التكلفة]]*الجدول27[[#This Row],[العدد]]," ")</f>
        <v xml:space="preserve"> </v>
      </c>
      <c r="I5" s="20" t="str">
        <f>IFERROR(الجدول27[[#This Row],[سعر البيع]]-الجدول27[[#This Row],[فئة التكلفة]]*الجدول27[[#This Row],[العدد]],"")</f>
        <v/>
      </c>
      <c r="M5" s="1" t="s">
        <v>50</v>
      </c>
    </row>
    <row r="6" spans="1:13" x14ac:dyDescent="0.2">
      <c r="A6" s="36" t="str">
        <f>IFERROR(VLOOKUP(الجدول27[[#This Row],[كود الصنف]],'تكويد الأصناف'!A:F,6,0),"")</f>
        <v/>
      </c>
      <c r="B6" s="36" t="str">
        <f>IFERROR(VLOOKUP(الجدول27[[#This Row],[كود الصنف]],'تكويد الأصناف'!A:F,3,0)," ")</f>
        <v xml:space="preserve"> </v>
      </c>
      <c r="C6" s="25"/>
      <c r="D6" s="10" t="str">
        <f>IFERROR(VLOOKUP(الجدول27[[#This Row],[كود الصنف]],'تكويد الأصناف'!A:F,4,0),"")</f>
        <v/>
      </c>
      <c r="E6" s="21" t="str">
        <f>IFERROR(VLOOKUP(الجدول27[[#This Row],[كود الصنف]],'تكويد الأصناف'!A:F,5,0),"")</f>
        <v/>
      </c>
      <c r="F6" s="22"/>
      <c r="G6" s="23"/>
      <c r="H6" s="167" t="str">
        <f>IFERROR(الجدول27[[#This Row],[فئة التكلفة]]*الجدول27[[#This Row],[العدد]]," ")</f>
        <v xml:space="preserve"> </v>
      </c>
      <c r="I6" s="20" t="str">
        <f>IFERROR(الجدول27[[#This Row],[سعر البيع]]-الجدول27[[#This Row],[فئة التكلفة]]*الجدول27[[#This Row],[العدد]],"")</f>
        <v/>
      </c>
      <c r="M6" s="1" t="s">
        <v>51</v>
      </c>
    </row>
    <row r="7" spans="1:13" x14ac:dyDescent="0.2">
      <c r="A7" s="36" t="str">
        <f>IFERROR(VLOOKUP(الجدول27[[#This Row],[كود الصنف]],'تكويد الأصناف'!A:F,6,0),"")</f>
        <v/>
      </c>
      <c r="B7" s="36" t="str">
        <f>IFERROR(VLOOKUP(الجدول27[[#This Row],[كود الصنف]],'تكويد الأصناف'!A:F,3,0)," ")</f>
        <v xml:space="preserve"> </v>
      </c>
      <c r="C7" s="25"/>
      <c r="D7" s="10" t="str">
        <f>IFERROR(VLOOKUP(الجدول27[[#This Row],[كود الصنف]],'تكويد الأصناف'!A:F,4,0),"")</f>
        <v/>
      </c>
      <c r="E7" s="21" t="str">
        <f>IFERROR(VLOOKUP(الجدول27[[#This Row],[كود الصنف]],'تكويد الأصناف'!A:F,5,0),"")</f>
        <v/>
      </c>
      <c r="F7" s="22"/>
      <c r="G7" s="23"/>
      <c r="H7" s="167" t="str">
        <f>IFERROR(الجدول27[[#This Row],[فئة التكلفة]]*الجدول27[[#This Row],[العدد]]," ")</f>
        <v xml:space="preserve"> </v>
      </c>
      <c r="I7" s="20" t="str">
        <f>IFERROR(الجدول27[[#This Row],[سعر البيع]]-الجدول27[[#This Row],[فئة التكلفة]]*الجدول27[[#This Row],[العدد]],"")</f>
        <v/>
      </c>
      <c r="M7" s="1" t="s">
        <v>52</v>
      </c>
    </row>
    <row r="8" spans="1:13" x14ac:dyDescent="0.2">
      <c r="A8" s="36" t="str">
        <f>IFERROR(VLOOKUP(الجدول27[[#This Row],[كود الصنف]],'تكويد الأصناف'!A:F,6,0),"")</f>
        <v/>
      </c>
      <c r="B8" s="36" t="str">
        <f>IFERROR(VLOOKUP(الجدول27[[#This Row],[كود الصنف]],'تكويد الأصناف'!A:F,3,0)," ")</f>
        <v xml:space="preserve"> </v>
      </c>
      <c r="C8" s="25"/>
      <c r="D8" s="10" t="str">
        <f>IFERROR(VLOOKUP(الجدول27[[#This Row],[كود الصنف]],'تكويد الأصناف'!A:F,4,0),"")</f>
        <v/>
      </c>
      <c r="E8" s="21" t="str">
        <f>IFERROR(VLOOKUP(الجدول27[[#This Row],[كود الصنف]],'تكويد الأصناف'!A:F,5,0),"")</f>
        <v/>
      </c>
      <c r="F8" s="22"/>
      <c r="G8" s="23"/>
      <c r="H8" s="167" t="str">
        <f>IFERROR(الجدول27[[#This Row],[فئة التكلفة]]*الجدول27[[#This Row],[العدد]]," ")</f>
        <v xml:space="preserve"> </v>
      </c>
      <c r="I8" s="20" t="str">
        <f>IFERROR(الجدول27[[#This Row],[سعر البيع]]-الجدول27[[#This Row],[فئة التكلفة]]*الجدول27[[#This Row],[العدد]],"")</f>
        <v/>
      </c>
      <c r="M8" s="1" t="s">
        <v>53</v>
      </c>
    </row>
    <row r="9" spans="1:13" x14ac:dyDescent="0.2">
      <c r="A9" s="29"/>
      <c r="B9" s="29"/>
      <c r="C9" s="26"/>
      <c r="D9" s="27"/>
      <c r="E9" s="28"/>
      <c r="F9" s="29">
        <f>SUBTOTAL(109,الجدول27[العدد])</f>
        <v>0</v>
      </c>
      <c r="G9" s="24">
        <f>SUBTOTAL(109,الجدول27[سعر البيع])</f>
        <v>0</v>
      </c>
      <c r="H9" s="19"/>
      <c r="I9" s="24">
        <f>SUBTOTAL(109,الجدول27[±])</f>
        <v>0</v>
      </c>
      <c r="M9" s="1" t="s">
        <v>54</v>
      </c>
    </row>
    <row r="10" spans="1:13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M10" s="1" t="s">
        <v>55</v>
      </c>
    </row>
    <row r="11" spans="1:13" x14ac:dyDescent="0.2">
      <c r="A11" s="18"/>
      <c r="B11" s="188"/>
      <c r="C11" s="17"/>
      <c r="D11" s="17"/>
      <c r="E11" s="333"/>
      <c r="F11" s="333"/>
      <c r="G11" s="12"/>
      <c r="H11" s="333"/>
      <c r="I11" s="344"/>
      <c r="M11" s="1" t="s">
        <v>56</v>
      </c>
    </row>
    <row r="12" spans="1:13" x14ac:dyDescent="0.2">
      <c r="A12" s="336" t="s">
        <v>42</v>
      </c>
      <c r="B12" s="337"/>
      <c r="C12" s="337"/>
      <c r="D12" s="30">
        <f>'26'!G16</f>
        <v>746.25</v>
      </c>
      <c r="E12" s="333"/>
      <c r="F12" s="333"/>
      <c r="G12" s="30"/>
      <c r="H12" s="334"/>
      <c r="I12" s="335"/>
      <c r="M12" s="39" t="s">
        <v>57</v>
      </c>
    </row>
    <row r="13" spans="1:13" x14ac:dyDescent="0.2">
      <c r="A13" s="18"/>
      <c r="B13" s="188"/>
      <c r="C13" s="17"/>
      <c r="D13" s="31"/>
      <c r="E13" s="333"/>
      <c r="F13" s="333"/>
      <c r="G13" s="30"/>
      <c r="H13" s="334"/>
      <c r="I13" s="335"/>
      <c r="M13" s="1">
        <v>9</v>
      </c>
    </row>
    <row r="14" spans="1:13" x14ac:dyDescent="0.2">
      <c r="A14" s="336" t="s">
        <v>43</v>
      </c>
      <c r="B14" s="337"/>
      <c r="C14" s="337"/>
      <c r="D14" s="35">
        <f>الجدول27[[#Totals],[سعر البيع]]</f>
        <v>0</v>
      </c>
      <c r="E14" s="333"/>
      <c r="F14" s="333"/>
      <c r="G14" s="30"/>
      <c r="H14" s="334"/>
      <c r="I14" s="335"/>
      <c r="M14" s="1">
        <v>10</v>
      </c>
    </row>
    <row r="15" spans="1:13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M15" s="1">
        <v>11</v>
      </c>
    </row>
    <row r="16" spans="1:13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M16" s="1">
        <v>13</v>
      </c>
    </row>
    <row r="17" spans="1:13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M17" s="1">
        <v>14</v>
      </c>
    </row>
    <row r="18" spans="1:13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M18" s="1">
        <v>15</v>
      </c>
    </row>
    <row r="19" spans="1:13" x14ac:dyDescent="0.2">
      <c r="A19" s="15"/>
      <c r="B19" s="187"/>
      <c r="C19" s="2">
        <f>الجدول27[[#Totals],[±]]</f>
        <v>0</v>
      </c>
      <c r="D19" s="16"/>
      <c r="E19" s="2">
        <v>450</v>
      </c>
      <c r="F19" s="2">
        <f>K19-K21-K23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176" priority="1" operator="equal">
      <formula>0</formula>
    </cfRule>
    <cfRule type="cellIs" dxfId="175" priority="2" operator="equal">
      <formula>0</formula>
    </cfRule>
    <cfRule type="cellIs" dxfId="174" priority="3" operator="lessThan">
      <formula>0</formula>
    </cfRule>
    <cfRule type="cellIs" dxfId="173" priority="4" operator="equal">
      <formula>0</formula>
    </cfRule>
  </conditionalFormatting>
  <dataValidations count="2">
    <dataValidation type="list" allowBlank="1" showInputMessage="1" showErrorMessage="1" sqref="E17:F17" xr:uid="{538A702C-273E-4DA2-8950-4899BBF53AE1}">
      <formula1>$K$5:$K$16</formula1>
    </dataValidation>
    <dataValidation type="list" allowBlank="1" showInputMessage="1" showErrorMessage="1" sqref="E11:F15" xr:uid="{3647CD63-C6E3-4725-9304-C4072FD037FD}">
      <formula1>$M$5:$M$18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47E91-876D-4F78-BA49-E3E4649E10B8}">
  <sheetPr codeName="ورقة29">
    <tabColor rgb="FFFF0000"/>
  </sheetPr>
  <dimension ref="A1:M19"/>
  <sheetViews>
    <sheetView rightToLeft="1" workbookViewId="0">
      <selection activeCell="G26" sqref="G26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3" max="13" width="9" customWidth="1"/>
  </cols>
  <sheetData>
    <row r="1" spans="1:13" x14ac:dyDescent="0.2">
      <c r="A1" s="3"/>
      <c r="B1" s="3"/>
      <c r="C1" s="3"/>
      <c r="D1" s="3"/>
      <c r="E1" s="3"/>
      <c r="F1" s="3"/>
      <c r="G1" s="4" t="s">
        <v>0</v>
      </c>
      <c r="H1" s="339">
        <f>'25'!H1:I1+1</f>
        <v>41815</v>
      </c>
      <c r="I1" s="339"/>
    </row>
    <row r="2" spans="1:13" ht="15" x14ac:dyDescent="0.2">
      <c r="A2" s="3"/>
      <c r="B2" s="3"/>
      <c r="C2" s="3"/>
      <c r="D2" s="3"/>
      <c r="E2" s="17"/>
      <c r="F2" s="6"/>
      <c r="G2" s="7"/>
      <c r="H2" s="340">
        <f>H1</f>
        <v>41815</v>
      </c>
      <c r="I2" s="340"/>
    </row>
    <row r="3" spans="1:13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3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3" x14ac:dyDescent="0.2">
      <c r="A5" s="36" t="str">
        <f>IFERROR(VLOOKUP(الجدول26[[#This Row],[كود الصنف]],'تكويد الأصناف'!A:F,6,0),"")</f>
        <v/>
      </c>
      <c r="B5" s="36" t="str">
        <f>IFERROR(VLOOKUP(الجدول26[[#This Row],[كود الصنف]],'تكويد الأصناف'!A:F,3,0)," ")</f>
        <v xml:space="preserve"> </v>
      </c>
      <c r="C5" s="25"/>
      <c r="D5" s="10" t="str">
        <f>IFERROR(VLOOKUP(الجدول26[[#This Row],[كود الصنف]],'تكويد الأصناف'!A:F,4,0),"")</f>
        <v/>
      </c>
      <c r="E5" s="21" t="str">
        <f>IFERROR(VLOOKUP(الجدول26[[#This Row],[كود الصنف]],'تكويد الأصناف'!A:F,5,0),"")</f>
        <v/>
      </c>
      <c r="F5" s="22"/>
      <c r="G5" s="23"/>
      <c r="H5" s="195" t="str">
        <f>IFERROR(الجدول26[[#This Row],[فئة التكلفة]]*الجدول26[[#This Row],[العدد]]," ")</f>
        <v xml:space="preserve"> </v>
      </c>
      <c r="I5" s="20" t="str">
        <f>IFERROR(الجدول26[[#This Row],[سعر البيع]]-الجدول26[[#This Row],[فئة التكلفة]]*الجدول26[[#This Row],[العدد]],"")</f>
        <v/>
      </c>
      <c r="M5" s="1" t="s">
        <v>50</v>
      </c>
    </row>
    <row r="6" spans="1:13" x14ac:dyDescent="0.2">
      <c r="A6" s="36" t="str">
        <f>IFERROR(VLOOKUP(الجدول26[[#This Row],[كود الصنف]],'تكويد الأصناف'!A:F,6,0),"")</f>
        <v/>
      </c>
      <c r="B6" s="36" t="str">
        <f>IFERROR(VLOOKUP(الجدول26[[#This Row],[كود الصنف]],'تكويد الأصناف'!A:F,3,0)," ")</f>
        <v xml:space="preserve"> </v>
      </c>
      <c r="C6" s="25"/>
      <c r="D6" s="10" t="str">
        <f>IFERROR(VLOOKUP(الجدول26[[#This Row],[كود الصنف]],'تكويد الأصناف'!A:F,4,0),"")</f>
        <v/>
      </c>
      <c r="E6" s="21" t="str">
        <f>IFERROR(VLOOKUP(الجدول26[[#This Row],[كود الصنف]],'تكويد الأصناف'!A:F,5,0),"")</f>
        <v/>
      </c>
      <c r="F6" s="22"/>
      <c r="G6" s="23"/>
      <c r="H6" s="167" t="str">
        <f>IFERROR(الجدول26[[#This Row],[فئة التكلفة]]*الجدول26[[#This Row],[العدد]]," ")</f>
        <v xml:space="preserve"> </v>
      </c>
      <c r="I6" s="20" t="str">
        <f>IFERROR(الجدول26[[#This Row],[سعر البيع]]-الجدول26[[#This Row],[فئة التكلفة]]*الجدول26[[#This Row],[العدد]],"")</f>
        <v/>
      </c>
      <c r="M6" s="1" t="s">
        <v>51</v>
      </c>
    </row>
    <row r="7" spans="1:13" x14ac:dyDescent="0.2">
      <c r="A7" s="36" t="str">
        <f>IFERROR(VLOOKUP(الجدول26[[#This Row],[كود الصنف]],'تكويد الأصناف'!A:F,6,0),"")</f>
        <v/>
      </c>
      <c r="B7" s="36" t="str">
        <f>IFERROR(VLOOKUP(الجدول26[[#This Row],[كود الصنف]],'تكويد الأصناف'!A:F,3,0)," ")</f>
        <v xml:space="preserve"> </v>
      </c>
      <c r="C7" s="25"/>
      <c r="D7" s="10" t="str">
        <f>IFERROR(VLOOKUP(الجدول26[[#This Row],[كود الصنف]],'تكويد الأصناف'!A:F,4,0),"")</f>
        <v/>
      </c>
      <c r="E7" s="21" t="str">
        <f>IFERROR(VLOOKUP(الجدول26[[#This Row],[كود الصنف]],'تكويد الأصناف'!A:F,5,0),"")</f>
        <v/>
      </c>
      <c r="F7" s="22"/>
      <c r="G7" s="23"/>
      <c r="H7" s="167" t="str">
        <f>IFERROR(الجدول26[[#This Row],[فئة التكلفة]]*الجدول26[[#This Row],[العدد]]," ")</f>
        <v xml:space="preserve"> </v>
      </c>
      <c r="I7" s="20" t="str">
        <f>IFERROR(الجدول26[[#This Row],[سعر البيع]]-الجدول26[[#This Row],[فئة التكلفة]]*الجدول26[[#This Row],[العدد]],"")</f>
        <v/>
      </c>
      <c r="M7" s="1" t="s">
        <v>52</v>
      </c>
    </row>
    <row r="8" spans="1:13" x14ac:dyDescent="0.2">
      <c r="A8" s="36" t="str">
        <f>IFERROR(VLOOKUP(الجدول26[[#This Row],[كود الصنف]],'تكويد الأصناف'!A:F,6,0),"")</f>
        <v/>
      </c>
      <c r="B8" s="36" t="str">
        <f>IFERROR(VLOOKUP(الجدول26[[#This Row],[كود الصنف]],'تكويد الأصناف'!A:F,3,0)," ")</f>
        <v xml:space="preserve"> </v>
      </c>
      <c r="C8" s="25"/>
      <c r="D8" s="10" t="str">
        <f>IFERROR(VLOOKUP(الجدول26[[#This Row],[كود الصنف]],'تكويد الأصناف'!A:F,4,0),"")</f>
        <v/>
      </c>
      <c r="E8" s="21" t="str">
        <f>IFERROR(VLOOKUP(الجدول26[[#This Row],[كود الصنف]],'تكويد الأصناف'!A:F,5,0),"")</f>
        <v/>
      </c>
      <c r="F8" s="22"/>
      <c r="G8" s="23"/>
      <c r="H8" s="167" t="str">
        <f>IFERROR(الجدول26[[#This Row],[فئة التكلفة]]*الجدول26[[#This Row],[العدد]]," ")</f>
        <v xml:space="preserve"> </v>
      </c>
      <c r="I8" s="20" t="str">
        <f>IFERROR(الجدول26[[#This Row],[سعر البيع]]-الجدول26[[#This Row],[فئة التكلفة]]*الجدول26[[#This Row],[العدد]],"")</f>
        <v/>
      </c>
      <c r="M8" s="1" t="s">
        <v>53</v>
      </c>
    </row>
    <row r="9" spans="1:13" x14ac:dyDescent="0.2">
      <c r="A9" s="29"/>
      <c r="B9" s="29"/>
      <c r="C9" s="26"/>
      <c r="D9" s="27"/>
      <c r="E9" s="28"/>
      <c r="F9" s="29">
        <f>SUBTOTAL(109,الجدول26[العدد])</f>
        <v>0</v>
      </c>
      <c r="G9" s="24">
        <f>SUBTOTAL(109,الجدول26[سعر البيع])</f>
        <v>0</v>
      </c>
      <c r="H9" s="19"/>
      <c r="I9" s="24">
        <f>SUBTOTAL(109,الجدول26[±])</f>
        <v>0</v>
      </c>
      <c r="M9" s="1" t="s">
        <v>54</v>
      </c>
    </row>
    <row r="10" spans="1:13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M10" s="1" t="s">
        <v>55</v>
      </c>
    </row>
    <row r="11" spans="1:13" x14ac:dyDescent="0.2">
      <c r="A11" s="18"/>
      <c r="B11" s="188"/>
      <c r="C11" s="17"/>
      <c r="D11" s="17"/>
      <c r="E11" s="333"/>
      <c r="F11" s="333"/>
      <c r="G11" s="12"/>
      <c r="H11" s="333"/>
      <c r="I11" s="344"/>
      <c r="M11" s="1" t="s">
        <v>56</v>
      </c>
    </row>
    <row r="12" spans="1:13" x14ac:dyDescent="0.2">
      <c r="A12" s="336" t="s">
        <v>42</v>
      </c>
      <c r="B12" s="337"/>
      <c r="C12" s="337"/>
      <c r="D12" s="30">
        <f>'25'!G16</f>
        <v>746.25</v>
      </c>
      <c r="E12" s="333"/>
      <c r="F12" s="333"/>
      <c r="G12" s="30"/>
      <c r="H12" s="334"/>
      <c r="I12" s="335"/>
      <c r="M12" s="39" t="s">
        <v>57</v>
      </c>
    </row>
    <row r="13" spans="1:13" x14ac:dyDescent="0.2">
      <c r="A13" s="18"/>
      <c r="B13" s="188"/>
      <c r="C13" s="17"/>
      <c r="D13" s="31"/>
      <c r="E13" s="333"/>
      <c r="F13" s="333"/>
      <c r="G13" s="30"/>
      <c r="H13" s="334"/>
      <c r="I13" s="335"/>
      <c r="M13" s="1">
        <v>9</v>
      </c>
    </row>
    <row r="14" spans="1:13" x14ac:dyDescent="0.2">
      <c r="A14" s="336" t="s">
        <v>43</v>
      </c>
      <c r="B14" s="337"/>
      <c r="C14" s="337"/>
      <c r="D14" s="35">
        <f>الجدول26[[#Totals],[سعر البيع]]</f>
        <v>0</v>
      </c>
      <c r="E14" s="333"/>
      <c r="F14" s="333"/>
      <c r="G14" s="30"/>
      <c r="H14" s="334"/>
      <c r="I14" s="335"/>
      <c r="M14" s="1">
        <v>10</v>
      </c>
    </row>
    <row r="15" spans="1:13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M15" s="1">
        <v>11</v>
      </c>
    </row>
    <row r="16" spans="1:13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M16" s="1">
        <v>13</v>
      </c>
    </row>
    <row r="17" spans="1:13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M17" s="1">
        <v>14</v>
      </c>
    </row>
    <row r="18" spans="1:13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M18" s="1">
        <v>15</v>
      </c>
    </row>
    <row r="19" spans="1:13" x14ac:dyDescent="0.2">
      <c r="A19" s="15"/>
      <c r="B19" s="187"/>
      <c r="C19" s="2">
        <f>الجدول26[[#Totals],[±]]</f>
        <v>0</v>
      </c>
      <c r="D19" s="16"/>
      <c r="E19" s="2">
        <v>450</v>
      </c>
      <c r="F19" s="2">
        <f>K19-K21-K23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148" priority="1" operator="equal">
      <formula>0</formula>
    </cfRule>
    <cfRule type="cellIs" dxfId="147" priority="2" operator="equal">
      <formula>0</formula>
    </cfRule>
    <cfRule type="cellIs" dxfId="146" priority="3" operator="lessThan">
      <formula>0</formula>
    </cfRule>
    <cfRule type="cellIs" dxfId="145" priority="4" operator="equal">
      <formula>0</formula>
    </cfRule>
  </conditionalFormatting>
  <dataValidations count="2">
    <dataValidation type="list" allowBlank="1" showInputMessage="1" showErrorMessage="1" sqref="E11:F15" xr:uid="{EF6C4D4C-7A99-436F-9607-2010CDBF786B}">
      <formula1>$M$5:$M$18</formula1>
    </dataValidation>
    <dataValidation type="list" allowBlank="1" showInputMessage="1" showErrorMessage="1" sqref="E17:F17" xr:uid="{28C672EE-0034-46F3-BE1C-78B500733682}">
      <formula1>$K$5:$K$16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BAC7-3396-4CB3-9034-B8A17D2E5AF5}">
  <sheetPr codeName="ورقة31">
    <tabColor rgb="FFFF0000"/>
  </sheetPr>
  <dimension ref="A1:M19"/>
  <sheetViews>
    <sheetView rightToLeft="1" workbookViewId="0">
      <selection activeCell="H1" sqref="H1:I1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3" max="13" width="9" customWidth="1"/>
  </cols>
  <sheetData>
    <row r="1" spans="1:13" x14ac:dyDescent="0.2">
      <c r="A1" s="3"/>
      <c r="B1" s="3"/>
      <c r="C1" s="3"/>
      <c r="D1" s="3"/>
      <c r="E1" s="3"/>
      <c r="F1" s="3"/>
      <c r="G1" s="4" t="s">
        <v>0</v>
      </c>
      <c r="H1" s="339">
        <f>'27'!H1:I1+1</f>
        <v>41817</v>
      </c>
      <c r="I1" s="339"/>
    </row>
    <row r="2" spans="1:13" ht="15" x14ac:dyDescent="0.2">
      <c r="A2" s="3"/>
      <c r="B2" s="3"/>
      <c r="C2" s="3"/>
      <c r="D2" s="3"/>
      <c r="E2" s="17"/>
      <c r="F2" s="6"/>
      <c r="G2" s="7"/>
      <c r="H2" s="340">
        <f>H1</f>
        <v>41817</v>
      </c>
      <c r="I2" s="340"/>
    </row>
    <row r="3" spans="1:13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3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3" x14ac:dyDescent="0.2">
      <c r="A5" s="36" t="str">
        <f>IFERROR(VLOOKUP(الجدول28[[#This Row],[كود الصنف]],'تكويد الأصناف'!A:F,6,0),"")</f>
        <v/>
      </c>
      <c r="B5" s="36" t="str">
        <f>IFERROR(VLOOKUP(الجدول28[[#This Row],[كود الصنف]],'تكويد الأصناف'!A:F,3,0)," ")</f>
        <v xml:space="preserve"> </v>
      </c>
      <c r="C5" s="25"/>
      <c r="D5" s="10" t="str">
        <f>IFERROR(VLOOKUP(الجدول28[[#This Row],[كود الصنف]],'تكويد الأصناف'!A:F,4,0),"")</f>
        <v/>
      </c>
      <c r="E5" s="21" t="str">
        <f>IFERROR(VLOOKUP(الجدول28[[#This Row],[كود الصنف]],'تكويد الأصناف'!A:F,5,0),"")</f>
        <v/>
      </c>
      <c r="F5" s="22"/>
      <c r="G5" s="23"/>
      <c r="H5" s="195" t="str">
        <f>IFERROR(الجدول28[[#This Row],[فئة التكلفة]]*الجدول28[[#This Row],[العدد]]," ")</f>
        <v xml:space="preserve"> </v>
      </c>
      <c r="I5" s="20" t="str">
        <f>IFERROR(الجدول28[[#This Row],[سعر البيع]]-الجدول28[[#This Row],[فئة التكلفة]]*الجدول28[[#This Row],[العدد]],"")</f>
        <v/>
      </c>
      <c r="M5" s="1" t="s">
        <v>50</v>
      </c>
    </row>
    <row r="6" spans="1:13" x14ac:dyDescent="0.2">
      <c r="A6" s="36" t="str">
        <f>IFERROR(VLOOKUP(الجدول28[[#This Row],[كود الصنف]],'تكويد الأصناف'!A:F,6,0),"")</f>
        <v/>
      </c>
      <c r="B6" s="36" t="str">
        <f>IFERROR(VLOOKUP(الجدول28[[#This Row],[كود الصنف]],'تكويد الأصناف'!A:F,3,0)," ")</f>
        <v xml:space="preserve"> </v>
      </c>
      <c r="C6" s="25"/>
      <c r="D6" s="10" t="str">
        <f>IFERROR(VLOOKUP(الجدول28[[#This Row],[كود الصنف]],'تكويد الأصناف'!A:F,4,0),"")</f>
        <v/>
      </c>
      <c r="E6" s="21" t="str">
        <f>IFERROR(VLOOKUP(الجدول28[[#This Row],[كود الصنف]],'تكويد الأصناف'!A:F,5,0),"")</f>
        <v/>
      </c>
      <c r="F6" s="22"/>
      <c r="G6" s="23"/>
      <c r="H6" s="167" t="str">
        <f>IFERROR(الجدول28[[#This Row],[فئة التكلفة]]*الجدول28[[#This Row],[العدد]]," ")</f>
        <v xml:space="preserve"> </v>
      </c>
      <c r="I6" s="20" t="str">
        <f>IFERROR(الجدول28[[#This Row],[سعر البيع]]-الجدول28[[#This Row],[فئة التكلفة]]*الجدول28[[#This Row],[العدد]],"")</f>
        <v/>
      </c>
      <c r="M6" s="1" t="s">
        <v>51</v>
      </c>
    </row>
    <row r="7" spans="1:13" x14ac:dyDescent="0.2">
      <c r="A7" s="36" t="str">
        <f>IFERROR(VLOOKUP(الجدول28[[#This Row],[كود الصنف]],'تكويد الأصناف'!A:F,6,0),"")</f>
        <v/>
      </c>
      <c r="B7" s="36" t="str">
        <f>IFERROR(VLOOKUP(الجدول28[[#This Row],[كود الصنف]],'تكويد الأصناف'!A:F,3,0)," ")</f>
        <v xml:space="preserve"> </v>
      </c>
      <c r="C7" s="25"/>
      <c r="D7" s="10" t="str">
        <f>IFERROR(VLOOKUP(الجدول28[[#This Row],[كود الصنف]],'تكويد الأصناف'!A:F,4,0),"")</f>
        <v/>
      </c>
      <c r="E7" s="21" t="str">
        <f>IFERROR(VLOOKUP(الجدول28[[#This Row],[كود الصنف]],'تكويد الأصناف'!A:F,5,0),"")</f>
        <v/>
      </c>
      <c r="F7" s="22"/>
      <c r="G7" s="23"/>
      <c r="H7" s="167" t="str">
        <f>IFERROR(الجدول28[[#This Row],[فئة التكلفة]]*الجدول28[[#This Row],[العدد]]," ")</f>
        <v xml:space="preserve"> </v>
      </c>
      <c r="I7" s="20" t="str">
        <f>IFERROR(الجدول28[[#This Row],[سعر البيع]]-الجدول28[[#This Row],[فئة التكلفة]]*الجدول28[[#This Row],[العدد]],"")</f>
        <v/>
      </c>
      <c r="M7" s="1" t="s">
        <v>52</v>
      </c>
    </row>
    <row r="8" spans="1:13" x14ac:dyDescent="0.2">
      <c r="A8" s="36" t="str">
        <f>IFERROR(VLOOKUP(الجدول28[[#This Row],[كود الصنف]],'تكويد الأصناف'!A:F,6,0),"")</f>
        <v/>
      </c>
      <c r="B8" s="36" t="str">
        <f>IFERROR(VLOOKUP(الجدول28[[#This Row],[كود الصنف]],'تكويد الأصناف'!A:F,3,0)," ")</f>
        <v xml:space="preserve"> </v>
      </c>
      <c r="C8" s="25"/>
      <c r="D8" s="10" t="str">
        <f>IFERROR(VLOOKUP(الجدول28[[#This Row],[كود الصنف]],'تكويد الأصناف'!A:F,4,0),"")</f>
        <v/>
      </c>
      <c r="E8" s="21" t="str">
        <f>IFERROR(VLOOKUP(الجدول28[[#This Row],[كود الصنف]],'تكويد الأصناف'!A:F,5,0),"")</f>
        <v/>
      </c>
      <c r="F8" s="22"/>
      <c r="G8" s="23"/>
      <c r="H8" s="167" t="str">
        <f>IFERROR(الجدول28[[#This Row],[فئة التكلفة]]*الجدول28[[#This Row],[العدد]]," ")</f>
        <v xml:space="preserve"> </v>
      </c>
      <c r="I8" s="20" t="str">
        <f>IFERROR(الجدول28[[#This Row],[سعر البيع]]-الجدول28[[#This Row],[فئة التكلفة]]*الجدول28[[#This Row],[العدد]],"")</f>
        <v/>
      </c>
      <c r="M8" s="1" t="s">
        <v>53</v>
      </c>
    </row>
    <row r="9" spans="1:13" x14ac:dyDescent="0.2">
      <c r="A9" s="29"/>
      <c r="B9" s="29"/>
      <c r="C9" s="26"/>
      <c r="D9" s="27"/>
      <c r="E9" s="28"/>
      <c r="F9" s="29">
        <f>SUBTOTAL(109,الجدول28[العدد])</f>
        <v>0</v>
      </c>
      <c r="G9" s="24">
        <f>SUBTOTAL(109,الجدول28[سعر البيع])</f>
        <v>0</v>
      </c>
      <c r="H9" s="19"/>
      <c r="I9" s="24">
        <f>SUBTOTAL(109,الجدول28[±])</f>
        <v>0</v>
      </c>
      <c r="M9" s="1" t="s">
        <v>54</v>
      </c>
    </row>
    <row r="10" spans="1:13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M10" s="1" t="s">
        <v>55</v>
      </c>
    </row>
    <row r="11" spans="1:13" x14ac:dyDescent="0.2">
      <c r="A11" s="18"/>
      <c r="B11" s="188"/>
      <c r="C11" s="17"/>
      <c r="D11" s="17"/>
      <c r="E11" s="333"/>
      <c r="F11" s="333"/>
      <c r="G11" s="12"/>
      <c r="H11" s="333"/>
      <c r="I11" s="344"/>
      <c r="M11" s="1" t="s">
        <v>56</v>
      </c>
    </row>
    <row r="12" spans="1:13" x14ac:dyDescent="0.2">
      <c r="A12" s="336" t="s">
        <v>42</v>
      </c>
      <c r="B12" s="337"/>
      <c r="C12" s="337"/>
      <c r="D12" s="30">
        <f>'27'!G16</f>
        <v>746.25</v>
      </c>
      <c r="E12" s="333"/>
      <c r="F12" s="333"/>
      <c r="G12" s="30"/>
      <c r="H12" s="334"/>
      <c r="I12" s="335"/>
      <c r="M12" s="39" t="s">
        <v>57</v>
      </c>
    </row>
    <row r="13" spans="1:13" x14ac:dyDescent="0.2">
      <c r="A13" s="18"/>
      <c r="B13" s="188"/>
      <c r="C13" s="17"/>
      <c r="D13" s="31"/>
      <c r="E13" s="333"/>
      <c r="F13" s="333"/>
      <c r="G13" s="30"/>
      <c r="H13" s="334"/>
      <c r="I13" s="335"/>
      <c r="M13" s="1">
        <v>9</v>
      </c>
    </row>
    <row r="14" spans="1:13" x14ac:dyDescent="0.2">
      <c r="A14" s="336" t="s">
        <v>43</v>
      </c>
      <c r="B14" s="337"/>
      <c r="C14" s="337"/>
      <c r="D14" s="35">
        <f>الجدول28[[#Totals],[سعر البيع]]</f>
        <v>0</v>
      </c>
      <c r="E14" s="333"/>
      <c r="F14" s="333"/>
      <c r="G14" s="30"/>
      <c r="H14" s="334"/>
      <c r="I14" s="335"/>
      <c r="M14" s="1">
        <v>10</v>
      </c>
    </row>
    <row r="15" spans="1:13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M15" s="1">
        <v>11</v>
      </c>
    </row>
    <row r="16" spans="1:13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M16" s="1">
        <v>13</v>
      </c>
    </row>
    <row r="17" spans="1:13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M17" s="1">
        <v>14</v>
      </c>
    </row>
    <row r="18" spans="1:13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M18" s="1">
        <v>15</v>
      </c>
    </row>
    <row r="19" spans="1:13" x14ac:dyDescent="0.2">
      <c r="A19" s="15"/>
      <c r="B19" s="187"/>
      <c r="C19" s="2">
        <f>الجدول28[[#Totals],[±]]</f>
        <v>0</v>
      </c>
      <c r="D19" s="16"/>
      <c r="E19" s="2">
        <v>450</v>
      </c>
      <c r="F19" s="2">
        <f>K19-K21-K23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120" priority="1" operator="equal">
      <formula>0</formula>
    </cfRule>
    <cfRule type="cellIs" dxfId="119" priority="2" operator="equal">
      <formula>0</formula>
    </cfRule>
    <cfRule type="cellIs" dxfId="118" priority="3" operator="lessThan">
      <formula>0</formula>
    </cfRule>
    <cfRule type="cellIs" dxfId="117" priority="4" operator="equal">
      <formula>0</formula>
    </cfRule>
  </conditionalFormatting>
  <dataValidations count="2">
    <dataValidation type="list" allowBlank="1" showInputMessage="1" showErrorMessage="1" sqref="E11:F15" xr:uid="{215C36B8-1013-4C06-A5A5-5232C4B8EE62}">
      <formula1>$M$5:$M$18</formula1>
    </dataValidation>
    <dataValidation type="list" allowBlank="1" showInputMessage="1" showErrorMessage="1" sqref="E17:F17" xr:uid="{ED1C50FB-9747-4952-BE4E-0B3F43819D6B}">
      <formula1>$K$5:$K$16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BB279-9A53-42EE-BCDB-114CA8D2E13F}">
  <sheetPr codeName="ورقة32">
    <tabColor rgb="FFFF0000"/>
  </sheetPr>
  <dimension ref="A1:M19"/>
  <sheetViews>
    <sheetView rightToLeft="1" workbookViewId="0">
      <selection activeCell="G26" sqref="G26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3" max="13" width="9" customWidth="1"/>
  </cols>
  <sheetData>
    <row r="1" spans="1:13" x14ac:dyDescent="0.2">
      <c r="A1" s="3"/>
      <c r="B1" s="3"/>
      <c r="C1" s="3"/>
      <c r="D1" s="3"/>
      <c r="E1" s="3"/>
      <c r="F1" s="3"/>
      <c r="G1" s="4" t="s">
        <v>0</v>
      </c>
      <c r="H1" s="339">
        <f>'28'!H1:I1+1</f>
        <v>41818</v>
      </c>
      <c r="I1" s="339"/>
    </row>
    <row r="2" spans="1:13" ht="15" x14ac:dyDescent="0.2">
      <c r="A2" s="3"/>
      <c r="B2" s="3"/>
      <c r="C2" s="3"/>
      <c r="D2" s="3"/>
      <c r="E2" s="17"/>
      <c r="F2" s="6"/>
      <c r="G2" s="7"/>
      <c r="H2" s="340">
        <f>H1</f>
        <v>41818</v>
      </c>
      <c r="I2" s="340"/>
    </row>
    <row r="3" spans="1:13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3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3" x14ac:dyDescent="0.2">
      <c r="A5" s="36" t="str">
        <f>IFERROR(VLOOKUP(الجدول29[[#This Row],[كود الصنف]],'تكويد الأصناف'!A:F,6,0),"")</f>
        <v/>
      </c>
      <c r="B5" s="36" t="str">
        <f>IFERROR(VLOOKUP(الجدول29[[#This Row],[كود الصنف]],'تكويد الأصناف'!A:F,3,0)," ")</f>
        <v xml:space="preserve"> </v>
      </c>
      <c r="C5" s="25"/>
      <c r="D5" s="10" t="str">
        <f>IFERROR(VLOOKUP(الجدول29[[#This Row],[كود الصنف]],'تكويد الأصناف'!A:F,4,0),"")</f>
        <v/>
      </c>
      <c r="E5" s="21" t="str">
        <f>IFERROR(VLOOKUP(الجدول29[[#This Row],[كود الصنف]],'تكويد الأصناف'!A:F,5,0),"")</f>
        <v/>
      </c>
      <c r="F5" s="22"/>
      <c r="G5" s="23"/>
      <c r="H5" s="195" t="str">
        <f>IFERROR(الجدول29[[#This Row],[فئة التكلفة]]*الجدول29[[#This Row],[العدد]]," ")</f>
        <v xml:space="preserve"> </v>
      </c>
      <c r="I5" s="20" t="str">
        <f>IFERROR(الجدول29[[#This Row],[سعر البيع]]-الجدول29[[#This Row],[فئة التكلفة]]*الجدول29[[#This Row],[العدد]],"")</f>
        <v/>
      </c>
      <c r="M5" s="1" t="s">
        <v>50</v>
      </c>
    </row>
    <row r="6" spans="1:13" x14ac:dyDescent="0.2">
      <c r="A6" s="36" t="str">
        <f>IFERROR(VLOOKUP(الجدول29[[#This Row],[كود الصنف]],'تكويد الأصناف'!A:F,6,0),"")</f>
        <v/>
      </c>
      <c r="B6" s="36" t="str">
        <f>IFERROR(VLOOKUP(الجدول29[[#This Row],[كود الصنف]],'تكويد الأصناف'!A:F,3,0)," ")</f>
        <v xml:space="preserve"> </v>
      </c>
      <c r="C6" s="25"/>
      <c r="D6" s="10" t="str">
        <f>IFERROR(VLOOKUP(الجدول29[[#This Row],[كود الصنف]],'تكويد الأصناف'!A:F,4,0),"")</f>
        <v/>
      </c>
      <c r="E6" s="21" t="str">
        <f>IFERROR(VLOOKUP(الجدول29[[#This Row],[كود الصنف]],'تكويد الأصناف'!A:F,5,0),"")</f>
        <v/>
      </c>
      <c r="F6" s="22"/>
      <c r="G6" s="23"/>
      <c r="H6" s="167" t="str">
        <f>IFERROR(الجدول29[[#This Row],[فئة التكلفة]]*الجدول29[[#This Row],[العدد]]," ")</f>
        <v xml:space="preserve"> </v>
      </c>
      <c r="I6" s="20" t="str">
        <f>IFERROR(الجدول29[[#This Row],[سعر البيع]]-الجدول29[[#This Row],[فئة التكلفة]]*الجدول29[[#This Row],[العدد]],"")</f>
        <v/>
      </c>
      <c r="M6" s="1" t="s">
        <v>51</v>
      </c>
    </row>
    <row r="7" spans="1:13" x14ac:dyDescent="0.2">
      <c r="A7" s="36" t="str">
        <f>IFERROR(VLOOKUP(الجدول29[[#This Row],[كود الصنف]],'تكويد الأصناف'!A:F,6,0),"")</f>
        <v/>
      </c>
      <c r="B7" s="36" t="str">
        <f>IFERROR(VLOOKUP(الجدول29[[#This Row],[كود الصنف]],'تكويد الأصناف'!A:F,3,0)," ")</f>
        <v xml:space="preserve"> </v>
      </c>
      <c r="C7" s="25"/>
      <c r="D7" s="10" t="str">
        <f>IFERROR(VLOOKUP(الجدول29[[#This Row],[كود الصنف]],'تكويد الأصناف'!A:F,4,0),"")</f>
        <v/>
      </c>
      <c r="E7" s="21" t="str">
        <f>IFERROR(VLOOKUP(الجدول29[[#This Row],[كود الصنف]],'تكويد الأصناف'!A:F,5,0),"")</f>
        <v/>
      </c>
      <c r="F7" s="22"/>
      <c r="G7" s="23"/>
      <c r="H7" s="167" t="str">
        <f>IFERROR(الجدول29[[#This Row],[فئة التكلفة]]*الجدول29[[#This Row],[العدد]]," ")</f>
        <v xml:space="preserve"> </v>
      </c>
      <c r="I7" s="20" t="str">
        <f>IFERROR(الجدول29[[#This Row],[سعر البيع]]-الجدول29[[#This Row],[فئة التكلفة]]*الجدول29[[#This Row],[العدد]],"")</f>
        <v/>
      </c>
      <c r="M7" s="1" t="s">
        <v>52</v>
      </c>
    </row>
    <row r="8" spans="1:13" x14ac:dyDescent="0.2">
      <c r="A8" s="36" t="str">
        <f>IFERROR(VLOOKUP(الجدول29[[#This Row],[كود الصنف]],'تكويد الأصناف'!A:F,6,0),"")</f>
        <v/>
      </c>
      <c r="B8" s="36" t="str">
        <f>IFERROR(VLOOKUP(الجدول29[[#This Row],[كود الصنف]],'تكويد الأصناف'!A:F,3,0)," ")</f>
        <v xml:space="preserve"> </v>
      </c>
      <c r="C8" s="25"/>
      <c r="D8" s="10" t="str">
        <f>IFERROR(VLOOKUP(الجدول29[[#This Row],[كود الصنف]],'تكويد الأصناف'!A:F,4,0),"")</f>
        <v/>
      </c>
      <c r="E8" s="21" t="str">
        <f>IFERROR(VLOOKUP(الجدول29[[#This Row],[كود الصنف]],'تكويد الأصناف'!A:F,5,0),"")</f>
        <v/>
      </c>
      <c r="F8" s="22"/>
      <c r="G8" s="23"/>
      <c r="H8" s="167" t="str">
        <f>IFERROR(الجدول29[[#This Row],[فئة التكلفة]]*الجدول29[[#This Row],[العدد]]," ")</f>
        <v xml:space="preserve"> </v>
      </c>
      <c r="I8" s="20" t="str">
        <f>IFERROR(الجدول29[[#This Row],[سعر البيع]]-الجدول29[[#This Row],[فئة التكلفة]]*الجدول29[[#This Row],[العدد]],"")</f>
        <v/>
      </c>
      <c r="M8" s="1" t="s">
        <v>53</v>
      </c>
    </row>
    <row r="9" spans="1:13" x14ac:dyDescent="0.2">
      <c r="A9" s="29"/>
      <c r="B9" s="29"/>
      <c r="C9" s="26"/>
      <c r="D9" s="27"/>
      <c r="E9" s="28"/>
      <c r="F9" s="29">
        <f>SUBTOTAL(109,الجدول29[العدد])</f>
        <v>0</v>
      </c>
      <c r="G9" s="24">
        <f>SUBTOTAL(109,الجدول29[سعر البيع])</f>
        <v>0</v>
      </c>
      <c r="H9" s="19"/>
      <c r="I9" s="24">
        <f>SUBTOTAL(109,الجدول29[±])</f>
        <v>0</v>
      </c>
      <c r="M9" s="1" t="s">
        <v>54</v>
      </c>
    </row>
    <row r="10" spans="1:13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M10" s="1" t="s">
        <v>55</v>
      </c>
    </row>
    <row r="11" spans="1:13" x14ac:dyDescent="0.2">
      <c r="A11" s="18"/>
      <c r="B11" s="188"/>
      <c r="C11" s="17"/>
      <c r="D11" s="17"/>
      <c r="E11" s="333"/>
      <c r="F11" s="333"/>
      <c r="G11" s="12"/>
      <c r="H11" s="333"/>
      <c r="I11" s="344"/>
      <c r="M11" s="1" t="s">
        <v>56</v>
      </c>
    </row>
    <row r="12" spans="1:13" x14ac:dyDescent="0.2">
      <c r="A12" s="336" t="s">
        <v>42</v>
      </c>
      <c r="B12" s="337"/>
      <c r="C12" s="337"/>
      <c r="D12" s="30">
        <f>'28'!G16</f>
        <v>746.25</v>
      </c>
      <c r="E12" s="333"/>
      <c r="F12" s="333"/>
      <c r="G12" s="30"/>
      <c r="H12" s="334"/>
      <c r="I12" s="335"/>
      <c r="M12" s="39" t="s">
        <v>57</v>
      </c>
    </row>
    <row r="13" spans="1:13" x14ac:dyDescent="0.2">
      <c r="A13" s="18"/>
      <c r="B13" s="188"/>
      <c r="C13" s="17"/>
      <c r="D13" s="31"/>
      <c r="E13" s="333"/>
      <c r="F13" s="333"/>
      <c r="G13" s="30"/>
      <c r="H13" s="334"/>
      <c r="I13" s="335"/>
      <c r="M13" s="1">
        <v>9</v>
      </c>
    </row>
    <row r="14" spans="1:13" x14ac:dyDescent="0.2">
      <c r="A14" s="336" t="s">
        <v>43</v>
      </c>
      <c r="B14" s="337"/>
      <c r="C14" s="337"/>
      <c r="D14" s="35">
        <f>الجدول29[[#Totals],[سعر البيع]]</f>
        <v>0</v>
      </c>
      <c r="E14" s="333"/>
      <c r="F14" s="333"/>
      <c r="G14" s="30"/>
      <c r="H14" s="334"/>
      <c r="I14" s="335"/>
      <c r="M14" s="1">
        <v>10</v>
      </c>
    </row>
    <row r="15" spans="1:13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M15" s="1">
        <v>11</v>
      </c>
    </row>
    <row r="16" spans="1:13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M16" s="1">
        <v>13</v>
      </c>
    </row>
    <row r="17" spans="1:13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M17" s="1">
        <v>14</v>
      </c>
    </row>
    <row r="18" spans="1:13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M18" s="1">
        <v>15</v>
      </c>
    </row>
    <row r="19" spans="1:13" x14ac:dyDescent="0.2">
      <c r="A19" s="15"/>
      <c r="B19" s="16"/>
      <c r="C19" s="2">
        <f>الجدول29[[#Totals],[±]]</f>
        <v>0</v>
      </c>
      <c r="D19" s="16"/>
      <c r="E19" s="2">
        <v>450</v>
      </c>
      <c r="F19" s="2">
        <f>K19-K21-K23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92" priority="1" operator="equal">
      <formula>0</formula>
    </cfRule>
    <cfRule type="cellIs" dxfId="91" priority="2" operator="equal">
      <formula>0</formula>
    </cfRule>
    <cfRule type="cellIs" dxfId="90" priority="3" operator="lessThan">
      <formula>0</formula>
    </cfRule>
    <cfRule type="cellIs" dxfId="89" priority="4" operator="equal">
      <formula>0</formula>
    </cfRule>
  </conditionalFormatting>
  <dataValidations count="2">
    <dataValidation type="list" allowBlank="1" showInputMessage="1" showErrorMessage="1" sqref="E17:F17" xr:uid="{C23B840E-32A1-4A25-AFAB-42E14FDDAEB3}">
      <formula1>$K$5:$K$16</formula1>
    </dataValidation>
    <dataValidation type="list" allowBlank="1" showInputMessage="1" showErrorMessage="1" sqref="E11:F15" xr:uid="{B7438716-385D-45FB-99FA-20DC8C50FA08}">
      <formula1>$M$5:$M$18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8732-A456-4672-8E95-BBDE1518EC76}">
  <sheetPr codeName="ورقة33">
    <tabColor rgb="FFFF0000"/>
  </sheetPr>
  <dimension ref="A1:M19"/>
  <sheetViews>
    <sheetView rightToLeft="1" workbookViewId="0">
      <selection activeCell="J28" sqref="J28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3" max="13" width="9" customWidth="1"/>
  </cols>
  <sheetData>
    <row r="1" spans="1:13" x14ac:dyDescent="0.2">
      <c r="A1" s="3"/>
      <c r="B1" s="3"/>
      <c r="C1" s="3"/>
      <c r="D1" s="3"/>
      <c r="E1" s="3"/>
      <c r="F1" s="3"/>
      <c r="G1" s="4" t="s">
        <v>0</v>
      </c>
      <c r="H1" s="339">
        <f>'29'!H1:I1+1</f>
        <v>41819</v>
      </c>
      <c r="I1" s="339"/>
    </row>
    <row r="2" spans="1:13" ht="15" x14ac:dyDescent="0.2">
      <c r="A2" s="3"/>
      <c r="B2" s="3"/>
      <c r="C2" s="3"/>
      <c r="D2" s="3"/>
      <c r="E2" s="17"/>
      <c r="F2" s="6"/>
      <c r="G2" s="7"/>
      <c r="H2" s="340">
        <f>H1</f>
        <v>41819</v>
      </c>
      <c r="I2" s="340"/>
    </row>
    <row r="3" spans="1:13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3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3" x14ac:dyDescent="0.2">
      <c r="A5" s="36" t="str">
        <f>IFERROR(VLOOKUP(الجدول30[[#This Row],[كود الصنف]],'تكويد الأصناف'!A:F,6,0),"")</f>
        <v/>
      </c>
      <c r="B5" s="36" t="str">
        <f>IFERROR(VLOOKUP(الجدول30[[#This Row],[كود الصنف]],'تكويد الأصناف'!A:F,3,0)," ")</f>
        <v xml:space="preserve"> </v>
      </c>
      <c r="C5" s="25"/>
      <c r="D5" s="10" t="str">
        <f>IFERROR(VLOOKUP(الجدول30[[#This Row],[كود الصنف]],'تكويد الأصناف'!A:F,4,0),"")</f>
        <v/>
      </c>
      <c r="E5" s="21" t="str">
        <f>IFERROR(VLOOKUP(الجدول30[[#This Row],[كود الصنف]],'تكويد الأصناف'!A:F,5,0),"")</f>
        <v/>
      </c>
      <c r="F5" s="22"/>
      <c r="G5" s="23"/>
      <c r="H5" s="195" t="str">
        <f>IFERROR(الجدول30[[#This Row],[فئة التكلفة]]*الجدول30[[#This Row],[العدد]]," ")</f>
        <v xml:space="preserve"> </v>
      </c>
      <c r="I5" s="20" t="str">
        <f>IFERROR(الجدول30[[#This Row],[سعر البيع]]-الجدول30[[#This Row],[فئة التكلفة]]*الجدول30[[#This Row],[العدد]],"")</f>
        <v/>
      </c>
      <c r="M5" s="1" t="s">
        <v>50</v>
      </c>
    </row>
    <row r="6" spans="1:13" x14ac:dyDescent="0.2">
      <c r="A6" s="36" t="str">
        <f>IFERROR(VLOOKUP(الجدول30[[#This Row],[كود الصنف]],'تكويد الأصناف'!A:F,6,0),"")</f>
        <v/>
      </c>
      <c r="B6" s="36" t="str">
        <f>IFERROR(VLOOKUP(الجدول30[[#This Row],[كود الصنف]],'تكويد الأصناف'!A:F,3,0)," ")</f>
        <v xml:space="preserve"> </v>
      </c>
      <c r="C6" s="25"/>
      <c r="D6" s="10" t="str">
        <f>IFERROR(VLOOKUP(الجدول30[[#This Row],[كود الصنف]],'تكويد الأصناف'!A:F,4,0),"")</f>
        <v/>
      </c>
      <c r="E6" s="21" t="str">
        <f>IFERROR(VLOOKUP(الجدول30[[#This Row],[كود الصنف]],'تكويد الأصناف'!A:F,5,0),"")</f>
        <v/>
      </c>
      <c r="F6" s="22"/>
      <c r="G6" s="23"/>
      <c r="H6" s="167" t="str">
        <f>IFERROR(الجدول30[[#This Row],[فئة التكلفة]]*الجدول30[[#This Row],[العدد]]," ")</f>
        <v xml:space="preserve"> </v>
      </c>
      <c r="I6" s="20" t="str">
        <f>IFERROR(الجدول30[[#This Row],[سعر البيع]]-الجدول30[[#This Row],[فئة التكلفة]]*الجدول30[[#This Row],[العدد]],"")</f>
        <v/>
      </c>
      <c r="M6" s="1" t="s">
        <v>51</v>
      </c>
    </row>
    <row r="7" spans="1:13" x14ac:dyDescent="0.2">
      <c r="A7" s="36" t="str">
        <f>IFERROR(VLOOKUP(الجدول30[[#This Row],[كود الصنف]],'تكويد الأصناف'!A:F,6,0),"")</f>
        <v/>
      </c>
      <c r="B7" s="36" t="str">
        <f>IFERROR(VLOOKUP(الجدول30[[#This Row],[كود الصنف]],'تكويد الأصناف'!A:F,3,0)," ")</f>
        <v xml:space="preserve"> </v>
      </c>
      <c r="C7" s="25"/>
      <c r="D7" s="10" t="str">
        <f>IFERROR(VLOOKUP(الجدول30[[#This Row],[كود الصنف]],'تكويد الأصناف'!A:F,4,0),"")</f>
        <v/>
      </c>
      <c r="E7" s="21" t="str">
        <f>IFERROR(VLOOKUP(الجدول30[[#This Row],[كود الصنف]],'تكويد الأصناف'!A:F,5,0),"")</f>
        <v/>
      </c>
      <c r="F7" s="22"/>
      <c r="G7" s="23"/>
      <c r="H7" s="167" t="str">
        <f>IFERROR(الجدول30[[#This Row],[فئة التكلفة]]*الجدول30[[#This Row],[العدد]]," ")</f>
        <v xml:space="preserve"> </v>
      </c>
      <c r="I7" s="20" t="str">
        <f>IFERROR(الجدول30[[#This Row],[سعر البيع]]-الجدول30[[#This Row],[فئة التكلفة]]*الجدول30[[#This Row],[العدد]],"")</f>
        <v/>
      </c>
      <c r="M7" s="1" t="s">
        <v>52</v>
      </c>
    </row>
    <row r="8" spans="1:13" x14ac:dyDescent="0.2">
      <c r="A8" s="36" t="str">
        <f>IFERROR(VLOOKUP(الجدول30[[#This Row],[كود الصنف]],'تكويد الأصناف'!A:F,6,0),"")</f>
        <v/>
      </c>
      <c r="B8" s="36" t="str">
        <f>IFERROR(VLOOKUP(الجدول30[[#This Row],[كود الصنف]],'تكويد الأصناف'!A:F,3,0)," ")</f>
        <v xml:space="preserve"> </v>
      </c>
      <c r="C8" s="25"/>
      <c r="D8" s="10" t="str">
        <f>IFERROR(VLOOKUP(الجدول30[[#This Row],[كود الصنف]],'تكويد الأصناف'!A:F,4,0),"")</f>
        <v/>
      </c>
      <c r="E8" s="21" t="str">
        <f>IFERROR(VLOOKUP(الجدول30[[#This Row],[كود الصنف]],'تكويد الأصناف'!A:F,5,0),"")</f>
        <v/>
      </c>
      <c r="F8" s="22"/>
      <c r="G8" s="23"/>
      <c r="H8" s="167" t="str">
        <f>IFERROR(الجدول30[[#This Row],[فئة التكلفة]]*الجدول30[[#This Row],[العدد]]," ")</f>
        <v xml:space="preserve"> </v>
      </c>
      <c r="I8" s="20" t="str">
        <f>IFERROR(الجدول30[[#This Row],[سعر البيع]]-الجدول30[[#This Row],[فئة التكلفة]]*الجدول30[[#This Row],[العدد]],"")</f>
        <v/>
      </c>
      <c r="M8" s="1" t="s">
        <v>53</v>
      </c>
    </row>
    <row r="9" spans="1:13" x14ac:dyDescent="0.2">
      <c r="A9" s="29"/>
      <c r="B9" s="29"/>
      <c r="C9" s="26"/>
      <c r="D9" s="27"/>
      <c r="E9" s="28"/>
      <c r="F9" s="29">
        <f>SUBTOTAL(109,الجدول30[العدد])</f>
        <v>0</v>
      </c>
      <c r="G9" s="24">
        <f>SUBTOTAL(109,الجدول30[سعر البيع])</f>
        <v>0</v>
      </c>
      <c r="H9" s="19"/>
      <c r="I9" s="24">
        <f>SUBTOTAL(109,الجدول30[±])</f>
        <v>0</v>
      </c>
      <c r="M9" s="1" t="s">
        <v>54</v>
      </c>
    </row>
    <row r="10" spans="1:13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M10" s="1" t="s">
        <v>55</v>
      </c>
    </row>
    <row r="11" spans="1:13" x14ac:dyDescent="0.2">
      <c r="A11" s="18"/>
      <c r="B11" s="188"/>
      <c r="C11" s="17"/>
      <c r="D11" s="17"/>
      <c r="E11" s="333"/>
      <c r="F11" s="333"/>
      <c r="G11" s="12"/>
      <c r="H11" s="333"/>
      <c r="I11" s="344"/>
      <c r="M11" s="1" t="s">
        <v>56</v>
      </c>
    </row>
    <row r="12" spans="1:13" x14ac:dyDescent="0.2">
      <c r="A12" s="336" t="s">
        <v>42</v>
      </c>
      <c r="B12" s="337"/>
      <c r="C12" s="337"/>
      <c r="D12" s="30">
        <f>'29'!G16</f>
        <v>746.25</v>
      </c>
      <c r="E12" s="333"/>
      <c r="F12" s="333"/>
      <c r="G12" s="30"/>
      <c r="H12" s="334"/>
      <c r="I12" s="335"/>
      <c r="M12" s="39" t="s">
        <v>57</v>
      </c>
    </row>
    <row r="13" spans="1:13" x14ac:dyDescent="0.2">
      <c r="A13" s="18"/>
      <c r="B13" s="188"/>
      <c r="C13" s="17"/>
      <c r="D13" s="31"/>
      <c r="E13" s="333"/>
      <c r="F13" s="333"/>
      <c r="G13" s="30"/>
      <c r="H13" s="334"/>
      <c r="I13" s="335"/>
      <c r="M13" s="1">
        <v>9</v>
      </c>
    </row>
    <row r="14" spans="1:13" x14ac:dyDescent="0.2">
      <c r="A14" s="336" t="s">
        <v>43</v>
      </c>
      <c r="B14" s="337"/>
      <c r="C14" s="337"/>
      <c r="D14" s="35">
        <f>الجدول30[[#Totals],[سعر البيع]]</f>
        <v>0</v>
      </c>
      <c r="E14" s="333"/>
      <c r="F14" s="333"/>
      <c r="G14" s="30"/>
      <c r="H14" s="334"/>
      <c r="I14" s="335"/>
      <c r="M14" s="1">
        <v>10</v>
      </c>
    </row>
    <row r="15" spans="1:13" x14ac:dyDescent="0.2">
      <c r="A15" s="338"/>
      <c r="B15" s="333"/>
      <c r="C15" s="333"/>
      <c r="D15" s="32">
        <f>SUM(D12:D14)</f>
        <v>746.25</v>
      </c>
      <c r="E15" s="333"/>
      <c r="F15" s="333"/>
      <c r="G15" s="30"/>
      <c r="H15" s="331"/>
      <c r="I15" s="332"/>
      <c r="M15" s="1">
        <v>11</v>
      </c>
    </row>
    <row r="16" spans="1:13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746.25</v>
      </c>
      <c r="H16" s="331"/>
      <c r="I16" s="332"/>
      <c r="M16" s="1">
        <v>13</v>
      </c>
    </row>
    <row r="17" spans="1:13" x14ac:dyDescent="0.2">
      <c r="A17" s="18"/>
      <c r="B17" s="188"/>
      <c r="C17" s="17"/>
      <c r="D17" s="31"/>
      <c r="E17" s="331"/>
      <c r="F17" s="331"/>
      <c r="G17" s="30">
        <f>SUM(G11:G16)</f>
        <v>746.25</v>
      </c>
      <c r="H17" s="331"/>
      <c r="I17" s="332"/>
      <c r="M17" s="1">
        <v>14</v>
      </c>
    </row>
    <row r="18" spans="1:13" ht="15" x14ac:dyDescent="0.2">
      <c r="A18" s="18"/>
      <c r="B18" s="188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M18" s="1">
        <v>15</v>
      </c>
    </row>
    <row r="19" spans="1:13" x14ac:dyDescent="0.2">
      <c r="A19" s="15"/>
      <c r="B19" s="16"/>
      <c r="C19" s="2">
        <f>الجدول30[[#Totals],[±]]</f>
        <v>0</v>
      </c>
      <c r="D19" s="16"/>
      <c r="E19" s="2">
        <v>450</v>
      </c>
      <c r="F19" s="2">
        <f>K19-K21-K23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64" priority="1" operator="equal">
      <formula>0</formula>
    </cfRule>
    <cfRule type="cellIs" dxfId="63" priority="2" operator="equal">
      <formula>0</formula>
    </cfRule>
    <cfRule type="cellIs" dxfId="62" priority="3" operator="lessThan">
      <formula>0</formula>
    </cfRule>
    <cfRule type="cellIs" dxfId="61" priority="4" operator="equal">
      <formula>0</formula>
    </cfRule>
  </conditionalFormatting>
  <dataValidations count="2">
    <dataValidation type="list" allowBlank="1" showInputMessage="1" showErrorMessage="1" sqref="E11:F15" xr:uid="{7DF21D8C-A7C3-430D-9C39-DAB3CC31A219}">
      <formula1>$M$5:$M$18</formula1>
    </dataValidation>
    <dataValidation type="list" allowBlank="1" showInputMessage="1" showErrorMessage="1" sqref="E17:F17" xr:uid="{1C9801BA-AAA7-43AF-9196-6F03F42A5FE9}">
      <formula1>$K$5:$K$16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79A4-9628-4EE9-AAD1-C57B5A9A8BDE}">
  <sheetPr codeName="ورقة34">
    <tabColor rgb="FFFF0000"/>
  </sheetPr>
  <dimension ref="A1:M20"/>
  <sheetViews>
    <sheetView rightToLeft="1" workbookViewId="0">
      <selection activeCell="S30" sqref="S30"/>
    </sheetView>
  </sheetViews>
  <sheetFormatPr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9" width="7.75" customWidth="1"/>
    <col min="13" max="13" width="9" customWidth="1"/>
  </cols>
  <sheetData>
    <row r="1" spans="1:13" x14ac:dyDescent="0.2">
      <c r="A1" s="3"/>
      <c r="B1" s="3"/>
      <c r="C1" s="3"/>
      <c r="D1" s="3"/>
      <c r="E1" s="3"/>
      <c r="F1" s="3"/>
      <c r="G1" s="4" t="s">
        <v>0</v>
      </c>
      <c r="H1" s="339">
        <f>'30'!H1:I1+1</f>
        <v>41820</v>
      </c>
      <c r="I1" s="339"/>
    </row>
    <row r="2" spans="1:13" ht="15" x14ac:dyDescent="0.2">
      <c r="A2" s="3"/>
      <c r="B2" s="3"/>
      <c r="C2" s="3"/>
      <c r="D2" s="3"/>
      <c r="E2" s="17"/>
      <c r="F2" s="6"/>
      <c r="G2" s="7"/>
      <c r="H2" s="340">
        <f>H1</f>
        <v>41820</v>
      </c>
      <c r="I2" s="340"/>
    </row>
    <row r="3" spans="1:13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3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3" x14ac:dyDescent="0.2">
      <c r="A5" s="36" t="str">
        <f>IFERROR(VLOOKUP(الجدول31[[#This Row],[كود الصنف]],'تكويد الأصناف'!A:F,6,0),"")</f>
        <v/>
      </c>
      <c r="B5" s="36" t="str">
        <f>IFERROR(VLOOKUP(الجدول31[[#This Row],[كود الصنف]],'تكويد الأصناف'!A:F,3,0)," ")</f>
        <v xml:space="preserve"> </v>
      </c>
      <c r="C5" s="25"/>
      <c r="D5" s="10" t="str">
        <f>IFERROR(VLOOKUP(الجدول31[[#This Row],[كود الصنف]],'تكويد الأصناف'!A:F,4,0),"")</f>
        <v/>
      </c>
      <c r="E5" s="21" t="str">
        <f>IFERROR(VLOOKUP(الجدول31[[#This Row],[كود الصنف]],'تكويد الأصناف'!A:F,5,0),"")</f>
        <v/>
      </c>
      <c r="F5" s="22"/>
      <c r="G5" s="23"/>
      <c r="H5" s="195" t="str">
        <f>IFERROR(الجدول31[[#This Row],[فئة التكلفة]]*الجدول31[[#This Row],[العدد]]," ")</f>
        <v xml:space="preserve"> </v>
      </c>
      <c r="I5" s="20" t="str">
        <f>IFERROR(الجدول31[[#This Row],[سعر البيع]]-الجدول31[[#This Row],[فئة التكلفة]]*الجدول31[[#This Row],[العدد]],"")</f>
        <v/>
      </c>
      <c r="M5" s="1" t="s">
        <v>50</v>
      </c>
    </row>
    <row r="6" spans="1:13" x14ac:dyDescent="0.2">
      <c r="A6" s="36" t="str">
        <f>IFERROR(VLOOKUP(الجدول31[[#This Row],[كود الصنف]],'تكويد الأصناف'!A:F,6,0),"")</f>
        <v/>
      </c>
      <c r="B6" s="36" t="str">
        <f>IFERROR(VLOOKUP(الجدول31[[#This Row],[كود الصنف]],'تكويد الأصناف'!A:F,3,0)," ")</f>
        <v xml:space="preserve"> </v>
      </c>
      <c r="C6" s="25"/>
      <c r="D6" s="10" t="str">
        <f>IFERROR(VLOOKUP(الجدول31[[#This Row],[كود الصنف]],'تكويد الأصناف'!A:F,4,0),"")</f>
        <v/>
      </c>
      <c r="E6" s="21" t="str">
        <f>IFERROR(VLOOKUP(الجدول31[[#This Row],[كود الصنف]],'تكويد الأصناف'!A:F,5,0),"")</f>
        <v/>
      </c>
      <c r="F6" s="22"/>
      <c r="G6" s="23"/>
      <c r="H6" s="167" t="str">
        <f>IFERROR(الجدول31[[#This Row],[فئة التكلفة]]*الجدول31[[#This Row],[العدد]]," ")</f>
        <v xml:space="preserve"> </v>
      </c>
      <c r="I6" s="20" t="str">
        <f>IFERROR(الجدول31[[#This Row],[سعر البيع]]-الجدول31[[#This Row],[فئة التكلفة]]*الجدول31[[#This Row],[العدد]],"")</f>
        <v/>
      </c>
      <c r="M6" s="1" t="s">
        <v>51</v>
      </c>
    </row>
    <row r="7" spans="1:13" x14ac:dyDescent="0.2">
      <c r="A7" s="36" t="str">
        <f>IFERROR(VLOOKUP(الجدول31[[#This Row],[كود الصنف]],'تكويد الأصناف'!A:F,6,0),"")</f>
        <v/>
      </c>
      <c r="B7" s="36" t="str">
        <f>IFERROR(VLOOKUP(الجدول31[[#This Row],[كود الصنف]],'تكويد الأصناف'!A:F,3,0)," ")</f>
        <v xml:space="preserve"> </v>
      </c>
      <c r="C7" s="25"/>
      <c r="D7" s="10" t="str">
        <f>IFERROR(VLOOKUP(الجدول31[[#This Row],[كود الصنف]],'تكويد الأصناف'!A:F,4,0),"")</f>
        <v/>
      </c>
      <c r="E7" s="21" t="str">
        <f>IFERROR(VLOOKUP(الجدول31[[#This Row],[كود الصنف]],'تكويد الأصناف'!A:F,5,0),"")</f>
        <v/>
      </c>
      <c r="F7" s="22"/>
      <c r="G7" s="23"/>
      <c r="H7" s="167" t="str">
        <f>IFERROR(الجدول31[[#This Row],[فئة التكلفة]]*الجدول31[[#This Row],[العدد]]," ")</f>
        <v xml:space="preserve"> </v>
      </c>
      <c r="I7" s="20" t="str">
        <f>IFERROR(الجدول31[[#This Row],[سعر البيع]]-الجدول31[[#This Row],[فئة التكلفة]]*الجدول31[[#This Row],[العدد]],"")</f>
        <v/>
      </c>
      <c r="M7" s="1" t="s">
        <v>52</v>
      </c>
    </row>
    <row r="8" spans="1:13" x14ac:dyDescent="0.2">
      <c r="A8" s="36" t="str">
        <f>IFERROR(VLOOKUP(الجدول31[[#This Row],[كود الصنف]],'تكويد الأصناف'!A:F,6,0),"")</f>
        <v/>
      </c>
      <c r="B8" s="36" t="str">
        <f>IFERROR(VLOOKUP(الجدول31[[#This Row],[كود الصنف]],'تكويد الأصناف'!A:F,3,0)," ")</f>
        <v xml:space="preserve"> </v>
      </c>
      <c r="C8" s="25"/>
      <c r="D8" s="10" t="str">
        <f>IFERROR(VLOOKUP(الجدول31[[#This Row],[كود الصنف]],'تكويد الأصناف'!A:F,4,0),"")</f>
        <v/>
      </c>
      <c r="E8" s="21" t="str">
        <f>IFERROR(VLOOKUP(الجدول31[[#This Row],[كود الصنف]],'تكويد الأصناف'!A:F,5,0),"")</f>
        <v/>
      </c>
      <c r="F8" s="22"/>
      <c r="G8" s="23"/>
      <c r="H8" s="167" t="str">
        <f>IFERROR(الجدول31[[#This Row],[فئة التكلفة]]*الجدول31[[#This Row],[العدد]]," ")</f>
        <v xml:space="preserve"> </v>
      </c>
      <c r="I8" s="20" t="str">
        <f>IFERROR(الجدول31[[#This Row],[سعر البيع]]-الجدول31[[#This Row],[فئة التكلفة]]*الجدول31[[#This Row],[العدد]],"")</f>
        <v/>
      </c>
      <c r="M8" s="1" t="s">
        <v>53</v>
      </c>
    </row>
    <row r="9" spans="1:13" x14ac:dyDescent="0.2">
      <c r="A9" s="36" t="str">
        <f>IFERROR(VLOOKUP(الجدول31[[#This Row],[كود الصنف]],'تكويد الأصناف'!A:F,6,0),"")</f>
        <v/>
      </c>
      <c r="B9" s="36" t="str">
        <f>IFERROR(VLOOKUP(الجدول31[[#This Row],[كود الصنف]],'تكويد الأصناف'!A:F,3,0)," ")</f>
        <v xml:space="preserve"> </v>
      </c>
      <c r="C9" s="25"/>
      <c r="D9" s="10" t="str">
        <f>IFERROR(VLOOKUP(الجدول31[[#This Row],[كود الصنف]],'تكويد الأصناف'!A:F,4,0),"")</f>
        <v/>
      </c>
      <c r="E9" s="21" t="str">
        <f>IFERROR(VLOOKUP(الجدول31[[#This Row],[كود الصنف]],'تكويد الأصناف'!A:F,5,0),"")</f>
        <v/>
      </c>
      <c r="F9" s="22"/>
      <c r="G9" s="23"/>
      <c r="H9" s="22" t="str">
        <f>IFERROR(الجدول31[[#This Row],[فئة التكلفة]]*الجدول31[[#This Row],[العدد]]," ")</f>
        <v xml:space="preserve"> </v>
      </c>
      <c r="I9" s="20" t="str">
        <f>IFERROR(الجدول31[[#This Row],[سعر البيع]]-الجدول31[[#This Row],[فئة التكلفة]]*الجدول31[[#This Row],[العدد]],"")</f>
        <v/>
      </c>
      <c r="M9" s="1" t="s">
        <v>54</v>
      </c>
    </row>
    <row r="10" spans="1:13" x14ac:dyDescent="0.2">
      <c r="A10" s="29"/>
      <c r="B10" s="29"/>
      <c r="C10" s="26"/>
      <c r="D10" s="27"/>
      <c r="E10" s="28"/>
      <c r="F10" s="29">
        <f>SUBTOTAL(109,الجدول31[العدد])</f>
        <v>0</v>
      </c>
      <c r="G10" s="24">
        <f>SUBTOTAL(109,الجدول31[سعر البيع])</f>
        <v>0</v>
      </c>
      <c r="H10" s="19"/>
      <c r="I10" s="24">
        <f>SUBTOTAL(109,الجدول31[±])</f>
        <v>0</v>
      </c>
      <c r="M10" s="1" t="s">
        <v>55</v>
      </c>
    </row>
    <row r="11" spans="1:13" x14ac:dyDescent="0.2">
      <c r="A11" s="341"/>
      <c r="B11" s="342"/>
      <c r="C11" s="342"/>
      <c r="D11" s="342"/>
      <c r="E11" s="342"/>
      <c r="F11" s="342"/>
      <c r="G11" s="342"/>
      <c r="H11" s="342"/>
      <c r="I11" s="343"/>
      <c r="M11" s="1" t="s">
        <v>56</v>
      </c>
    </row>
    <row r="12" spans="1:13" x14ac:dyDescent="0.2">
      <c r="A12" s="18"/>
      <c r="B12" s="188"/>
      <c r="C12" s="17"/>
      <c r="D12" s="17"/>
      <c r="E12" s="333"/>
      <c r="F12" s="333"/>
      <c r="G12" s="12"/>
      <c r="H12" s="333"/>
      <c r="I12" s="344"/>
      <c r="M12" s="39" t="s">
        <v>57</v>
      </c>
    </row>
    <row r="13" spans="1:13" x14ac:dyDescent="0.2">
      <c r="A13" s="336" t="s">
        <v>42</v>
      </c>
      <c r="B13" s="337"/>
      <c r="C13" s="337"/>
      <c r="D13" s="30">
        <f>'29'!G16</f>
        <v>746.25</v>
      </c>
      <c r="E13" s="333"/>
      <c r="F13" s="333"/>
      <c r="G13" s="30"/>
      <c r="H13" s="334"/>
      <c r="I13" s="335"/>
      <c r="M13" s="1">
        <v>9</v>
      </c>
    </row>
    <row r="14" spans="1:13" x14ac:dyDescent="0.2">
      <c r="A14" s="18"/>
      <c r="B14" s="188"/>
      <c r="C14" s="17"/>
      <c r="D14" s="31"/>
      <c r="E14" s="333"/>
      <c r="F14" s="333"/>
      <c r="G14" s="30"/>
      <c r="H14" s="334"/>
      <c r="I14" s="335"/>
      <c r="M14" s="1">
        <v>10</v>
      </c>
    </row>
    <row r="15" spans="1:13" x14ac:dyDescent="0.2">
      <c r="A15" s="336" t="s">
        <v>43</v>
      </c>
      <c r="B15" s="337"/>
      <c r="C15" s="337"/>
      <c r="D15" s="35">
        <f>الجدول31[[#Totals],[سعر البيع]]</f>
        <v>0</v>
      </c>
      <c r="E15" s="333"/>
      <c r="F15" s="333"/>
      <c r="G15" s="30"/>
      <c r="H15" s="334"/>
      <c r="I15" s="335"/>
      <c r="M15" s="1">
        <v>11</v>
      </c>
    </row>
    <row r="16" spans="1:13" x14ac:dyDescent="0.2">
      <c r="A16" s="338"/>
      <c r="B16" s="333"/>
      <c r="C16" s="333"/>
      <c r="D16" s="32">
        <f>SUM(D13:D15)</f>
        <v>746.25</v>
      </c>
      <c r="E16" s="333"/>
      <c r="F16" s="333"/>
      <c r="G16" s="30"/>
      <c r="H16" s="331"/>
      <c r="I16" s="332"/>
      <c r="M16" s="1">
        <v>13</v>
      </c>
    </row>
    <row r="17" spans="1:13" x14ac:dyDescent="0.2">
      <c r="A17" s="338"/>
      <c r="B17" s="333"/>
      <c r="C17" s="333"/>
      <c r="D17" s="33"/>
      <c r="E17" s="331" t="s">
        <v>32</v>
      </c>
      <c r="F17" s="331"/>
      <c r="G17" s="34">
        <f>D16-G12-G13-G14-G15-G16</f>
        <v>746.25</v>
      </c>
      <c r="H17" s="331"/>
      <c r="I17" s="332"/>
      <c r="M17" s="1">
        <v>14</v>
      </c>
    </row>
    <row r="18" spans="1:13" x14ac:dyDescent="0.2">
      <c r="A18" s="18"/>
      <c r="B18" s="188"/>
      <c r="C18" s="17"/>
      <c r="D18" s="31"/>
      <c r="E18" s="331"/>
      <c r="F18" s="331"/>
      <c r="G18" s="30">
        <f>SUM(G12:G17)</f>
        <v>746.25</v>
      </c>
      <c r="H18" s="331"/>
      <c r="I18" s="332"/>
      <c r="M18" s="1">
        <v>15</v>
      </c>
    </row>
    <row r="19" spans="1:13" ht="15" x14ac:dyDescent="0.2">
      <c r="A19" s="18"/>
      <c r="B19" s="188"/>
      <c r="C19" s="17"/>
      <c r="D19" s="17"/>
      <c r="E19" s="2" t="s">
        <v>44</v>
      </c>
      <c r="F19" s="1" t="s">
        <v>45</v>
      </c>
      <c r="G19" s="13" t="s">
        <v>46</v>
      </c>
      <c r="H19" s="14" t="s">
        <v>47</v>
      </c>
      <c r="I19" s="1" t="s">
        <v>48</v>
      </c>
    </row>
    <row r="20" spans="1:13" x14ac:dyDescent="0.2">
      <c r="A20" s="15"/>
      <c r="B20" s="16"/>
      <c r="C20" s="2">
        <f>الجدول31[[#Totals],[±]]</f>
        <v>0</v>
      </c>
      <c r="D20" s="16"/>
      <c r="E20" s="2">
        <v>450</v>
      </c>
      <c r="F20" s="2">
        <f>K19-K21-K23</f>
        <v>0</v>
      </c>
      <c r="G20" s="2"/>
      <c r="H20" s="2"/>
      <c r="I20" s="2">
        <f>E20-F20+G20-H20</f>
        <v>450</v>
      </c>
    </row>
  </sheetData>
  <mergeCells count="20">
    <mergeCell ref="A13:C13"/>
    <mergeCell ref="E13:F13"/>
    <mergeCell ref="H13:I13"/>
    <mergeCell ref="H1:I1"/>
    <mergeCell ref="H2:I2"/>
    <mergeCell ref="A11:I11"/>
    <mergeCell ref="E12:F12"/>
    <mergeCell ref="H12:I12"/>
    <mergeCell ref="E18:F18"/>
    <mergeCell ref="H18:I18"/>
    <mergeCell ref="E14:F14"/>
    <mergeCell ref="H14:I14"/>
    <mergeCell ref="A15:C15"/>
    <mergeCell ref="E15:F15"/>
    <mergeCell ref="H15:I15"/>
    <mergeCell ref="A16:C17"/>
    <mergeCell ref="E16:F16"/>
    <mergeCell ref="H16:I16"/>
    <mergeCell ref="E17:F17"/>
    <mergeCell ref="H17:I17"/>
  </mergeCells>
  <conditionalFormatting sqref="I5:I9">
    <cfRule type="cellIs" dxfId="36" priority="1" operator="equal">
      <formula>0</formula>
    </cfRule>
    <cfRule type="cellIs" dxfId="35" priority="2" operator="equal">
      <formula>0</formula>
    </cfRule>
    <cfRule type="cellIs" dxfId="34" priority="3" operator="lessThan">
      <formula>0</formula>
    </cfRule>
    <cfRule type="cellIs" dxfId="33" priority="4" operator="equal">
      <formula>0</formula>
    </cfRule>
  </conditionalFormatting>
  <dataValidations disablePrompts="1" count="2">
    <dataValidation type="list" allowBlank="1" showInputMessage="1" showErrorMessage="1" sqref="E18:F18" xr:uid="{931D2819-9966-464D-BE97-28BE54F5164C}">
      <formula1>$K$5:$K$16</formula1>
    </dataValidation>
    <dataValidation type="list" allowBlank="1" showInputMessage="1" showErrorMessage="1" sqref="E12:F16" xr:uid="{0E19B849-1B42-4E29-AAB6-2058F883E545}">
      <formula1>$M$5:$M$18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E458-2C33-4E1E-AE1F-F2003435563D}">
  <sheetPr codeName="ورقة3" filterMode="1">
    <tabColor theme="5" tint="-0.249977111117893"/>
  </sheetPr>
  <dimension ref="A1:AC160"/>
  <sheetViews>
    <sheetView rightToLeft="1" zoomScaleNormal="100" workbookViewId="0">
      <selection activeCell="A163" sqref="A163"/>
    </sheetView>
  </sheetViews>
  <sheetFormatPr defaultColWidth="0" defaultRowHeight="17.25" customHeight="1" x14ac:dyDescent="0.2"/>
  <cols>
    <col min="1" max="1" width="6.25" style="3" customWidth="1"/>
    <col min="2" max="2" width="5.25" style="3" customWidth="1"/>
    <col min="3" max="3" width="4.875" style="3" customWidth="1"/>
    <col min="4" max="4" width="7.625" style="3" customWidth="1"/>
    <col min="5" max="5" width="28.875" style="111" customWidth="1"/>
    <col min="6" max="6" width="7.875" style="112" customWidth="1"/>
    <col min="7" max="8" width="6.75" style="3" customWidth="1"/>
    <col min="9" max="10" width="5.625" style="3" customWidth="1"/>
    <col min="11" max="11" width="6.625" style="3" customWidth="1"/>
    <col min="12" max="12" width="9.125" style="3" customWidth="1"/>
    <col min="13" max="23" width="9" style="93" customWidth="1"/>
    <col min="24" max="29" width="0" style="40" hidden="1" customWidth="1"/>
    <col min="30" max="16384" width="9" style="40" hidden="1"/>
  </cols>
  <sheetData>
    <row r="1" spans="1:23" ht="17.25" customHeight="1" x14ac:dyDescent="0.2">
      <c r="A1" s="316" t="s">
        <v>26</v>
      </c>
      <c r="B1" s="316"/>
      <c r="C1" s="316"/>
      <c r="D1" s="316"/>
      <c r="E1" s="316"/>
      <c r="F1" s="316"/>
      <c r="G1" s="316"/>
      <c r="H1" s="316"/>
      <c r="I1" s="316"/>
      <c r="J1" s="316"/>
      <c r="K1" s="318">
        <v>41790</v>
      </c>
      <c r="L1" s="318"/>
    </row>
    <row r="2" spans="1:23" ht="17.25" customHeight="1" x14ac:dyDescent="0.2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9"/>
      <c r="L2" s="319"/>
    </row>
    <row r="3" spans="1:23" ht="17.25" customHeight="1" x14ac:dyDescent="0.2">
      <c r="A3" s="315" t="s">
        <v>1</v>
      </c>
      <c r="B3" s="315" t="s">
        <v>7</v>
      </c>
      <c r="C3" s="315" t="s">
        <v>36</v>
      </c>
      <c r="D3" s="315" t="s">
        <v>27</v>
      </c>
      <c r="E3" s="315" t="s">
        <v>17</v>
      </c>
      <c r="F3" s="315" t="s">
        <v>28</v>
      </c>
      <c r="G3" s="315" t="s">
        <v>29</v>
      </c>
      <c r="H3" s="315" t="s">
        <v>30</v>
      </c>
      <c r="I3" s="315" t="s">
        <v>31</v>
      </c>
      <c r="J3" s="315"/>
      <c r="K3" s="315" t="s">
        <v>58</v>
      </c>
      <c r="L3" s="315" t="s">
        <v>32</v>
      </c>
    </row>
    <row r="4" spans="1:23" ht="17.25" customHeight="1" x14ac:dyDescent="0.2">
      <c r="A4" s="315"/>
      <c r="B4" s="315"/>
      <c r="C4" s="315"/>
      <c r="D4" s="315"/>
      <c r="E4" s="315"/>
      <c r="F4" s="315"/>
      <c r="G4" s="315"/>
      <c r="H4" s="315"/>
      <c r="I4" s="94" t="s">
        <v>33</v>
      </c>
      <c r="J4" s="95" t="s">
        <v>34</v>
      </c>
      <c r="K4" s="315"/>
      <c r="L4" s="315"/>
    </row>
    <row r="5" spans="1:23" ht="17.25" customHeight="1" x14ac:dyDescent="0.2">
      <c r="A5" s="96">
        <v>1001</v>
      </c>
      <c r="B5" s="97">
        <f>VLOOKUP(A5,'تكويد الأصناف'!A:F,3,0)</f>
        <v>4</v>
      </c>
      <c r="C5" s="98">
        <f>VLOOKUP(A5,'تكويد الأصناف'!A:F,6,0)</f>
        <v>7</v>
      </c>
      <c r="D5" s="99">
        <f>VLOOKUP(A5,'تكويد الأصناف'!A:F,5,0)</f>
        <v>10</v>
      </c>
      <c r="E5" s="100" t="str">
        <f>VLOOKUP(A5,'تكويد الأصناف'!A:F,4,1)</f>
        <v>جلباب سبور مورد</v>
      </c>
      <c r="F5" s="101">
        <v>7</v>
      </c>
      <c r="G5" s="101">
        <f ca="1">SUMIF('الوارد والمرتجع'!B:F,A5,'الوارد والمرتجع'!E:E)</f>
        <v>0</v>
      </c>
      <c r="H5" s="102">
        <f>SUMIF(الجدول1[كود الصنف],A5,الجدول1[العدد])+SUMIF(الجدول2[كود الصنف],A5,الجدول2[العدد])+SUMIF(الجدول3[كود الصنف],A5,الجدول3[العدد])+SUMIF(الجدول4[كود الصنف],A5,الجدول4[العدد])+SUMIF(الجدول5[كود الصنف],A5,الجدول5[العدد])+SUMIF(الجدول6[كود الصنف],A5,الجدول6[العدد])+SUMIF(الجدول7[كود الصنف],A5,الجدول7[العدد])+SUMIF(الجدول8[كود الصنف],A5,الجدول8[العدد])+SUMIF(الجدول9[كود الصنف],A5,الجدول9[العدد])+SUMIF(الجدول10[كود الصنف],A5,الجدول10[العدد])+SUMIF(الجدول11[كود الصنف],A5,الجدول11[العدد])+SUMIF(الجدول12[كود الصنف],A5,الجدول12[العدد])+SUMIF(الجدول13[كود الصنف],A5,الجدول13[العدد])+SUMIF(الجدول14[كود الصنف],A5,الجدول14[العدد])+SUMIF(الجدول15[كود الصنف],A5,الجدول15[العدد])+SUMIF(الجدول16[كود الصنف],A5,الجدول16[العدد])+SUMIF(الجدول17[كود الصنف],A5,الجدول17[العدد])+SUMIF(الجدول18[كود الصنف],A5,الجدول18[العدد])+SUMIF(الجدول19[كود الصنف],A5,الجدول19[العدد])+SUMIF(الجدول20[كود الصنف],A5,الجدول20[العدد])+SUMIF(الجدول21[كود الصنف],A5,الجدول21[العدد])+SUMIF(الجدول22[كود الصنف],A5,الجدول22[العدد])+SUMIF(الجدول23[كود الصنف],A5,الجدول23[العدد])+SUMIF(الجدول24[كود الصنف],A5,الجدول24[العدد])+SUMIF(الجدول25[كود الصنف],A5,الجدول25[العدد])+SUMIF(الجدول26[كود الصنف],A5,الجدول26[العدد])+SUMIF(الجدول27[كود الصنف],A5,الجدول27[العدد])+SUMIF(الجدول28[كود الصنف],A5,الجدول28[العدد])+SUMIF(الجدول29[كود الصنف],A5,الجدول29[العدد])+SUMIF(الجدول30[كود الصنف],A5,الجدول30[العدد])+SUMIF(الجدول31[كود الصنف],A5,الجدول31[العدد])</f>
        <v>2</v>
      </c>
      <c r="I5" s="101">
        <f ca="1">SUMIF('تكويد الأصناف'!K:N,A5,'تكويد الأصناف'!M:M)</f>
        <v>0</v>
      </c>
      <c r="J5" s="101">
        <f ca="1">SUMIF('تكويد الأصناف'!K:N,A5,'تكويد الأصناف'!N:N)</f>
        <v>0</v>
      </c>
      <c r="K5" s="101">
        <f ca="1">SUMIF('الوارد والمرتجع'!J:M,A5,'الوارد والمرتجع'!M:M)</f>
        <v>0</v>
      </c>
      <c r="L5" s="101">
        <f t="shared" ref="L5:L68" ca="1" si="0">F5+G5-H5-I5+J5-K5</f>
        <v>5</v>
      </c>
    </row>
    <row r="6" spans="1:23" ht="17.25" customHeight="1" x14ac:dyDescent="0.2">
      <c r="A6" s="103">
        <v>1002</v>
      </c>
      <c r="B6" s="104">
        <f>VLOOKUP(A6,'تكويد الأصناف'!A:F,3,0)</f>
        <v>4</v>
      </c>
      <c r="C6" s="105">
        <f>VLOOKUP(A6,'تكويد الأصناف'!A:F,6,0)</f>
        <v>8</v>
      </c>
      <c r="D6" s="106">
        <f>VLOOKUP(A6,'تكويد الأصناف'!A:F,5,0)</f>
        <v>10</v>
      </c>
      <c r="E6" s="107" t="str">
        <f>VLOOKUP(A6,'تكويد الأصناف'!A:F,4,1)</f>
        <v>جلباب شبك موديلين</v>
      </c>
      <c r="F6" s="47">
        <v>27</v>
      </c>
      <c r="G6" s="47">
        <f ca="1">SUMIF('الوارد والمرتجع'!B:F,A6,'الوارد والمرتجع'!E:E)</f>
        <v>0</v>
      </c>
      <c r="H6" s="108">
        <f>SUMIF(الجدول1[كود الصنف],A6,الجدول1[العدد])+SUMIF(الجدول2[كود الصنف],A6,الجدول2[العدد])+SUMIF(الجدول3[كود الصنف],A6,الجدول3[العدد])+SUMIF(الجدول4[كود الصنف],A6,الجدول4[العدد])+SUMIF(الجدول5[كود الصنف],A6,الجدول5[العدد])+SUMIF(الجدول6[كود الصنف],A6,الجدول6[العدد])+SUMIF(الجدول7[كود الصنف],A6,الجدول7[العدد])+SUMIF(الجدول8[كود الصنف],A6,الجدول8[العدد])+SUMIF(الجدول9[كود الصنف],A6,الجدول9[العدد])+SUMIF(الجدول10[كود الصنف],A6,الجدول10[العدد])+SUMIF(الجدول11[كود الصنف],A6,الجدول11[العدد])+SUMIF(الجدول12[كود الصنف],A6,الجدول12[العدد])+SUMIF(الجدول13[كود الصنف],A6,الجدول13[العدد])+SUMIF(الجدول14[كود الصنف],A6,الجدول14[العدد])+SUMIF(الجدول15[كود الصنف],A6,الجدول15[العدد])+SUMIF(الجدول16[كود الصنف],A6,الجدول16[العدد])+SUMIF(الجدول17[كود الصنف],A6,الجدول17[العدد])+SUMIF(الجدول18[كود الصنف],A6,الجدول18[العدد])+SUMIF(الجدول19[كود الصنف],A6,الجدول19[العدد])+SUMIF(الجدول20[كود الصنف],A6,الجدول20[العدد])+SUMIF(الجدول21[كود الصنف],A6,الجدول21[العدد])+SUMIF(الجدول22[كود الصنف],A6,الجدول22[العدد])+SUMIF(الجدول23[كود الصنف],A6,الجدول23[العدد])+SUMIF(الجدول24[كود الصنف],A6,الجدول24[العدد])+SUMIF(الجدول25[كود الصنف],A6,الجدول25[العدد])+SUMIF(الجدول26[كود الصنف],A6,الجدول26[العدد])+SUMIF(الجدول27[كود الصنف],A6,الجدول27[العدد])+SUMIF(الجدول28[كود الصنف],A6,الجدول28[العدد])+SUMIF(الجدول29[كود الصنف],A6,الجدول29[العدد])+SUMIF(الجدول30[كود الصنف],A6,الجدول30[العدد])+SUMIF(الجدول31[كود الصنف],A6,الجدول31[العدد])</f>
        <v>3</v>
      </c>
      <c r="I6" s="47">
        <f ca="1">SUMIF('تكويد الأصناف'!K:N,A6,'تكويد الأصناف'!M:M)</f>
        <v>0</v>
      </c>
      <c r="J6" s="47">
        <f ca="1">SUMIF('تكويد الأصناف'!K:N,A6,'تكويد الأصناف'!N:N)</f>
        <v>0</v>
      </c>
      <c r="K6" s="47">
        <f ca="1">SUMIF('الوارد والمرتجع'!J:M,A6,'الوارد والمرتجع'!M:M)</f>
        <v>0</v>
      </c>
      <c r="L6" s="47">
        <f t="shared" ca="1" si="0"/>
        <v>24</v>
      </c>
    </row>
    <row r="7" spans="1:23" ht="17.25" customHeight="1" x14ac:dyDescent="0.2">
      <c r="A7" s="103">
        <v>1003</v>
      </c>
      <c r="B7" s="104">
        <f>VLOOKUP(A7,'تكويد الأصناف'!A:F,3,0)</f>
        <v>4</v>
      </c>
      <c r="C7" s="105">
        <f>VLOOKUP(A7,'تكويد الأصناف'!A:F,6,0)</f>
        <v>15</v>
      </c>
      <c r="D7" s="106">
        <f>VLOOKUP(A7,'تكويد الأصناف'!A:F,5,0)</f>
        <v>25</v>
      </c>
      <c r="E7" s="107" t="str">
        <f>VLOOKUP(A7,'تكويد الأصناف'!A:F,4,1)</f>
        <v>فستان +قفطان نخب مشكل</v>
      </c>
      <c r="F7" s="47">
        <v>120</v>
      </c>
      <c r="G7" s="47">
        <f ca="1">SUMIF('الوارد والمرتجع'!B:F,A7,'الوارد والمرتجع'!E:E)</f>
        <v>0</v>
      </c>
      <c r="H7" s="108">
        <f>SUMIF(الجدول1[كود الصنف],A7,الجدول1[العدد])+SUMIF(الجدول2[كود الصنف],A7,الجدول2[العدد])+SUMIF(الجدول3[كود الصنف],A7,الجدول3[العدد])+SUMIF(الجدول4[كود الصنف],A7,الجدول4[العدد])+SUMIF(الجدول5[كود الصنف],A7,الجدول5[العدد])+SUMIF(الجدول6[كود الصنف],A7,الجدول6[العدد])+SUMIF(الجدول7[كود الصنف],A7,الجدول7[العدد])+SUMIF(الجدول8[كود الصنف],A7,الجدول8[العدد])+SUMIF(الجدول9[كود الصنف],A7,الجدول9[العدد])+SUMIF(الجدول10[كود الصنف],A7,الجدول10[العدد])+SUMIF(الجدول11[كود الصنف],A7,الجدول11[العدد])+SUMIF(الجدول12[كود الصنف],A7,الجدول12[العدد])+SUMIF(الجدول13[كود الصنف],A7,الجدول13[العدد])+SUMIF(الجدول14[كود الصنف],A7,الجدول14[العدد])+SUMIF(الجدول15[كود الصنف],A7,الجدول15[العدد])+SUMIF(الجدول16[كود الصنف],A7,الجدول16[العدد])+SUMIF(الجدول17[كود الصنف],A7,الجدول17[العدد])+SUMIF(الجدول18[كود الصنف],A7,الجدول18[العدد])+SUMIF(الجدول19[كود الصنف],A7,الجدول19[العدد])+SUMIF(الجدول20[كود الصنف],A7,الجدول20[العدد])+SUMIF(الجدول21[كود الصنف],A7,الجدول21[العدد])+SUMIF(الجدول22[كود الصنف],A7,الجدول22[العدد])+SUMIF(الجدول23[كود الصنف],A7,الجدول23[العدد])+SUMIF(الجدول24[كود الصنف],A7,الجدول24[العدد])+SUMIF(الجدول25[كود الصنف],A7,الجدول25[العدد])+SUMIF(الجدول26[كود الصنف],A7,الجدول26[العدد])+SUMIF(الجدول27[كود الصنف],A7,الجدول27[العدد])+SUMIF(الجدول28[كود الصنف],A7,الجدول28[العدد])+SUMIF(الجدول29[كود الصنف],A7,الجدول29[العدد])+SUMIF(الجدول30[كود الصنف],A7,الجدول30[العدد])+SUMIF(الجدول31[كود الصنف],A7,الجدول31[العدد])</f>
        <v>0</v>
      </c>
      <c r="I7" s="47">
        <f ca="1">SUMIF('تكويد الأصناف'!K:N,A7,'تكويد الأصناف'!M:M)</f>
        <v>0</v>
      </c>
      <c r="J7" s="47">
        <f ca="1">SUMIF('تكويد الأصناف'!K:N,A7,'تكويد الأصناف'!N:N)</f>
        <v>0</v>
      </c>
      <c r="K7" s="47">
        <f ca="1">SUMIF('الوارد والمرتجع'!J:M,A7,'الوارد والمرتجع'!M:M)</f>
        <v>0</v>
      </c>
      <c r="L7" s="47">
        <f t="shared" ca="1" si="0"/>
        <v>120</v>
      </c>
    </row>
    <row r="8" spans="1:23" ht="17.25" customHeight="1" x14ac:dyDescent="0.2">
      <c r="A8" s="103">
        <v>1004</v>
      </c>
      <c r="B8" s="104">
        <f>VLOOKUP(A8,'تكويد الأصناف'!A:F,3,0)</f>
        <v>4</v>
      </c>
      <c r="C8" s="105">
        <f>VLOOKUP(A8,'تكويد الأصناف'!A:F,6,0)</f>
        <v>10</v>
      </c>
      <c r="D8" s="106">
        <f>VLOOKUP(A8,'تكويد الأصناف'!A:F,5,0)</f>
        <v>20</v>
      </c>
      <c r="E8" s="107" t="str">
        <f>VLOOKUP(A8,'تكويد الأصناف'!A:F,4,1)</f>
        <v>قفاطين وسهرات متنوعة</v>
      </c>
      <c r="F8" s="47">
        <v>214</v>
      </c>
      <c r="G8" s="47">
        <f ca="1">SUMIF('الوارد والمرتجع'!B:F,A8,'الوارد والمرتجع'!E:E)</f>
        <v>0</v>
      </c>
      <c r="H8" s="108">
        <f>SUMIF(الجدول1[كود الصنف],A8,الجدول1[العدد])+SUMIF(الجدول2[كود الصنف],A8,الجدول2[العدد])+SUMIF(الجدول3[كود الصنف],A8,الجدول3[العدد])+SUMIF(الجدول4[كود الصنف],A8,الجدول4[العدد])+SUMIF(الجدول5[كود الصنف],A8,الجدول5[العدد])+SUMIF(الجدول6[كود الصنف],A8,الجدول6[العدد])+SUMIF(الجدول7[كود الصنف],A8,الجدول7[العدد])+SUMIF(الجدول8[كود الصنف],A8,الجدول8[العدد])+SUMIF(الجدول9[كود الصنف],A8,الجدول9[العدد])+SUMIF(الجدول10[كود الصنف],A8,الجدول10[العدد])+SUMIF(الجدول11[كود الصنف],A8,الجدول11[العدد])+SUMIF(الجدول12[كود الصنف],A8,الجدول12[العدد])+SUMIF(الجدول13[كود الصنف],A8,الجدول13[العدد])+SUMIF(الجدول14[كود الصنف],A8,الجدول14[العدد])+SUMIF(الجدول15[كود الصنف],A8,الجدول15[العدد])+SUMIF(الجدول16[كود الصنف],A8,الجدول16[العدد])+SUMIF(الجدول17[كود الصنف],A8,الجدول17[العدد])+SUMIF(الجدول18[كود الصنف],A8,الجدول18[العدد])+SUMIF(الجدول19[كود الصنف],A8,الجدول19[العدد])+SUMIF(الجدول20[كود الصنف],A8,الجدول20[العدد])+SUMIF(الجدول21[كود الصنف],A8,الجدول21[العدد])+SUMIF(الجدول22[كود الصنف],A8,الجدول22[العدد])+SUMIF(الجدول23[كود الصنف],A8,الجدول23[العدد])+SUMIF(الجدول24[كود الصنف],A8,الجدول24[العدد])+SUMIF(الجدول25[كود الصنف],A8,الجدول25[العدد])+SUMIF(الجدول26[كود الصنف],A8,الجدول26[العدد])+SUMIF(الجدول27[كود الصنف],A8,الجدول27[العدد])+SUMIF(الجدول28[كود الصنف],A8,الجدول28[العدد])+SUMIF(الجدول29[كود الصنف],A8,الجدول29[العدد])+SUMIF(الجدول30[كود الصنف],A8,الجدول30[العدد])+SUMIF(الجدول31[كود الصنف],A8,الجدول31[العدد])</f>
        <v>4</v>
      </c>
      <c r="I8" s="47">
        <f ca="1">SUMIF('تكويد الأصناف'!K:N,A8,'تكويد الأصناف'!M:M)</f>
        <v>0</v>
      </c>
      <c r="J8" s="47">
        <f ca="1">SUMIF('تكويد الأصناف'!K:N,A8,'تكويد الأصناف'!N:N)</f>
        <v>0</v>
      </c>
      <c r="K8" s="47">
        <f ca="1">SUMIF('الوارد والمرتجع'!J:M,A8,'الوارد والمرتجع'!M:M)</f>
        <v>0</v>
      </c>
      <c r="L8" s="47">
        <f t="shared" ca="1" si="0"/>
        <v>210</v>
      </c>
    </row>
    <row r="9" spans="1:23" ht="17.25" customHeight="1" x14ac:dyDescent="0.2">
      <c r="A9" s="103">
        <v>1005</v>
      </c>
      <c r="B9" s="104">
        <f>VLOOKUP(A9,'تكويد الأصناف'!A:F,3,0)</f>
        <v>4</v>
      </c>
      <c r="C9" s="105">
        <f>VLOOKUP(A9,'تكويد الأصناف'!A:F,6,0)</f>
        <v>10</v>
      </c>
      <c r="D9" s="106">
        <f>VLOOKUP(A9,'تكويد الأصناف'!A:F,5,0)</f>
        <v>15</v>
      </c>
      <c r="E9" s="107" t="str">
        <f>VLOOKUP(A9,'تكويد الأصناف'!A:F,4,1)</f>
        <v>جلباب سبور كتانات منوع</v>
      </c>
      <c r="F9" s="47">
        <v>134</v>
      </c>
      <c r="G9" s="47">
        <f ca="1">SUMIF('الوارد والمرتجع'!B:F,A9,'الوارد والمرتجع'!E:E)</f>
        <v>0</v>
      </c>
      <c r="H9" s="108">
        <f>SUMIF(الجدول1[كود الصنف],A9,الجدول1[العدد])+SUMIF(الجدول2[كود الصنف],A9,الجدول2[العدد])+SUMIF(الجدول3[كود الصنف],A9,الجدول3[العدد])+SUMIF(الجدول4[كود الصنف],A9,الجدول4[العدد])+SUMIF(الجدول5[كود الصنف],A9,الجدول5[العدد])+SUMIF(الجدول6[كود الصنف],A9,الجدول6[العدد])+SUMIF(الجدول7[كود الصنف],A9,الجدول7[العدد])+SUMIF(الجدول8[كود الصنف],A9,الجدول8[العدد])+SUMIF(الجدول9[كود الصنف],A9,الجدول9[العدد])+SUMIF(الجدول10[كود الصنف],A9,الجدول10[العدد])+SUMIF(الجدول11[كود الصنف],A9,الجدول11[العدد])+SUMIF(الجدول12[كود الصنف],A9,الجدول12[العدد])+SUMIF(الجدول13[كود الصنف],A9,الجدول13[العدد])+SUMIF(الجدول14[كود الصنف],A9,الجدول14[العدد])+SUMIF(الجدول15[كود الصنف],A9,الجدول15[العدد])+SUMIF(الجدول16[كود الصنف],A9,الجدول16[العدد])+SUMIF(الجدول17[كود الصنف],A9,الجدول17[العدد])+SUMIF(الجدول18[كود الصنف],A9,الجدول18[العدد])+SUMIF(الجدول19[كود الصنف],A9,الجدول19[العدد])+SUMIF(الجدول20[كود الصنف],A9,الجدول20[العدد])+SUMIF(الجدول21[كود الصنف],A9,الجدول21[العدد])+SUMIF(الجدول22[كود الصنف],A9,الجدول22[العدد])+SUMIF(الجدول23[كود الصنف],A9,الجدول23[العدد])+SUMIF(الجدول24[كود الصنف],A9,الجدول24[العدد])+SUMIF(الجدول25[كود الصنف],A9,الجدول25[العدد])+SUMIF(الجدول26[كود الصنف],A9,الجدول26[العدد])+SUMIF(الجدول27[كود الصنف],A9,الجدول27[العدد])+SUMIF(الجدول28[كود الصنف],A9,الجدول28[العدد])+SUMIF(الجدول29[كود الصنف],A9,الجدول29[العدد])+SUMIF(الجدول30[كود الصنف],A9,الجدول30[العدد])+SUMIF(الجدول31[كود الصنف],A9,الجدول31[العدد])</f>
        <v>24</v>
      </c>
      <c r="I9" s="47">
        <f ca="1">SUMIF('تكويد الأصناف'!K:N,A9,'تكويد الأصناف'!M:M)</f>
        <v>0</v>
      </c>
      <c r="J9" s="47">
        <f ca="1">SUMIF('تكويد الأصناف'!K:N,A9,'تكويد الأصناف'!N:N)</f>
        <v>0</v>
      </c>
      <c r="K9" s="47">
        <f ca="1">SUMIF('الوارد والمرتجع'!J:M,A9,'الوارد والمرتجع'!M:M)</f>
        <v>0</v>
      </c>
      <c r="L9" s="47">
        <f t="shared" ca="1" si="0"/>
        <v>110</v>
      </c>
    </row>
    <row r="10" spans="1:23" ht="17.25" customHeight="1" x14ac:dyDescent="0.2">
      <c r="A10" s="103">
        <v>1006</v>
      </c>
      <c r="B10" s="104">
        <f>VLOOKUP(A10,'تكويد الأصناف'!A:F,3,0)</f>
        <v>1</v>
      </c>
      <c r="C10" s="105">
        <f>VLOOKUP(A10,'تكويد الأصناف'!A:F,6,0)</f>
        <v>11</v>
      </c>
      <c r="D10" s="106">
        <f>VLOOKUP(A10,'تكويد الأصناف'!A:F,5,0)</f>
        <v>15</v>
      </c>
      <c r="E10" s="107" t="str">
        <f>VLOOKUP(A10,'تكويد الأصناف'!A:F,4,1)</f>
        <v>عبايات عروض</v>
      </c>
      <c r="F10" s="47">
        <v>1</v>
      </c>
      <c r="G10" s="47">
        <f ca="1">SUMIF('الوارد والمرتجع'!B:F,A10,'الوارد والمرتجع'!E:E)</f>
        <v>0</v>
      </c>
      <c r="H10" s="108">
        <f>SUMIF(الجدول1[كود الصنف],A10,الجدول1[العدد])+SUMIF(الجدول2[كود الصنف],A10,الجدول2[العدد])+SUMIF(الجدول3[كود الصنف],A10,الجدول3[العدد])+SUMIF(الجدول4[كود الصنف],A10,الجدول4[العدد])+SUMIF(الجدول5[كود الصنف],A10,الجدول5[العدد])+SUMIF(الجدول6[كود الصنف],A10,الجدول6[العدد])+SUMIF(الجدول7[كود الصنف],A10,الجدول7[العدد])+SUMIF(الجدول8[كود الصنف],A10,الجدول8[العدد])+SUMIF(الجدول9[كود الصنف],A10,الجدول9[العدد])+SUMIF(الجدول10[كود الصنف],A10,الجدول10[العدد])+SUMIF(الجدول11[كود الصنف],A10,الجدول11[العدد])+SUMIF(الجدول12[كود الصنف],A10,الجدول12[العدد])+SUMIF(الجدول13[كود الصنف],A10,الجدول13[العدد])+SUMIF(الجدول14[كود الصنف],A10,الجدول14[العدد])+SUMIF(الجدول15[كود الصنف],A10,الجدول15[العدد])+SUMIF(الجدول16[كود الصنف],A10,الجدول16[العدد])+SUMIF(الجدول17[كود الصنف],A10,الجدول17[العدد])+SUMIF(الجدول18[كود الصنف],A10,الجدول18[العدد])+SUMIF(الجدول19[كود الصنف],A10,الجدول19[العدد])+SUMIF(الجدول20[كود الصنف],A10,الجدول20[العدد])+SUMIF(الجدول21[كود الصنف],A10,الجدول21[العدد])+SUMIF(الجدول22[كود الصنف],A10,الجدول22[العدد])+SUMIF(الجدول23[كود الصنف],A10,الجدول23[العدد])+SUMIF(الجدول24[كود الصنف],A10,الجدول24[العدد])+SUMIF(الجدول25[كود الصنف],A10,الجدول25[العدد])+SUMIF(الجدول26[كود الصنف],A10,الجدول26[العدد])+SUMIF(الجدول27[كود الصنف],A10,الجدول27[العدد])+SUMIF(الجدول28[كود الصنف],A10,الجدول28[العدد])+SUMIF(الجدول29[كود الصنف],A10,الجدول29[العدد])+SUMIF(الجدول30[كود الصنف],A10,الجدول30[العدد])+SUMIF(الجدول31[كود الصنف],A10,الجدول31[العدد])</f>
        <v>0</v>
      </c>
      <c r="I10" s="47">
        <f ca="1">SUMIF('تكويد الأصناف'!K:N,A10,'تكويد الأصناف'!M:M)</f>
        <v>0</v>
      </c>
      <c r="J10" s="47">
        <f ca="1">SUMIF('تكويد الأصناف'!K:N,A10,'تكويد الأصناف'!N:N)</f>
        <v>0</v>
      </c>
      <c r="K10" s="47">
        <f ca="1">SUMIF('الوارد والمرتجع'!J:M,A10,'الوارد والمرتجع'!M:M)</f>
        <v>0</v>
      </c>
      <c r="L10" s="47">
        <f t="shared" ca="1" si="0"/>
        <v>1</v>
      </c>
    </row>
    <row r="11" spans="1:23" ht="17.25" customHeight="1" x14ac:dyDescent="0.2">
      <c r="A11" s="103">
        <v>1007</v>
      </c>
      <c r="B11" s="104">
        <f>VLOOKUP(A11,'تكويد الأصناف'!A:F,3,0)</f>
        <v>1</v>
      </c>
      <c r="C11" s="105">
        <f>VLOOKUP(A11,'تكويد الأصناف'!A:F,6,0)</f>
        <v>20</v>
      </c>
      <c r="D11" s="106">
        <f>VLOOKUP(A11,'تكويد الأصناف'!A:F,5,0)</f>
        <v>25</v>
      </c>
      <c r="E11" s="107" t="str">
        <f>VLOOKUP(A11,'تكويد الأصناف'!A:F,4,1)</f>
        <v>عبايات نخب</v>
      </c>
      <c r="F11" s="47">
        <v>0</v>
      </c>
      <c r="G11" s="47">
        <f ca="1">SUMIF('الوارد والمرتجع'!B:F,A11,'الوارد والمرتجع'!E:E)</f>
        <v>0</v>
      </c>
      <c r="H11" s="108">
        <f>SUMIF(الجدول1[كود الصنف],A11,الجدول1[العدد])+SUMIF(الجدول2[كود الصنف],A11,الجدول2[العدد])+SUMIF(الجدول3[كود الصنف],A11,الجدول3[العدد])+SUMIF(الجدول4[كود الصنف],A11,الجدول4[العدد])+SUMIF(الجدول5[كود الصنف],A11,الجدول5[العدد])+SUMIF(الجدول6[كود الصنف],A11,الجدول6[العدد])+SUMIF(الجدول7[كود الصنف],A11,الجدول7[العدد])+SUMIF(الجدول8[كود الصنف],A11,الجدول8[العدد])+SUMIF(الجدول9[كود الصنف],A11,الجدول9[العدد])+SUMIF(الجدول10[كود الصنف],A11,الجدول10[العدد])+SUMIF(الجدول11[كود الصنف],A11,الجدول11[العدد])+SUMIF(الجدول12[كود الصنف],A11,الجدول12[العدد])+SUMIF(الجدول13[كود الصنف],A11,الجدول13[العدد])+SUMIF(الجدول14[كود الصنف],A11,الجدول14[العدد])+SUMIF(الجدول15[كود الصنف],A11,الجدول15[العدد])+SUMIF(الجدول16[كود الصنف],A11,الجدول16[العدد])+SUMIF(الجدول17[كود الصنف],A11,الجدول17[العدد])+SUMIF(الجدول18[كود الصنف],A11,الجدول18[العدد])+SUMIF(الجدول19[كود الصنف],A11,الجدول19[العدد])+SUMIF(الجدول20[كود الصنف],A11,الجدول20[العدد])+SUMIF(الجدول21[كود الصنف],A11,الجدول21[العدد])+SUMIF(الجدول22[كود الصنف],A11,الجدول22[العدد])+SUMIF(الجدول23[كود الصنف],A11,الجدول23[العدد])+SUMIF(الجدول24[كود الصنف],A11,الجدول24[العدد])+SUMIF(الجدول25[كود الصنف],A11,الجدول25[العدد])+SUMIF(الجدول26[كود الصنف],A11,الجدول26[العدد])+SUMIF(الجدول27[كود الصنف],A11,الجدول27[العدد])+SUMIF(الجدول28[كود الصنف],A11,الجدول28[العدد])+SUMIF(الجدول29[كود الصنف],A11,الجدول29[العدد])+SUMIF(الجدول30[كود الصنف],A11,الجدول30[العدد])+SUMIF(الجدول31[كود الصنف],A11,الجدول31[العدد])</f>
        <v>0</v>
      </c>
      <c r="I11" s="47">
        <f ca="1">SUMIF('تكويد الأصناف'!K:N,A11,'تكويد الأصناف'!M:M)</f>
        <v>0</v>
      </c>
      <c r="J11" s="47">
        <f ca="1">SUMIF('تكويد الأصناف'!K:N,A11,'تكويد الأصناف'!N:N)</f>
        <v>0</v>
      </c>
      <c r="K11" s="47">
        <f ca="1">SUMIF('الوارد والمرتجع'!J:M,A11,'الوارد والمرتجع'!M:M)</f>
        <v>0</v>
      </c>
      <c r="L11" s="47">
        <f t="shared" ca="1" si="0"/>
        <v>0</v>
      </c>
    </row>
    <row r="12" spans="1:23" ht="17.25" customHeight="1" x14ac:dyDescent="0.2">
      <c r="A12" s="103">
        <v>1008</v>
      </c>
      <c r="B12" s="104">
        <f>VLOOKUP(A12,'تكويد الأصناف'!A:F,3,0)</f>
        <v>1</v>
      </c>
      <c r="C12" s="105">
        <f>VLOOKUP(A12,'تكويد الأصناف'!A:F,6,0)</f>
        <v>13</v>
      </c>
      <c r="D12" s="106">
        <f>VLOOKUP(A12,'تكويد الأصناف'!A:F,5,0)</f>
        <v>20</v>
      </c>
      <c r="E12" s="107" t="str">
        <f>VLOOKUP(A12,'تكويد الأصناف'!A:F,4,1)</f>
        <v>عبايات نخب موديلات</v>
      </c>
      <c r="F12" s="47">
        <v>0</v>
      </c>
      <c r="G12" s="47">
        <f ca="1">SUMIF('الوارد والمرتجع'!B:F,A12,'الوارد والمرتجع'!E:E)</f>
        <v>0</v>
      </c>
      <c r="H12" s="108">
        <f>SUMIF(الجدول1[كود الصنف],A12,الجدول1[العدد])+SUMIF(الجدول2[كود الصنف],A12,الجدول2[العدد])+SUMIF(الجدول3[كود الصنف],A12,الجدول3[العدد])+SUMIF(الجدول4[كود الصنف],A12,الجدول4[العدد])+SUMIF(الجدول5[كود الصنف],A12,الجدول5[العدد])+SUMIF(الجدول6[كود الصنف],A12,الجدول6[العدد])+SUMIF(الجدول7[كود الصنف],A12,الجدول7[العدد])+SUMIF(الجدول8[كود الصنف],A12,الجدول8[العدد])+SUMIF(الجدول9[كود الصنف],A12,الجدول9[العدد])+SUMIF(الجدول10[كود الصنف],A12,الجدول10[العدد])+SUMIF(الجدول11[كود الصنف],A12,الجدول11[العدد])+SUMIF(الجدول12[كود الصنف],A12,الجدول12[العدد])+SUMIF(الجدول13[كود الصنف],A12,الجدول13[العدد])+SUMIF(الجدول14[كود الصنف],A12,الجدول14[العدد])+SUMIF(الجدول15[كود الصنف],A12,الجدول15[العدد])+SUMIF(الجدول16[كود الصنف],A12,الجدول16[العدد])+SUMIF(الجدول17[كود الصنف],A12,الجدول17[العدد])+SUMIF(الجدول18[كود الصنف],A12,الجدول18[العدد])+SUMIF(الجدول19[كود الصنف],A12,الجدول19[العدد])+SUMIF(الجدول20[كود الصنف],A12,الجدول20[العدد])+SUMIF(الجدول21[كود الصنف],A12,الجدول21[العدد])+SUMIF(الجدول22[كود الصنف],A12,الجدول22[العدد])+SUMIF(الجدول23[كود الصنف],A12,الجدول23[العدد])+SUMIF(الجدول24[كود الصنف],A12,الجدول24[العدد])+SUMIF(الجدول25[كود الصنف],A12,الجدول25[العدد])+SUMIF(الجدول26[كود الصنف],A12,الجدول26[العدد])+SUMIF(الجدول27[كود الصنف],A12,الجدول27[العدد])+SUMIF(الجدول28[كود الصنف],A12,الجدول28[العدد])+SUMIF(الجدول29[كود الصنف],A12,الجدول29[العدد])+SUMIF(الجدول30[كود الصنف],A12,الجدول30[العدد])+SUMIF(الجدول31[كود الصنف],A12,الجدول31[العدد])</f>
        <v>2</v>
      </c>
      <c r="I12" s="47">
        <f ca="1">SUMIF('تكويد الأصناف'!K:N,A12,'تكويد الأصناف'!M:M)</f>
        <v>0</v>
      </c>
      <c r="J12" s="47">
        <f ca="1">SUMIF('تكويد الأصناف'!K:N,A12,'تكويد الأصناف'!N:N)</f>
        <v>0</v>
      </c>
      <c r="K12" s="47">
        <f ca="1">SUMIF('الوارد والمرتجع'!J:M,A12,'الوارد والمرتجع'!M:M)</f>
        <v>0</v>
      </c>
      <c r="L12" s="47">
        <f t="shared" ca="1" si="0"/>
        <v>-2</v>
      </c>
    </row>
    <row r="13" spans="1:23" ht="17.25" hidden="1" customHeight="1" x14ac:dyDescent="0.2">
      <c r="A13" s="103">
        <v>1009</v>
      </c>
      <c r="B13" s="104">
        <f>VLOOKUP(A13,'تكويد الأصناف'!A:F,3,0)</f>
        <v>1</v>
      </c>
      <c r="C13" s="105">
        <f>VLOOKUP(A13,'تكويد الأصناف'!A:F,6,0)</f>
        <v>0</v>
      </c>
      <c r="D13" s="106">
        <f>VLOOKUP(A13,'تكويد الأصناف'!A:F,5,0)</f>
        <v>0</v>
      </c>
      <c r="E13" s="107">
        <f>VLOOKUP(A13,'تكويد الأصناف'!A:F,4,1)</f>
        <v>0</v>
      </c>
      <c r="F13" s="47">
        <v>0</v>
      </c>
      <c r="G13" s="47">
        <f ca="1">SUMIF('الوارد والمرتجع'!B:F,A13,'الوارد والمرتجع'!E:E)</f>
        <v>0</v>
      </c>
      <c r="H13" s="108">
        <f>SUMIF(الجدول1[كود الصنف],A13,الجدول1[العدد])+SUMIF(الجدول2[كود الصنف],A13,الجدول2[العدد])+SUMIF(الجدول3[كود الصنف],A13,الجدول3[العدد])+SUMIF(الجدول4[كود الصنف],A13,الجدول4[العدد])+SUMIF(الجدول5[كود الصنف],A13,الجدول5[العدد])+SUMIF(الجدول6[كود الصنف],A13,الجدول6[العدد])+SUMIF(الجدول7[كود الصنف],A13,الجدول7[العدد])+SUMIF(الجدول8[كود الصنف],A13,الجدول8[العدد])+SUMIF(الجدول9[كود الصنف],A13,الجدول9[العدد])+SUMIF(الجدول10[كود الصنف],A13,الجدول10[العدد])+SUMIF(الجدول11[كود الصنف],A13,الجدول11[العدد])+SUMIF(الجدول12[كود الصنف],A13,الجدول12[العدد])+SUMIF(الجدول13[كود الصنف],A13,الجدول13[العدد])+SUMIF(الجدول14[كود الصنف],A13,الجدول14[العدد])+SUMIF(الجدول15[كود الصنف],A13,الجدول15[العدد])+SUMIF(الجدول16[كود الصنف],A13,الجدول16[العدد])+SUMIF(الجدول17[كود الصنف],A13,الجدول17[العدد])+SUMIF(الجدول18[كود الصنف],A13,الجدول18[العدد])+SUMIF(الجدول19[كود الصنف],A13,الجدول19[العدد])+SUMIF(الجدول20[كود الصنف],A13,الجدول20[العدد])+SUMIF(الجدول21[كود الصنف],A13,الجدول21[العدد])+SUMIF(الجدول22[كود الصنف],A13,الجدول22[العدد])+SUMIF(الجدول23[كود الصنف],A13,الجدول23[العدد])+SUMIF(الجدول24[كود الصنف],A13,الجدول24[العدد])+SUMIF(الجدول25[كود الصنف],A13,الجدول25[العدد])+SUMIF(الجدول26[كود الصنف],A13,الجدول26[العدد])+SUMIF(الجدول27[كود الصنف],A13,الجدول27[العدد])+SUMIF(الجدول28[كود الصنف],A13,الجدول28[العدد])+SUMIF(الجدول29[كود الصنف],A13,الجدول29[العدد])+SUMIF(الجدول30[كود الصنف],A13,الجدول30[العدد])+SUMIF(الجدول31[كود الصنف],A13,الجدول31[العدد])</f>
        <v>0</v>
      </c>
      <c r="I13" s="47">
        <f ca="1">SUMIF('تكويد الأصناف'!K:N,A13,'تكويد الأصناف'!M:M)</f>
        <v>0</v>
      </c>
      <c r="J13" s="47">
        <f ca="1">SUMIF('تكويد الأصناف'!K:N,A13,'تكويد الأصناف'!N:N)</f>
        <v>0</v>
      </c>
      <c r="K13" s="47">
        <f ca="1">SUMIF('الوارد والمرتجع'!J:M,A13,'الوارد والمرتجع'!M:M)</f>
        <v>0</v>
      </c>
      <c r="L13" s="47">
        <f t="shared" ca="1" si="0"/>
        <v>0</v>
      </c>
    </row>
    <row r="14" spans="1:23" ht="17.25" hidden="1" customHeight="1" x14ac:dyDescent="0.2">
      <c r="A14" s="103">
        <v>1010</v>
      </c>
      <c r="B14" s="104">
        <f>VLOOKUP(A14,'تكويد الأصناف'!A:F,3,0)</f>
        <v>1</v>
      </c>
      <c r="C14" s="105">
        <f>VLOOKUP(A14,'تكويد الأصناف'!A:F,6,0)</f>
        <v>0</v>
      </c>
      <c r="D14" s="106">
        <f>VLOOKUP(A14,'تكويد الأصناف'!A:F,5,0)</f>
        <v>0</v>
      </c>
      <c r="E14" s="107">
        <f>VLOOKUP(A14,'تكويد الأصناف'!A:F,4,1)</f>
        <v>0</v>
      </c>
      <c r="F14" s="47">
        <v>0</v>
      </c>
      <c r="G14" s="47">
        <f ca="1">SUMIF('الوارد والمرتجع'!B:F,A14,'الوارد والمرتجع'!E:E)</f>
        <v>0</v>
      </c>
      <c r="H14" s="108">
        <f>SUMIF(الجدول1[كود الصنف],A14,الجدول1[العدد])+SUMIF(الجدول2[كود الصنف],A14,الجدول2[العدد])+SUMIF(الجدول3[كود الصنف],A14,الجدول3[العدد])+SUMIF(الجدول4[كود الصنف],A14,الجدول4[العدد])+SUMIF(الجدول5[كود الصنف],A14,الجدول5[العدد])+SUMIF(الجدول6[كود الصنف],A14,الجدول6[العدد])+SUMIF(الجدول7[كود الصنف],A14,الجدول7[العدد])+SUMIF(الجدول8[كود الصنف],A14,الجدول8[العدد])+SUMIF(الجدول9[كود الصنف],A14,الجدول9[العدد])+SUMIF(الجدول10[كود الصنف],A14,الجدول10[العدد])+SUMIF(الجدول11[كود الصنف],A14,الجدول11[العدد])+SUMIF(الجدول12[كود الصنف],A14,الجدول12[العدد])+SUMIF(الجدول13[كود الصنف],A14,الجدول13[العدد])+SUMIF(الجدول14[كود الصنف],A14,الجدول14[العدد])+SUMIF(الجدول15[كود الصنف],A14,الجدول15[العدد])+SUMIF(الجدول16[كود الصنف],A14,الجدول16[العدد])+SUMIF(الجدول17[كود الصنف],A14,الجدول17[العدد])+SUMIF(الجدول18[كود الصنف],A14,الجدول18[العدد])+SUMIF(الجدول19[كود الصنف],A14,الجدول19[العدد])+SUMIF(الجدول20[كود الصنف],A14,الجدول20[العدد])+SUMIF(الجدول21[كود الصنف],A14,الجدول21[العدد])+SUMIF(الجدول22[كود الصنف],A14,الجدول22[العدد])+SUMIF(الجدول23[كود الصنف],A14,الجدول23[العدد])+SUMIF(الجدول24[كود الصنف],A14,الجدول24[العدد])+SUMIF(الجدول25[كود الصنف],A14,الجدول25[العدد])+SUMIF(الجدول26[كود الصنف],A14,الجدول26[العدد])+SUMIF(الجدول27[كود الصنف],A14,الجدول27[العدد])+SUMIF(الجدول28[كود الصنف],A14,الجدول28[العدد])+SUMIF(الجدول29[كود الصنف],A14,الجدول29[العدد])+SUMIF(الجدول30[كود الصنف],A14,الجدول30[العدد])+SUMIF(الجدول31[كود الصنف],A14,الجدول31[العدد])</f>
        <v>0</v>
      </c>
      <c r="I14" s="47">
        <f ca="1">SUMIF('تكويد الأصناف'!K:N,A14,'تكويد الأصناف'!M:M)</f>
        <v>0</v>
      </c>
      <c r="J14" s="47">
        <f ca="1">SUMIF('تكويد الأصناف'!K:N,A14,'تكويد الأصناف'!N:N)</f>
        <v>0</v>
      </c>
      <c r="K14" s="47">
        <f ca="1">SUMIF('الوارد والمرتجع'!J:M,A14,'الوارد والمرتجع'!M:M)</f>
        <v>0</v>
      </c>
      <c r="L14" s="47">
        <f t="shared" ca="1" si="0"/>
        <v>0</v>
      </c>
    </row>
    <row r="15" spans="1:23" customFormat="1" ht="15" hidden="1" x14ac:dyDescent="0.2">
      <c r="A15" s="41">
        <v>1011</v>
      </c>
      <c r="B15" s="44">
        <f>VLOOKUP(A15,'تكويد الأصناف'!A:F,3,0)</f>
        <v>1</v>
      </c>
      <c r="C15" s="45">
        <f>VLOOKUP(A15,'تكويد الأصناف'!A:F,6,0)</f>
        <v>0</v>
      </c>
      <c r="D15" s="46">
        <f>VLOOKUP(A15,'تكويد الأصناف'!A:F,5,0)</f>
        <v>0</v>
      </c>
      <c r="E15" s="42">
        <f>VLOOKUP(A15,'تكويد الأصناف'!A:F,4,1)</f>
        <v>0</v>
      </c>
      <c r="F15" s="43">
        <v>0</v>
      </c>
      <c r="G15" s="43">
        <f ca="1">SUMIF('الوارد والمرتجع'!B:F,A15,'الوارد والمرتجع'!E:E)</f>
        <v>0</v>
      </c>
      <c r="H15" s="58">
        <f>SUMIF(الجدول1[كود الصنف],A15,الجدول1[العدد])+SUMIF(الجدول2[كود الصنف],A15,الجدول2[العدد])+SUMIF(الجدول3[كود الصنف],A15,الجدول3[العدد])+SUMIF(الجدول4[كود الصنف],A15,الجدول4[العدد])+SUMIF(الجدول5[كود الصنف],A15,الجدول5[العدد])+SUMIF(الجدول6[كود الصنف],A15,الجدول6[العدد])+SUMIF(الجدول7[كود الصنف],A15,الجدول7[العدد])+SUMIF(الجدول8[كود الصنف],A15,الجدول8[العدد])+SUMIF(الجدول9[كود الصنف],A15,الجدول9[العدد])+SUMIF(الجدول10[كود الصنف],A15,الجدول10[العدد])+SUMIF(الجدول11[كود الصنف],A15,الجدول11[العدد])+SUMIF(الجدول12[كود الصنف],A15,الجدول12[العدد])+SUMIF(الجدول13[كود الصنف],A15,الجدول13[العدد])+SUMIF(الجدول14[كود الصنف],A15,الجدول14[العدد])+SUMIF(الجدول15[كود الصنف],A15,الجدول15[العدد])+SUMIF(الجدول16[كود الصنف],A15,الجدول16[العدد])+SUMIF(الجدول17[كود الصنف],A15,الجدول17[العدد])+SUMIF(الجدول18[كود الصنف],A15,الجدول18[العدد])+SUMIF(الجدول19[كود الصنف],A15,الجدول19[العدد])+SUMIF(الجدول20[كود الصنف],A15,الجدول20[العدد])+SUMIF(الجدول21[كود الصنف],A15,الجدول21[العدد])+SUMIF(الجدول22[كود الصنف],A15,الجدول22[العدد])+SUMIF(الجدول23[كود الصنف],A15,الجدول23[العدد])+SUMIF(الجدول24[كود الصنف],A15,الجدول24[العدد])+SUMIF(الجدول25[كود الصنف],A15,الجدول25[العدد])+SUMIF(الجدول26[كود الصنف],A15,الجدول26[العدد])+SUMIF(الجدول27[كود الصنف],A15,الجدول27[العدد])+SUMIF(الجدول28[كود الصنف],A15,الجدول28[العدد])+SUMIF(الجدول29[كود الصنف],A15,الجدول29[العدد])+SUMIF(الجدول30[كود الصنف],A15,الجدول30[العدد])+SUMIF(الجدول31[كود الصنف],A15,الجدول31[العدد])</f>
        <v>0</v>
      </c>
      <c r="I15" s="47">
        <f ca="1">SUMIF('تكويد الأصناف'!K:N,A15,'تكويد الأصناف'!M:M)</f>
        <v>0</v>
      </c>
      <c r="J15" s="47">
        <f ca="1">SUMIF('تكويد الأصناف'!K:N,A15,'تكويد الأصناف'!N:N)</f>
        <v>0</v>
      </c>
      <c r="K15" s="43">
        <f ca="1">SUMIF('الوارد والمرتجع'!J:M,A15,'الوارد والمرتجع'!M:M)</f>
        <v>0</v>
      </c>
      <c r="L15" s="43">
        <f t="shared" ca="1" si="0"/>
        <v>0</v>
      </c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1:23" ht="17.25" hidden="1" customHeight="1" x14ac:dyDescent="0.2">
      <c r="A16" s="103">
        <v>1012</v>
      </c>
      <c r="B16" s="104">
        <f>VLOOKUP(A16,'تكويد الأصناف'!A:F,3,0)</f>
        <v>1</v>
      </c>
      <c r="C16" s="105">
        <f>VLOOKUP(A16,'تكويد الأصناف'!A:F,6,0)</f>
        <v>0</v>
      </c>
      <c r="D16" s="106">
        <f>VLOOKUP(A16,'تكويد الأصناف'!A:F,5,0)</f>
        <v>0</v>
      </c>
      <c r="E16" s="107">
        <f>VLOOKUP(A16,'تكويد الأصناف'!A:F,4,1)</f>
        <v>0</v>
      </c>
      <c r="F16" s="47">
        <v>0</v>
      </c>
      <c r="G16" s="47">
        <f ca="1">SUMIF('الوارد والمرتجع'!B:F,A16,'الوارد والمرتجع'!E:E)</f>
        <v>0</v>
      </c>
      <c r="H16" s="108">
        <f>SUMIF(الجدول1[كود الصنف],A16,الجدول1[العدد])+SUMIF(الجدول2[كود الصنف],A16,الجدول2[العدد])+SUMIF(الجدول3[كود الصنف],A16,الجدول3[العدد])+SUMIF(الجدول4[كود الصنف],A16,الجدول4[العدد])+SUMIF(الجدول5[كود الصنف],A16,الجدول5[العدد])+SUMIF(الجدول6[كود الصنف],A16,الجدول6[العدد])+SUMIF(الجدول7[كود الصنف],A16,الجدول7[العدد])+SUMIF(الجدول8[كود الصنف],A16,الجدول8[العدد])+SUMIF(الجدول9[كود الصنف],A16,الجدول9[العدد])+SUMIF(الجدول10[كود الصنف],A16,الجدول10[العدد])+SUMIF(الجدول11[كود الصنف],A16,الجدول11[العدد])+SUMIF(الجدول12[كود الصنف],A16,الجدول12[العدد])+SUMIF(الجدول13[كود الصنف],A16,الجدول13[العدد])+SUMIF(الجدول14[كود الصنف],A16,الجدول14[العدد])+SUMIF(الجدول15[كود الصنف],A16,الجدول15[العدد])+SUMIF(الجدول16[كود الصنف],A16,الجدول16[العدد])+SUMIF(الجدول17[كود الصنف],A16,الجدول17[العدد])+SUMIF(الجدول18[كود الصنف],A16,الجدول18[العدد])+SUMIF(الجدول19[كود الصنف],A16,الجدول19[العدد])+SUMIF(الجدول20[كود الصنف],A16,الجدول20[العدد])+SUMIF(الجدول21[كود الصنف],A16,الجدول21[العدد])+SUMIF(الجدول22[كود الصنف],A16,الجدول22[العدد])+SUMIF(الجدول23[كود الصنف],A16,الجدول23[العدد])+SUMIF(الجدول24[كود الصنف],A16,الجدول24[العدد])+SUMIF(الجدول25[كود الصنف],A16,الجدول25[العدد])+SUMIF(الجدول26[كود الصنف],A16,الجدول26[العدد])+SUMIF(الجدول27[كود الصنف],A16,الجدول27[العدد])+SUMIF(الجدول28[كود الصنف],A16,الجدول28[العدد])+SUMIF(الجدول29[كود الصنف],A16,الجدول29[العدد])+SUMIF(الجدول30[كود الصنف],A16,الجدول30[العدد])+SUMIF(الجدول31[كود الصنف],A16,الجدول31[العدد])</f>
        <v>0</v>
      </c>
      <c r="I16" s="47">
        <f ca="1">SUMIF('تكويد الأصناف'!K:N,A16,'تكويد الأصناف'!M:M)</f>
        <v>0</v>
      </c>
      <c r="J16" s="47">
        <f ca="1">SUMIF('تكويد الأصناف'!K:N,A16,'تكويد الأصناف'!N:N)</f>
        <v>0</v>
      </c>
      <c r="K16" s="47">
        <f ca="1">SUMIF('الوارد والمرتجع'!J:M,A16,'الوارد والمرتجع'!M:M)</f>
        <v>0</v>
      </c>
      <c r="L16" s="47">
        <f t="shared" ca="1" si="0"/>
        <v>0</v>
      </c>
    </row>
    <row r="17" spans="1:23" customFormat="1" ht="15" hidden="1" x14ac:dyDescent="0.2">
      <c r="A17" s="41">
        <v>1013</v>
      </c>
      <c r="B17" s="44">
        <f>VLOOKUP(A17,'تكويد الأصناف'!A:F,3,0)</f>
        <v>1</v>
      </c>
      <c r="C17" s="45">
        <f>VLOOKUP(A17,'تكويد الأصناف'!A:F,6,0)</f>
        <v>0</v>
      </c>
      <c r="D17" s="46">
        <f>VLOOKUP(A17,'تكويد الأصناف'!A:F,5,0)</f>
        <v>0</v>
      </c>
      <c r="E17" s="42">
        <f>VLOOKUP(A17,'تكويد الأصناف'!A:F,4,1)</f>
        <v>0</v>
      </c>
      <c r="F17" s="43">
        <v>0</v>
      </c>
      <c r="G17" s="43">
        <f ca="1">SUMIF('الوارد والمرتجع'!B:F,A17,'الوارد والمرتجع'!E:E)</f>
        <v>0</v>
      </c>
      <c r="H17" s="58">
        <f>SUMIF(الجدول1[كود الصنف],A17,الجدول1[العدد])+SUMIF(الجدول2[كود الصنف],A17,الجدول2[العدد])+SUMIF(الجدول3[كود الصنف],A17,الجدول3[العدد])+SUMIF(الجدول4[كود الصنف],A17,الجدول4[العدد])+SUMIF(الجدول5[كود الصنف],A17,الجدول5[العدد])+SUMIF(الجدول6[كود الصنف],A17,الجدول6[العدد])+SUMIF(الجدول7[كود الصنف],A17,الجدول7[العدد])+SUMIF(الجدول8[كود الصنف],A17,الجدول8[العدد])+SUMIF(الجدول9[كود الصنف],A17,الجدول9[العدد])+SUMIF(الجدول10[كود الصنف],A17,الجدول10[العدد])+SUMIF(الجدول11[كود الصنف],A17,الجدول11[العدد])+SUMIF(الجدول12[كود الصنف],A17,الجدول12[العدد])+SUMIF(الجدول13[كود الصنف],A17,الجدول13[العدد])+SUMIF(الجدول14[كود الصنف],A17,الجدول14[العدد])+SUMIF(الجدول15[كود الصنف],A17,الجدول15[العدد])+SUMIF(الجدول16[كود الصنف],A17,الجدول16[العدد])+SUMIF(الجدول17[كود الصنف],A17,الجدول17[العدد])+SUMIF(الجدول18[كود الصنف],A17,الجدول18[العدد])+SUMIF(الجدول19[كود الصنف],A17,الجدول19[العدد])+SUMIF(الجدول20[كود الصنف],A17,الجدول20[العدد])+SUMIF(الجدول21[كود الصنف],A17,الجدول21[العدد])+SUMIF(الجدول22[كود الصنف],A17,الجدول22[العدد])+SUMIF(الجدول23[كود الصنف],A17,الجدول23[العدد])+SUMIF(الجدول24[كود الصنف],A17,الجدول24[العدد])+SUMIF(الجدول25[كود الصنف],A17,الجدول25[العدد])+SUMIF(الجدول26[كود الصنف],A17,الجدول26[العدد])+SUMIF(الجدول27[كود الصنف],A17,الجدول27[العدد])+SUMIF(الجدول28[كود الصنف],A17,الجدول28[العدد])+SUMIF(الجدول29[كود الصنف],A17,الجدول29[العدد])+SUMIF(الجدول30[كود الصنف],A17,الجدول30[العدد])+SUMIF(الجدول31[كود الصنف],A17,الجدول31[العدد])</f>
        <v>0</v>
      </c>
      <c r="I17" s="47">
        <f ca="1">SUMIF('تكويد الأصناف'!K:N,A17,'تكويد الأصناف'!M:M)</f>
        <v>0</v>
      </c>
      <c r="J17" s="47">
        <f ca="1">SUMIF('تكويد الأصناف'!K:N,A17,'تكويد الأصناف'!N:N)</f>
        <v>0</v>
      </c>
      <c r="K17" s="43">
        <f ca="1">SUMIF('الوارد والمرتجع'!J:M,A17,'الوارد والمرتجع'!M:M)</f>
        <v>0</v>
      </c>
      <c r="L17" s="43">
        <f t="shared" ca="1" si="0"/>
        <v>0</v>
      </c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23" ht="17.25" hidden="1" customHeight="1" x14ac:dyDescent="0.2">
      <c r="A18" s="103">
        <v>1014</v>
      </c>
      <c r="B18" s="104">
        <f>VLOOKUP(A18,'تكويد الأصناف'!A:F,3,0)</f>
        <v>1</v>
      </c>
      <c r="C18" s="105">
        <f>VLOOKUP(A18,'تكويد الأصناف'!A:F,6,0)</f>
        <v>0</v>
      </c>
      <c r="D18" s="106">
        <f>VLOOKUP(A18,'تكويد الأصناف'!A:F,5,0)</f>
        <v>0</v>
      </c>
      <c r="E18" s="107">
        <f>VLOOKUP(A18,'تكويد الأصناف'!A:F,4,1)</f>
        <v>0</v>
      </c>
      <c r="F18" s="47">
        <v>0</v>
      </c>
      <c r="G18" s="47">
        <f ca="1">SUMIF('الوارد والمرتجع'!B:F,A18,'الوارد والمرتجع'!E:E)</f>
        <v>0</v>
      </c>
      <c r="H18" s="108">
        <f>SUMIF(الجدول1[كود الصنف],A18,الجدول1[العدد])+SUMIF(الجدول2[كود الصنف],A18,الجدول2[العدد])+SUMIF(الجدول3[كود الصنف],A18,الجدول3[العدد])+SUMIF(الجدول4[كود الصنف],A18,الجدول4[العدد])+SUMIF(الجدول5[كود الصنف],A18,الجدول5[العدد])+SUMIF(الجدول6[كود الصنف],A18,الجدول6[العدد])+SUMIF(الجدول7[كود الصنف],A18,الجدول7[العدد])+SUMIF(الجدول8[كود الصنف],A18,الجدول8[العدد])+SUMIF(الجدول9[كود الصنف],A18,الجدول9[العدد])+SUMIF(الجدول10[كود الصنف],A18,الجدول10[العدد])+SUMIF(الجدول11[كود الصنف],A18,الجدول11[العدد])+SUMIF(الجدول12[كود الصنف],A18,الجدول12[العدد])+SUMIF(الجدول13[كود الصنف],A18,الجدول13[العدد])+SUMIF(الجدول14[كود الصنف],A18,الجدول14[العدد])+SUMIF(الجدول15[كود الصنف],A18,الجدول15[العدد])+SUMIF(الجدول16[كود الصنف],A18,الجدول16[العدد])+SUMIF(الجدول17[كود الصنف],A18,الجدول17[العدد])+SUMIF(الجدول18[كود الصنف],A18,الجدول18[العدد])+SUMIF(الجدول19[كود الصنف],A18,الجدول19[العدد])+SUMIF(الجدول20[كود الصنف],A18,الجدول20[العدد])+SUMIF(الجدول21[كود الصنف],A18,الجدول21[العدد])+SUMIF(الجدول22[كود الصنف],A18,الجدول22[العدد])+SUMIF(الجدول23[كود الصنف],A18,الجدول23[العدد])+SUMIF(الجدول24[كود الصنف],A18,الجدول24[العدد])+SUMIF(الجدول25[كود الصنف],A18,الجدول25[العدد])+SUMIF(الجدول26[كود الصنف],A18,الجدول26[العدد])+SUMIF(الجدول27[كود الصنف],A18,الجدول27[العدد])+SUMIF(الجدول28[كود الصنف],A18,الجدول28[العدد])+SUMIF(الجدول29[كود الصنف],A18,الجدول29[العدد])+SUMIF(الجدول30[كود الصنف],A18,الجدول30[العدد])+SUMIF(الجدول31[كود الصنف],A18,الجدول31[العدد])</f>
        <v>0</v>
      </c>
      <c r="I18" s="47">
        <f ca="1">SUMIF('تكويد الأصناف'!K:N,A18,'تكويد الأصناف'!M:M)</f>
        <v>0</v>
      </c>
      <c r="J18" s="47">
        <f ca="1">SUMIF('تكويد الأصناف'!K:N,A18,'تكويد الأصناف'!N:N)</f>
        <v>0</v>
      </c>
      <c r="K18" s="47">
        <f ca="1">SUMIF('الوارد والمرتجع'!J:M,A18,'الوارد والمرتجع'!M:M)</f>
        <v>0</v>
      </c>
      <c r="L18" s="47">
        <f t="shared" ca="1" si="0"/>
        <v>0</v>
      </c>
    </row>
    <row r="19" spans="1:23" ht="17.25" hidden="1" customHeight="1" x14ac:dyDescent="0.2">
      <c r="A19" s="103">
        <v>1015</v>
      </c>
      <c r="B19" s="104">
        <f>VLOOKUP(A19,'تكويد الأصناف'!A:F,3,0)</f>
        <v>1</v>
      </c>
      <c r="C19" s="105">
        <f>VLOOKUP(A19,'تكويد الأصناف'!A:F,6,0)</f>
        <v>0</v>
      </c>
      <c r="D19" s="106">
        <f>VLOOKUP(A19,'تكويد الأصناف'!A:F,5,0)</f>
        <v>0</v>
      </c>
      <c r="E19" s="107">
        <f>VLOOKUP(A19,'تكويد الأصناف'!A:F,4,1)</f>
        <v>0</v>
      </c>
      <c r="F19" s="47">
        <v>0</v>
      </c>
      <c r="G19" s="47">
        <f ca="1">SUMIF('الوارد والمرتجع'!B:F,A19,'الوارد والمرتجع'!E:E)</f>
        <v>0</v>
      </c>
      <c r="H19" s="108">
        <f>SUMIF(الجدول1[كود الصنف],A19,الجدول1[العدد])+SUMIF(الجدول2[كود الصنف],A19,الجدول2[العدد])+SUMIF(الجدول3[كود الصنف],A19,الجدول3[العدد])+SUMIF(الجدول4[كود الصنف],A19,الجدول4[العدد])+SUMIF(الجدول5[كود الصنف],A19,الجدول5[العدد])+SUMIF(الجدول6[كود الصنف],A19,الجدول6[العدد])+SUMIF(الجدول7[كود الصنف],A19,الجدول7[العدد])+SUMIF(الجدول8[كود الصنف],A19,الجدول8[العدد])+SUMIF(الجدول9[كود الصنف],A19,الجدول9[العدد])+SUMIF(الجدول10[كود الصنف],A19,الجدول10[العدد])+SUMIF(الجدول11[كود الصنف],A19,الجدول11[العدد])+SUMIF(الجدول12[كود الصنف],A19,الجدول12[العدد])+SUMIF(الجدول13[كود الصنف],A19,الجدول13[العدد])+SUMIF(الجدول14[كود الصنف],A19,الجدول14[العدد])+SUMIF(الجدول15[كود الصنف],A19,الجدول15[العدد])+SUMIF(الجدول16[كود الصنف],A19,الجدول16[العدد])+SUMIF(الجدول17[كود الصنف],A19,الجدول17[العدد])+SUMIF(الجدول18[كود الصنف],A19,الجدول18[العدد])+SUMIF(الجدول19[كود الصنف],A19,الجدول19[العدد])+SUMIF(الجدول20[كود الصنف],A19,الجدول20[العدد])+SUMIF(الجدول21[كود الصنف],A19,الجدول21[العدد])+SUMIF(الجدول22[كود الصنف],A19,الجدول22[العدد])+SUMIF(الجدول23[كود الصنف],A19,الجدول23[العدد])+SUMIF(الجدول24[كود الصنف],A19,الجدول24[العدد])+SUMIF(الجدول25[كود الصنف],A19,الجدول25[العدد])+SUMIF(الجدول26[كود الصنف],A19,الجدول26[العدد])+SUMIF(الجدول27[كود الصنف],A19,الجدول27[العدد])+SUMIF(الجدول28[كود الصنف],A19,الجدول28[العدد])+SUMIF(الجدول29[كود الصنف],A19,الجدول29[العدد])+SUMIF(الجدول30[كود الصنف],A19,الجدول30[العدد])+SUMIF(الجدول31[كود الصنف],A19,الجدول31[العدد])</f>
        <v>0</v>
      </c>
      <c r="I19" s="47">
        <f ca="1">SUMIF('تكويد الأصناف'!K:N,A19,'تكويد الأصناف'!M:M)</f>
        <v>0</v>
      </c>
      <c r="J19" s="47">
        <f ca="1">SUMIF('تكويد الأصناف'!K:N,A19,'تكويد الأصناف'!N:N)</f>
        <v>0</v>
      </c>
      <c r="K19" s="47">
        <f ca="1">SUMIF('الوارد والمرتجع'!J:M,A19,'الوارد والمرتجع'!M:M)</f>
        <v>0</v>
      </c>
      <c r="L19" s="47">
        <f t="shared" ca="1" si="0"/>
        <v>0</v>
      </c>
    </row>
    <row r="20" spans="1:23" ht="17.25" hidden="1" customHeight="1" x14ac:dyDescent="0.2">
      <c r="A20" s="103">
        <v>1016</v>
      </c>
      <c r="B20" s="104">
        <f>VLOOKUP(A20,'تكويد الأصناف'!A:F,3,0)</f>
        <v>1</v>
      </c>
      <c r="C20" s="105">
        <f>VLOOKUP(A20,'تكويد الأصناف'!A:F,6,0)</f>
        <v>0</v>
      </c>
      <c r="D20" s="106">
        <f>VLOOKUP(A20,'تكويد الأصناف'!A:F,5,0)</f>
        <v>0</v>
      </c>
      <c r="E20" s="107">
        <f>VLOOKUP(A20,'تكويد الأصناف'!A:F,4,1)</f>
        <v>0</v>
      </c>
      <c r="F20" s="47">
        <v>0</v>
      </c>
      <c r="G20" s="47">
        <f ca="1">SUMIF('الوارد والمرتجع'!B:F,A20,'الوارد والمرتجع'!E:E)</f>
        <v>0</v>
      </c>
      <c r="H20" s="108">
        <f>SUMIF(الجدول1[كود الصنف],A20,الجدول1[العدد])+SUMIF(الجدول2[كود الصنف],A20,الجدول2[العدد])+SUMIF(الجدول3[كود الصنف],A20,الجدول3[العدد])+SUMIF(الجدول4[كود الصنف],A20,الجدول4[العدد])+SUMIF(الجدول5[كود الصنف],A20,الجدول5[العدد])+SUMIF(الجدول6[كود الصنف],A20,الجدول6[العدد])+SUMIF(الجدول7[كود الصنف],A20,الجدول7[العدد])+SUMIF(الجدول8[كود الصنف],A20,الجدول8[العدد])+SUMIF(الجدول9[كود الصنف],A20,الجدول9[العدد])+SUMIF(الجدول10[كود الصنف],A20,الجدول10[العدد])+SUMIF(الجدول11[كود الصنف],A20,الجدول11[العدد])+SUMIF(الجدول12[كود الصنف],A20,الجدول12[العدد])+SUMIF(الجدول13[كود الصنف],A20,الجدول13[العدد])+SUMIF(الجدول14[كود الصنف],A20,الجدول14[العدد])+SUMIF(الجدول15[كود الصنف],A20,الجدول15[العدد])+SUMIF(الجدول16[كود الصنف],A20,الجدول16[العدد])+SUMIF(الجدول17[كود الصنف],A20,الجدول17[العدد])+SUMIF(الجدول18[كود الصنف],A20,الجدول18[العدد])+SUMIF(الجدول19[كود الصنف],A20,الجدول19[العدد])+SUMIF(الجدول20[كود الصنف],A20,الجدول20[العدد])+SUMIF(الجدول21[كود الصنف],A20,الجدول21[العدد])+SUMIF(الجدول22[كود الصنف],A20,الجدول22[العدد])+SUMIF(الجدول23[كود الصنف],A20,الجدول23[العدد])+SUMIF(الجدول24[كود الصنف],A20,الجدول24[العدد])+SUMIF(الجدول25[كود الصنف],A20,الجدول25[العدد])+SUMIF(الجدول26[كود الصنف],A20,الجدول26[العدد])+SUMIF(الجدول27[كود الصنف],A20,الجدول27[العدد])+SUMIF(الجدول28[كود الصنف],A20,الجدول28[العدد])+SUMIF(الجدول29[كود الصنف],A20,الجدول29[العدد])+SUMIF(الجدول30[كود الصنف],A20,الجدول30[العدد])+SUMIF(الجدول31[كود الصنف],A20,الجدول31[العدد])</f>
        <v>0</v>
      </c>
      <c r="I20" s="47">
        <f ca="1">SUMIF('تكويد الأصناف'!K:N,A20,'تكويد الأصناف'!M:M)</f>
        <v>0</v>
      </c>
      <c r="J20" s="47">
        <f ca="1">SUMIF('تكويد الأصناف'!K:N,A20,'تكويد الأصناف'!N:N)</f>
        <v>0</v>
      </c>
      <c r="K20" s="47">
        <f ca="1">SUMIF('الوارد والمرتجع'!J:M,A20,'الوارد والمرتجع'!M:M)</f>
        <v>0</v>
      </c>
      <c r="L20" s="47">
        <f t="shared" ca="1" si="0"/>
        <v>0</v>
      </c>
    </row>
    <row r="21" spans="1:23" ht="17.25" hidden="1" customHeight="1" x14ac:dyDescent="0.2">
      <c r="A21" s="103">
        <v>1017</v>
      </c>
      <c r="B21" s="104">
        <f>VLOOKUP(A21,'تكويد الأصناف'!A:F,3,0)</f>
        <v>1</v>
      </c>
      <c r="C21" s="105">
        <f>VLOOKUP(A21,'تكويد الأصناف'!A:F,6,0)</f>
        <v>0</v>
      </c>
      <c r="D21" s="106">
        <f>VLOOKUP(A21,'تكويد الأصناف'!A:F,5,0)</f>
        <v>0</v>
      </c>
      <c r="E21" s="107">
        <f>VLOOKUP(A21,'تكويد الأصناف'!A:F,4,1)</f>
        <v>0</v>
      </c>
      <c r="F21" s="47">
        <v>0</v>
      </c>
      <c r="G21" s="47">
        <f ca="1">SUMIF('الوارد والمرتجع'!B:F,A21,'الوارد والمرتجع'!E:E)</f>
        <v>0</v>
      </c>
      <c r="H21" s="108">
        <f>SUMIF(الجدول1[كود الصنف],A21,الجدول1[العدد])+SUMIF(الجدول2[كود الصنف],A21,الجدول2[العدد])+SUMIF(الجدول3[كود الصنف],A21,الجدول3[العدد])+SUMIF(الجدول4[كود الصنف],A21,الجدول4[العدد])+SUMIF(الجدول5[كود الصنف],A21,الجدول5[العدد])+SUMIF(الجدول6[كود الصنف],A21,الجدول6[العدد])+SUMIF(الجدول7[كود الصنف],A21,الجدول7[العدد])+SUMIF(الجدول8[كود الصنف],A21,الجدول8[العدد])+SUMIF(الجدول9[كود الصنف],A21,الجدول9[العدد])+SUMIF(الجدول10[كود الصنف],A21,الجدول10[العدد])+SUMIF(الجدول11[كود الصنف],A21,الجدول11[العدد])+SUMIF(الجدول12[كود الصنف],A21,الجدول12[العدد])+SUMIF(الجدول13[كود الصنف],A21,الجدول13[العدد])+SUMIF(الجدول14[كود الصنف],A21,الجدول14[العدد])+SUMIF(الجدول15[كود الصنف],A21,الجدول15[العدد])+SUMIF(الجدول16[كود الصنف],A21,الجدول16[العدد])+SUMIF(الجدول17[كود الصنف],A21,الجدول17[العدد])+SUMIF(الجدول18[كود الصنف],A21,الجدول18[العدد])+SUMIF(الجدول19[كود الصنف],A21,الجدول19[العدد])+SUMIF(الجدول20[كود الصنف],A21,الجدول20[العدد])+SUMIF(الجدول21[كود الصنف],A21,الجدول21[العدد])+SUMIF(الجدول22[كود الصنف],A21,الجدول22[العدد])+SUMIF(الجدول23[كود الصنف],A21,الجدول23[العدد])+SUMIF(الجدول24[كود الصنف],A21,الجدول24[العدد])+SUMIF(الجدول25[كود الصنف],A21,الجدول25[العدد])+SUMIF(الجدول26[كود الصنف],A21,الجدول26[العدد])+SUMIF(الجدول27[كود الصنف],A21,الجدول27[العدد])+SUMIF(الجدول28[كود الصنف],A21,الجدول28[العدد])+SUMIF(الجدول29[كود الصنف],A21,الجدول29[العدد])+SUMIF(الجدول30[كود الصنف],A21,الجدول30[العدد])+SUMIF(الجدول31[كود الصنف],A21,الجدول31[العدد])</f>
        <v>0</v>
      </c>
      <c r="I21" s="47">
        <f ca="1">SUMIF('تكويد الأصناف'!K:N,A21,'تكويد الأصناف'!M:M)</f>
        <v>0</v>
      </c>
      <c r="J21" s="47">
        <f ca="1">SUMIF('تكويد الأصناف'!K:N,A21,'تكويد الأصناف'!N:N)</f>
        <v>0</v>
      </c>
      <c r="K21" s="47">
        <f ca="1">SUMIF('الوارد والمرتجع'!J:M,A21,'الوارد والمرتجع'!M:M)</f>
        <v>0</v>
      </c>
      <c r="L21" s="47">
        <f t="shared" ca="1" si="0"/>
        <v>0</v>
      </c>
    </row>
    <row r="22" spans="1:23" customFormat="1" ht="15" hidden="1" x14ac:dyDescent="0.2">
      <c r="A22" s="41">
        <v>1018</v>
      </c>
      <c r="B22" s="44">
        <f>VLOOKUP(A22,'تكويد الأصناف'!A:F,3,0)</f>
        <v>1</v>
      </c>
      <c r="C22" s="45">
        <f>VLOOKUP(A22,'تكويد الأصناف'!A:F,6,0)</f>
        <v>0</v>
      </c>
      <c r="D22" s="46">
        <f>VLOOKUP(A22,'تكويد الأصناف'!A:F,5,0)</f>
        <v>0</v>
      </c>
      <c r="E22" s="42">
        <f>VLOOKUP(A22,'تكويد الأصناف'!A:F,4,1)</f>
        <v>0</v>
      </c>
      <c r="F22" s="43">
        <v>0</v>
      </c>
      <c r="G22" s="43">
        <f ca="1">SUMIF('الوارد والمرتجع'!B:F,A22,'الوارد والمرتجع'!E:E)</f>
        <v>0</v>
      </c>
      <c r="H22" s="58">
        <f>SUMIF(الجدول1[كود الصنف],A22,الجدول1[العدد])+SUMIF(الجدول2[كود الصنف],A22,الجدول2[العدد])+SUMIF(الجدول3[كود الصنف],A22,الجدول3[العدد])+SUMIF(الجدول4[كود الصنف],A22,الجدول4[العدد])+SUMIF(الجدول5[كود الصنف],A22,الجدول5[العدد])+SUMIF(الجدول6[كود الصنف],A22,الجدول6[العدد])+SUMIF(الجدول7[كود الصنف],A22,الجدول7[العدد])+SUMIF(الجدول8[كود الصنف],A22,الجدول8[العدد])+SUMIF(الجدول9[كود الصنف],A22,الجدول9[العدد])+SUMIF(الجدول10[كود الصنف],A22,الجدول10[العدد])+SUMIF(الجدول11[كود الصنف],A22,الجدول11[العدد])+SUMIF(الجدول12[كود الصنف],A22,الجدول12[العدد])+SUMIF(الجدول13[كود الصنف],A22,الجدول13[العدد])+SUMIF(الجدول14[كود الصنف],A22,الجدول14[العدد])+SUMIF(الجدول15[كود الصنف],A22,الجدول15[العدد])+SUMIF(الجدول16[كود الصنف],A22,الجدول16[العدد])+SUMIF(الجدول17[كود الصنف],A22,الجدول17[العدد])+SUMIF(الجدول18[كود الصنف],A22,الجدول18[العدد])+SUMIF(الجدول19[كود الصنف],A22,الجدول19[العدد])+SUMIF(الجدول20[كود الصنف],A22,الجدول20[العدد])+SUMIF(الجدول21[كود الصنف],A22,الجدول21[العدد])+SUMIF(الجدول22[كود الصنف],A22,الجدول22[العدد])+SUMIF(الجدول23[كود الصنف],A22,الجدول23[العدد])+SUMIF(الجدول24[كود الصنف],A22,الجدول24[العدد])+SUMIF(الجدول25[كود الصنف],A22,الجدول25[العدد])+SUMIF(الجدول26[كود الصنف],A22,الجدول26[العدد])+SUMIF(الجدول27[كود الصنف],A22,الجدول27[العدد])+SUMIF(الجدول28[كود الصنف],A22,الجدول28[العدد])+SUMIF(الجدول29[كود الصنف],A22,الجدول29[العدد])+SUMIF(الجدول30[كود الصنف],A22,الجدول30[العدد])+SUMIF(الجدول31[كود الصنف],A22,الجدول31[العدد])</f>
        <v>0</v>
      </c>
      <c r="I22" s="47">
        <f ca="1">SUMIF('تكويد الأصناف'!K:N,A22,'تكويد الأصناف'!M:M)</f>
        <v>0</v>
      </c>
      <c r="J22" s="47">
        <f ca="1">SUMIF('تكويد الأصناف'!K:N,A22,'تكويد الأصناف'!N:N)</f>
        <v>0</v>
      </c>
      <c r="K22" s="43">
        <f ca="1">SUMIF('الوارد والمرتجع'!J:M,A22,'الوارد والمرتجع'!M:M)</f>
        <v>0</v>
      </c>
      <c r="L22" s="43">
        <f t="shared" ca="1" si="0"/>
        <v>0</v>
      </c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</row>
    <row r="23" spans="1:23" customFormat="1" ht="15" hidden="1" x14ac:dyDescent="0.2">
      <c r="A23" s="41">
        <v>1019</v>
      </c>
      <c r="B23" s="44">
        <f>VLOOKUP(A23,'تكويد الأصناف'!A:F,3,0)</f>
        <v>1</v>
      </c>
      <c r="C23" s="45">
        <f>VLOOKUP(A23,'تكويد الأصناف'!A:F,6,0)</f>
        <v>0</v>
      </c>
      <c r="D23" s="46">
        <f>VLOOKUP(A23,'تكويد الأصناف'!A:F,5,0)</f>
        <v>0</v>
      </c>
      <c r="E23" s="42">
        <f>VLOOKUP(A23,'تكويد الأصناف'!A:F,4,1)</f>
        <v>0</v>
      </c>
      <c r="F23" s="43">
        <v>0</v>
      </c>
      <c r="G23" s="43">
        <f ca="1">SUMIF('الوارد والمرتجع'!B:F,A23,'الوارد والمرتجع'!E:E)</f>
        <v>0</v>
      </c>
      <c r="H23" s="58">
        <f>SUMIF(الجدول1[كود الصنف],A23,الجدول1[العدد])+SUMIF(الجدول2[كود الصنف],A23,الجدول2[العدد])+SUMIF(الجدول3[كود الصنف],A23,الجدول3[العدد])+SUMIF(الجدول4[كود الصنف],A23,الجدول4[العدد])+SUMIF(الجدول5[كود الصنف],A23,الجدول5[العدد])+SUMIF(الجدول6[كود الصنف],A23,الجدول6[العدد])+SUMIF(الجدول7[كود الصنف],A23,الجدول7[العدد])+SUMIF(الجدول8[كود الصنف],A23,الجدول8[العدد])+SUMIF(الجدول9[كود الصنف],A23,الجدول9[العدد])+SUMIF(الجدول10[كود الصنف],A23,الجدول10[العدد])+SUMIF(الجدول11[كود الصنف],A23,الجدول11[العدد])+SUMIF(الجدول12[كود الصنف],A23,الجدول12[العدد])+SUMIF(الجدول13[كود الصنف],A23,الجدول13[العدد])+SUMIF(الجدول14[كود الصنف],A23,الجدول14[العدد])+SUMIF(الجدول15[كود الصنف],A23,الجدول15[العدد])+SUMIF(الجدول16[كود الصنف],A23,الجدول16[العدد])+SUMIF(الجدول17[كود الصنف],A23,الجدول17[العدد])+SUMIF(الجدول18[كود الصنف],A23,الجدول18[العدد])+SUMIF(الجدول19[كود الصنف],A23,الجدول19[العدد])+SUMIF(الجدول20[كود الصنف],A23,الجدول20[العدد])+SUMIF(الجدول21[كود الصنف],A23,الجدول21[العدد])+SUMIF(الجدول22[كود الصنف],A23,الجدول22[العدد])+SUMIF(الجدول23[كود الصنف],A23,الجدول23[العدد])+SUMIF(الجدول24[كود الصنف],A23,الجدول24[العدد])+SUMIF(الجدول25[كود الصنف],A23,الجدول25[العدد])+SUMIF(الجدول26[كود الصنف],A23,الجدول26[العدد])+SUMIF(الجدول27[كود الصنف],A23,الجدول27[العدد])+SUMIF(الجدول28[كود الصنف],A23,الجدول28[العدد])+SUMIF(الجدول29[كود الصنف],A23,الجدول29[العدد])+SUMIF(الجدول30[كود الصنف],A23,الجدول30[العدد])+SUMIF(الجدول31[كود الصنف],A23,الجدول31[العدد])</f>
        <v>0</v>
      </c>
      <c r="I23" s="47">
        <f ca="1">SUMIF('تكويد الأصناف'!K:N,A23,'تكويد الأصناف'!M:M)</f>
        <v>0</v>
      </c>
      <c r="J23" s="47">
        <f ca="1">SUMIF('تكويد الأصناف'!K:N,A23,'تكويد الأصناف'!N:N)</f>
        <v>0</v>
      </c>
      <c r="K23" s="43">
        <f ca="1">SUMIF('الوارد والمرتجع'!J:M,A23,'الوارد والمرتجع'!M:M)</f>
        <v>0</v>
      </c>
      <c r="L23" s="43">
        <f t="shared" ca="1" si="0"/>
        <v>0</v>
      </c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1:23" ht="17.25" hidden="1" customHeight="1" x14ac:dyDescent="0.2">
      <c r="A24" s="103">
        <v>1020</v>
      </c>
      <c r="B24" s="104">
        <f>VLOOKUP(A24,'تكويد الأصناف'!A:F,3,0)</f>
        <v>1</v>
      </c>
      <c r="C24" s="105">
        <f>VLOOKUP(A24,'تكويد الأصناف'!A:F,6,0)</f>
        <v>0</v>
      </c>
      <c r="D24" s="106">
        <f>VLOOKUP(A24,'تكويد الأصناف'!A:F,5,0)</f>
        <v>0</v>
      </c>
      <c r="E24" s="107">
        <f>VLOOKUP(A24,'تكويد الأصناف'!A:F,4,1)</f>
        <v>0</v>
      </c>
      <c r="F24" s="47">
        <v>0</v>
      </c>
      <c r="G24" s="47">
        <f ca="1">SUMIF('الوارد والمرتجع'!B:F,A24,'الوارد والمرتجع'!E:E)</f>
        <v>0</v>
      </c>
      <c r="H24" s="108">
        <f>SUMIF(الجدول1[كود الصنف],A24,الجدول1[العدد])+SUMIF(الجدول2[كود الصنف],A24,الجدول2[العدد])+SUMIF(الجدول3[كود الصنف],A24,الجدول3[العدد])+SUMIF(الجدول4[كود الصنف],A24,الجدول4[العدد])+SUMIF(الجدول5[كود الصنف],A24,الجدول5[العدد])+SUMIF(الجدول6[كود الصنف],A24,الجدول6[العدد])+SUMIF(الجدول7[كود الصنف],A24,الجدول7[العدد])+SUMIF(الجدول8[كود الصنف],A24,الجدول8[العدد])+SUMIF(الجدول9[كود الصنف],A24,الجدول9[العدد])+SUMIF(الجدول10[كود الصنف],A24,الجدول10[العدد])+SUMIF(الجدول11[كود الصنف],A24,الجدول11[العدد])+SUMIF(الجدول12[كود الصنف],A24,الجدول12[العدد])+SUMIF(الجدول13[كود الصنف],A24,الجدول13[العدد])+SUMIF(الجدول14[كود الصنف],A24,الجدول14[العدد])+SUMIF(الجدول15[كود الصنف],A24,الجدول15[العدد])+SUMIF(الجدول16[كود الصنف],A24,الجدول16[العدد])+SUMIF(الجدول17[كود الصنف],A24,الجدول17[العدد])+SUMIF(الجدول18[كود الصنف],A24,الجدول18[العدد])+SUMIF(الجدول19[كود الصنف],A24,الجدول19[العدد])+SUMIF(الجدول20[كود الصنف],A24,الجدول20[العدد])+SUMIF(الجدول21[كود الصنف],A24,الجدول21[العدد])+SUMIF(الجدول22[كود الصنف],A24,الجدول22[العدد])+SUMIF(الجدول23[كود الصنف],A24,الجدول23[العدد])+SUMIF(الجدول24[كود الصنف],A24,الجدول24[العدد])+SUMIF(الجدول25[كود الصنف],A24,الجدول25[العدد])+SUMIF(الجدول26[كود الصنف],A24,الجدول26[العدد])+SUMIF(الجدول27[كود الصنف],A24,الجدول27[العدد])+SUMIF(الجدول28[كود الصنف],A24,الجدول28[العدد])+SUMIF(الجدول29[كود الصنف],A24,الجدول29[العدد])+SUMIF(الجدول30[كود الصنف],A24,الجدول30[العدد])+SUMIF(الجدول31[كود الصنف],A24,الجدول31[العدد])</f>
        <v>0</v>
      </c>
      <c r="I24" s="47">
        <f ca="1">SUMIF('تكويد الأصناف'!K:N,A24,'تكويد الأصناف'!M:M)</f>
        <v>0</v>
      </c>
      <c r="J24" s="47">
        <f ca="1">SUMIF('تكويد الأصناف'!K:N,A24,'تكويد الأصناف'!N:N)</f>
        <v>0</v>
      </c>
      <c r="K24" s="47">
        <f ca="1">SUMIF('الوارد والمرتجع'!J:M,A24,'الوارد والمرتجع'!M:M)</f>
        <v>0</v>
      </c>
      <c r="L24" s="47">
        <f t="shared" ca="1" si="0"/>
        <v>0</v>
      </c>
    </row>
    <row r="25" spans="1:23" ht="17.25" hidden="1" customHeight="1" x14ac:dyDescent="0.2">
      <c r="A25" s="103">
        <v>1021</v>
      </c>
      <c r="B25" s="104">
        <f>VLOOKUP(A25,'تكويد الأصناف'!A:F,3,0)</f>
        <v>1</v>
      </c>
      <c r="C25" s="105">
        <f>VLOOKUP(A25,'تكويد الأصناف'!A:F,6,0)</f>
        <v>0</v>
      </c>
      <c r="D25" s="106">
        <f>VLOOKUP(A25,'تكويد الأصناف'!A:F,5,0)</f>
        <v>0</v>
      </c>
      <c r="E25" s="107">
        <f>VLOOKUP(A25,'تكويد الأصناف'!A:F,4,1)</f>
        <v>0</v>
      </c>
      <c r="F25" s="47">
        <v>0</v>
      </c>
      <c r="G25" s="47">
        <f ca="1">SUMIF('الوارد والمرتجع'!B:F,A25,'الوارد والمرتجع'!E:E)</f>
        <v>0</v>
      </c>
      <c r="H25" s="108">
        <f>SUMIF(الجدول1[كود الصنف],A25,الجدول1[العدد])+SUMIF(الجدول2[كود الصنف],A25,الجدول2[العدد])+SUMIF(الجدول3[كود الصنف],A25,الجدول3[العدد])+SUMIF(الجدول4[كود الصنف],A25,الجدول4[العدد])+SUMIF(الجدول5[كود الصنف],A25,الجدول5[العدد])+SUMIF(الجدول6[كود الصنف],A25,الجدول6[العدد])+SUMIF(الجدول7[كود الصنف],A25,الجدول7[العدد])+SUMIF(الجدول8[كود الصنف],A25,الجدول8[العدد])+SUMIF(الجدول9[كود الصنف],A25,الجدول9[العدد])+SUMIF(الجدول10[كود الصنف],A25,الجدول10[العدد])+SUMIF(الجدول11[كود الصنف],A25,الجدول11[العدد])+SUMIF(الجدول12[كود الصنف],A25,الجدول12[العدد])+SUMIF(الجدول13[كود الصنف],A25,الجدول13[العدد])+SUMIF(الجدول14[كود الصنف],A25,الجدول14[العدد])+SUMIF(الجدول15[كود الصنف],A25,الجدول15[العدد])+SUMIF(الجدول16[كود الصنف],A25,الجدول16[العدد])+SUMIF(الجدول17[كود الصنف],A25,الجدول17[العدد])+SUMIF(الجدول18[كود الصنف],A25,الجدول18[العدد])+SUMIF(الجدول19[كود الصنف],A25,الجدول19[العدد])+SUMIF(الجدول20[كود الصنف],A25,الجدول20[العدد])+SUMIF(الجدول21[كود الصنف],A25,الجدول21[العدد])+SUMIF(الجدول22[كود الصنف],A25,الجدول22[العدد])+SUMIF(الجدول23[كود الصنف],A25,الجدول23[العدد])+SUMIF(الجدول24[كود الصنف],A25,الجدول24[العدد])+SUMIF(الجدول25[كود الصنف],A25,الجدول25[العدد])+SUMIF(الجدول26[كود الصنف],A25,الجدول26[العدد])+SUMIF(الجدول27[كود الصنف],A25,الجدول27[العدد])+SUMIF(الجدول28[كود الصنف],A25,الجدول28[العدد])+SUMIF(الجدول29[كود الصنف],A25,الجدول29[العدد])+SUMIF(الجدول30[كود الصنف],A25,الجدول30[العدد])+SUMIF(الجدول31[كود الصنف],A25,الجدول31[العدد])</f>
        <v>0</v>
      </c>
      <c r="I25" s="47">
        <f ca="1">SUMIF('تكويد الأصناف'!K:N,A25,'تكويد الأصناف'!M:M)</f>
        <v>0</v>
      </c>
      <c r="J25" s="47">
        <f ca="1">SUMIF('تكويد الأصناف'!K:N,A25,'تكويد الأصناف'!N:N)</f>
        <v>0</v>
      </c>
      <c r="K25" s="47">
        <f ca="1">SUMIF('الوارد والمرتجع'!J:M,A25,'الوارد والمرتجع'!M:M)</f>
        <v>0</v>
      </c>
      <c r="L25" s="47">
        <f t="shared" ca="1" si="0"/>
        <v>0</v>
      </c>
    </row>
    <row r="26" spans="1:23" customFormat="1" ht="15" hidden="1" x14ac:dyDescent="0.2">
      <c r="A26" s="41">
        <v>1022</v>
      </c>
      <c r="B26" s="44">
        <f>VLOOKUP(A26,'تكويد الأصناف'!A:F,3,0)</f>
        <v>1</v>
      </c>
      <c r="C26" s="45">
        <f>VLOOKUP(A26,'تكويد الأصناف'!A:F,6,0)</f>
        <v>0</v>
      </c>
      <c r="D26" s="46">
        <f>VLOOKUP(A26,'تكويد الأصناف'!A:F,5,0)</f>
        <v>0</v>
      </c>
      <c r="E26" s="42">
        <f>VLOOKUP(A26,'تكويد الأصناف'!A:F,4,1)</f>
        <v>0</v>
      </c>
      <c r="F26" s="43">
        <v>0</v>
      </c>
      <c r="G26" s="43">
        <f ca="1">SUMIF('الوارد والمرتجع'!B:F,A26,'الوارد والمرتجع'!E:E)</f>
        <v>0</v>
      </c>
      <c r="H26" s="58">
        <f>SUMIF(الجدول1[كود الصنف],A26,الجدول1[العدد])+SUMIF(الجدول2[كود الصنف],A26,الجدول2[العدد])+SUMIF(الجدول3[كود الصنف],A26,الجدول3[العدد])+SUMIF(الجدول4[كود الصنف],A26,الجدول4[العدد])+SUMIF(الجدول5[كود الصنف],A26,الجدول5[العدد])+SUMIF(الجدول6[كود الصنف],A26,الجدول6[العدد])+SUMIF(الجدول7[كود الصنف],A26,الجدول7[العدد])+SUMIF(الجدول8[كود الصنف],A26,الجدول8[العدد])+SUMIF(الجدول9[كود الصنف],A26,الجدول9[العدد])+SUMIF(الجدول10[كود الصنف],A26,الجدول10[العدد])+SUMIF(الجدول11[كود الصنف],A26,الجدول11[العدد])+SUMIF(الجدول12[كود الصنف],A26,الجدول12[العدد])+SUMIF(الجدول13[كود الصنف],A26,الجدول13[العدد])+SUMIF(الجدول14[كود الصنف],A26,الجدول14[العدد])+SUMIF(الجدول15[كود الصنف],A26,الجدول15[العدد])+SUMIF(الجدول16[كود الصنف],A26,الجدول16[العدد])+SUMIF(الجدول17[كود الصنف],A26,الجدول17[العدد])+SUMIF(الجدول18[كود الصنف],A26,الجدول18[العدد])+SUMIF(الجدول19[كود الصنف],A26,الجدول19[العدد])+SUMIF(الجدول20[كود الصنف],A26,الجدول20[العدد])+SUMIF(الجدول21[كود الصنف],A26,الجدول21[العدد])+SUMIF(الجدول22[كود الصنف],A26,الجدول22[العدد])+SUMIF(الجدول23[كود الصنف],A26,الجدول23[العدد])+SUMIF(الجدول24[كود الصنف],A26,الجدول24[العدد])+SUMIF(الجدول25[كود الصنف],A26,الجدول25[العدد])+SUMIF(الجدول26[كود الصنف],A26,الجدول26[العدد])+SUMIF(الجدول27[كود الصنف],A26,الجدول27[العدد])+SUMIF(الجدول28[كود الصنف],A26,الجدول28[العدد])+SUMIF(الجدول29[كود الصنف],A26,الجدول29[العدد])+SUMIF(الجدول30[كود الصنف],A26,الجدول30[العدد])+SUMIF(الجدول31[كود الصنف],A26,الجدول31[العدد])</f>
        <v>0</v>
      </c>
      <c r="I26" s="47">
        <f ca="1">SUMIF('تكويد الأصناف'!K:N,A26,'تكويد الأصناف'!M:M)</f>
        <v>0</v>
      </c>
      <c r="J26" s="47">
        <f ca="1">SUMIF('تكويد الأصناف'!K:N,A26,'تكويد الأصناف'!N:N)</f>
        <v>0</v>
      </c>
      <c r="K26" s="43">
        <f ca="1">SUMIF('الوارد والمرتجع'!J:M,A26,'الوارد والمرتجع'!M:M)</f>
        <v>0</v>
      </c>
      <c r="L26" s="43">
        <f t="shared" ca="1" si="0"/>
        <v>0</v>
      </c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1:23" ht="17.25" hidden="1" customHeight="1" x14ac:dyDescent="0.2">
      <c r="A27" s="103">
        <v>1023</v>
      </c>
      <c r="B27" s="104">
        <f>VLOOKUP(A27,'تكويد الأصناف'!A:F,3,0)</f>
        <v>1</v>
      </c>
      <c r="C27" s="105">
        <f>VLOOKUP(A27,'تكويد الأصناف'!A:F,6,0)</f>
        <v>0</v>
      </c>
      <c r="D27" s="106">
        <f>VLOOKUP(A27,'تكويد الأصناف'!A:F,5,0)</f>
        <v>0</v>
      </c>
      <c r="E27" s="107">
        <f>VLOOKUP(A27,'تكويد الأصناف'!A:F,4,1)</f>
        <v>0</v>
      </c>
      <c r="F27" s="47">
        <v>0</v>
      </c>
      <c r="G27" s="47">
        <f ca="1">SUMIF('الوارد والمرتجع'!B:F,A27,'الوارد والمرتجع'!E:E)</f>
        <v>0</v>
      </c>
      <c r="H27" s="108">
        <f>SUMIF(الجدول1[كود الصنف],A27,الجدول1[العدد])+SUMIF(الجدول2[كود الصنف],A27,الجدول2[العدد])+SUMIF(الجدول3[كود الصنف],A27,الجدول3[العدد])+SUMIF(الجدول4[كود الصنف],A27,الجدول4[العدد])+SUMIF(الجدول5[كود الصنف],A27,الجدول5[العدد])+SUMIF(الجدول6[كود الصنف],A27,الجدول6[العدد])+SUMIF(الجدول7[كود الصنف],A27,الجدول7[العدد])+SUMIF(الجدول8[كود الصنف],A27,الجدول8[العدد])+SUMIF(الجدول9[كود الصنف],A27,الجدول9[العدد])+SUMIF(الجدول10[كود الصنف],A27,الجدول10[العدد])+SUMIF(الجدول11[كود الصنف],A27,الجدول11[العدد])+SUMIF(الجدول12[كود الصنف],A27,الجدول12[العدد])+SUMIF(الجدول13[كود الصنف],A27,الجدول13[العدد])+SUMIF(الجدول14[كود الصنف],A27,الجدول14[العدد])+SUMIF(الجدول15[كود الصنف],A27,الجدول15[العدد])+SUMIF(الجدول16[كود الصنف],A27,الجدول16[العدد])+SUMIF(الجدول17[كود الصنف],A27,الجدول17[العدد])+SUMIF(الجدول18[كود الصنف],A27,الجدول18[العدد])+SUMIF(الجدول19[كود الصنف],A27,الجدول19[العدد])+SUMIF(الجدول20[كود الصنف],A27,الجدول20[العدد])+SUMIF(الجدول21[كود الصنف],A27,الجدول21[العدد])+SUMIF(الجدول22[كود الصنف],A27,الجدول22[العدد])+SUMIF(الجدول23[كود الصنف],A27,الجدول23[العدد])+SUMIF(الجدول24[كود الصنف],A27,الجدول24[العدد])+SUMIF(الجدول25[كود الصنف],A27,الجدول25[العدد])+SUMIF(الجدول26[كود الصنف],A27,الجدول26[العدد])+SUMIF(الجدول27[كود الصنف],A27,الجدول27[العدد])+SUMIF(الجدول28[كود الصنف],A27,الجدول28[العدد])+SUMIF(الجدول29[كود الصنف],A27,الجدول29[العدد])+SUMIF(الجدول30[كود الصنف],A27,الجدول30[العدد])+SUMIF(الجدول31[كود الصنف],A27,الجدول31[العدد])</f>
        <v>0</v>
      </c>
      <c r="I27" s="47">
        <f ca="1">SUMIF('تكويد الأصناف'!K:N,A27,'تكويد الأصناف'!M:M)</f>
        <v>0</v>
      </c>
      <c r="J27" s="47">
        <f ca="1">SUMIF('تكويد الأصناف'!K:N,A27,'تكويد الأصناف'!N:N)</f>
        <v>0</v>
      </c>
      <c r="K27" s="47">
        <f ca="1">SUMIF('الوارد والمرتجع'!J:M,A27,'الوارد والمرتجع'!M:M)</f>
        <v>0</v>
      </c>
      <c r="L27" s="47">
        <f t="shared" ca="1" si="0"/>
        <v>0</v>
      </c>
    </row>
    <row r="28" spans="1:23" customFormat="1" ht="15" hidden="1" x14ac:dyDescent="0.2">
      <c r="A28" s="41">
        <v>1024</v>
      </c>
      <c r="B28" s="44">
        <f>VLOOKUP(A28,'تكويد الأصناف'!A:F,3,0)</f>
        <v>1</v>
      </c>
      <c r="C28" s="45">
        <f>VLOOKUP(A28,'تكويد الأصناف'!A:F,6,0)</f>
        <v>0</v>
      </c>
      <c r="D28" s="46">
        <f>VLOOKUP(A28,'تكويد الأصناف'!A:F,5,0)</f>
        <v>0</v>
      </c>
      <c r="E28" s="42">
        <f>VLOOKUP(A28,'تكويد الأصناف'!A:F,4,1)</f>
        <v>0</v>
      </c>
      <c r="F28" s="43">
        <v>0</v>
      </c>
      <c r="G28" s="43">
        <f ca="1">SUMIF('الوارد والمرتجع'!B:F,A28,'الوارد والمرتجع'!E:E)</f>
        <v>0</v>
      </c>
      <c r="H28" s="58">
        <f>SUMIF(الجدول1[كود الصنف],A28,الجدول1[العدد])+SUMIF(الجدول2[كود الصنف],A28,الجدول2[العدد])+SUMIF(الجدول3[كود الصنف],A28,الجدول3[العدد])+SUMIF(الجدول4[كود الصنف],A28,الجدول4[العدد])+SUMIF(الجدول5[كود الصنف],A28,الجدول5[العدد])+SUMIF(الجدول6[كود الصنف],A28,الجدول6[العدد])+SUMIF(الجدول7[كود الصنف],A28,الجدول7[العدد])+SUMIF(الجدول8[كود الصنف],A28,الجدول8[العدد])+SUMIF(الجدول9[كود الصنف],A28,الجدول9[العدد])+SUMIF(الجدول10[كود الصنف],A28,الجدول10[العدد])+SUMIF(الجدول11[كود الصنف],A28,الجدول11[العدد])+SUMIF(الجدول12[كود الصنف],A28,الجدول12[العدد])+SUMIF(الجدول13[كود الصنف],A28,الجدول13[العدد])+SUMIF(الجدول14[كود الصنف],A28,الجدول14[العدد])+SUMIF(الجدول15[كود الصنف],A28,الجدول15[العدد])+SUMIF(الجدول16[كود الصنف],A28,الجدول16[العدد])+SUMIF(الجدول17[كود الصنف],A28,الجدول17[العدد])+SUMIF(الجدول18[كود الصنف],A28,الجدول18[العدد])+SUMIF(الجدول19[كود الصنف],A28,الجدول19[العدد])+SUMIF(الجدول20[كود الصنف],A28,الجدول20[العدد])+SUMIF(الجدول21[كود الصنف],A28,الجدول21[العدد])+SUMIF(الجدول22[كود الصنف],A28,الجدول22[العدد])+SUMIF(الجدول23[كود الصنف],A28,الجدول23[العدد])+SUMIF(الجدول24[كود الصنف],A28,الجدول24[العدد])+SUMIF(الجدول25[كود الصنف],A28,الجدول25[العدد])+SUMIF(الجدول26[كود الصنف],A28,الجدول26[العدد])+SUMIF(الجدول27[كود الصنف],A28,الجدول27[العدد])+SUMIF(الجدول28[كود الصنف],A28,الجدول28[العدد])+SUMIF(الجدول29[كود الصنف],A28,الجدول29[العدد])+SUMIF(الجدول30[كود الصنف],A28,الجدول30[العدد])+SUMIF(الجدول31[كود الصنف],A28,الجدول31[العدد])</f>
        <v>0</v>
      </c>
      <c r="I28" s="47">
        <f ca="1">SUMIF('تكويد الأصناف'!K:N,A28,'تكويد الأصناف'!M:M)</f>
        <v>0</v>
      </c>
      <c r="J28" s="47">
        <f ca="1">SUMIF('تكويد الأصناف'!K:N,A28,'تكويد الأصناف'!N:N)</f>
        <v>0</v>
      </c>
      <c r="K28" s="43">
        <f ca="1">SUMIF('الوارد والمرتجع'!J:M,A28,'الوارد والمرتجع'!M:M)</f>
        <v>0</v>
      </c>
      <c r="L28" s="43">
        <f t="shared" ca="1" si="0"/>
        <v>0</v>
      </c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23" customFormat="1" ht="15" hidden="1" x14ac:dyDescent="0.2">
      <c r="A29" s="41">
        <v>1025</v>
      </c>
      <c r="B29" s="44">
        <f>VLOOKUP(A29,'تكويد الأصناف'!A:F,3,0)</f>
        <v>1</v>
      </c>
      <c r="C29" s="45">
        <f>VLOOKUP(A29,'تكويد الأصناف'!A:F,6,0)</f>
        <v>0</v>
      </c>
      <c r="D29" s="46">
        <f>VLOOKUP(A29,'تكويد الأصناف'!A:F,5,0)</f>
        <v>0</v>
      </c>
      <c r="E29" s="42">
        <f>VLOOKUP(A29,'تكويد الأصناف'!A:F,4,1)</f>
        <v>0</v>
      </c>
      <c r="F29" s="43">
        <v>0</v>
      </c>
      <c r="G29" s="43">
        <f ca="1">SUMIF('الوارد والمرتجع'!B:F,A29,'الوارد والمرتجع'!E:E)</f>
        <v>0</v>
      </c>
      <c r="H29" s="58">
        <f>SUMIF(الجدول1[كود الصنف],A29,الجدول1[العدد])+SUMIF(الجدول2[كود الصنف],A29,الجدول2[العدد])+SUMIF(الجدول3[كود الصنف],A29,الجدول3[العدد])+SUMIF(الجدول4[كود الصنف],A29,الجدول4[العدد])+SUMIF(الجدول5[كود الصنف],A29,الجدول5[العدد])+SUMIF(الجدول6[كود الصنف],A29,الجدول6[العدد])+SUMIF(الجدول7[كود الصنف],A29,الجدول7[العدد])+SUMIF(الجدول8[كود الصنف],A29,الجدول8[العدد])+SUMIF(الجدول9[كود الصنف],A29,الجدول9[العدد])+SUMIF(الجدول10[كود الصنف],A29,الجدول10[العدد])+SUMIF(الجدول11[كود الصنف],A29,الجدول11[العدد])+SUMIF(الجدول12[كود الصنف],A29,الجدول12[العدد])+SUMIF(الجدول13[كود الصنف],A29,الجدول13[العدد])+SUMIF(الجدول14[كود الصنف],A29,الجدول14[العدد])+SUMIF(الجدول15[كود الصنف],A29,الجدول15[العدد])+SUMIF(الجدول16[كود الصنف],A29,الجدول16[العدد])+SUMIF(الجدول17[كود الصنف],A29,الجدول17[العدد])+SUMIF(الجدول18[كود الصنف],A29,الجدول18[العدد])+SUMIF(الجدول19[كود الصنف],A29,الجدول19[العدد])+SUMIF(الجدول20[كود الصنف],A29,الجدول20[العدد])+SUMIF(الجدول21[كود الصنف],A29,الجدول21[العدد])+SUMIF(الجدول22[كود الصنف],A29,الجدول22[العدد])+SUMIF(الجدول23[كود الصنف],A29,الجدول23[العدد])+SUMIF(الجدول24[كود الصنف],A29,الجدول24[العدد])+SUMIF(الجدول25[كود الصنف],A29,الجدول25[العدد])+SUMIF(الجدول26[كود الصنف],A29,الجدول26[العدد])+SUMIF(الجدول27[كود الصنف],A29,الجدول27[العدد])+SUMIF(الجدول28[كود الصنف],A29,الجدول28[العدد])+SUMIF(الجدول29[كود الصنف],A29,الجدول29[العدد])+SUMIF(الجدول30[كود الصنف],A29,الجدول30[العدد])+SUMIF(الجدول31[كود الصنف],A29,الجدول31[العدد])</f>
        <v>0</v>
      </c>
      <c r="I29" s="47">
        <f ca="1">SUMIF('تكويد الأصناف'!K:N,A29,'تكويد الأصناف'!M:M)</f>
        <v>0</v>
      </c>
      <c r="J29" s="47">
        <f ca="1">SUMIF('تكويد الأصناف'!K:N,A29,'تكويد الأصناف'!N:N)</f>
        <v>0</v>
      </c>
      <c r="K29" s="43">
        <f ca="1">SUMIF('الوارد والمرتجع'!J:M,A29,'الوارد والمرتجع'!M:M)</f>
        <v>0</v>
      </c>
      <c r="L29" s="43">
        <f t="shared" ca="1" si="0"/>
        <v>0</v>
      </c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  <row r="30" spans="1:23" customFormat="1" ht="15" hidden="1" x14ac:dyDescent="0.2">
      <c r="A30" s="41">
        <v>1026</v>
      </c>
      <c r="B30" s="44">
        <f>VLOOKUP(A30,'تكويد الأصناف'!A:F,3,0)</f>
        <v>1</v>
      </c>
      <c r="C30" s="45">
        <f>VLOOKUP(A30,'تكويد الأصناف'!A:F,6,0)</f>
        <v>0</v>
      </c>
      <c r="D30" s="46">
        <f>VLOOKUP(A30,'تكويد الأصناف'!A:F,5,0)</f>
        <v>0</v>
      </c>
      <c r="E30" s="42">
        <f>VLOOKUP(A30,'تكويد الأصناف'!A:F,4,1)</f>
        <v>0</v>
      </c>
      <c r="F30" s="43">
        <v>0</v>
      </c>
      <c r="G30" s="43">
        <f ca="1">SUMIF('الوارد والمرتجع'!B:F,A30,'الوارد والمرتجع'!E:E)</f>
        <v>0</v>
      </c>
      <c r="H30" s="58">
        <f>SUMIF(الجدول1[كود الصنف],A30,الجدول1[العدد])+SUMIF(الجدول2[كود الصنف],A30,الجدول2[العدد])+SUMIF(الجدول3[كود الصنف],A30,الجدول3[العدد])+SUMIF(الجدول4[كود الصنف],A30,الجدول4[العدد])+SUMIF(الجدول5[كود الصنف],A30,الجدول5[العدد])+SUMIF(الجدول6[كود الصنف],A30,الجدول6[العدد])+SUMIF(الجدول7[كود الصنف],A30,الجدول7[العدد])+SUMIF(الجدول8[كود الصنف],A30,الجدول8[العدد])+SUMIF(الجدول9[كود الصنف],A30,الجدول9[العدد])+SUMIF(الجدول10[كود الصنف],A30,الجدول10[العدد])+SUMIF(الجدول11[كود الصنف],A30,الجدول11[العدد])+SUMIF(الجدول12[كود الصنف],A30,الجدول12[العدد])+SUMIF(الجدول13[كود الصنف],A30,الجدول13[العدد])+SUMIF(الجدول14[كود الصنف],A30,الجدول14[العدد])+SUMIF(الجدول15[كود الصنف],A30,الجدول15[العدد])+SUMIF(الجدول16[كود الصنف],A30,الجدول16[العدد])+SUMIF(الجدول17[كود الصنف],A30,الجدول17[العدد])+SUMIF(الجدول18[كود الصنف],A30,الجدول18[العدد])+SUMIF(الجدول19[كود الصنف],A30,الجدول19[العدد])+SUMIF(الجدول20[كود الصنف],A30,الجدول20[العدد])+SUMIF(الجدول21[كود الصنف],A30,الجدول21[العدد])+SUMIF(الجدول22[كود الصنف],A30,الجدول22[العدد])+SUMIF(الجدول23[كود الصنف],A30,الجدول23[العدد])+SUMIF(الجدول24[كود الصنف],A30,الجدول24[العدد])+SUMIF(الجدول25[كود الصنف],A30,الجدول25[العدد])+SUMIF(الجدول26[كود الصنف],A30,الجدول26[العدد])+SUMIF(الجدول27[كود الصنف],A30,الجدول27[العدد])+SUMIF(الجدول28[كود الصنف],A30,الجدول28[العدد])+SUMIF(الجدول29[كود الصنف],A30,الجدول29[العدد])+SUMIF(الجدول30[كود الصنف],A30,الجدول30[العدد])+SUMIF(الجدول31[كود الصنف],A30,الجدول31[العدد])</f>
        <v>0</v>
      </c>
      <c r="I30" s="47">
        <f ca="1">SUMIF('تكويد الأصناف'!K:N,A30,'تكويد الأصناف'!M:M)</f>
        <v>0</v>
      </c>
      <c r="J30" s="47">
        <f ca="1">SUMIF('تكويد الأصناف'!K:N,A30,'تكويد الأصناف'!N:N)</f>
        <v>0</v>
      </c>
      <c r="K30" s="43">
        <f ca="1">SUMIF('الوارد والمرتجع'!J:M,A30,'الوارد والمرتجع'!M:M)</f>
        <v>0</v>
      </c>
      <c r="L30" s="43">
        <f t="shared" ca="1" si="0"/>
        <v>0</v>
      </c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</row>
    <row r="31" spans="1:23" customFormat="1" ht="15" hidden="1" x14ac:dyDescent="0.2">
      <c r="A31" s="41">
        <v>1027</v>
      </c>
      <c r="B31" s="44">
        <f>VLOOKUP(A31,'تكويد الأصناف'!A:F,3,0)</f>
        <v>1</v>
      </c>
      <c r="C31" s="45">
        <f>VLOOKUP(A31,'تكويد الأصناف'!A:F,6,0)</f>
        <v>0</v>
      </c>
      <c r="D31" s="46">
        <f>VLOOKUP(A31,'تكويد الأصناف'!A:F,5,0)</f>
        <v>0</v>
      </c>
      <c r="E31" s="42">
        <f>VLOOKUP(A31,'تكويد الأصناف'!A:F,4,1)</f>
        <v>0</v>
      </c>
      <c r="F31" s="43">
        <v>0</v>
      </c>
      <c r="G31" s="43">
        <f ca="1">SUMIF('الوارد والمرتجع'!B:F,A31,'الوارد والمرتجع'!E:E)</f>
        <v>0</v>
      </c>
      <c r="H31" s="58">
        <f>SUMIF(الجدول1[كود الصنف],A31,الجدول1[العدد])+SUMIF(الجدول2[كود الصنف],A31,الجدول2[العدد])+SUMIF(الجدول3[كود الصنف],A31,الجدول3[العدد])+SUMIF(الجدول4[كود الصنف],A31,الجدول4[العدد])+SUMIF(الجدول5[كود الصنف],A31,الجدول5[العدد])+SUMIF(الجدول6[كود الصنف],A31,الجدول6[العدد])+SUMIF(الجدول7[كود الصنف],A31,الجدول7[العدد])+SUMIF(الجدول8[كود الصنف],A31,الجدول8[العدد])+SUMIF(الجدول9[كود الصنف],A31,الجدول9[العدد])+SUMIF(الجدول10[كود الصنف],A31,الجدول10[العدد])+SUMIF(الجدول11[كود الصنف],A31,الجدول11[العدد])+SUMIF(الجدول12[كود الصنف],A31,الجدول12[العدد])+SUMIF(الجدول13[كود الصنف],A31,الجدول13[العدد])+SUMIF(الجدول14[كود الصنف],A31,الجدول14[العدد])+SUMIF(الجدول15[كود الصنف],A31,الجدول15[العدد])+SUMIF(الجدول16[كود الصنف],A31,الجدول16[العدد])+SUMIF(الجدول17[كود الصنف],A31,الجدول17[العدد])+SUMIF(الجدول18[كود الصنف],A31,الجدول18[العدد])+SUMIF(الجدول19[كود الصنف],A31,الجدول19[العدد])+SUMIF(الجدول20[كود الصنف],A31,الجدول20[العدد])+SUMIF(الجدول21[كود الصنف],A31,الجدول21[العدد])+SUMIF(الجدول22[كود الصنف],A31,الجدول22[العدد])+SUMIF(الجدول23[كود الصنف],A31,الجدول23[العدد])+SUMIF(الجدول24[كود الصنف],A31,الجدول24[العدد])+SUMIF(الجدول25[كود الصنف],A31,الجدول25[العدد])+SUMIF(الجدول26[كود الصنف],A31,الجدول26[العدد])+SUMIF(الجدول27[كود الصنف],A31,الجدول27[العدد])+SUMIF(الجدول28[كود الصنف],A31,الجدول28[العدد])+SUMIF(الجدول29[كود الصنف],A31,الجدول29[العدد])+SUMIF(الجدول30[كود الصنف],A31,الجدول30[العدد])+SUMIF(الجدول31[كود الصنف],A31,الجدول31[العدد])</f>
        <v>0</v>
      </c>
      <c r="I31" s="47">
        <f ca="1">SUMIF('تكويد الأصناف'!K:N,A31,'تكويد الأصناف'!M:M)</f>
        <v>0</v>
      </c>
      <c r="J31" s="47">
        <f ca="1">SUMIF('تكويد الأصناف'!K:N,A31,'تكويد الأصناف'!N:N)</f>
        <v>0</v>
      </c>
      <c r="K31" s="43">
        <f ca="1">SUMIF('الوارد والمرتجع'!J:M,A31,'الوارد والمرتجع'!M:M)</f>
        <v>0</v>
      </c>
      <c r="L31" s="43">
        <f t="shared" ca="1" si="0"/>
        <v>0</v>
      </c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1:23" customFormat="1" ht="15" hidden="1" x14ac:dyDescent="0.2">
      <c r="A32" s="41">
        <v>1028</v>
      </c>
      <c r="B32" s="44">
        <f>VLOOKUP(A32,'تكويد الأصناف'!A:F,3,0)</f>
        <v>1</v>
      </c>
      <c r="C32" s="45">
        <f>VLOOKUP(A32,'تكويد الأصناف'!A:F,6,0)</f>
        <v>0</v>
      </c>
      <c r="D32" s="46">
        <f>VLOOKUP(A32,'تكويد الأصناف'!A:F,5,0)</f>
        <v>0</v>
      </c>
      <c r="E32" s="42">
        <f>VLOOKUP(A32,'تكويد الأصناف'!A:F,4,1)</f>
        <v>0</v>
      </c>
      <c r="F32" s="43">
        <v>0</v>
      </c>
      <c r="G32" s="43">
        <f ca="1">SUMIF('الوارد والمرتجع'!B:F,A32,'الوارد والمرتجع'!E:E)</f>
        <v>0</v>
      </c>
      <c r="H32" s="58">
        <f>SUMIF(الجدول1[كود الصنف],A32,الجدول1[العدد])+SUMIF(الجدول2[كود الصنف],A32,الجدول2[العدد])+SUMIF(الجدول3[كود الصنف],A32,الجدول3[العدد])+SUMIF(الجدول4[كود الصنف],A32,الجدول4[العدد])+SUMIF(الجدول5[كود الصنف],A32,الجدول5[العدد])+SUMIF(الجدول6[كود الصنف],A32,الجدول6[العدد])+SUMIF(الجدول7[كود الصنف],A32,الجدول7[العدد])+SUMIF(الجدول8[كود الصنف],A32,الجدول8[العدد])+SUMIF(الجدول9[كود الصنف],A32,الجدول9[العدد])+SUMIF(الجدول10[كود الصنف],A32,الجدول10[العدد])+SUMIF(الجدول11[كود الصنف],A32,الجدول11[العدد])+SUMIF(الجدول12[كود الصنف],A32,الجدول12[العدد])+SUMIF(الجدول13[كود الصنف],A32,الجدول13[العدد])+SUMIF(الجدول14[كود الصنف],A32,الجدول14[العدد])+SUMIF(الجدول15[كود الصنف],A32,الجدول15[العدد])+SUMIF(الجدول16[كود الصنف],A32,الجدول16[العدد])+SUMIF(الجدول17[كود الصنف],A32,الجدول17[العدد])+SUMIF(الجدول18[كود الصنف],A32,الجدول18[العدد])+SUMIF(الجدول19[كود الصنف],A32,الجدول19[العدد])+SUMIF(الجدول20[كود الصنف],A32,الجدول20[العدد])+SUMIF(الجدول21[كود الصنف],A32,الجدول21[العدد])+SUMIF(الجدول22[كود الصنف],A32,الجدول22[العدد])+SUMIF(الجدول23[كود الصنف],A32,الجدول23[العدد])+SUMIF(الجدول24[كود الصنف],A32,الجدول24[العدد])+SUMIF(الجدول25[كود الصنف],A32,الجدول25[العدد])+SUMIF(الجدول26[كود الصنف],A32,الجدول26[العدد])+SUMIF(الجدول27[كود الصنف],A32,الجدول27[العدد])+SUMIF(الجدول28[كود الصنف],A32,الجدول28[العدد])+SUMIF(الجدول29[كود الصنف],A32,الجدول29[العدد])+SUMIF(الجدول30[كود الصنف],A32,الجدول30[العدد])+SUMIF(الجدول31[كود الصنف],A32,الجدول31[العدد])</f>
        <v>0</v>
      </c>
      <c r="I32" s="47">
        <f ca="1">SUMIF('تكويد الأصناف'!K:N,A32,'تكويد الأصناف'!M:M)</f>
        <v>0</v>
      </c>
      <c r="J32" s="47">
        <f ca="1">SUMIF('تكويد الأصناف'!K:N,A32,'تكويد الأصناف'!N:N)</f>
        <v>0</v>
      </c>
      <c r="K32" s="43">
        <f ca="1">SUMIF('الوارد والمرتجع'!J:M,A32,'الوارد والمرتجع'!M:M)</f>
        <v>0</v>
      </c>
      <c r="L32" s="43">
        <f t="shared" ca="1" si="0"/>
        <v>0</v>
      </c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</row>
    <row r="33" spans="1:23" ht="17.25" hidden="1" customHeight="1" x14ac:dyDescent="0.2">
      <c r="A33" s="103">
        <v>1029</v>
      </c>
      <c r="B33" s="104">
        <f>VLOOKUP(A33,'تكويد الأصناف'!A:F,3,0)</f>
        <v>1</v>
      </c>
      <c r="C33" s="105">
        <f>VLOOKUP(A33,'تكويد الأصناف'!A:F,6,0)</f>
        <v>0</v>
      </c>
      <c r="D33" s="106">
        <f>VLOOKUP(A33,'تكويد الأصناف'!A:F,5,0)</f>
        <v>0</v>
      </c>
      <c r="E33" s="107">
        <f>VLOOKUP(A33,'تكويد الأصناف'!A:F,4,1)</f>
        <v>0</v>
      </c>
      <c r="F33" s="47">
        <v>0</v>
      </c>
      <c r="G33" s="47">
        <f ca="1">SUMIF('الوارد والمرتجع'!B:F,A33,'الوارد والمرتجع'!E:E)</f>
        <v>0</v>
      </c>
      <c r="H33" s="108">
        <f>SUMIF(الجدول1[كود الصنف],A33,الجدول1[العدد])+SUMIF(الجدول2[كود الصنف],A33,الجدول2[العدد])+SUMIF(الجدول3[كود الصنف],A33,الجدول3[العدد])+SUMIF(الجدول4[كود الصنف],A33,الجدول4[العدد])+SUMIF(الجدول5[كود الصنف],A33,الجدول5[العدد])+SUMIF(الجدول6[كود الصنف],A33,الجدول6[العدد])+SUMIF(الجدول7[كود الصنف],A33,الجدول7[العدد])+SUMIF(الجدول8[كود الصنف],A33,الجدول8[العدد])+SUMIF(الجدول9[كود الصنف],A33,الجدول9[العدد])+SUMIF(الجدول10[كود الصنف],A33,الجدول10[العدد])+SUMIF(الجدول11[كود الصنف],A33,الجدول11[العدد])+SUMIF(الجدول12[كود الصنف],A33,الجدول12[العدد])+SUMIF(الجدول13[كود الصنف],A33,الجدول13[العدد])+SUMIF(الجدول14[كود الصنف],A33,الجدول14[العدد])+SUMIF(الجدول15[كود الصنف],A33,الجدول15[العدد])+SUMIF(الجدول16[كود الصنف],A33,الجدول16[العدد])+SUMIF(الجدول17[كود الصنف],A33,الجدول17[العدد])+SUMIF(الجدول18[كود الصنف],A33,الجدول18[العدد])+SUMIF(الجدول19[كود الصنف],A33,الجدول19[العدد])+SUMIF(الجدول20[كود الصنف],A33,الجدول20[العدد])+SUMIF(الجدول21[كود الصنف],A33,الجدول21[العدد])+SUMIF(الجدول22[كود الصنف],A33,الجدول22[العدد])+SUMIF(الجدول23[كود الصنف],A33,الجدول23[العدد])+SUMIF(الجدول24[كود الصنف],A33,الجدول24[العدد])+SUMIF(الجدول25[كود الصنف],A33,الجدول25[العدد])+SUMIF(الجدول26[كود الصنف],A33,الجدول26[العدد])+SUMIF(الجدول27[كود الصنف],A33,الجدول27[العدد])+SUMIF(الجدول28[كود الصنف],A33,الجدول28[العدد])+SUMIF(الجدول29[كود الصنف],A33,الجدول29[العدد])+SUMIF(الجدول30[كود الصنف],A33,الجدول30[العدد])+SUMIF(الجدول31[كود الصنف],A33,الجدول31[العدد])</f>
        <v>0</v>
      </c>
      <c r="I33" s="47">
        <f ca="1">SUMIF('تكويد الأصناف'!K:N,A33,'تكويد الأصناف'!M:M)</f>
        <v>0</v>
      </c>
      <c r="J33" s="47">
        <f ca="1">SUMIF('تكويد الأصناف'!K:N,A33,'تكويد الأصناف'!N:N)</f>
        <v>0</v>
      </c>
      <c r="K33" s="47">
        <f ca="1">SUMIF('الوارد والمرتجع'!J:M,A33,'الوارد والمرتجع'!M:M)</f>
        <v>0</v>
      </c>
      <c r="L33" s="47">
        <f t="shared" ca="1" si="0"/>
        <v>0</v>
      </c>
    </row>
    <row r="34" spans="1:23" ht="17.25" hidden="1" customHeight="1" x14ac:dyDescent="0.2">
      <c r="A34" s="103">
        <v>1030</v>
      </c>
      <c r="B34" s="104">
        <f>VLOOKUP(A34,'تكويد الأصناف'!A:F,3,0)</f>
        <v>1</v>
      </c>
      <c r="C34" s="105">
        <f>VLOOKUP(A34,'تكويد الأصناف'!A:F,6,0)</f>
        <v>0</v>
      </c>
      <c r="D34" s="106">
        <f>VLOOKUP(A34,'تكويد الأصناف'!A:F,5,0)</f>
        <v>0</v>
      </c>
      <c r="E34" s="107">
        <f>VLOOKUP(A34,'تكويد الأصناف'!A:F,4,1)</f>
        <v>0</v>
      </c>
      <c r="F34" s="47">
        <v>0</v>
      </c>
      <c r="G34" s="47">
        <f ca="1">SUMIF('الوارد والمرتجع'!B:F,A34,'الوارد والمرتجع'!E:E)</f>
        <v>0</v>
      </c>
      <c r="H34" s="108">
        <f>SUMIF(الجدول1[كود الصنف],A34,الجدول1[العدد])+SUMIF(الجدول2[كود الصنف],A34,الجدول2[العدد])+SUMIF(الجدول3[كود الصنف],A34,الجدول3[العدد])+SUMIF(الجدول4[كود الصنف],A34,الجدول4[العدد])+SUMIF(الجدول5[كود الصنف],A34,الجدول5[العدد])+SUMIF(الجدول6[كود الصنف],A34,الجدول6[العدد])+SUMIF(الجدول7[كود الصنف],A34,الجدول7[العدد])+SUMIF(الجدول8[كود الصنف],A34,الجدول8[العدد])+SUMIF(الجدول9[كود الصنف],A34,الجدول9[العدد])+SUMIF(الجدول10[كود الصنف],A34,الجدول10[العدد])+SUMIF(الجدول11[كود الصنف],A34,الجدول11[العدد])+SUMIF(الجدول12[كود الصنف],A34,الجدول12[العدد])+SUMIF(الجدول13[كود الصنف],A34,الجدول13[العدد])+SUMIF(الجدول14[كود الصنف],A34,الجدول14[العدد])+SUMIF(الجدول15[كود الصنف],A34,الجدول15[العدد])+SUMIF(الجدول16[كود الصنف],A34,الجدول16[العدد])+SUMIF(الجدول17[كود الصنف],A34,الجدول17[العدد])+SUMIF(الجدول18[كود الصنف],A34,الجدول18[العدد])+SUMIF(الجدول19[كود الصنف],A34,الجدول19[العدد])+SUMIF(الجدول20[كود الصنف],A34,الجدول20[العدد])+SUMIF(الجدول21[كود الصنف],A34,الجدول21[العدد])+SUMIF(الجدول22[كود الصنف],A34,الجدول22[العدد])+SUMIF(الجدول23[كود الصنف],A34,الجدول23[العدد])+SUMIF(الجدول24[كود الصنف],A34,الجدول24[العدد])+SUMIF(الجدول25[كود الصنف],A34,الجدول25[العدد])+SUMIF(الجدول26[كود الصنف],A34,الجدول26[العدد])+SUMIF(الجدول27[كود الصنف],A34,الجدول27[العدد])+SUMIF(الجدول28[كود الصنف],A34,الجدول28[العدد])+SUMIF(الجدول29[كود الصنف],A34,الجدول29[العدد])+SUMIF(الجدول30[كود الصنف],A34,الجدول30[العدد])+SUMIF(الجدول31[كود الصنف],A34,الجدول31[العدد])</f>
        <v>0</v>
      </c>
      <c r="I34" s="47">
        <f ca="1">SUMIF('تكويد الأصناف'!K:N,A34,'تكويد الأصناف'!M:M)</f>
        <v>0</v>
      </c>
      <c r="J34" s="47">
        <f ca="1">SUMIF('تكويد الأصناف'!K:N,A34,'تكويد الأصناف'!N:N)</f>
        <v>0</v>
      </c>
      <c r="K34" s="47">
        <f ca="1">SUMIF('الوارد والمرتجع'!J:M,A34,'الوارد والمرتجع'!M:M)</f>
        <v>0</v>
      </c>
      <c r="L34" s="47">
        <f t="shared" ca="1" si="0"/>
        <v>0</v>
      </c>
    </row>
    <row r="35" spans="1:23" ht="17.25" hidden="1" customHeight="1" x14ac:dyDescent="0.2">
      <c r="A35" s="103">
        <v>1031</v>
      </c>
      <c r="B35" s="104">
        <f>VLOOKUP(A35,'تكويد الأصناف'!A:F,3,0)</f>
        <v>1</v>
      </c>
      <c r="C35" s="105">
        <f>VLOOKUP(A35,'تكويد الأصناف'!A:F,6,0)</f>
        <v>0</v>
      </c>
      <c r="D35" s="106">
        <f>VLOOKUP(A35,'تكويد الأصناف'!A:F,5,0)</f>
        <v>0</v>
      </c>
      <c r="E35" s="107">
        <f>VLOOKUP(A35,'تكويد الأصناف'!A:F,4,1)</f>
        <v>0</v>
      </c>
      <c r="F35" s="47">
        <v>0</v>
      </c>
      <c r="G35" s="47">
        <f ca="1">SUMIF('الوارد والمرتجع'!B:F,A35,'الوارد والمرتجع'!E:E)</f>
        <v>0</v>
      </c>
      <c r="H35" s="108">
        <f>SUMIF(الجدول1[كود الصنف],A35,الجدول1[العدد])+SUMIF(الجدول2[كود الصنف],A35,الجدول2[العدد])+SUMIF(الجدول3[كود الصنف],A35,الجدول3[العدد])+SUMIF(الجدول4[كود الصنف],A35,الجدول4[العدد])+SUMIF(الجدول5[كود الصنف],A35,الجدول5[العدد])+SUMIF(الجدول6[كود الصنف],A35,الجدول6[العدد])+SUMIF(الجدول7[كود الصنف],A35,الجدول7[العدد])+SUMIF(الجدول8[كود الصنف],A35,الجدول8[العدد])+SUMIF(الجدول9[كود الصنف],A35,الجدول9[العدد])+SUMIF(الجدول10[كود الصنف],A35,الجدول10[العدد])+SUMIF(الجدول11[كود الصنف],A35,الجدول11[العدد])+SUMIF(الجدول12[كود الصنف],A35,الجدول12[العدد])+SUMIF(الجدول13[كود الصنف],A35,الجدول13[العدد])+SUMIF(الجدول14[كود الصنف],A35,الجدول14[العدد])+SUMIF(الجدول15[كود الصنف],A35,الجدول15[العدد])+SUMIF(الجدول16[كود الصنف],A35,الجدول16[العدد])+SUMIF(الجدول17[كود الصنف],A35,الجدول17[العدد])+SUMIF(الجدول18[كود الصنف],A35,الجدول18[العدد])+SUMIF(الجدول19[كود الصنف],A35,الجدول19[العدد])+SUMIF(الجدول20[كود الصنف],A35,الجدول20[العدد])+SUMIF(الجدول21[كود الصنف],A35,الجدول21[العدد])+SUMIF(الجدول22[كود الصنف],A35,الجدول22[العدد])+SUMIF(الجدول23[كود الصنف],A35,الجدول23[العدد])+SUMIF(الجدول24[كود الصنف],A35,الجدول24[العدد])+SUMIF(الجدول25[كود الصنف],A35,الجدول25[العدد])+SUMIF(الجدول26[كود الصنف],A35,الجدول26[العدد])+SUMIF(الجدول27[كود الصنف],A35,الجدول27[العدد])+SUMIF(الجدول28[كود الصنف],A35,الجدول28[العدد])+SUMIF(الجدول29[كود الصنف],A35,الجدول29[العدد])+SUMIF(الجدول30[كود الصنف],A35,الجدول30[العدد])+SUMIF(الجدول31[كود الصنف],A35,الجدول31[العدد])</f>
        <v>0</v>
      </c>
      <c r="I35" s="47">
        <f ca="1">SUMIF('تكويد الأصناف'!K:N,A35,'تكويد الأصناف'!M:M)</f>
        <v>0</v>
      </c>
      <c r="J35" s="47">
        <f ca="1">SUMIF('تكويد الأصناف'!K:N,A35,'تكويد الأصناف'!N:N)</f>
        <v>0</v>
      </c>
      <c r="K35" s="47">
        <f ca="1">SUMIF('الوارد والمرتجع'!J:M,A35,'الوارد والمرتجع'!M:M)</f>
        <v>0</v>
      </c>
      <c r="L35" s="47">
        <f t="shared" ca="1" si="0"/>
        <v>0</v>
      </c>
    </row>
    <row r="36" spans="1:23" customFormat="1" ht="15" hidden="1" x14ac:dyDescent="0.2">
      <c r="A36" s="41">
        <v>1032</v>
      </c>
      <c r="B36" s="44">
        <f>VLOOKUP(A36,'تكويد الأصناف'!A:F,3,0)</f>
        <v>1</v>
      </c>
      <c r="C36" s="45">
        <f>VLOOKUP(A36,'تكويد الأصناف'!A:F,6,0)</f>
        <v>0</v>
      </c>
      <c r="D36" s="46">
        <f>VLOOKUP(A36,'تكويد الأصناف'!A:F,5,0)</f>
        <v>0</v>
      </c>
      <c r="E36" s="42">
        <f>VLOOKUP(A36,'تكويد الأصناف'!A:F,4,1)</f>
        <v>0</v>
      </c>
      <c r="F36" s="43">
        <v>0</v>
      </c>
      <c r="G36" s="43">
        <f ca="1">SUMIF('الوارد والمرتجع'!B:F,A36,'الوارد والمرتجع'!E:E)</f>
        <v>0</v>
      </c>
      <c r="H36" s="58">
        <f>SUMIF(الجدول1[كود الصنف],A36,الجدول1[العدد])+SUMIF(الجدول2[كود الصنف],A36,الجدول2[العدد])+SUMIF(الجدول3[كود الصنف],A36,الجدول3[العدد])+SUMIF(الجدول4[كود الصنف],A36,الجدول4[العدد])+SUMIF(الجدول5[كود الصنف],A36,الجدول5[العدد])+SUMIF(الجدول6[كود الصنف],A36,الجدول6[العدد])+SUMIF(الجدول7[كود الصنف],A36,الجدول7[العدد])+SUMIF(الجدول8[كود الصنف],A36,الجدول8[العدد])+SUMIF(الجدول9[كود الصنف],A36,الجدول9[العدد])+SUMIF(الجدول10[كود الصنف],A36,الجدول10[العدد])+SUMIF(الجدول11[كود الصنف],A36,الجدول11[العدد])+SUMIF(الجدول12[كود الصنف],A36,الجدول12[العدد])+SUMIF(الجدول13[كود الصنف],A36,الجدول13[العدد])+SUMIF(الجدول14[كود الصنف],A36,الجدول14[العدد])+SUMIF(الجدول15[كود الصنف],A36,الجدول15[العدد])+SUMIF(الجدول16[كود الصنف],A36,الجدول16[العدد])+SUMIF(الجدول17[كود الصنف],A36,الجدول17[العدد])+SUMIF(الجدول18[كود الصنف],A36,الجدول18[العدد])+SUMIF(الجدول19[كود الصنف],A36,الجدول19[العدد])+SUMIF(الجدول20[كود الصنف],A36,الجدول20[العدد])+SUMIF(الجدول21[كود الصنف],A36,الجدول21[العدد])+SUMIF(الجدول22[كود الصنف],A36,الجدول22[العدد])+SUMIF(الجدول23[كود الصنف],A36,الجدول23[العدد])+SUMIF(الجدول24[كود الصنف],A36,الجدول24[العدد])+SUMIF(الجدول25[كود الصنف],A36,الجدول25[العدد])+SUMIF(الجدول26[كود الصنف],A36,الجدول26[العدد])+SUMIF(الجدول27[كود الصنف],A36,الجدول27[العدد])+SUMIF(الجدول28[كود الصنف],A36,الجدول28[العدد])+SUMIF(الجدول29[كود الصنف],A36,الجدول29[العدد])+SUMIF(الجدول30[كود الصنف],A36,الجدول30[العدد])+SUMIF(الجدول31[كود الصنف],A36,الجدول31[العدد])</f>
        <v>0</v>
      </c>
      <c r="I36" s="47">
        <f ca="1">SUMIF('تكويد الأصناف'!K:N,A36,'تكويد الأصناف'!M:M)</f>
        <v>0</v>
      </c>
      <c r="J36" s="47">
        <f ca="1">SUMIF('تكويد الأصناف'!K:N,A36,'تكويد الأصناف'!N:N)</f>
        <v>0</v>
      </c>
      <c r="K36" s="43">
        <f ca="1">SUMIF('الوارد والمرتجع'!J:M,A36,'الوارد والمرتجع'!M:M)</f>
        <v>0</v>
      </c>
      <c r="L36" s="43">
        <f t="shared" ca="1" si="0"/>
        <v>0</v>
      </c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</row>
    <row r="37" spans="1:23" ht="17.25" hidden="1" customHeight="1" x14ac:dyDescent="0.2">
      <c r="A37" s="103">
        <v>1033</v>
      </c>
      <c r="B37" s="104">
        <f>VLOOKUP(A37,'تكويد الأصناف'!A:F,3,0)</f>
        <v>1</v>
      </c>
      <c r="C37" s="105">
        <f>VLOOKUP(A37,'تكويد الأصناف'!A:F,6,0)</f>
        <v>0</v>
      </c>
      <c r="D37" s="106">
        <f>VLOOKUP(A37,'تكويد الأصناف'!A:F,5,0)</f>
        <v>0</v>
      </c>
      <c r="E37" s="107">
        <f>VLOOKUP(A37,'تكويد الأصناف'!A:F,4,1)</f>
        <v>0</v>
      </c>
      <c r="F37" s="47">
        <v>0</v>
      </c>
      <c r="G37" s="47">
        <f ca="1">SUMIF('الوارد والمرتجع'!B:F,A37,'الوارد والمرتجع'!E:E)</f>
        <v>0</v>
      </c>
      <c r="H37" s="108">
        <f>SUMIF(الجدول1[كود الصنف],A37,الجدول1[العدد])+SUMIF(الجدول2[كود الصنف],A37,الجدول2[العدد])+SUMIF(الجدول3[كود الصنف],A37,الجدول3[العدد])+SUMIF(الجدول4[كود الصنف],A37,الجدول4[العدد])+SUMIF(الجدول5[كود الصنف],A37,الجدول5[العدد])+SUMIF(الجدول6[كود الصنف],A37,الجدول6[العدد])+SUMIF(الجدول7[كود الصنف],A37,الجدول7[العدد])+SUMIF(الجدول8[كود الصنف],A37,الجدول8[العدد])+SUMIF(الجدول9[كود الصنف],A37,الجدول9[العدد])+SUMIF(الجدول10[كود الصنف],A37,الجدول10[العدد])+SUMIF(الجدول11[كود الصنف],A37,الجدول11[العدد])+SUMIF(الجدول12[كود الصنف],A37,الجدول12[العدد])+SUMIF(الجدول13[كود الصنف],A37,الجدول13[العدد])+SUMIF(الجدول14[كود الصنف],A37,الجدول14[العدد])+SUMIF(الجدول15[كود الصنف],A37,الجدول15[العدد])+SUMIF(الجدول16[كود الصنف],A37,الجدول16[العدد])+SUMIF(الجدول17[كود الصنف],A37,الجدول17[العدد])+SUMIF(الجدول18[كود الصنف],A37,الجدول18[العدد])+SUMIF(الجدول19[كود الصنف],A37,الجدول19[العدد])+SUMIF(الجدول20[كود الصنف],A37,الجدول20[العدد])+SUMIF(الجدول21[كود الصنف],A37,الجدول21[العدد])+SUMIF(الجدول22[كود الصنف],A37,الجدول22[العدد])+SUMIF(الجدول23[كود الصنف],A37,الجدول23[العدد])+SUMIF(الجدول24[كود الصنف],A37,الجدول24[العدد])+SUMIF(الجدول25[كود الصنف],A37,الجدول25[العدد])+SUMIF(الجدول26[كود الصنف],A37,الجدول26[العدد])+SUMIF(الجدول27[كود الصنف],A37,الجدول27[العدد])+SUMIF(الجدول28[كود الصنف],A37,الجدول28[العدد])+SUMIF(الجدول29[كود الصنف],A37,الجدول29[العدد])+SUMIF(الجدول30[كود الصنف],A37,الجدول30[العدد])+SUMIF(الجدول31[كود الصنف],A37,الجدول31[العدد])</f>
        <v>0</v>
      </c>
      <c r="I37" s="47">
        <f ca="1">SUMIF('تكويد الأصناف'!K:N,A37,'تكويد الأصناف'!M:M)</f>
        <v>0</v>
      </c>
      <c r="J37" s="47">
        <f ca="1">SUMIF('تكويد الأصناف'!K:N,A37,'تكويد الأصناف'!N:N)</f>
        <v>0</v>
      </c>
      <c r="K37" s="47">
        <f ca="1">SUMIF('الوارد والمرتجع'!J:M,A37,'الوارد والمرتجع'!M:M)</f>
        <v>0</v>
      </c>
      <c r="L37" s="47">
        <f t="shared" ca="1" si="0"/>
        <v>0</v>
      </c>
    </row>
    <row r="38" spans="1:23" customFormat="1" ht="15" hidden="1" x14ac:dyDescent="0.2">
      <c r="A38" s="41">
        <v>1034</v>
      </c>
      <c r="B38" s="44">
        <f>VLOOKUP(A38,'تكويد الأصناف'!A:F,3,0)</f>
        <v>1</v>
      </c>
      <c r="C38" s="45">
        <f>VLOOKUP(A38,'تكويد الأصناف'!A:F,6,0)</f>
        <v>0</v>
      </c>
      <c r="D38" s="46">
        <f>VLOOKUP(A38,'تكويد الأصناف'!A:F,5,0)</f>
        <v>0</v>
      </c>
      <c r="E38" s="42">
        <f>VLOOKUP(A38,'تكويد الأصناف'!A:F,4,1)</f>
        <v>0</v>
      </c>
      <c r="F38" s="43">
        <v>0</v>
      </c>
      <c r="G38" s="43">
        <f ca="1">SUMIF('الوارد والمرتجع'!B:F,A38,'الوارد والمرتجع'!E:E)</f>
        <v>0</v>
      </c>
      <c r="H38" s="58">
        <f>SUMIF(الجدول1[كود الصنف],A38,الجدول1[العدد])+SUMIF(الجدول2[كود الصنف],A38,الجدول2[العدد])+SUMIF(الجدول3[كود الصنف],A38,الجدول3[العدد])+SUMIF(الجدول4[كود الصنف],A38,الجدول4[العدد])+SUMIF(الجدول5[كود الصنف],A38,الجدول5[العدد])+SUMIF(الجدول6[كود الصنف],A38,الجدول6[العدد])+SUMIF(الجدول7[كود الصنف],A38,الجدول7[العدد])+SUMIF(الجدول8[كود الصنف],A38,الجدول8[العدد])+SUMIF(الجدول9[كود الصنف],A38,الجدول9[العدد])+SUMIF(الجدول10[كود الصنف],A38,الجدول10[العدد])+SUMIF(الجدول11[كود الصنف],A38,الجدول11[العدد])+SUMIF(الجدول12[كود الصنف],A38,الجدول12[العدد])+SUMIF(الجدول13[كود الصنف],A38,الجدول13[العدد])+SUMIF(الجدول14[كود الصنف],A38,الجدول14[العدد])+SUMIF(الجدول15[كود الصنف],A38,الجدول15[العدد])+SUMIF(الجدول16[كود الصنف],A38,الجدول16[العدد])+SUMIF(الجدول17[كود الصنف],A38,الجدول17[العدد])+SUMIF(الجدول18[كود الصنف],A38,الجدول18[العدد])+SUMIF(الجدول19[كود الصنف],A38,الجدول19[العدد])+SUMIF(الجدول20[كود الصنف],A38,الجدول20[العدد])+SUMIF(الجدول21[كود الصنف],A38,الجدول21[العدد])+SUMIF(الجدول22[كود الصنف],A38,الجدول22[العدد])+SUMIF(الجدول23[كود الصنف],A38,الجدول23[العدد])+SUMIF(الجدول24[كود الصنف],A38,الجدول24[العدد])+SUMIF(الجدول25[كود الصنف],A38,الجدول25[العدد])+SUMIF(الجدول26[كود الصنف],A38,الجدول26[العدد])+SUMIF(الجدول27[كود الصنف],A38,الجدول27[العدد])+SUMIF(الجدول28[كود الصنف],A38,الجدول28[العدد])+SUMIF(الجدول29[كود الصنف],A38,الجدول29[العدد])+SUMIF(الجدول30[كود الصنف],A38,الجدول30[العدد])+SUMIF(الجدول31[كود الصنف],A38,الجدول31[العدد])</f>
        <v>0</v>
      </c>
      <c r="I38" s="47">
        <f ca="1">SUMIF('تكويد الأصناف'!K:N,A38,'تكويد الأصناف'!M:M)</f>
        <v>0</v>
      </c>
      <c r="J38" s="47">
        <f ca="1">SUMIF('تكويد الأصناف'!K:N,A38,'تكويد الأصناف'!N:N)</f>
        <v>0</v>
      </c>
      <c r="K38" s="43">
        <f ca="1">SUMIF('الوارد والمرتجع'!J:M,A38,'الوارد والمرتجع'!M:M)</f>
        <v>0</v>
      </c>
      <c r="L38" s="43">
        <f t="shared" ca="1" si="0"/>
        <v>0</v>
      </c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</row>
    <row r="39" spans="1:23" customFormat="1" ht="15" hidden="1" x14ac:dyDescent="0.2">
      <c r="A39" s="41">
        <v>1035</v>
      </c>
      <c r="B39" s="44">
        <f>VLOOKUP(A39,'تكويد الأصناف'!A:F,3,0)</f>
        <v>1</v>
      </c>
      <c r="C39" s="45">
        <f>VLOOKUP(A39,'تكويد الأصناف'!A:F,6,0)</f>
        <v>0</v>
      </c>
      <c r="D39" s="46">
        <f>VLOOKUP(A39,'تكويد الأصناف'!A:F,5,0)</f>
        <v>0</v>
      </c>
      <c r="E39" s="42">
        <f>VLOOKUP(A39,'تكويد الأصناف'!A:F,4,1)</f>
        <v>0</v>
      </c>
      <c r="F39" s="43">
        <v>0</v>
      </c>
      <c r="G39" s="43">
        <f ca="1">SUMIF('الوارد والمرتجع'!B:F,A39,'الوارد والمرتجع'!E:E)</f>
        <v>0</v>
      </c>
      <c r="H39" s="58">
        <f>SUMIF(الجدول1[كود الصنف],A39,الجدول1[العدد])+SUMIF(الجدول2[كود الصنف],A39,الجدول2[العدد])+SUMIF(الجدول3[كود الصنف],A39,الجدول3[العدد])+SUMIF(الجدول4[كود الصنف],A39,الجدول4[العدد])+SUMIF(الجدول5[كود الصنف],A39,الجدول5[العدد])+SUMIF(الجدول6[كود الصنف],A39,الجدول6[العدد])+SUMIF(الجدول7[كود الصنف],A39,الجدول7[العدد])+SUMIF(الجدول8[كود الصنف],A39,الجدول8[العدد])+SUMIF(الجدول9[كود الصنف],A39,الجدول9[العدد])+SUMIF(الجدول10[كود الصنف],A39,الجدول10[العدد])+SUMIF(الجدول11[كود الصنف],A39,الجدول11[العدد])+SUMIF(الجدول12[كود الصنف],A39,الجدول12[العدد])+SUMIF(الجدول13[كود الصنف],A39,الجدول13[العدد])+SUMIF(الجدول14[كود الصنف],A39,الجدول14[العدد])+SUMIF(الجدول15[كود الصنف],A39,الجدول15[العدد])+SUMIF(الجدول16[كود الصنف],A39,الجدول16[العدد])+SUMIF(الجدول17[كود الصنف],A39,الجدول17[العدد])+SUMIF(الجدول18[كود الصنف],A39,الجدول18[العدد])+SUMIF(الجدول19[كود الصنف],A39,الجدول19[العدد])+SUMIF(الجدول20[كود الصنف],A39,الجدول20[العدد])+SUMIF(الجدول21[كود الصنف],A39,الجدول21[العدد])+SUMIF(الجدول22[كود الصنف],A39,الجدول22[العدد])+SUMIF(الجدول23[كود الصنف],A39,الجدول23[العدد])+SUMIF(الجدول24[كود الصنف],A39,الجدول24[العدد])+SUMIF(الجدول25[كود الصنف],A39,الجدول25[العدد])+SUMIF(الجدول26[كود الصنف],A39,الجدول26[العدد])+SUMIF(الجدول27[كود الصنف],A39,الجدول27[العدد])+SUMIF(الجدول28[كود الصنف],A39,الجدول28[العدد])+SUMIF(الجدول29[كود الصنف],A39,الجدول29[العدد])+SUMIF(الجدول30[كود الصنف],A39,الجدول30[العدد])+SUMIF(الجدول31[كود الصنف],A39,الجدول31[العدد])</f>
        <v>0</v>
      </c>
      <c r="I39" s="47">
        <f ca="1">SUMIF('تكويد الأصناف'!K:N,A39,'تكويد الأصناف'!M:M)</f>
        <v>0</v>
      </c>
      <c r="J39" s="47">
        <f ca="1">SUMIF('تكويد الأصناف'!K:N,A39,'تكويد الأصناف'!N:N)</f>
        <v>0</v>
      </c>
      <c r="K39" s="43">
        <f ca="1">SUMIF('الوارد والمرتجع'!J:M,A39,'الوارد والمرتجع'!M:M)</f>
        <v>0</v>
      </c>
      <c r="L39" s="43">
        <f t="shared" ca="1" si="0"/>
        <v>0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</row>
    <row r="40" spans="1:23" ht="17.25" hidden="1" customHeight="1" x14ac:dyDescent="0.2">
      <c r="A40" s="103">
        <v>1036</v>
      </c>
      <c r="B40" s="104">
        <f>VLOOKUP(A40,'تكويد الأصناف'!A:F,3,0)</f>
        <v>1</v>
      </c>
      <c r="C40" s="105">
        <f>VLOOKUP(A40,'تكويد الأصناف'!A:F,6,0)</f>
        <v>0</v>
      </c>
      <c r="D40" s="106">
        <f>VLOOKUP(A40,'تكويد الأصناف'!A:F,5,0)</f>
        <v>0</v>
      </c>
      <c r="E40" s="107">
        <f>VLOOKUP(A40,'تكويد الأصناف'!A:F,4,1)</f>
        <v>0</v>
      </c>
      <c r="F40" s="47">
        <v>0</v>
      </c>
      <c r="G40" s="47">
        <f ca="1">SUMIF('الوارد والمرتجع'!B:F,A40,'الوارد والمرتجع'!E:E)</f>
        <v>0</v>
      </c>
      <c r="H40" s="108">
        <f>SUMIF(الجدول1[كود الصنف],A40,الجدول1[العدد])+SUMIF(الجدول2[كود الصنف],A40,الجدول2[العدد])+SUMIF(الجدول3[كود الصنف],A40,الجدول3[العدد])+SUMIF(الجدول4[كود الصنف],A40,الجدول4[العدد])+SUMIF(الجدول5[كود الصنف],A40,الجدول5[العدد])+SUMIF(الجدول6[كود الصنف],A40,الجدول6[العدد])+SUMIF(الجدول7[كود الصنف],A40,الجدول7[العدد])+SUMIF(الجدول8[كود الصنف],A40,الجدول8[العدد])+SUMIF(الجدول9[كود الصنف],A40,الجدول9[العدد])+SUMIF(الجدول10[كود الصنف],A40,الجدول10[العدد])+SUMIF(الجدول11[كود الصنف],A40,الجدول11[العدد])+SUMIF(الجدول12[كود الصنف],A40,الجدول12[العدد])+SUMIF(الجدول13[كود الصنف],A40,الجدول13[العدد])+SUMIF(الجدول14[كود الصنف],A40,الجدول14[العدد])+SUMIF(الجدول15[كود الصنف],A40,الجدول15[العدد])+SUMIF(الجدول16[كود الصنف],A40,الجدول16[العدد])+SUMIF(الجدول17[كود الصنف],A40,الجدول17[العدد])+SUMIF(الجدول18[كود الصنف],A40,الجدول18[العدد])+SUMIF(الجدول19[كود الصنف],A40,الجدول19[العدد])+SUMIF(الجدول20[كود الصنف],A40,الجدول20[العدد])+SUMIF(الجدول21[كود الصنف],A40,الجدول21[العدد])+SUMIF(الجدول22[كود الصنف],A40,الجدول22[العدد])+SUMIF(الجدول23[كود الصنف],A40,الجدول23[العدد])+SUMIF(الجدول24[كود الصنف],A40,الجدول24[العدد])+SUMIF(الجدول25[كود الصنف],A40,الجدول25[العدد])+SUMIF(الجدول26[كود الصنف],A40,الجدول26[العدد])+SUMIF(الجدول27[كود الصنف],A40,الجدول27[العدد])+SUMIF(الجدول28[كود الصنف],A40,الجدول28[العدد])+SUMIF(الجدول29[كود الصنف],A40,الجدول29[العدد])+SUMIF(الجدول30[كود الصنف],A40,الجدول30[العدد])+SUMIF(الجدول31[كود الصنف],A40,الجدول31[العدد])</f>
        <v>0</v>
      </c>
      <c r="I40" s="47">
        <f ca="1">SUMIF('تكويد الأصناف'!K:N,A40,'تكويد الأصناف'!M:M)</f>
        <v>0</v>
      </c>
      <c r="J40" s="47">
        <f ca="1">SUMIF('تكويد الأصناف'!K:N,A40,'تكويد الأصناف'!N:N)</f>
        <v>0</v>
      </c>
      <c r="K40" s="47">
        <f ca="1">SUMIF('الوارد والمرتجع'!J:M,A40,'الوارد والمرتجع'!M:M)</f>
        <v>0</v>
      </c>
      <c r="L40" s="47">
        <f t="shared" ca="1" si="0"/>
        <v>0</v>
      </c>
    </row>
    <row r="41" spans="1:23" ht="17.25" hidden="1" customHeight="1" x14ac:dyDescent="0.2">
      <c r="A41" s="103">
        <v>1037</v>
      </c>
      <c r="B41" s="104">
        <f>VLOOKUP(A41,'تكويد الأصناف'!A:F,3,0)</f>
        <v>1</v>
      </c>
      <c r="C41" s="105">
        <f>VLOOKUP(A41,'تكويد الأصناف'!A:F,6,0)</f>
        <v>0</v>
      </c>
      <c r="D41" s="106">
        <f>VLOOKUP(A41,'تكويد الأصناف'!A:F,5,0)</f>
        <v>0</v>
      </c>
      <c r="E41" s="107">
        <f>VLOOKUP(A41,'تكويد الأصناف'!A:F,4,1)</f>
        <v>0</v>
      </c>
      <c r="F41" s="47">
        <v>0</v>
      </c>
      <c r="G41" s="47">
        <f ca="1">SUMIF('الوارد والمرتجع'!B:F,A41,'الوارد والمرتجع'!E:E)</f>
        <v>0</v>
      </c>
      <c r="H41" s="108">
        <f>SUMIF(الجدول1[كود الصنف],A41,الجدول1[العدد])+SUMIF(الجدول2[كود الصنف],A41,الجدول2[العدد])+SUMIF(الجدول3[كود الصنف],A41,الجدول3[العدد])+SUMIF(الجدول4[كود الصنف],A41,الجدول4[العدد])+SUMIF(الجدول5[كود الصنف],A41,الجدول5[العدد])+SUMIF(الجدول6[كود الصنف],A41,الجدول6[العدد])+SUMIF(الجدول7[كود الصنف],A41,الجدول7[العدد])+SUMIF(الجدول8[كود الصنف],A41,الجدول8[العدد])+SUMIF(الجدول9[كود الصنف],A41,الجدول9[العدد])+SUMIF(الجدول10[كود الصنف],A41,الجدول10[العدد])+SUMIF(الجدول11[كود الصنف],A41,الجدول11[العدد])+SUMIF(الجدول12[كود الصنف],A41,الجدول12[العدد])+SUMIF(الجدول13[كود الصنف],A41,الجدول13[العدد])+SUMIF(الجدول14[كود الصنف],A41,الجدول14[العدد])+SUMIF(الجدول15[كود الصنف],A41,الجدول15[العدد])+SUMIF(الجدول16[كود الصنف],A41,الجدول16[العدد])+SUMIF(الجدول17[كود الصنف],A41,الجدول17[العدد])+SUMIF(الجدول18[كود الصنف],A41,الجدول18[العدد])+SUMIF(الجدول19[كود الصنف],A41,الجدول19[العدد])+SUMIF(الجدول20[كود الصنف],A41,الجدول20[العدد])+SUMIF(الجدول21[كود الصنف],A41,الجدول21[العدد])+SUMIF(الجدول22[كود الصنف],A41,الجدول22[العدد])+SUMIF(الجدول23[كود الصنف],A41,الجدول23[العدد])+SUMIF(الجدول24[كود الصنف],A41,الجدول24[العدد])+SUMIF(الجدول25[كود الصنف],A41,الجدول25[العدد])+SUMIF(الجدول26[كود الصنف],A41,الجدول26[العدد])+SUMIF(الجدول27[كود الصنف],A41,الجدول27[العدد])+SUMIF(الجدول28[كود الصنف],A41,الجدول28[العدد])+SUMIF(الجدول29[كود الصنف],A41,الجدول29[العدد])+SUMIF(الجدول30[كود الصنف],A41,الجدول30[العدد])+SUMIF(الجدول31[كود الصنف],A41,الجدول31[العدد])</f>
        <v>0</v>
      </c>
      <c r="I41" s="47">
        <f ca="1">SUMIF('تكويد الأصناف'!K:N,A41,'تكويد الأصناف'!M:M)</f>
        <v>0</v>
      </c>
      <c r="J41" s="47">
        <f ca="1">SUMIF('تكويد الأصناف'!K:N,A41,'تكويد الأصناف'!N:N)</f>
        <v>0</v>
      </c>
      <c r="K41" s="47">
        <f ca="1">SUMIF('الوارد والمرتجع'!J:M,A41,'الوارد والمرتجع'!M:M)</f>
        <v>0</v>
      </c>
      <c r="L41" s="47">
        <f t="shared" ca="1" si="0"/>
        <v>0</v>
      </c>
    </row>
    <row r="42" spans="1:23" ht="17.25" hidden="1" customHeight="1" x14ac:dyDescent="0.2">
      <c r="A42" s="103">
        <v>1038</v>
      </c>
      <c r="B42" s="104">
        <f>VLOOKUP(A42,'تكويد الأصناف'!A:F,3,0)</f>
        <v>1</v>
      </c>
      <c r="C42" s="105">
        <f>VLOOKUP(A42,'تكويد الأصناف'!A:F,6,0)</f>
        <v>0</v>
      </c>
      <c r="D42" s="106">
        <f>VLOOKUP(A42,'تكويد الأصناف'!A:F,5,0)</f>
        <v>0</v>
      </c>
      <c r="E42" s="107">
        <f>VLOOKUP(A42,'تكويد الأصناف'!A:F,4,1)</f>
        <v>0</v>
      </c>
      <c r="F42" s="47">
        <v>0</v>
      </c>
      <c r="G42" s="47">
        <f ca="1">SUMIF('الوارد والمرتجع'!B:F,A42,'الوارد والمرتجع'!E:E)</f>
        <v>0</v>
      </c>
      <c r="H42" s="108">
        <f>SUMIF(الجدول1[كود الصنف],A42,الجدول1[العدد])+SUMIF(الجدول2[كود الصنف],A42,الجدول2[العدد])+SUMIF(الجدول3[كود الصنف],A42,الجدول3[العدد])+SUMIF(الجدول4[كود الصنف],A42,الجدول4[العدد])+SUMIF(الجدول5[كود الصنف],A42,الجدول5[العدد])+SUMIF(الجدول6[كود الصنف],A42,الجدول6[العدد])+SUMIF(الجدول7[كود الصنف],A42,الجدول7[العدد])+SUMIF(الجدول8[كود الصنف],A42,الجدول8[العدد])+SUMIF(الجدول9[كود الصنف],A42,الجدول9[العدد])+SUMIF(الجدول10[كود الصنف],A42,الجدول10[العدد])+SUMIF(الجدول11[كود الصنف],A42,الجدول11[العدد])+SUMIF(الجدول12[كود الصنف],A42,الجدول12[العدد])+SUMIF(الجدول13[كود الصنف],A42,الجدول13[العدد])+SUMIF(الجدول14[كود الصنف],A42,الجدول14[العدد])+SUMIF(الجدول15[كود الصنف],A42,الجدول15[العدد])+SUMIF(الجدول16[كود الصنف],A42,الجدول16[العدد])+SUMIF(الجدول17[كود الصنف],A42,الجدول17[العدد])+SUMIF(الجدول18[كود الصنف],A42,الجدول18[العدد])+SUMIF(الجدول19[كود الصنف],A42,الجدول19[العدد])+SUMIF(الجدول20[كود الصنف],A42,الجدول20[العدد])+SUMIF(الجدول21[كود الصنف],A42,الجدول21[العدد])+SUMIF(الجدول22[كود الصنف],A42,الجدول22[العدد])+SUMIF(الجدول23[كود الصنف],A42,الجدول23[العدد])+SUMIF(الجدول24[كود الصنف],A42,الجدول24[العدد])+SUMIF(الجدول25[كود الصنف],A42,الجدول25[العدد])+SUMIF(الجدول26[كود الصنف],A42,الجدول26[العدد])+SUMIF(الجدول27[كود الصنف],A42,الجدول27[العدد])+SUMIF(الجدول28[كود الصنف],A42,الجدول28[العدد])+SUMIF(الجدول29[كود الصنف],A42,الجدول29[العدد])+SUMIF(الجدول30[كود الصنف],A42,الجدول30[العدد])+SUMIF(الجدول31[كود الصنف],A42,الجدول31[العدد])</f>
        <v>0</v>
      </c>
      <c r="I42" s="47">
        <f ca="1">SUMIF('تكويد الأصناف'!K:N,A42,'تكويد الأصناف'!M:M)</f>
        <v>0</v>
      </c>
      <c r="J42" s="47">
        <f ca="1">SUMIF('تكويد الأصناف'!K:N,A42,'تكويد الأصناف'!N:N)</f>
        <v>0</v>
      </c>
      <c r="K42" s="47">
        <f ca="1">SUMIF('الوارد والمرتجع'!J:M,A42,'الوارد والمرتجع'!M:M)</f>
        <v>0</v>
      </c>
      <c r="L42" s="47">
        <f t="shared" ca="1" si="0"/>
        <v>0</v>
      </c>
    </row>
    <row r="43" spans="1:23" ht="17.25" hidden="1" customHeight="1" x14ac:dyDescent="0.2">
      <c r="A43" s="103">
        <v>1039</v>
      </c>
      <c r="B43" s="104">
        <f>VLOOKUP(A43,'تكويد الأصناف'!A:F,3,0)</f>
        <v>1</v>
      </c>
      <c r="C43" s="105">
        <f>VLOOKUP(A43,'تكويد الأصناف'!A:F,6,0)</f>
        <v>0</v>
      </c>
      <c r="D43" s="106">
        <f>VLOOKUP(A43,'تكويد الأصناف'!A:F,5,0)</f>
        <v>0</v>
      </c>
      <c r="E43" s="107">
        <f>VLOOKUP(A43,'تكويد الأصناف'!A:F,4,1)</f>
        <v>0</v>
      </c>
      <c r="F43" s="47">
        <v>0</v>
      </c>
      <c r="G43" s="47">
        <f ca="1">SUMIF('الوارد والمرتجع'!B:F,A43,'الوارد والمرتجع'!E:E)</f>
        <v>0</v>
      </c>
      <c r="H43" s="108">
        <f>SUMIF(الجدول1[كود الصنف],A43,الجدول1[العدد])+SUMIF(الجدول2[كود الصنف],A43,الجدول2[العدد])+SUMIF(الجدول3[كود الصنف],A43,الجدول3[العدد])+SUMIF(الجدول4[كود الصنف],A43,الجدول4[العدد])+SUMIF(الجدول5[كود الصنف],A43,الجدول5[العدد])+SUMIF(الجدول6[كود الصنف],A43,الجدول6[العدد])+SUMIF(الجدول7[كود الصنف],A43,الجدول7[العدد])+SUMIF(الجدول8[كود الصنف],A43,الجدول8[العدد])+SUMIF(الجدول9[كود الصنف],A43,الجدول9[العدد])+SUMIF(الجدول10[كود الصنف],A43,الجدول10[العدد])+SUMIF(الجدول11[كود الصنف],A43,الجدول11[العدد])+SUMIF(الجدول12[كود الصنف],A43,الجدول12[العدد])+SUMIF(الجدول13[كود الصنف],A43,الجدول13[العدد])+SUMIF(الجدول14[كود الصنف],A43,الجدول14[العدد])+SUMIF(الجدول15[كود الصنف],A43,الجدول15[العدد])+SUMIF(الجدول16[كود الصنف],A43,الجدول16[العدد])+SUMIF(الجدول17[كود الصنف],A43,الجدول17[العدد])+SUMIF(الجدول18[كود الصنف],A43,الجدول18[العدد])+SUMIF(الجدول19[كود الصنف],A43,الجدول19[العدد])+SUMIF(الجدول20[كود الصنف],A43,الجدول20[العدد])+SUMIF(الجدول21[كود الصنف],A43,الجدول21[العدد])+SUMIF(الجدول22[كود الصنف],A43,الجدول22[العدد])+SUMIF(الجدول23[كود الصنف],A43,الجدول23[العدد])+SUMIF(الجدول24[كود الصنف],A43,الجدول24[العدد])+SUMIF(الجدول25[كود الصنف],A43,الجدول25[العدد])+SUMIF(الجدول26[كود الصنف],A43,الجدول26[العدد])+SUMIF(الجدول27[كود الصنف],A43,الجدول27[العدد])+SUMIF(الجدول28[كود الصنف],A43,الجدول28[العدد])+SUMIF(الجدول29[كود الصنف],A43,الجدول29[العدد])+SUMIF(الجدول30[كود الصنف],A43,الجدول30[العدد])+SUMIF(الجدول31[كود الصنف],A43,الجدول31[العدد])</f>
        <v>0</v>
      </c>
      <c r="I43" s="47">
        <f ca="1">SUMIF('تكويد الأصناف'!K:N,A43,'تكويد الأصناف'!M:M)</f>
        <v>0</v>
      </c>
      <c r="J43" s="47">
        <f ca="1">SUMIF('تكويد الأصناف'!K:N,A43,'تكويد الأصناف'!N:N)</f>
        <v>0</v>
      </c>
      <c r="K43" s="47">
        <f ca="1">SUMIF('الوارد والمرتجع'!J:M,A43,'الوارد والمرتجع'!M:M)</f>
        <v>0</v>
      </c>
      <c r="L43" s="47">
        <f t="shared" ca="1" si="0"/>
        <v>0</v>
      </c>
    </row>
    <row r="44" spans="1:23" ht="17.25" hidden="1" customHeight="1" x14ac:dyDescent="0.2">
      <c r="A44" s="103">
        <v>1040</v>
      </c>
      <c r="B44" s="104">
        <f>VLOOKUP(A44,'تكويد الأصناف'!A:F,3,0)</f>
        <v>1</v>
      </c>
      <c r="C44" s="105">
        <f>VLOOKUP(A44,'تكويد الأصناف'!A:F,6,0)</f>
        <v>0</v>
      </c>
      <c r="D44" s="106">
        <f>VLOOKUP(A44,'تكويد الأصناف'!A:F,5,0)</f>
        <v>0</v>
      </c>
      <c r="E44" s="107">
        <f>VLOOKUP(A44,'تكويد الأصناف'!A:F,4,1)</f>
        <v>0</v>
      </c>
      <c r="F44" s="47">
        <v>0</v>
      </c>
      <c r="G44" s="47">
        <f ca="1">SUMIF('الوارد والمرتجع'!B:F,A44,'الوارد والمرتجع'!E:E)</f>
        <v>0</v>
      </c>
      <c r="H44" s="108">
        <f>SUMIF(الجدول1[كود الصنف],A44,الجدول1[العدد])+SUMIF(الجدول2[كود الصنف],A44,الجدول2[العدد])+SUMIF(الجدول3[كود الصنف],A44,الجدول3[العدد])+SUMIF(الجدول4[كود الصنف],A44,الجدول4[العدد])+SUMIF(الجدول5[كود الصنف],A44,الجدول5[العدد])+SUMIF(الجدول6[كود الصنف],A44,الجدول6[العدد])+SUMIF(الجدول7[كود الصنف],A44,الجدول7[العدد])+SUMIF(الجدول8[كود الصنف],A44,الجدول8[العدد])+SUMIF(الجدول9[كود الصنف],A44,الجدول9[العدد])+SUMIF(الجدول10[كود الصنف],A44,الجدول10[العدد])+SUMIF(الجدول11[كود الصنف],A44,الجدول11[العدد])+SUMIF(الجدول12[كود الصنف],A44,الجدول12[العدد])+SUMIF(الجدول13[كود الصنف],A44,الجدول13[العدد])+SUMIF(الجدول14[كود الصنف],A44,الجدول14[العدد])+SUMIF(الجدول15[كود الصنف],A44,الجدول15[العدد])+SUMIF(الجدول16[كود الصنف],A44,الجدول16[العدد])+SUMIF(الجدول17[كود الصنف],A44,الجدول17[العدد])+SUMIF(الجدول18[كود الصنف],A44,الجدول18[العدد])+SUMIF(الجدول19[كود الصنف],A44,الجدول19[العدد])+SUMIF(الجدول20[كود الصنف],A44,الجدول20[العدد])+SUMIF(الجدول21[كود الصنف],A44,الجدول21[العدد])+SUMIF(الجدول22[كود الصنف],A44,الجدول22[العدد])+SUMIF(الجدول23[كود الصنف],A44,الجدول23[العدد])+SUMIF(الجدول24[كود الصنف],A44,الجدول24[العدد])+SUMIF(الجدول25[كود الصنف],A44,الجدول25[العدد])+SUMIF(الجدول26[كود الصنف],A44,الجدول26[العدد])+SUMIF(الجدول27[كود الصنف],A44,الجدول27[العدد])+SUMIF(الجدول28[كود الصنف],A44,الجدول28[العدد])+SUMIF(الجدول29[كود الصنف],A44,الجدول29[العدد])+SUMIF(الجدول30[كود الصنف],A44,الجدول30[العدد])+SUMIF(الجدول31[كود الصنف],A44,الجدول31[العدد])</f>
        <v>0</v>
      </c>
      <c r="I44" s="47">
        <f ca="1">SUMIF('تكويد الأصناف'!K:N,A44,'تكويد الأصناف'!M:M)</f>
        <v>0</v>
      </c>
      <c r="J44" s="47">
        <f ca="1">SUMIF('تكويد الأصناف'!K:N,A44,'تكويد الأصناف'!N:N)</f>
        <v>0</v>
      </c>
      <c r="K44" s="47">
        <f ca="1">SUMIF('الوارد والمرتجع'!J:M,A44,'الوارد والمرتجع'!M:M)</f>
        <v>0</v>
      </c>
      <c r="L44" s="47">
        <f t="shared" ca="1" si="0"/>
        <v>0</v>
      </c>
    </row>
    <row r="45" spans="1:23" ht="17.25" hidden="1" customHeight="1" x14ac:dyDescent="0.2">
      <c r="A45" s="103">
        <v>1041</v>
      </c>
      <c r="B45" s="104">
        <f>VLOOKUP(A45,'تكويد الأصناف'!A:F,3,0)</f>
        <v>1</v>
      </c>
      <c r="C45" s="105">
        <f>VLOOKUP(A45,'تكويد الأصناف'!A:F,6,0)</f>
        <v>0</v>
      </c>
      <c r="D45" s="106">
        <f>VLOOKUP(A45,'تكويد الأصناف'!A:F,5,0)</f>
        <v>0</v>
      </c>
      <c r="E45" s="107">
        <f>VLOOKUP(A45,'تكويد الأصناف'!A:F,4,1)</f>
        <v>0</v>
      </c>
      <c r="F45" s="47">
        <v>0</v>
      </c>
      <c r="G45" s="47">
        <f ca="1">SUMIF('الوارد والمرتجع'!B:F,A45,'الوارد والمرتجع'!E:E)</f>
        <v>0</v>
      </c>
      <c r="H45" s="108">
        <f>SUMIF(الجدول1[كود الصنف],A45,الجدول1[العدد])+SUMIF(الجدول2[كود الصنف],A45,الجدول2[العدد])+SUMIF(الجدول3[كود الصنف],A45,الجدول3[العدد])+SUMIF(الجدول4[كود الصنف],A45,الجدول4[العدد])+SUMIF(الجدول5[كود الصنف],A45,الجدول5[العدد])+SUMIF(الجدول6[كود الصنف],A45,الجدول6[العدد])+SUMIF(الجدول7[كود الصنف],A45,الجدول7[العدد])+SUMIF(الجدول8[كود الصنف],A45,الجدول8[العدد])+SUMIF(الجدول9[كود الصنف],A45,الجدول9[العدد])+SUMIF(الجدول10[كود الصنف],A45,الجدول10[العدد])+SUMIF(الجدول11[كود الصنف],A45,الجدول11[العدد])+SUMIF(الجدول12[كود الصنف],A45,الجدول12[العدد])+SUMIF(الجدول13[كود الصنف],A45,الجدول13[العدد])+SUMIF(الجدول14[كود الصنف],A45,الجدول14[العدد])+SUMIF(الجدول15[كود الصنف],A45,الجدول15[العدد])+SUMIF(الجدول16[كود الصنف],A45,الجدول16[العدد])+SUMIF(الجدول17[كود الصنف],A45,الجدول17[العدد])+SUMIF(الجدول18[كود الصنف],A45,الجدول18[العدد])+SUMIF(الجدول19[كود الصنف],A45,الجدول19[العدد])+SUMIF(الجدول20[كود الصنف],A45,الجدول20[العدد])+SUMIF(الجدول21[كود الصنف],A45,الجدول21[العدد])+SUMIF(الجدول22[كود الصنف],A45,الجدول22[العدد])+SUMIF(الجدول23[كود الصنف],A45,الجدول23[العدد])+SUMIF(الجدول24[كود الصنف],A45,الجدول24[العدد])+SUMIF(الجدول25[كود الصنف],A45,الجدول25[العدد])+SUMIF(الجدول26[كود الصنف],A45,الجدول26[العدد])+SUMIF(الجدول27[كود الصنف],A45,الجدول27[العدد])+SUMIF(الجدول28[كود الصنف],A45,الجدول28[العدد])+SUMIF(الجدول29[كود الصنف],A45,الجدول29[العدد])+SUMIF(الجدول30[كود الصنف],A45,الجدول30[العدد])+SUMIF(الجدول31[كود الصنف],A45,الجدول31[العدد])</f>
        <v>0</v>
      </c>
      <c r="I45" s="47">
        <f ca="1">SUMIF('تكويد الأصناف'!K:N,A45,'تكويد الأصناف'!M:M)</f>
        <v>0</v>
      </c>
      <c r="J45" s="47">
        <f ca="1">SUMIF('تكويد الأصناف'!K:N,A45,'تكويد الأصناف'!N:N)</f>
        <v>0</v>
      </c>
      <c r="K45" s="47">
        <f ca="1">SUMIF('الوارد والمرتجع'!J:M,A45,'الوارد والمرتجع'!M:M)</f>
        <v>0</v>
      </c>
      <c r="L45" s="47">
        <f t="shared" ca="1" si="0"/>
        <v>0</v>
      </c>
    </row>
    <row r="46" spans="1:23" ht="17.25" hidden="1" customHeight="1" x14ac:dyDescent="0.2">
      <c r="A46" s="103">
        <v>1042</v>
      </c>
      <c r="B46" s="104">
        <f>VLOOKUP(A46,'تكويد الأصناف'!A:F,3,0)</f>
        <v>1</v>
      </c>
      <c r="C46" s="105">
        <f>VLOOKUP(A46,'تكويد الأصناف'!A:F,6,0)</f>
        <v>0</v>
      </c>
      <c r="D46" s="106">
        <f>VLOOKUP(A46,'تكويد الأصناف'!A:F,5,0)</f>
        <v>0</v>
      </c>
      <c r="E46" s="107">
        <f>VLOOKUP(A46,'تكويد الأصناف'!A:F,4,1)</f>
        <v>0</v>
      </c>
      <c r="F46" s="47">
        <v>0</v>
      </c>
      <c r="G46" s="47">
        <f ca="1">SUMIF('الوارد والمرتجع'!B:F,A46,'الوارد والمرتجع'!E:E)</f>
        <v>0</v>
      </c>
      <c r="H46" s="108">
        <f>SUMIF(الجدول1[كود الصنف],A46,الجدول1[العدد])+SUMIF(الجدول2[كود الصنف],A46,الجدول2[العدد])+SUMIF(الجدول3[كود الصنف],A46,الجدول3[العدد])+SUMIF(الجدول4[كود الصنف],A46,الجدول4[العدد])+SUMIF(الجدول5[كود الصنف],A46,الجدول5[العدد])+SUMIF(الجدول6[كود الصنف],A46,الجدول6[العدد])+SUMIF(الجدول7[كود الصنف],A46,الجدول7[العدد])+SUMIF(الجدول8[كود الصنف],A46,الجدول8[العدد])+SUMIF(الجدول9[كود الصنف],A46,الجدول9[العدد])+SUMIF(الجدول10[كود الصنف],A46,الجدول10[العدد])+SUMIF(الجدول11[كود الصنف],A46,الجدول11[العدد])+SUMIF(الجدول12[كود الصنف],A46,الجدول12[العدد])+SUMIF(الجدول13[كود الصنف],A46,الجدول13[العدد])+SUMIF(الجدول14[كود الصنف],A46,الجدول14[العدد])+SUMIF(الجدول15[كود الصنف],A46,الجدول15[العدد])+SUMIF(الجدول16[كود الصنف],A46,الجدول16[العدد])+SUMIF(الجدول17[كود الصنف],A46,الجدول17[العدد])+SUMIF(الجدول18[كود الصنف],A46,الجدول18[العدد])+SUMIF(الجدول19[كود الصنف],A46,الجدول19[العدد])+SUMIF(الجدول20[كود الصنف],A46,الجدول20[العدد])+SUMIF(الجدول21[كود الصنف],A46,الجدول21[العدد])+SUMIF(الجدول22[كود الصنف],A46,الجدول22[العدد])+SUMIF(الجدول23[كود الصنف],A46,الجدول23[العدد])+SUMIF(الجدول24[كود الصنف],A46,الجدول24[العدد])+SUMIF(الجدول25[كود الصنف],A46,الجدول25[العدد])+SUMIF(الجدول26[كود الصنف],A46,الجدول26[العدد])+SUMIF(الجدول27[كود الصنف],A46,الجدول27[العدد])+SUMIF(الجدول28[كود الصنف],A46,الجدول28[العدد])+SUMIF(الجدول29[كود الصنف],A46,الجدول29[العدد])+SUMIF(الجدول30[كود الصنف],A46,الجدول30[العدد])+SUMIF(الجدول31[كود الصنف],A46,الجدول31[العدد])</f>
        <v>0</v>
      </c>
      <c r="I46" s="47">
        <f ca="1">SUMIF('تكويد الأصناف'!K:N,A46,'تكويد الأصناف'!M:M)</f>
        <v>0</v>
      </c>
      <c r="J46" s="47">
        <f ca="1">SUMIF('تكويد الأصناف'!K:N,A46,'تكويد الأصناف'!N:N)</f>
        <v>0</v>
      </c>
      <c r="K46" s="47">
        <f ca="1">SUMIF('الوارد والمرتجع'!J:M,A46,'الوارد والمرتجع'!M:M)</f>
        <v>0</v>
      </c>
      <c r="L46" s="47">
        <f t="shared" ca="1" si="0"/>
        <v>0</v>
      </c>
    </row>
    <row r="47" spans="1:23" ht="17.25" hidden="1" customHeight="1" x14ac:dyDescent="0.2">
      <c r="A47" s="103">
        <v>1043</v>
      </c>
      <c r="B47" s="104">
        <f>VLOOKUP(A47,'تكويد الأصناف'!A:F,3,0)</f>
        <v>1</v>
      </c>
      <c r="C47" s="105">
        <f>VLOOKUP(A47,'تكويد الأصناف'!A:F,6,0)</f>
        <v>0</v>
      </c>
      <c r="D47" s="106">
        <f>VLOOKUP(A47,'تكويد الأصناف'!A:F,5,0)</f>
        <v>0</v>
      </c>
      <c r="E47" s="107">
        <f>VLOOKUP(A47,'تكويد الأصناف'!A:F,4,1)</f>
        <v>0</v>
      </c>
      <c r="F47" s="47">
        <v>0</v>
      </c>
      <c r="G47" s="47">
        <f ca="1">SUMIF('الوارد والمرتجع'!B:F,A47,'الوارد والمرتجع'!E:E)</f>
        <v>0</v>
      </c>
      <c r="H47" s="108">
        <f>SUMIF(الجدول1[كود الصنف],A47,الجدول1[العدد])+SUMIF(الجدول2[كود الصنف],A47,الجدول2[العدد])+SUMIF(الجدول3[كود الصنف],A47,الجدول3[العدد])+SUMIF(الجدول4[كود الصنف],A47,الجدول4[العدد])+SUMIF(الجدول5[كود الصنف],A47,الجدول5[العدد])+SUMIF(الجدول6[كود الصنف],A47,الجدول6[العدد])+SUMIF(الجدول7[كود الصنف],A47,الجدول7[العدد])+SUMIF(الجدول8[كود الصنف],A47,الجدول8[العدد])+SUMIF(الجدول9[كود الصنف],A47,الجدول9[العدد])+SUMIF(الجدول10[كود الصنف],A47,الجدول10[العدد])+SUMIF(الجدول11[كود الصنف],A47,الجدول11[العدد])+SUMIF(الجدول12[كود الصنف],A47,الجدول12[العدد])+SUMIF(الجدول13[كود الصنف],A47,الجدول13[العدد])+SUMIF(الجدول14[كود الصنف],A47,الجدول14[العدد])+SUMIF(الجدول15[كود الصنف],A47,الجدول15[العدد])+SUMIF(الجدول16[كود الصنف],A47,الجدول16[العدد])+SUMIF(الجدول17[كود الصنف],A47,الجدول17[العدد])+SUMIF(الجدول18[كود الصنف],A47,الجدول18[العدد])+SUMIF(الجدول19[كود الصنف],A47,الجدول19[العدد])+SUMIF(الجدول20[كود الصنف],A47,الجدول20[العدد])+SUMIF(الجدول21[كود الصنف],A47,الجدول21[العدد])+SUMIF(الجدول22[كود الصنف],A47,الجدول22[العدد])+SUMIF(الجدول23[كود الصنف],A47,الجدول23[العدد])+SUMIF(الجدول24[كود الصنف],A47,الجدول24[العدد])+SUMIF(الجدول25[كود الصنف],A47,الجدول25[العدد])+SUMIF(الجدول26[كود الصنف],A47,الجدول26[العدد])+SUMIF(الجدول27[كود الصنف],A47,الجدول27[العدد])+SUMIF(الجدول28[كود الصنف],A47,الجدول28[العدد])+SUMIF(الجدول29[كود الصنف],A47,الجدول29[العدد])+SUMIF(الجدول30[كود الصنف],A47,الجدول30[العدد])+SUMIF(الجدول31[كود الصنف],A47,الجدول31[العدد])</f>
        <v>0</v>
      </c>
      <c r="I47" s="47">
        <f ca="1">SUMIF('تكويد الأصناف'!K:N,A47,'تكويد الأصناف'!M:M)</f>
        <v>0</v>
      </c>
      <c r="J47" s="47">
        <f ca="1">SUMIF('تكويد الأصناف'!K:N,A47,'تكويد الأصناف'!N:N)</f>
        <v>0</v>
      </c>
      <c r="K47" s="47">
        <f ca="1">SUMIF('الوارد والمرتجع'!J:M,A47,'الوارد والمرتجع'!M:M)</f>
        <v>0</v>
      </c>
      <c r="L47" s="47">
        <f t="shared" ca="1" si="0"/>
        <v>0</v>
      </c>
    </row>
    <row r="48" spans="1:23" ht="17.25" hidden="1" customHeight="1" x14ac:dyDescent="0.2">
      <c r="A48" s="103">
        <v>1044</v>
      </c>
      <c r="B48" s="104">
        <f>VLOOKUP(A48,'تكويد الأصناف'!A:F,3,0)</f>
        <v>1</v>
      </c>
      <c r="C48" s="105">
        <f>VLOOKUP(A48,'تكويد الأصناف'!A:F,6,0)</f>
        <v>0</v>
      </c>
      <c r="D48" s="106">
        <f>VLOOKUP(A48,'تكويد الأصناف'!A:F,5,0)</f>
        <v>0</v>
      </c>
      <c r="E48" s="107">
        <f>VLOOKUP(A48,'تكويد الأصناف'!A:F,4,1)</f>
        <v>0</v>
      </c>
      <c r="F48" s="47">
        <v>0</v>
      </c>
      <c r="G48" s="47">
        <f ca="1">SUMIF('الوارد والمرتجع'!B:F,A48,'الوارد والمرتجع'!E:E)</f>
        <v>0</v>
      </c>
      <c r="H48" s="108">
        <f>SUMIF(الجدول1[كود الصنف],A48,الجدول1[العدد])+SUMIF(الجدول2[كود الصنف],A48,الجدول2[العدد])+SUMIF(الجدول3[كود الصنف],A48,الجدول3[العدد])+SUMIF(الجدول4[كود الصنف],A48,الجدول4[العدد])+SUMIF(الجدول5[كود الصنف],A48,الجدول5[العدد])+SUMIF(الجدول6[كود الصنف],A48,الجدول6[العدد])+SUMIF(الجدول7[كود الصنف],A48,الجدول7[العدد])+SUMIF(الجدول8[كود الصنف],A48,الجدول8[العدد])+SUMIF(الجدول9[كود الصنف],A48,الجدول9[العدد])+SUMIF(الجدول10[كود الصنف],A48,الجدول10[العدد])+SUMIF(الجدول11[كود الصنف],A48,الجدول11[العدد])+SUMIF(الجدول12[كود الصنف],A48,الجدول12[العدد])+SUMIF(الجدول13[كود الصنف],A48,الجدول13[العدد])+SUMIF(الجدول14[كود الصنف],A48,الجدول14[العدد])+SUMIF(الجدول15[كود الصنف],A48,الجدول15[العدد])+SUMIF(الجدول16[كود الصنف],A48,الجدول16[العدد])+SUMIF(الجدول17[كود الصنف],A48,الجدول17[العدد])+SUMIF(الجدول18[كود الصنف],A48,الجدول18[العدد])+SUMIF(الجدول19[كود الصنف],A48,الجدول19[العدد])+SUMIF(الجدول20[كود الصنف],A48,الجدول20[العدد])+SUMIF(الجدول21[كود الصنف],A48,الجدول21[العدد])+SUMIF(الجدول22[كود الصنف],A48,الجدول22[العدد])+SUMIF(الجدول23[كود الصنف],A48,الجدول23[العدد])+SUMIF(الجدول24[كود الصنف],A48,الجدول24[العدد])+SUMIF(الجدول25[كود الصنف],A48,الجدول25[العدد])+SUMIF(الجدول26[كود الصنف],A48,الجدول26[العدد])+SUMIF(الجدول27[كود الصنف],A48,الجدول27[العدد])+SUMIF(الجدول28[كود الصنف],A48,الجدول28[العدد])+SUMIF(الجدول29[كود الصنف],A48,الجدول29[العدد])+SUMIF(الجدول30[كود الصنف],A48,الجدول30[العدد])+SUMIF(الجدول31[كود الصنف],A48,الجدول31[العدد])</f>
        <v>0</v>
      </c>
      <c r="I48" s="47">
        <f ca="1">SUMIF('تكويد الأصناف'!K:N,A48,'تكويد الأصناف'!M:M)</f>
        <v>0</v>
      </c>
      <c r="J48" s="47">
        <f ca="1">SUMIF('تكويد الأصناف'!K:N,A48,'تكويد الأصناف'!N:N)</f>
        <v>0</v>
      </c>
      <c r="K48" s="47">
        <f ca="1">SUMIF('الوارد والمرتجع'!J:M,A48,'الوارد والمرتجع'!M:M)</f>
        <v>0</v>
      </c>
      <c r="L48" s="47">
        <f t="shared" ca="1" si="0"/>
        <v>0</v>
      </c>
    </row>
    <row r="49" spans="1:23" ht="17.25" hidden="1" customHeight="1" x14ac:dyDescent="0.2">
      <c r="A49" s="103">
        <v>1045</v>
      </c>
      <c r="B49" s="104">
        <f>VLOOKUP(A49,'تكويد الأصناف'!A:F,3,0)</f>
        <v>1</v>
      </c>
      <c r="C49" s="105">
        <f>VLOOKUP(A49,'تكويد الأصناف'!A:F,6,0)</f>
        <v>0</v>
      </c>
      <c r="D49" s="106">
        <f>VLOOKUP(A49,'تكويد الأصناف'!A:F,5,0)</f>
        <v>0</v>
      </c>
      <c r="E49" s="107">
        <f>VLOOKUP(A49,'تكويد الأصناف'!A:F,4,1)</f>
        <v>0</v>
      </c>
      <c r="F49" s="47">
        <v>0</v>
      </c>
      <c r="G49" s="47">
        <f ca="1">SUMIF('الوارد والمرتجع'!B:F,A49,'الوارد والمرتجع'!E:E)</f>
        <v>0</v>
      </c>
      <c r="H49" s="108">
        <f>SUMIF(الجدول1[كود الصنف],A49,الجدول1[العدد])+SUMIF(الجدول2[كود الصنف],A49,الجدول2[العدد])+SUMIF(الجدول3[كود الصنف],A49,الجدول3[العدد])+SUMIF(الجدول4[كود الصنف],A49,الجدول4[العدد])+SUMIF(الجدول5[كود الصنف],A49,الجدول5[العدد])+SUMIF(الجدول6[كود الصنف],A49,الجدول6[العدد])+SUMIF(الجدول7[كود الصنف],A49,الجدول7[العدد])+SUMIF(الجدول8[كود الصنف],A49,الجدول8[العدد])+SUMIF(الجدول9[كود الصنف],A49,الجدول9[العدد])+SUMIF(الجدول10[كود الصنف],A49,الجدول10[العدد])+SUMIF(الجدول11[كود الصنف],A49,الجدول11[العدد])+SUMIF(الجدول12[كود الصنف],A49,الجدول12[العدد])+SUMIF(الجدول13[كود الصنف],A49,الجدول13[العدد])+SUMIF(الجدول14[كود الصنف],A49,الجدول14[العدد])+SUMIF(الجدول15[كود الصنف],A49,الجدول15[العدد])+SUMIF(الجدول16[كود الصنف],A49,الجدول16[العدد])+SUMIF(الجدول17[كود الصنف],A49,الجدول17[العدد])+SUMIF(الجدول18[كود الصنف],A49,الجدول18[العدد])+SUMIF(الجدول19[كود الصنف],A49,الجدول19[العدد])+SUMIF(الجدول20[كود الصنف],A49,الجدول20[العدد])+SUMIF(الجدول21[كود الصنف],A49,الجدول21[العدد])+SUMIF(الجدول22[كود الصنف],A49,الجدول22[العدد])+SUMIF(الجدول23[كود الصنف],A49,الجدول23[العدد])+SUMIF(الجدول24[كود الصنف],A49,الجدول24[العدد])+SUMIF(الجدول25[كود الصنف],A49,الجدول25[العدد])+SUMIF(الجدول26[كود الصنف],A49,الجدول26[العدد])+SUMIF(الجدول27[كود الصنف],A49,الجدول27[العدد])+SUMIF(الجدول28[كود الصنف],A49,الجدول28[العدد])+SUMIF(الجدول29[كود الصنف],A49,الجدول29[العدد])+SUMIF(الجدول30[كود الصنف],A49,الجدول30[العدد])+SUMIF(الجدول31[كود الصنف],A49,الجدول31[العدد])</f>
        <v>0</v>
      </c>
      <c r="I49" s="47">
        <f ca="1">SUMIF('تكويد الأصناف'!K:N,A49,'تكويد الأصناف'!M:M)</f>
        <v>0</v>
      </c>
      <c r="J49" s="47">
        <f ca="1">SUMIF('تكويد الأصناف'!K:N,A49,'تكويد الأصناف'!N:N)</f>
        <v>0</v>
      </c>
      <c r="K49" s="47">
        <f ca="1">SUMIF('الوارد والمرتجع'!J:M,A49,'الوارد والمرتجع'!M:M)</f>
        <v>0</v>
      </c>
      <c r="L49" s="47">
        <f t="shared" ca="1" si="0"/>
        <v>0</v>
      </c>
    </row>
    <row r="50" spans="1:23" customFormat="1" ht="15" hidden="1" x14ac:dyDescent="0.2">
      <c r="A50" s="41">
        <v>1046</v>
      </c>
      <c r="B50" s="44">
        <f>VLOOKUP(A50,'تكويد الأصناف'!A:F,3,0)</f>
        <v>1</v>
      </c>
      <c r="C50" s="45">
        <f>VLOOKUP(A50,'تكويد الأصناف'!A:F,6,0)</f>
        <v>0</v>
      </c>
      <c r="D50" s="46">
        <f>VLOOKUP(A50,'تكويد الأصناف'!A:F,5,0)</f>
        <v>0</v>
      </c>
      <c r="E50" s="42">
        <f>VLOOKUP(A50,'تكويد الأصناف'!A:F,4,1)</f>
        <v>0</v>
      </c>
      <c r="F50" s="43">
        <v>0</v>
      </c>
      <c r="G50" s="43">
        <f ca="1">SUMIF('الوارد والمرتجع'!B:F,A50,'الوارد والمرتجع'!E:E)</f>
        <v>0</v>
      </c>
      <c r="H50" s="58">
        <f>SUMIF(الجدول1[كود الصنف],A50,الجدول1[العدد])+SUMIF(الجدول2[كود الصنف],A50,الجدول2[العدد])+SUMIF(الجدول3[كود الصنف],A50,الجدول3[العدد])+SUMIF(الجدول4[كود الصنف],A50,الجدول4[العدد])+SUMIF(الجدول5[كود الصنف],A50,الجدول5[العدد])+SUMIF(الجدول6[كود الصنف],A50,الجدول6[العدد])+SUMIF(الجدول7[كود الصنف],A50,الجدول7[العدد])+SUMIF(الجدول8[كود الصنف],A50,الجدول8[العدد])+SUMIF(الجدول9[كود الصنف],A50,الجدول9[العدد])+SUMIF(الجدول10[كود الصنف],A50,الجدول10[العدد])+SUMIF(الجدول11[كود الصنف],A50,الجدول11[العدد])+SUMIF(الجدول12[كود الصنف],A50,الجدول12[العدد])+SUMIF(الجدول13[كود الصنف],A50,الجدول13[العدد])+SUMIF(الجدول14[كود الصنف],A50,الجدول14[العدد])+SUMIF(الجدول15[كود الصنف],A50,الجدول15[العدد])+SUMIF(الجدول16[كود الصنف],A50,الجدول16[العدد])+SUMIF(الجدول17[كود الصنف],A50,الجدول17[العدد])+SUMIF(الجدول18[كود الصنف],A50,الجدول18[العدد])+SUMIF(الجدول19[كود الصنف],A50,الجدول19[العدد])+SUMIF(الجدول20[كود الصنف],A50,الجدول20[العدد])+SUMIF(الجدول21[كود الصنف],A50,الجدول21[العدد])+SUMIF(الجدول22[كود الصنف],A50,الجدول22[العدد])+SUMIF(الجدول23[كود الصنف],A50,الجدول23[العدد])+SUMIF(الجدول24[كود الصنف],A50,الجدول24[العدد])+SUMIF(الجدول25[كود الصنف],A50,الجدول25[العدد])+SUMIF(الجدول26[كود الصنف],A50,الجدول26[العدد])+SUMIF(الجدول27[كود الصنف],A50,الجدول27[العدد])+SUMIF(الجدول28[كود الصنف],A50,الجدول28[العدد])+SUMIF(الجدول29[كود الصنف],A50,الجدول29[العدد])+SUMIF(الجدول30[كود الصنف],A50,الجدول30[العدد])+SUMIF(الجدول31[كود الصنف],A50,الجدول31[العدد])</f>
        <v>0</v>
      </c>
      <c r="I50" s="47">
        <f ca="1">SUMIF('تكويد الأصناف'!K:N,A50,'تكويد الأصناف'!M:M)</f>
        <v>0</v>
      </c>
      <c r="J50" s="47">
        <f ca="1">SUMIF('تكويد الأصناف'!K:N,A50,'تكويد الأصناف'!N:N)</f>
        <v>0</v>
      </c>
      <c r="K50" s="43">
        <f ca="1">SUMIF('الوارد والمرتجع'!J:M,A50,'الوارد والمرتجع'!M:M)</f>
        <v>0</v>
      </c>
      <c r="L50" s="43">
        <f t="shared" ca="1" si="0"/>
        <v>0</v>
      </c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</row>
    <row r="51" spans="1:23" customFormat="1" ht="15" hidden="1" x14ac:dyDescent="0.2">
      <c r="A51" s="41">
        <v>1047</v>
      </c>
      <c r="B51" s="44">
        <f>VLOOKUP(A51,'تكويد الأصناف'!A:F,3,0)</f>
        <v>1</v>
      </c>
      <c r="C51" s="45">
        <f>VLOOKUP(A51,'تكويد الأصناف'!A:F,6,0)</f>
        <v>0</v>
      </c>
      <c r="D51" s="46">
        <f>VLOOKUP(A51,'تكويد الأصناف'!A:F,5,0)</f>
        <v>0</v>
      </c>
      <c r="E51" s="42">
        <f>VLOOKUP(A51,'تكويد الأصناف'!A:F,4,1)</f>
        <v>0</v>
      </c>
      <c r="F51" s="43">
        <v>0</v>
      </c>
      <c r="G51" s="43">
        <f ca="1">SUMIF('الوارد والمرتجع'!B:F,A51,'الوارد والمرتجع'!E:E)</f>
        <v>0</v>
      </c>
      <c r="H51" s="58">
        <f>SUMIF(الجدول1[كود الصنف],A51,الجدول1[العدد])+SUMIF(الجدول2[كود الصنف],A51,الجدول2[العدد])+SUMIF(الجدول3[كود الصنف],A51,الجدول3[العدد])+SUMIF(الجدول4[كود الصنف],A51,الجدول4[العدد])+SUMIF(الجدول5[كود الصنف],A51,الجدول5[العدد])+SUMIF(الجدول6[كود الصنف],A51,الجدول6[العدد])+SUMIF(الجدول7[كود الصنف],A51,الجدول7[العدد])+SUMIF(الجدول8[كود الصنف],A51,الجدول8[العدد])+SUMIF(الجدول9[كود الصنف],A51,الجدول9[العدد])+SUMIF(الجدول10[كود الصنف],A51,الجدول10[العدد])+SUMIF(الجدول11[كود الصنف],A51,الجدول11[العدد])+SUMIF(الجدول12[كود الصنف],A51,الجدول12[العدد])+SUMIF(الجدول13[كود الصنف],A51,الجدول13[العدد])+SUMIF(الجدول14[كود الصنف],A51,الجدول14[العدد])+SUMIF(الجدول15[كود الصنف],A51,الجدول15[العدد])+SUMIF(الجدول16[كود الصنف],A51,الجدول16[العدد])+SUMIF(الجدول17[كود الصنف],A51,الجدول17[العدد])+SUMIF(الجدول18[كود الصنف],A51,الجدول18[العدد])+SUMIF(الجدول19[كود الصنف],A51,الجدول19[العدد])+SUMIF(الجدول20[كود الصنف],A51,الجدول20[العدد])+SUMIF(الجدول21[كود الصنف],A51,الجدول21[العدد])+SUMIF(الجدول22[كود الصنف],A51,الجدول22[العدد])+SUMIF(الجدول23[كود الصنف],A51,الجدول23[العدد])+SUMIF(الجدول24[كود الصنف],A51,الجدول24[العدد])+SUMIF(الجدول25[كود الصنف],A51,الجدول25[العدد])+SUMIF(الجدول26[كود الصنف],A51,الجدول26[العدد])+SUMIF(الجدول27[كود الصنف],A51,الجدول27[العدد])+SUMIF(الجدول28[كود الصنف],A51,الجدول28[العدد])+SUMIF(الجدول29[كود الصنف],A51,الجدول29[العدد])+SUMIF(الجدول30[كود الصنف],A51,الجدول30[العدد])+SUMIF(الجدول31[كود الصنف],A51,الجدول31[العدد])</f>
        <v>0</v>
      </c>
      <c r="I51" s="47">
        <f ca="1">SUMIF('تكويد الأصناف'!K:N,A51,'تكويد الأصناف'!M:M)</f>
        <v>0</v>
      </c>
      <c r="J51" s="47">
        <f ca="1">SUMIF('تكويد الأصناف'!K:N,A51,'تكويد الأصناف'!N:N)</f>
        <v>0</v>
      </c>
      <c r="K51" s="43">
        <f ca="1">SUMIF('الوارد والمرتجع'!J:M,A51,'الوارد والمرتجع'!M:M)</f>
        <v>0</v>
      </c>
      <c r="L51" s="43">
        <f t="shared" ca="1" si="0"/>
        <v>0</v>
      </c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</row>
    <row r="52" spans="1:23" customFormat="1" ht="15" hidden="1" x14ac:dyDescent="0.2">
      <c r="A52" s="41">
        <v>1048</v>
      </c>
      <c r="B52" s="44">
        <f>VLOOKUP(A52,'تكويد الأصناف'!A:F,3,0)</f>
        <v>1</v>
      </c>
      <c r="C52" s="45">
        <f>VLOOKUP(A52,'تكويد الأصناف'!A:F,6,0)</f>
        <v>0</v>
      </c>
      <c r="D52" s="46">
        <f>VLOOKUP(A52,'تكويد الأصناف'!A:F,5,0)</f>
        <v>0</v>
      </c>
      <c r="E52" s="42">
        <f>VLOOKUP(A52,'تكويد الأصناف'!A:F,4,1)</f>
        <v>0</v>
      </c>
      <c r="F52" s="43">
        <v>0</v>
      </c>
      <c r="G52" s="43">
        <f ca="1">SUMIF('الوارد والمرتجع'!B:F,A52,'الوارد والمرتجع'!E:E)</f>
        <v>0</v>
      </c>
      <c r="H52" s="58">
        <f>SUMIF(الجدول1[كود الصنف],A52,الجدول1[العدد])+SUMIF(الجدول2[كود الصنف],A52,الجدول2[العدد])+SUMIF(الجدول3[كود الصنف],A52,الجدول3[العدد])+SUMIF(الجدول4[كود الصنف],A52,الجدول4[العدد])+SUMIF(الجدول5[كود الصنف],A52,الجدول5[العدد])+SUMIF(الجدول6[كود الصنف],A52,الجدول6[العدد])+SUMIF(الجدول7[كود الصنف],A52,الجدول7[العدد])+SUMIF(الجدول8[كود الصنف],A52,الجدول8[العدد])+SUMIF(الجدول9[كود الصنف],A52,الجدول9[العدد])+SUMIF(الجدول10[كود الصنف],A52,الجدول10[العدد])+SUMIF(الجدول11[كود الصنف],A52,الجدول11[العدد])+SUMIF(الجدول12[كود الصنف],A52,الجدول12[العدد])+SUMIF(الجدول13[كود الصنف],A52,الجدول13[العدد])+SUMIF(الجدول14[كود الصنف],A52,الجدول14[العدد])+SUMIF(الجدول15[كود الصنف],A52,الجدول15[العدد])+SUMIF(الجدول16[كود الصنف],A52,الجدول16[العدد])+SUMIF(الجدول17[كود الصنف],A52,الجدول17[العدد])+SUMIF(الجدول18[كود الصنف],A52,الجدول18[العدد])+SUMIF(الجدول19[كود الصنف],A52,الجدول19[العدد])+SUMIF(الجدول20[كود الصنف],A52,الجدول20[العدد])+SUMIF(الجدول21[كود الصنف],A52,الجدول21[العدد])+SUMIF(الجدول22[كود الصنف],A52,الجدول22[العدد])+SUMIF(الجدول23[كود الصنف],A52,الجدول23[العدد])+SUMIF(الجدول24[كود الصنف],A52,الجدول24[العدد])+SUMIF(الجدول25[كود الصنف],A52,الجدول25[العدد])+SUMIF(الجدول26[كود الصنف],A52,الجدول26[العدد])+SUMIF(الجدول27[كود الصنف],A52,الجدول27[العدد])+SUMIF(الجدول28[كود الصنف],A52,الجدول28[العدد])+SUMIF(الجدول29[كود الصنف],A52,الجدول29[العدد])+SUMIF(الجدول30[كود الصنف],A52,الجدول30[العدد])+SUMIF(الجدول31[كود الصنف],A52,الجدول31[العدد])</f>
        <v>0</v>
      </c>
      <c r="I52" s="47">
        <f ca="1">SUMIF('تكويد الأصناف'!K:N,A52,'تكويد الأصناف'!M:M)</f>
        <v>0</v>
      </c>
      <c r="J52" s="47">
        <f ca="1">SUMIF('تكويد الأصناف'!K:N,A52,'تكويد الأصناف'!N:N)</f>
        <v>0</v>
      </c>
      <c r="K52" s="43">
        <f ca="1">SUMIF('الوارد والمرتجع'!J:M,A52,'الوارد والمرتجع'!M:M)</f>
        <v>0</v>
      </c>
      <c r="L52" s="43">
        <f t="shared" ca="1" si="0"/>
        <v>0</v>
      </c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</row>
    <row r="53" spans="1:23" customFormat="1" ht="15" hidden="1" x14ac:dyDescent="0.2">
      <c r="A53" s="41">
        <v>1049</v>
      </c>
      <c r="B53" s="44">
        <f>VLOOKUP(A53,'تكويد الأصناف'!A:F,3,0)</f>
        <v>1</v>
      </c>
      <c r="C53" s="45">
        <f>VLOOKUP(A53,'تكويد الأصناف'!A:F,6,0)</f>
        <v>0</v>
      </c>
      <c r="D53" s="46">
        <f>VLOOKUP(A53,'تكويد الأصناف'!A:F,5,0)</f>
        <v>0</v>
      </c>
      <c r="E53" s="42">
        <f>VLOOKUP(A53,'تكويد الأصناف'!A:F,4,1)</f>
        <v>0</v>
      </c>
      <c r="F53" s="43">
        <v>0</v>
      </c>
      <c r="G53" s="43">
        <f ca="1">SUMIF('الوارد والمرتجع'!B:F,A53,'الوارد والمرتجع'!E:E)</f>
        <v>0</v>
      </c>
      <c r="H53" s="58">
        <f>SUMIF(الجدول1[كود الصنف],A53,الجدول1[العدد])+SUMIF(الجدول2[كود الصنف],A53,الجدول2[العدد])+SUMIF(الجدول3[كود الصنف],A53,الجدول3[العدد])+SUMIF(الجدول4[كود الصنف],A53,الجدول4[العدد])+SUMIF(الجدول5[كود الصنف],A53,الجدول5[العدد])+SUMIF(الجدول6[كود الصنف],A53,الجدول6[العدد])+SUMIF(الجدول7[كود الصنف],A53,الجدول7[العدد])+SUMIF(الجدول8[كود الصنف],A53,الجدول8[العدد])+SUMIF(الجدول9[كود الصنف],A53,الجدول9[العدد])+SUMIF(الجدول10[كود الصنف],A53,الجدول10[العدد])+SUMIF(الجدول11[كود الصنف],A53,الجدول11[العدد])+SUMIF(الجدول12[كود الصنف],A53,الجدول12[العدد])+SUMIF(الجدول13[كود الصنف],A53,الجدول13[العدد])+SUMIF(الجدول14[كود الصنف],A53,الجدول14[العدد])+SUMIF(الجدول15[كود الصنف],A53,الجدول15[العدد])+SUMIF(الجدول16[كود الصنف],A53,الجدول16[العدد])+SUMIF(الجدول17[كود الصنف],A53,الجدول17[العدد])+SUMIF(الجدول18[كود الصنف],A53,الجدول18[العدد])+SUMIF(الجدول19[كود الصنف],A53,الجدول19[العدد])+SUMIF(الجدول20[كود الصنف],A53,الجدول20[العدد])+SUMIF(الجدول21[كود الصنف],A53,الجدول21[العدد])+SUMIF(الجدول22[كود الصنف],A53,الجدول22[العدد])+SUMIF(الجدول23[كود الصنف],A53,الجدول23[العدد])+SUMIF(الجدول24[كود الصنف],A53,الجدول24[العدد])+SUMIF(الجدول25[كود الصنف],A53,الجدول25[العدد])+SUMIF(الجدول26[كود الصنف],A53,الجدول26[العدد])+SUMIF(الجدول27[كود الصنف],A53,الجدول27[العدد])+SUMIF(الجدول28[كود الصنف],A53,الجدول28[العدد])+SUMIF(الجدول29[كود الصنف],A53,الجدول29[العدد])+SUMIF(الجدول30[كود الصنف],A53,الجدول30[العدد])+SUMIF(الجدول31[كود الصنف],A53,الجدول31[العدد])</f>
        <v>0</v>
      </c>
      <c r="I53" s="47">
        <f ca="1">SUMIF('تكويد الأصناف'!K:N,A53,'تكويد الأصناف'!M:M)</f>
        <v>0</v>
      </c>
      <c r="J53" s="47">
        <f ca="1">SUMIF('تكويد الأصناف'!K:N,A53,'تكويد الأصناف'!N:N)</f>
        <v>0</v>
      </c>
      <c r="K53" s="43">
        <f ca="1">SUMIF('الوارد والمرتجع'!J:M,A53,'الوارد والمرتجع'!M:M)</f>
        <v>0</v>
      </c>
      <c r="L53" s="43">
        <f t="shared" ca="1" si="0"/>
        <v>0</v>
      </c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</row>
    <row r="54" spans="1:23" customFormat="1" ht="15" hidden="1" x14ac:dyDescent="0.2">
      <c r="A54" s="41">
        <v>1050</v>
      </c>
      <c r="B54" s="44">
        <f>VLOOKUP(A54,'تكويد الأصناف'!A:F,3,0)</f>
        <v>1</v>
      </c>
      <c r="C54" s="45">
        <f>VLOOKUP(A54,'تكويد الأصناف'!A:F,6,0)</f>
        <v>0</v>
      </c>
      <c r="D54" s="46">
        <f>VLOOKUP(A54,'تكويد الأصناف'!A:F,5,0)</f>
        <v>0</v>
      </c>
      <c r="E54" s="42">
        <f>VLOOKUP(A54,'تكويد الأصناف'!A:F,4,1)</f>
        <v>0</v>
      </c>
      <c r="F54" s="43">
        <v>0</v>
      </c>
      <c r="G54" s="43">
        <f ca="1">SUMIF('الوارد والمرتجع'!B:F,A54,'الوارد والمرتجع'!E:E)</f>
        <v>0</v>
      </c>
      <c r="H54" s="58">
        <f>SUMIF(الجدول1[كود الصنف],A54,الجدول1[العدد])+SUMIF(الجدول2[كود الصنف],A54,الجدول2[العدد])+SUMIF(الجدول3[كود الصنف],A54,الجدول3[العدد])+SUMIF(الجدول4[كود الصنف],A54,الجدول4[العدد])+SUMIF(الجدول5[كود الصنف],A54,الجدول5[العدد])+SUMIF(الجدول6[كود الصنف],A54,الجدول6[العدد])+SUMIF(الجدول7[كود الصنف],A54,الجدول7[العدد])+SUMIF(الجدول8[كود الصنف],A54,الجدول8[العدد])+SUMIF(الجدول9[كود الصنف],A54,الجدول9[العدد])+SUMIF(الجدول10[كود الصنف],A54,الجدول10[العدد])+SUMIF(الجدول11[كود الصنف],A54,الجدول11[العدد])+SUMIF(الجدول12[كود الصنف],A54,الجدول12[العدد])+SUMIF(الجدول13[كود الصنف],A54,الجدول13[العدد])+SUMIF(الجدول14[كود الصنف],A54,الجدول14[العدد])+SUMIF(الجدول15[كود الصنف],A54,الجدول15[العدد])+SUMIF(الجدول16[كود الصنف],A54,الجدول16[العدد])+SUMIF(الجدول17[كود الصنف],A54,الجدول17[العدد])+SUMIF(الجدول18[كود الصنف],A54,الجدول18[العدد])+SUMIF(الجدول19[كود الصنف],A54,الجدول19[العدد])+SUMIF(الجدول20[كود الصنف],A54,الجدول20[العدد])+SUMIF(الجدول21[كود الصنف],A54,الجدول21[العدد])+SUMIF(الجدول22[كود الصنف],A54,الجدول22[العدد])+SUMIF(الجدول23[كود الصنف],A54,الجدول23[العدد])+SUMIF(الجدول24[كود الصنف],A54,الجدول24[العدد])+SUMIF(الجدول25[كود الصنف],A54,الجدول25[العدد])+SUMIF(الجدول26[كود الصنف],A54,الجدول26[العدد])+SUMIF(الجدول27[كود الصنف],A54,الجدول27[العدد])+SUMIF(الجدول28[كود الصنف],A54,الجدول28[العدد])+SUMIF(الجدول29[كود الصنف],A54,الجدول29[العدد])+SUMIF(الجدول30[كود الصنف],A54,الجدول30[العدد])+SUMIF(الجدول31[كود الصنف],A54,الجدول31[العدد])</f>
        <v>0</v>
      </c>
      <c r="I54" s="47">
        <f ca="1">SUMIF('تكويد الأصناف'!K:N,A54,'تكويد الأصناف'!M:M)</f>
        <v>0</v>
      </c>
      <c r="J54" s="47">
        <f ca="1">SUMIF('تكويد الأصناف'!K:N,A54,'تكويد الأصناف'!N:N)</f>
        <v>0</v>
      </c>
      <c r="K54" s="43">
        <f ca="1">SUMIF('الوارد والمرتجع'!J:M,A54,'الوارد والمرتجع'!M:M)</f>
        <v>0</v>
      </c>
      <c r="L54" s="43">
        <f t="shared" ca="1" si="0"/>
        <v>0</v>
      </c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</row>
    <row r="55" spans="1:23" customFormat="1" ht="15" hidden="1" x14ac:dyDescent="0.2">
      <c r="A55" s="41">
        <v>1051</v>
      </c>
      <c r="B55" s="44">
        <f>VLOOKUP(A55,'تكويد الأصناف'!A:F,3,0)</f>
        <v>1</v>
      </c>
      <c r="C55" s="45">
        <f>VLOOKUP(A55,'تكويد الأصناف'!A:F,6,0)</f>
        <v>0</v>
      </c>
      <c r="D55" s="46">
        <f>VLOOKUP(A55,'تكويد الأصناف'!A:F,5,0)</f>
        <v>0</v>
      </c>
      <c r="E55" s="42">
        <f>VLOOKUP(A55,'تكويد الأصناف'!A:F,4,1)</f>
        <v>0</v>
      </c>
      <c r="F55" s="43">
        <v>0</v>
      </c>
      <c r="G55" s="43">
        <f ca="1">SUMIF('الوارد والمرتجع'!B:F,A55,'الوارد والمرتجع'!E:E)</f>
        <v>0</v>
      </c>
      <c r="H55" s="58">
        <f>SUMIF(الجدول1[كود الصنف],A55,الجدول1[العدد])+SUMIF(الجدول2[كود الصنف],A55,الجدول2[العدد])+SUMIF(الجدول3[كود الصنف],A55,الجدول3[العدد])+SUMIF(الجدول4[كود الصنف],A55,الجدول4[العدد])+SUMIF(الجدول5[كود الصنف],A55,الجدول5[العدد])+SUMIF(الجدول6[كود الصنف],A55,الجدول6[العدد])+SUMIF(الجدول7[كود الصنف],A55,الجدول7[العدد])+SUMIF(الجدول8[كود الصنف],A55,الجدول8[العدد])+SUMIF(الجدول9[كود الصنف],A55,الجدول9[العدد])+SUMIF(الجدول10[كود الصنف],A55,الجدول10[العدد])+SUMIF(الجدول11[كود الصنف],A55,الجدول11[العدد])+SUMIF(الجدول12[كود الصنف],A55,الجدول12[العدد])+SUMIF(الجدول13[كود الصنف],A55,الجدول13[العدد])+SUMIF(الجدول14[كود الصنف],A55,الجدول14[العدد])+SUMIF(الجدول15[كود الصنف],A55,الجدول15[العدد])+SUMIF(الجدول16[كود الصنف],A55,الجدول16[العدد])+SUMIF(الجدول17[كود الصنف],A55,الجدول17[العدد])+SUMIF(الجدول18[كود الصنف],A55,الجدول18[العدد])+SUMIF(الجدول19[كود الصنف],A55,الجدول19[العدد])+SUMIF(الجدول20[كود الصنف],A55,الجدول20[العدد])+SUMIF(الجدول21[كود الصنف],A55,الجدول21[العدد])+SUMIF(الجدول22[كود الصنف],A55,الجدول22[العدد])+SUMIF(الجدول23[كود الصنف],A55,الجدول23[العدد])+SUMIF(الجدول24[كود الصنف],A55,الجدول24[العدد])+SUMIF(الجدول25[كود الصنف],A55,الجدول25[العدد])+SUMIF(الجدول26[كود الصنف],A55,الجدول26[العدد])+SUMIF(الجدول27[كود الصنف],A55,الجدول27[العدد])+SUMIF(الجدول28[كود الصنف],A55,الجدول28[العدد])+SUMIF(الجدول29[كود الصنف],A55,الجدول29[العدد])+SUMIF(الجدول30[كود الصنف],A55,الجدول30[العدد])+SUMIF(الجدول31[كود الصنف],A55,الجدول31[العدد])</f>
        <v>0</v>
      </c>
      <c r="I55" s="47">
        <f ca="1">SUMIF('تكويد الأصناف'!K:N,A55,'تكويد الأصناف'!M:M)</f>
        <v>0</v>
      </c>
      <c r="J55" s="47">
        <f ca="1">SUMIF('تكويد الأصناف'!K:N,A55,'تكويد الأصناف'!N:N)</f>
        <v>0</v>
      </c>
      <c r="K55" s="43">
        <f ca="1">SUMIF('الوارد والمرتجع'!J:M,A55,'الوارد والمرتجع'!M:M)</f>
        <v>0</v>
      </c>
      <c r="L55" s="43">
        <f t="shared" ca="1" si="0"/>
        <v>0</v>
      </c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</row>
    <row r="56" spans="1:23" customFormat="1" ht="15" hidden="1" x14ac:dyDescent="0.2">
      <c r="A56" s="41">
        <v>1052</v>
      </c>
      <c r="B56" s="44">
        <f>VLOOKUP(A56,'تكويد الأصناف'!A:F,3,0)</f>
        <v>1</v>
      </c>
      <c r="C56" s="45">
        <f>VLOOKUP(A56,'تكويد الأصناف'!A:F,6,0)</f>
        <v>0</v>
      </c>
      <c r="D56" s="46">
        <f>VLOOKUP(A56,'تكويد الأصناف'!A:F,5,0)</f>
        <v>0</v>
      </c>
      <c r="E56" s="42">
        <f>VLOOKUP(A56,'تكويد الأصناف'!A:F,4,1)</f>
        <v>0</v>
      </c>
      <c r="F56" s="37">
        <v>0</v>
      </c>
      <c r="G56" s="43">
        <f ca="1">SUMIF('الوارد والمرتجع'!B:F,A56,'الوارد والمرتجع'!E:E)</f>
        <v>0</v>
      </c>
      <c r="H56" s="58">
        <f>SUMIF(الجدول1[كود الصنف],A56,الجدول1[العدد])+SUMIF(الجدول2[كود الصنف],A56,الجدول2[العدد])+SUMIF(الجدول3[كود الصنف],A56,الجدول3[العدد])+SUMIF(الجدول4[كود الصنف],A56,الجدول4[العدد])+SUMIF(الجدول5[كود الصنف],A56,الجدول5[العدد])+SUMIF(الجدول6[كود الصنف],A56,الجدول6[العدد])+SUMIF(الجدول7[كود الصنف],A56,الجدول7[العدد])+SUMIF(الجدول8[كود الصنف],A56,الجدول8[العدد])+SUMIF(الجدول9[كود الصنف],A56,الجدول9[العدد])+SUMIF(الجدول10[كود الصنف],A56,الجدول10[العدد])+SUMIF(الجدول11[كود الصنف],A56,الجدول11[العدد])+SUMIF(الجدول12[كود الصنف],A56,الجدول12[العدد])+SUMIF(الجدول13[كود الصنف],A56,الجدول13[العدد])+SUMIF(الجدول14[كود الصنف],A56,الجدول14[العدد])+SUMIF(الجدول15[كود الصنف],A56,الجدول15[العدد])+SUMIF(الجدول16[كود الصنف],A56,الجدول16[العدد])+SUMIF(الجدول17[كود الصنف],A56,الجدول17[العدد])+SUMIF(الجدول18[كود الصنف],A56,الجدول18[العدد])+SUMIF(الجدول19[كود الصنف],A56,الجدول19[العدد])+SUMIF(الجدول20[كود الصنف],A56,الجدول20[العدد])+SUMIF(الجدول21[كود الصنف],A56,الجدول21[العدد])+SUMIF(الجدول22[كود الصنف],A56,الجدول22[العدد])+SUMIF(الجدول23[كود الصنف],A56,الجدول23[العدد])+SUMIF(الجدول24[كود الصنف],A56,الجدول24[العدد])+SUMIF(الجدول25[كود الصنف],A56,الجدول25[العدد])+SUMIF(الجدول26[كود الصنف],A56,الجدول26[العدد])+SUMIF(الجدول27[كود الصنف],A56,الجدول27[العدد])+SUMIF(الجدول28[كود الصنف],A56,الجدول28[العدد])+SUMIF(الجدول29[كود الصنف],A56,الجدول29[العدد])+SUMIF(الجدول30[كود الصنف],A56,الجدول30[العدد])+SUMIF(الجدول31[كود الصنف],A56,الجدول31[العدد])</f>
        <v>0</v>
      </c>
      <c r="I56" s="47">
        <f ca="1">SUMIF('تكويد الأصناف'!K:N,A56,'تكويد الأصناف'!M:M)</f>
        <v>0</v>
      </c>
      <c r="J56" s="47">
        <f ca="1">SUMIF('تكويد الأصناف'!K:N,A56,'تكويد الأصناف'!N:N)</f>
        <v>0</v>
      </c>
      <c r="K56" s="43">
        <f ca="1">SUMIF('الوارد والمرتجع'!J:M,A56,'الوارد والمرتجع'!M:M)</f>
        <v>0</v>
      </c>
      <c r="L56" s="47">
        <f t="shared" ca="1" si="0"/>
        <v>0</v>
      </c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</row>
    <row r="57" spans="1:23" customFormat="1" ht="15" hidden="1" x14ac:dyDescent="0.2">
      <c r="A57" s="41">
        <v>1053</v>
      </c>
      <c r="B57" s="44">
        <f>VLOOKUP(A57,'تكويد الأصناف'!A:F,3,0)</f>
        <v>1</v>
      </c>
      <c r="C57" s="45">
        <f>VLOOKUP(A57,'تكويد الأصناف'!A:F,6,0)</f>
        <v>0</v>
      </c>
      <c r="D57" s="46">
        <f>VLOOKUP(A57,'تكويد الأصناف'!A:F,5,0)</f>
        <v>0</v>
      </c>
      <c r="E57" s="42">
        <f>VLOOKUP(A57,'تكويد الأصناف'!A:F,4,1)</f>
        <v>0</v>
      </c>
      <c r="F57" s="43">
        <v>0</v>
      </c>
      <c r="G57" s="43">
        <f ca="1">SUMIF('الوارد والمرتجع'!B:F,A57,'الوارد والمرتجع'!E:E)</f>
        <v>0</v>
      </c>
      <c r="H57" s="58">
        <f>SUMIF(الجدول1[كود الصنف],A57,الجدول1[العدد])+SUMIF(الجدول2[كود الصنف],A57,الجدول2[العدد])+SUMIF(الجدول3[كود الصنف],A57,الجدول3[العدد])+SUMIF(الجدول4[كود الصنف],A57,الجدول4[العدد])+SUMIF(الجدول5[كود الصنف],A57,الجدول5[العدد])+SUMIF(الجدول6[كود الصنف],A57,الجدول6[العدد])+SUMIF(الجدول7[كود الصنف],A57,الجدول7[العدد])+SUMIF(الجدول8[كود الصنف],A57,الجدول8[العدد])+SUMIF(الجدول9[كود الصنف],A57,الجدول9[العدد])+SUMIF(الجدول10[كود الصنف],A57,الجدول10[العدد])+SUMIF(الجدول11[كود الصنف],A57,الجدول11[العدد])+SUMIF(الجدول12[كود الصنف],A57,الجدول12[العدد])+SUMIF(الجدول13[كود الصنف],A57,الجدول13[العدد])+SUMIF(الجدول14[كود الصنف],A57,الجدول14[العدد])+SUMIF(الجدول15[كود الصنف],A57,الجدول15[العدد])+SUMIF(الجدول16[كود الصنف],A57,الجدول16[العدد])+SUMIF(الجدول17[كود الصنف],A57,الجدول17[العدد])+SUMIF(الجدول18[كود الصنف],A57,الجدول18[العدد])+SUMIF(الجدول19[كود الصنف],A57,الجدول19[العدد])+SUMIF(الجدول20[كود الصنف],A57,الجدول20[العدد])+SUMIF(الجدول21[كود الصنف],A57,الجدول21[العدد])+SUMIF(الجدول22[كود الصنف],A57,الجدول22[العدد])+SUMIF(الجدول23[كود الصنف],A57,الجدول23[العدد])+SUMIF(الجدول24[كود الصنف],A57,الجدول24[العدد])+SUMIF(الجدول25[كود الصنف],A57,الجدول25[العدد])+SUMIF(الجدول26[كود الصنف],A57,الجدول26[العدد])+SUMIF(الجدول27[كود الصنف],A57,الجدول27[العدد])+SUMIF(الجدول28[كود الصنف],A57,الجدول28[العدد])+SUMIF(الجدول29[كود الصنف],A57,الجدول29[العدد])+SUMIF(الجدول30[كود الصنف],A57,الجدول30[العدد])+SUMIF(الجدول31[كود الصنف],A57,الجدول31[العدد])</f>
        <v>0</v>
      </c>
      <c r="I57" s="47">
        <f ca="1">SUMIF('تكويد الأصناف'!K:N,A57,'تكويد الأصناف'!M:M)</f>
        <v>0</v>
      </c>
      <c r="J57" s="47">
        <f ca="1">SUMIF('تكويد الأصناف'!K:N,A57,'تكويد الأصناف'!N:N)</f>
        <v>0</v>
      </c>
      <c r="K57" s="43">
        <f ca="1">SUMIF('الوارد والمرتجع'!J:M,A57,'الوارد والمرتجع'!M:M)</f>
        <v>0</v>
      </c>
      <c r="L57" s="47">
        <f t="shared" ca="1" si="0"/>
        <v>0</v>
      </c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</row>
    <row r="58" spans="1:23" customFormat="1" ht="15" hidden="1" x14ac:dyDescent="0.2">
      <c r="A58" s="41">
        <v>1054</v>
      </c>
      <c r="B58" s="44">
        <f>VLOOKUP(A58,'تكويد الأصناف'!A:F,3,0)</f>
        <v>1</v>
      </c>
      <c r="C58" s="45">
        <f>VLOOKUP(A58,'تكويد الأصناف'!A:F,6,0)</f>
        <v>0</v>
      </c>
      <c r="D58" s="46">
        <f>VLOOKUP(A58,'تكويد الأصناف'!A:F,5,0)</f>
        <v>0</v>
      </c>
      <c r="E58" s="42">
        <f>VLOOKUP(A58,'تكويد الأصناف'!A:F,4,1)</f>
        <v>0</v>
      </c>
      <c r="F58" s="37">
        <v>0</v>
      </c>
      <c r="G58" s="43">
        <f ca="1">SUMIF('الوارد والمرتجع'!B:F,A58,'الوارد والمرتجع'!E:E)</f>
        <v>0</v>
      </c>
      <c r="H58" s="58">
        <f>SUMIF(الجدول1[كود الصنف],A58,الجدول1[العدد])+SUMIF(الجدول2[كود الصنف],A58,الجدول2[العدد])+SUMIF(الجدول3[كود الصنف],A58,الجدول3[العدد])+SUMIF(الجدول4[كود الصنف],A58,الجدول4[العدد])+SUMIF(الجدول5[كود الصنف],A58,الجدول5[العدد])+SUMIF(الجدول6[كود الصنف],A58,الجدول6[العدد])+SUMIF(الجدول7[كود الصنف],A58,الجدول7[العدد])+SUMIF(الجدول8[كود الصنف],A58,الجدول8[العدد])+SUMIF(الجدول9[كود الصنف],A58,الجدول9[العدد])+SUMIF(الجدول10[كود الصنف],A58,الجدول10[العدد])+SUMIF(الجدول11[كود الصنف],A58,الجدول11[العدد])+SUMIF(الجدول12[كود الصنف],A58,الجدول12[العدد])+SUMIF(الجدول13[كود الصنف],A58,الجدول13[العدد])+SUMIF(الجدول14[كود الصنف],A58,الجدول14[العدد])+SUMIF(الجدول15[كود الصنف],A58,الجدول15[العدد])+SUMIF(الجدول16[كود الصنف],A58,الجدول16[العدد])+SUMIF(الجدول17[كود الصنف],A58,الجدول17[العدد])+SUMIF(الجدول18[كود الصنف],A58,الجدول18[العدد])+SUMIF(الجدول19[كود الصنف],A58,الجدول19[العدد])+SUMIF(الجدول20[كود الصنف],A58,الجدول20[العدد])+SUMIF(الجدول21[كود الصنف],A58,الجدول21[العدد])+SUMIF(الجدول22[كود الصنف],A58,الجدول22[العدد])+SUMIF(الجدول23[كود الصنف],A58,الجدول23[العدد])+SUMIF(الجدول24[كود الصنف],A58,الجدول24[العدد])+SUMIF(الجدول25[كود الصنف],A58,الجدول25[العدد])+SUMIF(الجدول26[كود الصنف],A58,الجدول26[العدد])+SUMIF(الجدول27[كود الصنف],A58,الجدول27[العدد])+SUMIF(الجدول28[كود الصنف],A58,الجدول28[العدد])+SUMIF(الجدول29[كود الصنف],A58,الجدول29[العدد])+SUMIF(الجدول30[كود الصنف],A58,الجدول30[العدد])+SUMIF(الجدول31[كود الصنف],A58,الجدول31[العدد])</f>
        <v>0</v>
      </c>
      <c r="I58" s="47">
        <f ca="1">SUMIF('تكويد الأصناف'!K:N,A58,'تكويد الأصناف'!M:M)</f>
        <v>0</v>
      </c>
      <c r="J58" s="47">
        <f ca="1">SUMIF('تكويد الأصناف'!K:N,A58,'تكويد الأصناف'!N:N)</f>
        <v>0</v>
      </c>
      <c r="K58" s="43">
        <f ca="1">SUMIF('الوارد والمرتجع'!J:M,A58,'الوارد والمرتجع'!M:M)</f>
        <v>0</v>
      </c>
      <c r="L58" s="47">
        <f t="shared" ca="1" si="0"/>
        <v>0</v>
      </c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</row>
    <row r="59" spans="1:23" customFormat="1" ht="15" hidden="1" x14ac:dyDescent="0.2">
      <c r="A59" s="41">
        <v>1055</v>
      </c>
      <c r="B59" s="44">
        <f>VLOOKUP(A59,'تكويد الأصناف'!A:F,3,0)</f>
        <v>1</v>
      </c>
      <c r="C59" s="45">
        <f>VLOOKUP(A59,'تكويد الأصناف'!A:F,6,0)</f>
        <v>0</v>
      </c>
      <c r="D59" s="46">
        <f>VLOOKUP(A59,'تكويد الأصناف'!A:F,5,0)</f>
        <v>0</v>
      </c>
      <c r="E59" s="42">
        <f>VLOOKUP(A59,'تكويد الأصناف'!A:F,4,1)</f>
        <v>0</v>
      </c>
      <c r="F59" s="37">
        <v>0</v>
      </c>
      <c r="G59" s="43">
        <f ca="1">SUMIF('الوارد والمرتجع'!B:F,A59,'الوارد والمرتجع'!E:E)</f>
        <v>0</v>
      </c>
      <c r="H59" s="58">
        <f>SUMIF(الجدول1[كود الصنف],A59,الجدول1[العدد])+SUMIF(الجدول2[كود الصنف],A59,الجدول2[العدد])+SUMIF(الجدول3[كود الصنف],A59,الجدول3[العدد])+SUMIF(الجدول4[كود الصنف],A59,الجدول4[العدد])+SUMIF(الجدول5[كود الصنف],A59,الجدول5[العدد])+SUMIF(الجدول6[كود الصنف],A59,الجدول6[العدد])+SUMIF(الجدول7[كود الصنف],A59,الجدول7[العدد])+SUMIF(الجدول8[كود الصنف],A59,الجدول8[العدد])+SUMIF(الجدول9[كود الصنف],A59,الجدول9[العدد])+SUMIF(الجدول10[كود الصنف],A59,الجدول10[العدد])+SUMIF(الجدول11[كود الصنف],A59,الجدول11[العدد])+SUMIF(الجدول12[كود الصنف],A59,الجدول12[العدد])+SUMIF(الجدول13[كود الصنف],A59,الجدول13[العدد])+SUMIF(الجدول14[كود الصنف],A59,الجدول14[العدد])+SUMIF(الجدول15[كود الصنف],A59,الجدول15[العدد])+SUMIF(الجدول16[كود الصنف],A59,الجدول16[العدد])+SUMIF(الجدول17[كود الصنف],A59,الجدول17[العدد])+SUMIF(الجدول18[كود الصنف],A59,الجدول18[العدد])+SUMIF(الجدول19[كود الصنف],A59,الجدول19[العدد])+SUMIF(الجدول20[كود الصنف],A59,الجدول20[العدد])+SUMIF(الجدول21[كود الصنف],A59,الجدول21[العدد])+SUMIF(الجدول22[كود الصنف],A59,الجدول22[العدد])+SUMIF(الجدول23[كود الصنف],A59,الجدول23[العدد])+SUMIF(الجدول24[كود الصنف],A59,الجدول24[العدد])+SUMIF(الجدول25[كود الصنف],A59,الجدول25[العدد])+SUMIF(الجدول26[كود الصنف],A59,الجدول26[العدد])+SUMIF(الجدول27[كود الصنف],A59,الجدول27[العدد])+SUMIF(الجدول28[كود الصنف],A59,الجدول28[العدد])+SUMIF(الجدول29[كود الصنف],A59,الجدول29[العدد])+SUMIF(الجدول30[كود الصنف],A59,الجدول30[العدد])+SUMIF(الجدول31[كود الصنف],A59,الجدول31[العدد])</f>
        <v>0</v>
      </c>
      <c r="I59" s="47">
        <f ca="1">SUMIF('تكويد الأصناف'!K:N,A59,'تكويد الأصناف'!M:M)</f>
        <v>0</v>
      </c>
      <c r="J59" s="47">
        <f ca="1">SUMIF('تكويد الأصناف'!K:N,A59,'تكويد الأصناف'!N:N)</f>
        <v>0</v>
      </c>
      <c r="K59" s="43">
        <f ca="1">SUMIF('الوارد والمرتجع'!J:M,A59,'الوارد والمرتجع'!M:M)</f>
        <v>0</v>
      </c>
      <c r="L59" s="47">
        <f t="shared" ca="1" si="0"/>
        <v>0</v>
      </c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</row>
    <row r="60" spans="1:23" customFormat="1" ht="15" hidden="1" x14ac:dyDescent="0.2">
      <c r="A60" s="41">
        <v>1056</v>
      </c>
      <c r="B60" s="44">
        <f>VLOOKUP(A60,'تكويد الأصناف'!A:F,3,0)</f>
        <v>1</v>
      </c>
      <c r="C60" s="45">
        <f>VLOOKUP(A60,'تكويد الأصناف'!A:F,6,0)</f>
        <v>0</v>
      </c>
      <c r="D60" s="46">
        <f>VLOOKUP(A60,'تكويد الأصناف'!A:F,5,0)</f>
        <v>0</v>
      </c>
      <c r="E60" s="42">
        <f>VLOOKUP(A60,'تكويد الأصناف'!A:F,4,1)</f>
        <v>0</v>
      </c>
      <c r="F60" s="43">
        <v>0</v>
      </c>
      <c r="G60" s="43">
        <f ca="1">SUMIF('الوارد والمرتجع'!B:F,A60,'الوارد والمرتجع'!E:E)</f>
        <v>0</v>
      </c>
      <c r="H60" s="58">
        <f>SUMIF(الجدول1[كود الصنف],A60,الجدول1[العدد])+SUMIF(الجدول2[كود الصنف],A60,الجدول2[العدد])+SUMIF(الجدول3[كود الصنف],A60,الجدول3[العدد])+SUMIF(الجدول4[كود الصنف],A60,الجدول4[العدد])+SUMIF(الجدول5[كود الصنف],A60,الجدول5[العدد])+SUMIF(الجدول6[كود الصنف],A60,الجدول6[العدد])+SUMIF(الجدول7[كود الصنف],A60,الجدول7[العدد])+SUMIF(الجدول8[كود الصنف],A60,الجدول8[العدد])+SUMIF(الجدول9[كود الصنف],A60,الجدول9[العدد])+SUMIF(الجدول10[كود الصنف],A60,الجدول10[العدد])+SUMIF(الجدول11[كود الصنف],A60,الجدول11[العدد])+SUMIF(الجدول12[كود الصنف],A60,الجدول12[العدد])+SUMIF(الجدول13[كود الصنف],A60,الجدول13[العدد])+SUMIF(الجدول14[كود الصنف],A60,الجدول14[العدد])+SUMIF(الجدول15[كود الصنف],A60,الجدول15[العدد])+SUMIF(الجدول16[كود الصنف],A60,الجدول16[العدد])+SUMIF(الجدول17[كود الصنف],A60,الجدول17[العدد])+SUMIF(الجدول18[كود الصنف],A60,الجدول18[العدد])+SUMIF(الجدول19[كود الصنف],A60,الجدول19[العدد])+SUMIF(الجدول20[كود الصنف],A60,الجدول20[العدد])+SUMIF(الجدول21[كود الصنف],A60,الجدول21[العدد])+SUMIF(الجدول22[كود الصنف],A60,الجدول22[العدد])+SUMIF(الجدول23[كود الصنف],A60,الجدول23[العدد])+SUMIF(الجدول24[كود الصنف],A60,الجدول24[العدد])+SUMIF(الجدول25[كود الصنف],A60,الجدول25[العدد])+SUMIF(الجدول26[كود الصنف],A60,الجدول26[العدد])+SUMIF(الجدول27[كود الصنف],A60,الجدول27[العدد])+SUMIF(الجدول28[كود الصنف],A60,الجدول28[العدد])+SUMIF(الجدول29[كود الصنف],A60,الجدول29[العدد])+SUMIF(الجدول30[كود الصنف],A60,الجدول30[العدد])+SUMIF(الجدول31[كود الصنف],A60,الجدول31[العدد])</f>
        <v>0</v>
      </c>
      <c r="I60" s="47">
        <f ca="1">SUMIF('تكويد الأصناف'!K:N,A60,'تكويد الأصناف'!M:M)</f>
        <v>0</v>
      </c>
      <c r="J60" s="47">
        <f ca="1">SUMIF('تكويد الأصناف'!K:N,A60,'تكويد الأصناف'!N:N)</f>
        <v>0</v>
      </c>
      <c r="K60" s="43">
        <f ca="1">SUMIF('الوارد والمرتجع'!J:M,A60,'الوارد والمرتجع'!M:M)</f>
        <v>0</v>
      </c>
      <c r="L60" s="47">
        <f t="shared" ca="1" si="0"/>
        <v>0</v>
      </c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</row>
    <row r="61" spans="1:23" customFormat="1" ht="15" hidden="1" x14ac:dyDescent="0.2">
      <c r="A61" s="41">
        <v>1057</v>
      </c>
      <c r="B61" s="44">
        <f>VLOOKUP(A61,'تكويد الأصناف'!A:F,3,0)</f>
        <v>1</v>
      </c>
      <c r="C61" s="45">
        <f>VLOOKUP(A61,'تكويد الأصناف'!A:F,6,0)</f>
        <v>0</v>
      </c>
      <c r="D61" s="46">
        <f>VLOOKUP(A61,'تكويد الأصناف'!A:F,5,0)</f>
        <v>0</v>
      </c>
      <c r="E61" s="42">
        <f>VLOOKUP(A61,'تكويد الأصناف'!A:F,4,1)</f>
        <v>0</v>
      </c>
      <c r="F61" s="37">
        <v>0</v>
      </c>
      <c r="G61" s="43">
        <f ca="1">SUMIF('الوارد والمرتجع'!B:F,A61,'الوارد والمرتجع'!E:E)</f>
        <v>0</v>
      </c>
      <c r="H61" s="58">
        <f>SUMIF(الجدول1[كود الصنف],A61,الجدول1[العدد])+SUMIF(الجدول2[كود الصنف],A61,الجدول2[العدد])+SUMIF(الجدول3[كود الصنف],A61,الجدول3[العدد])+SUMIF(الجدول4[كود الصنف],A61,الجدول4[العدد])+SUMIF(الجدول5[كود الصنف],A61,الجدول5[العدد])+SUMIF(الجدول6[كود الصنف],A61,الجدول6[العدد])+SUMIF(الجدول7[كود الصنف],A61,الجدول7[العدد])+SUMIF(الجدول8[كود الصنف],A61,الجدول8[العدد])+SUMIF(الجدول9[كود الصنف],A61,الجدول9[العدد])+SUMIF(الجدول10[كود الصنف],A61,الجدول10[العدد])+SUMIF(الجدول11[كود الصنف],A61,الجدول11[العدد])+SUMIF(الجدول12[كود الصنف],A61,الجدول12[العدد])+SUMIF(الجدول13[كود الصنف],A61,الجدول13[العدد])+SUMIF(الجدول14[كود الصنف],A61,الجدول14[العدد])+SUMIF(الجدول15[كود الصنف],A61,الجدول15[العدد])+SUMIF(الجدول16[كود الصنف],A61,الجدول16[العدد])+SUMIF(الجدول17[كود الصنف],A61,الجدول17[العدد])+SUMIF(الجدول18[كود الصنف],A61,الجدول18[العدد])+SUMIF(الجدول19[كود الصنف],A61,الجدول19[العدد])+SUMIF(الجدول20[كود الصنف],A61,الجدول20[العدد])+SUMIF(الجدول21[كود الصنف],A61,الجدول21[العدد])+SUMIF(الجدول22[كود الصنف],A61,الجدول22[العدد])+SUMIF(الجدول23[كود الصنف],A61,الجدول23[العدد])+SUMIF(الجدول24[كود الصنف],A61,الجدول24[العدد])+SUMIF(الجدول25[كود الصنف],A61,الجدول25[العدد])+SUMIF(الجدول26[كود الصنف],A61,الجدول26[العدد])+SUMIF(الجدول27[كود الصنف],A61,الجدول27[العدد])+SUMIF(الجدول28[كود الصنف],A61,الجدول28[العدد])+SUMIF(الجدول29[كود الصنف],A61,الجدول29[العدد])+SUMIF(الجدول30[كود الصنف],A61,الجدول30[العدد])+SUMIF(الجدول31[كود الصنف],A61,الجدول31[العدد])</f>
        <v>0</v>
      </c>
      <c r="I61" s="47">
        <f ca="1">SUMIF('تكويد الأصناف'!K:N,A61,'تكويد الأصناف'!M:M)</f>
        <v>0</v>
      </c>
      <c r="J61" s="47">
        <f ca="1">SUMIF('تكويد الأصناف'!K:N,A61,'تكويد الأصناف'!N:N)</f>
        <v>0</v>
      </c>
      <c r="K61" s="43">
        <f ca="1">SUMIF('الوارد والمرتجع'!J:M,A61,'الوارد والمرتجع'!M:M)</f>
        <v>0</v>
      </c>
      <c r="L61" s="47">
        <f t="shared" ca="1" si="0"/>
        <v>0</v>
      </c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</row>
    <row r="62" spans="1:23" customFormat="1" ht="15" hidden="1" x14ac:dyDescent="0.2">
      <c r="A62" s="41">
        <v>1058</v>
      </c>
      <c r="B62" s="44">
        <f>VLOOKUP(A62,'تكويد الأصناف'!A:F,3,0)</f>
        <v>1</v>
      </c>
      <c r="C62" s="45">
        <f>VLOOKUP(A62,'تكويد الأصناف'!A:F,6,0)</f>
        <v>0</v>
      </c>
      <c r="D62" s="46">
        <f>VLOOKUP(A62,'تكويد الأصناف'!A:F,5,0)</f>
        <v>0</v>
      </c>
      <c r="E62" s="42">
        <f>VLOOKUP(A62,'تكويد الأصناف'!A:F,4,1)</f>
        <v>0</v>
      </c>
      <c r="F62" s="37">
        <v>0</v>
      </c>
      <c r="G62" s="43">
        <f ca="1">SUMIF('الوارد والمرتجع'!B:F,A62,'الوارد والمرتجع'!E:E)</f>
        <v>0</v>
      </c>
      <c r="H62" s="58">
        <f>SUMIF(الجدول1[كود الصنف],A62,الجدول1[العدد])+SUMIF(الجدول2[كود الصنف],A62,الجدول2[العدد])+SUMIF(الجدول3[كود الصنف],A62,الجدول3[العدد])+SUMIF(الجدول4[كود الصنف],A62,الجدول4[العدد])+SUMIF(الجدول5[كود الصنف],A62,الجدول5[العدد])+SUMIF(الجدول6[كود الصنف],A62,الجدول6[العدد])+SUMIF(الجدول7[كود الصنف],A62,الجدول7[العدد])+SUMIF(الجدول8[كود الصنف],A62,الجدول8[العدد])+SUMIF(الجدول9[كود الصنف],A62,الجدول9[العدد])+SUMIF(الجدول10[كود الصنف],A62,الجدول10[العدد])+SUMIF(الجدول11[كود الصنف],A62,الجدول11[العدد])+SUMIF(الجدول12[كود الصنف],A62,الجدول12[العدد])+SUMIF(الجدول13[كود الصنف],A62,الجدول13[العدد])+SUMIF(الجدول14[كود الصنف],A62,الجدول14[العدد])+SUMIF(الجدول15[كود الصنف],A62,الجدول15[العدد])+SUMIF(الجدول16[كود الصنف],A62,الجدول16[العدد])+SUMIF(الجدول17[كود الصنف],A62,الجدول17[العدد])+SUMIF(الجدول18[كود الصنف],A62,الجدول18[العدد])+SUMIF(الجدول19[كود الصنف],A62,الجدول19[العدد])+SUMIF(الجدول20[كود الصنف],A62,الجدول20[العدد])+SUMIF(الجدول21[كود الصنف],A62,الجدول21[العدد])+SUMIF(الجدول22[كود الصنف],A62,الجدول22[العدد])+SUMIF(الجدول23[كود الصنف],A62,الجدول23[العدد])+SUMIF(الجدول24[كود الصنف],A62,الجدول24[العدد])+SUMIF(الجدول25[كود الصنف],A62,الجدول25[العدد])+SUMIF(الجدول26[كود الصنف],A62,الجدول26[العدد])+SUMIF(الجدول27[كود الصنف],A62,الجدول27[العدد])+SUMIF(الجدول28[كود الصنف],A62,الجدول28[العدد])+SUMIF(الجدول29[كود الصنف],A62,الجدول29[العدد])+SUMIF(الجدول30[كود الصنف],A62,الجدول30[العدد])+SUMIF(الجدول31[كود الصنف],A62,الجدول31[العدد])</f>
        <v>0</v>
      </c>
      <c r="I62" s="47">
        <f ca="1">SUMIF('تكويد الأصناف'!K:N,A62,'تكويد الأصناف'!M:M)</f>
        <v>0</v>
      </c>
      <c r="J62" s="47">
        <f ca="1">SUMIF('تكويد الأصناف'!K:N,A62,'تكويد الأصناف'!N:N)</f>
        <v>0</v>
      </c>
      <c r="K62" s="43">
        <f ca="1">SUMIF('الوارد والمرتجع'!J:M,A62,'الوارد والمرتجع'!M:M)</f>
        <v>0</v>
      </c>
      <c r="L62" s="47">
        <f t="shared" ca="1" si="0"/>
        <v>0</v>
      </c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</row>
    <row r="63" spans="1:23" customFormat="1" ht="15" hidden="1" x14ac:dyDescent="0.2">
      <c r="A63" s="41">
        <v>1059</v>
      </c>
      <c r="B63" s="44">
        <f>VLOOKUP(A63,'تكويد الأصناف'!A:F,3,0)</f>
        <v>1</v>
      </c>
      <c r="C63" s="45">
        <f>VLOOKUP(A63,'تكويد الأصناف'!A:F,6,0)</f>
        <v>0</v>
      </c>
      <c r="D63" s="46">
        <f>VLOOKUP(A63,'تكويد الأصناف'!A:F,5,0)</f>
        <v>0</v>
      </c>
      <c r="E63" s="42">
        <f>VLOOKUP(A63,'تكويد الأصناف'!A:F,4,1)</f>
        <v>0</v>
      </c>
      <c r="F63" s="37">
        <v>0</v>
      </c>
      <c r="G63" s="43">
        <f ca="1">SUMIF('الوارد والمرتجع'!B:F,A63,'الوارد والمرتجع'!E:E)</f>
        <v>0</v>
      </c>
      <c r="H63" s="58">
        <f>SUMIF(الجدول1[كود الصنف],A63,الجدول1[العدد])+SUMIF(الجدول2[كود الصنف],A63,الجدول2[العدد])+SUMIF(الجدول3[كود الصنف],A63,الجدول3[العدد])+SUMIF(الجدول4[كود الصنف],A63,الجدول4[العدد])+SUMIF(الجدول5[كود الصنف],A63,الجدول5[العدد])+SUMIF(الجدول6[كود الصنف],A63,الجدول6[العدد])+SUMIF(الجدول7[كود الصنف],A63,الجدول7[العدد])+SUMIF(الجدول8[كود الصنف],A63,الجدول8[العدد])+SUMIF(الجدول9[كود الصنف],A63,الجدول9[العدد])+SUMIF(الجدول10[كود الصنف],A63,الجدول10[العدد])+SUMIF(الجدول11[كود الصنف],A63,الجدول11[العدد])+SUMIF(الجدول12[كود الصنف],A63,الجدول12[العدد])+SUMIF(الجدول13[كود الصنف],A63,الجدول13[العدد])+SUMIF(الجدول14[كود الصنف],A63,الجدول14[العدد])+SUMIF(الجدول15[كود الصنف],A63,الجدول15[العدد])+SUMIF(الجدول16[كود الصنف],A63,الجدول16[العدد])+SUMIF(الجدول17[كود الصنف],A63,الجدول17[العدد])+SUMIF(الجدول18[كود الصنف],A63,الجدول18[العدد])+SUMIF(الجدول19[كود الصنف],A63,الجدول19[العدد])+SUMIF(الجدول20[كود الصنف],A63,الجدول20[العدد])+SUMIF(الجدول21[كود الصنف],A63,الجدول21[العدد])+SUMIF(الجدول22[كود الصنف],A63,الجدول22[العدد])+SUMIF(الجدول23[كود الصنف],A63,الجدول23[العدد])+SUMIF(الجدول24[كود الصنف],A63,الجدول24[العدد])+SUMIF(الجدول25[كود الصنف],A63,الجدول25[العدد])+SUMIF(الجدول26[كود الصنف],A63,الجدول26[العدد])+SUMIF(الجدول27[كود الصنف],A63,الجدول27[العدد])+SUMIF(الجدول28[كود الصنف],A63,الجدول28[العدد])+SUMIF(الجدول29[كود الصنف],A63,الجدول29[العدد])+SUMIF(الجدول30[كود الصنف],A63,الجدول30[العدد])+SUMIF(الجدول31[كود الصنف],A63,الجدول31[العدد])</f>
        <v>0</v>
      </c>
      <c r="I63" s="47">
        <f ca="1">SUMIF('تكويد الأصناف'!K:N,A63,'تكويد الأصناف'!M:M)</f>
        <v>0</v>
      </c>
      <c r="J63" s="47">
        <f ca="1">SUMIF('تكويد الأصناف'!K:N,A63,'تكويد الأصناف'!N:N)</f>
        <v>0</v>
      </c>
      <c r="K63" s="43">
        <f ca="1">SUMIF('الوارد والمرتجع'!J:M,A63,'الوارد والمرتجع'!M:M)</f>
        <v>0</v>
      </c>
      <c r="L63" s="47">
        <f t="shared" ca="1" si="0"/>
        <v>0</v>
      </c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</row>
    <row r="64" spans="1:23" customFormat="1" ht="15" hidden="1" x14ac:dyDescent="0.2">
      <c r="A64" s="41">
        <v>1060</v>
      </c>
      <c r="B64" s="44">
        <f>VLOOKUP(A64,'تكويد الأصناف'!A:F,3,0)</f>
        <v>1</v>
      </c>
      <c r="C64" s="45">
        <f>VLOOKUP(A64,'تكويد الأصناف'!A:F,6,0)</f>
        <v>0</v>
      </c>
      <c r="D64" s="46">
        <f>VLOOKUP(A64,'تكويد الأصناف'!A:F,5,0)</f>
        <v>0</v>
      </c>
      <c r="E64" s="42">
        <f>VLOOKUP(A64,'تكويد الأصناف'!A:F,4,1)</f>
        <v>0</v>
      </c>
      <c r="F64" s="37">
        <v>0</v>
      </c>
      <c r="G64" s="43">
        <f ca="1">SUMIF('الوارد والمرتجع'!B:F,A64,'الوارد والمرتجع'!E:E)</f>
        <v>0</v>
      </c>
      <c r="H64" s="58">
        <f>SUMIF(الجدول1[كود الصنف],A64,الجدول1[العدد])+SUMIF(الجدول2[كود الصنف],A64,الجدول2[العدد])+SUMIF(الجدول3[كود الصنف],A64,الجدول3[العدد])+SUMIF(الجدول4[كود الصنف],A64,الجدول4[العدد])+SUMIF(الجدول5[كود الصنف],A64,الجدول5[العدد])+SUMIF(الجدول6[كود الصنف],A64,الجدول6[العدد])+SUMIF(الجدول7[كود الصنف],A64,الجدول7[العدد])+SUMIF(الجدول8[كود الصنف],A64,الجدول8[العدد])+SUMIF(الجدول9[كود الصنف],A64,الجدول9[العدد])+SUMIF(الجدول10[كود الصنف],A64,الجدول10[العدد])+SUMIF(الجدول11[كود الصنف],A64,الجدول11[العدد])+SUMIF(الجدول12[كود الصنف],A64,الجدول12[العدد])+SUMIF(الجدول13[كود الصنف],A64,الجدول13[العدد])+SUMIF(الجدول14[كود الصنف],A64,الجدول14[العدد])+SUMIF(الجدول15[كود الصنف],A64,الجدول15[العدد])+SUMIF(الجدول16[كود الصنف],A64,الجدول16[العدد])+SUMIF(الجدول17[كود الصنف],A64,الجدول17[العدد])+SUMIF(الجدول18[كود الصنف],A64,الجدول18[العدد])+SUMIF(الجدول19[كود الصنف],A64,الجدول19[العدد])+SUMIF(الجدول20[كود الصنف],A64,الجدول20[العدد])+SUMIF(الجدول21[كود الصنف],A64,الجدول21[العدد])+SUMIF(الجدول22[كود الصنف],A64,الجدول22[العدد])+SUMIF(الجدول23[كود الصنف],A64,الجدول23[العدد])+SUMIF(الجدول24[كود الصنف],A64,الجدول24[العدد])+SUMIF(الجدول25[كود الصنف],A64,الجدول25[العدد])+SUMIF(الجدول26[كود الصنف],A64,الجدول26[العدد])+SUMIF(الجدول27[كود الصنف],A64,الجدول27[العدد])+SUMIF(الجدول28[كود الصنف],A64,الجدول28[العدد])+SUMIF(الجدول29[كود الصنف],A64,الجدول29[العدد])+SUMIF(الجدول30[كود الصنف],A64,الجدول30[العدد])+SUMIF(الجدول31[كود الصنف],A64,الجدول31[العدد])</f>
        <v>0</v>
      </c>
      <c r="I64" s="47">
        <f ca="1">SUMIF('تكويد الأصناف'!K:N,A64,'تكويد الأصناف'!M:M)</f>
        <v>0</v>
      </c>
      <c r="J64" s="47">
        <f ca="1">SUMIF('تكويد الأصناف'!K:N,A64,'تكويد الأصناف'!N:N)</f>
        <v>0</v>
      </c>
      <c r="K64" s="43">
        <f ca="1">SUMIF('الوارد والمرتجع'!J:M,A64,'الوارد والمرتجع'!M:M)</f>
        <v>0</v>
      </c>
      <c r="L64" s="47">
        <f t="shared" ca="1" si="0"/>
        <v>0</v>
      </c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</row>
    <row r="65" spans="1:23" customFormat="1" ht="15" hidden="1" x14ac:dyDescent="0.2">
      <c r="A65" s="41">
        <v>1061</v>
      </c>
      <c r="B65" s="44">
        <f>VLOOKUP(A65,'تكويد الأصناف'!A:F,3,0)</f>
        <v>1</v>
      </c>
      <c r="C65" s="45">
        <f>VLOOKUP(A65,'تكويد الأصناف'!A:F,6,0)</f>
        <v>0</v>
      </c>
      <c r="D65" s="46">
        <f>VLOOKUP(A65,'تكويد الأصناف'!A:F,5,0)</f>
        <v>0</v>
      </c>
      <c r="E65" s="42">
        <f>VLOOKUP(A65,'تكويد الأصناف'!A:F,4,1)</f>
        <v>0</v>
      </c>
      <c r="F65" s="37">
        <v>0</v>
      </c>
      <c r="G65" s="43">
        <f ca="1">SUMIF('الوارد والمرتجع'!B:F,A65,'الوارد والمرتجع'!E:E)</f>
        <v>0</v>
      </c>
      <c r="H65" s="58">
        <f>SUMIF(الجدول1[كود الصنف],A65,الجدول1[العدد])+SUMIF(الجدول2[كود الصنف],A65,الجدول2[العدد])+SUMIF(الجدول3[كود الصنف],A65,الجدول3[العدد])+SUMIF(الجدول4[كود الصنف],A65,الجدول4[العدد])+SUMIF(الجدول5[كود الصنف],A65,الجدول5[العدد])+SUMIF(الجدول6[كود الصنف],A65,الجدول6[العدد])+SUMIF(الجدول7[كود الصنف],A65,الجدول7[العدد])+SUMIF(الجدول8[كود الصنف],A65,الجدول8[العدد])+SUMIF(الجدول9[كود الصنف],A65,الجدول9[العدد])+SUMIF(الجدول10[كود الصنف],A65,الجدول10[العدد])+SUMIF(الجدول11[كود الصنف],A65,الجدول11[العدد])+SUMIF(الجدول12[كود الصنف],A65,الجدول12[العدد])+SUMIF(الجدول13[كود الصنف],A65,الجدول13[العدد])+SUMIF(الجدول14[كود الصنف],A65,الجدول14[العدد])+SUMIF(الجدول15[كود الصنف],A65,الجدول15[العدد])+SUMIF(الجدول16[كود الصنف],A65,الجدول16[العدد])+SUMIF(الجدول17[كود الصنف],A65,الجدول17[العدد])+SUMIF(الجدول18[كود الصنف],A65,الجدول18[العدد])+SUMIF(الجدول19[كود الصنف],A65,الجدول19[العدد])+SUMIF(الجدول20[كود الصنف],A65,الجدول20[العدد])+SUMIF(الجدول21[كود الصنف],A65,الجدول21[العدد])+SUMIF(الجدول22[كود الصنف],A65,الجدول22[العدد])+SUMIF(الجدول23[كود الصنف],A65,الجدول23[العدد])+SUMIF(الجدول24[كود الصنف],A65,الجدول24[العدد])+SUMIF(الجدول25[كود الصنف],A65,الجدول25[العدد])+SUMIF(الجدول26[كود الصنف],A65,الجدول26[العدد])+SUMIF(الجدول27[كود الصنف],A65,الجدول27[العدد])+SUMIF(الجدول28[كود الصنف],A65,الجدول28[العدد])+SUMIF(الجدول29[كود الصنف],A65,الجدول29[العدد])+SUMIF(الجدول30[كود الصنف],A65,الجدول30[العدد])+SUMIF(الجدول31[كود الصنف],A65,الجدول31[العدد])</f>
        <v>0</v>
      </c>
      <c r="I65" s="47">
        <f ca="1">SUMIF('تكويد الأصناف'!K:N,A65,'تكويد الأصناف'!M:M)</f>
        <v>0</v>
      </c>
      <c r="J65" s="47">
        <f ca="1">SUMIF('تكويد الأصناف'!K:N,A65,'تكويد الأصناف'!N:N)</f>
        <v>0</v>
      </c>
      <c r="K65" s="43">
        <f ca="1">SUMIF('الوارد والمرتجع'!J:M,A65,'الوارد والمرتجع'!M:M)</f>
        <v>0</v>
      </c>
      <c r="L65" s="47">
        <f t="shared" ca="1" si="0"/>
        <v>0</v>
      </c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</row>
    <row r="66" spans="1:23" customFormat="1" ht="15" hidden="1" x14ac:dyDescent="0.2">
      <c r="A66" s="41">
        <v>1062</v>
      </c>
      <c r="B66" s="44">
        <f>VLOOKUP(A66,'تكويد الأصناف'!A:F,3,0)</f>
        <v>1</v>
      </c>
      <c r="C66" s="45">
        <f>VLOOKUP(A66,'تكويد الأصناف'!A:F,6,0)</f>
        <v>0</v>
      </c>
      <c r="D66" s="46">
        <f>VLOOKUP(A66,'تكويد الأصناف'!A:F,5,0)</f>
        <v>0</v>
      </c>
      <c r="E66" s="42">
        <f>VLOOKUP(A66,'تكويد الأصناف'!A:F,4,1)</f>
        <v>0</v>
      </c>
      <c r="F66" s="37">
        <v>0</v>
      </c>
      <c r="G66" s="43">
        <f ca="1">SUMIF('الوارد والمرتجع'!B:F,A66,'الوارد والمرتجع'!E:E)</f>
        <v>0</v>
      </c>
      <c r="H66" s="58">
        <f>SUMIF(الجدول1[كود الصنف],A66,الجدول1[العدد])+SUMIF(الجدول2[كود الصنف],A66,الجدول2[العدد])+SUMIF(الجدول3[كود الصنف],A66,الجدول3[العدد])+SUMIF(الجدول4[كود الصنف],A66,الجدول4[العدد])+SUMIF(الجدول5[كود الصنف],A66,الجدول5[العدد])+SUMIF(الجدول6[كود الصنف],A66,الجدول6[العدد])+SUMIF(الجدول7[كود الصنف],A66,الجدول7[العدد])+SUMIF(الجدول8[كود الصنف],A66,الجدول8[العدد])+SUMIF(الجدول9[كود الصنف],A66,الجدول9[العدد])+SUMIF(الجدول10[كود الصنف],A66,الجدول10[العدد])+SUMIF(الجدول11[كود الصنف],A66,الجدول11[العدد])+SUMIF(الجدول12[كود الصنف],A66,الجدول12[العدد])+SUMIF(الجدول13[كود الصنف],A66,الجدول13[العدد])+SUMIF(الجدول14[كود الصنف],A66,الجدول14[العدد])+SUMIF(الجدول15[كود الصنف],A66,الجدول15[العدد])+SUMIF(الجدول16[كود الصنف],A66,الجدول16[العدد])+SUMIF(الجدول17[كود الصنف],A66,الجدول17[العدد])+SUMIF(الجدول18[كود الصنف],A66,الجدول18[العدد])+SUMIF(الجدول19[كود الصنف],A66,الجدول19[العدد])+SUMIF(الجدول20[كود الصنف],A66,الجدول20[العدد])+SUMIF(الجدول21[كود الصنف],A66,الجدول21[العدد])+SUMIF(الجدول22[كود الصنف],A66,الجدول22[العدد])+SUMIF(الجدول23[كود الصنف],A66,الجدول23[العدد])+SUMIF(الجدول24[كود الصنف],A66,الجدول24[العدد])+SUMIF(الجدول25[كود الصنف],A66,الجدول25[العدد])+SUMIF(الجدول26[كود الصنف],A66,الجدول26[العدد])+SUMIF(الجدول27[كود الصنف],A66,الجدول27[العدد])+SUMIF(الجدول28[كود الصنف],A66,الجدول28[العدد])+SUMIF(الجدول29[كود الصنف],A66,الجدول29[العدد])+SUMIF(الجدول30[كود الصنف],A66,الجدول30[العدد])+SUMIF(الجدول31[كود الصنف],A66,الجدول31[العدد])</f>
        <v>0</v>
      </c>
      <c r="I66" s="47">
        <f ca="1">SUMIF('تكويد الأصناف'!K:N,A66,'تكويد الأصناف'!M:M)</f>
        <v>0</v>
      </c>
      <c r="J66" s="47">
        <f ca="1">SUMIF('تكويد الأصناف'!K:N,A66,'تكويد الأصناف'!N:N)</f>
        <v>0</v>
      </c>
      <c r="K66" s="43">
        <f ca="1">SUMIF('الوارد والمرتجع'!J:M,A66,'الوارد والمرتجع'!M:M)</f>
        <v>0</v>
      </c>
      <c r="L66" s="47">
        <f t="shared" ca="1" si="0"/>
        <v>0</v>
      </c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</row>
    <row r="67" spans="1:23" customFormat="1" ht="15" hidden="1" x14ac:dyDescent="0.2">
      <c r="A67" s="41">
        <v>1063</v>
      </c>
      <c r="B67" s="44">
        <f>VLOOKUP(A67,'تكويد الأصناف'!A:F,3,0)</f>
        <v>1</v>
      </c>
      <c r="C67" s="45">
        <f>VLOOKUP(A67,'تكويد الأصناف'!A:F,6,0)</f>
        <v>0</v>
      </c>
      <c r="D67" s="46">
        <f>VLOOKUP(A67,'تكويد الأصناف'!A:F,5,0)</f>
        <v>0</v>
      </c>
      <c r="E67" s="42">
        <f>VLOOKUP(A67,'تكويد الأصناف'!A:F,4,1)</f>
        <v>0</v>
      </c>
      <c r="F67" s="37">
        <v>0</v>
      </c>
      <c r="G67" s="43">
        <f ca="1">SUMIF('الوارد والمرتجع'!B:F,A67,'الوارد والمرتجع'!E:E)</f>
        <v>0</v>
      </c>
      <c r="H67" s="58">
        <f>SUMIF(الجدول1[كود الصنف],A67,الجدول1[العدد])+SUMIF(الجدول2[كود الصنف],A67,الجدول2[العدد])+SUMIF(الجدول3[كود الصنف],A67,الجدول3[العدد])+SUMIF(الجدول4[كود الصنف],A67,الجدول4[العدد])+SUMIF(الجدول5[كود الصنف],A67,الجدول5[العدد])+SUMIF(الجدول6[كود الصنف],A67,الجدول6[العدد])+SUMIF(الجدول7[كود الصنف],A67,الجدول7[العدد])+SUMIF(الجدول8[كود الصنف],A67,الجدول8[العدد])+SUMIF(الجدول9[كود الصنف],A67,الجدول9[العدد])+SUMIF(الجدول10[كود الصنف],A67,الجدول10[العدد])+SUMIF(الجدول11[كود الصنف],A67,الجدول11[العدد])+SUMIF(الجدول12[كود الصنف],A67,الجدول12[العدد])+SUMIF(الجدول13[كود الصنف],A67,الجدول13[العدد])+SUMIF(الجدول14[كود الصنف],A67,الجدول14[العدد])+SUMIF(الجدول15[كود الصنف],A67,الجدول15[العدد])+SUMIF(الجدول16[كود الصنف],A67,الجدول16[العدد])+SUMIF(الجدول17[كود الصنف],A67,الجدول17[العدد])+SUMIF(الجدول18[كود الصنف],A67,الجدول18[العدد])+SUMIF(الجدول19[كود الصنف],A67,الجدول19[العدد])+SUMIF(الجدول20[كود الصنف],A67,الجدول20[العدد])+SUMIF(الجدول21[كود الصنف],A67,الجدول21[العدد])+SUMIF(الجدول22[كود الصنف],A67,الجدول22[العدد])+SUMIF(الجدول23[كود الصنف],A67,الجدول23[العدد])+SUMIF(الجدول24[كود الصنف],A67,الجدول24[العدد])+SUMIF(الجدول25[كود الصنف],A67,الجدول25[العدد])+SUMIF(الجدول26[كود الصنف],A67,الجدول26[العدد])+SUMIF(الجدول27[كود الصنف],A67,الجدول27[العدد])+SUMIF(الجدول28[كود الصنف],A67,الجدول28[العدد])+SUMIF(الجدول29[كود الصنف],A67,الجدول29[العدد])+SUMIF(الجدول30[كود الصنف],A67,الجدول30[العدد])+SUMIF(الجدول31[كود الصنف],A67,الجدول31[العدد])</f>
        <v>0</v>
      </c>
      <c r="I67" s="47">
        <f ca="1">SUMIF('تكويد الأصناف'!K:N,A67,'تكويد الأصناف'!M:M)</f>
        <v>0</v>
      </c>
      <c r="J67" s="47">
        <f ca="1">SUMIF('تكويد الأصناف'!K:N,A67,'تكويد الأصناف'!N:N)</f>
        <v>0</v>
      </c>
      <c r="K67" s="43">
        <f ca="1">SUMIF('الوارد والمرتجع'!J:M,A67,'الوارد والمرتجع'!M:M)</f>
        <v>0</v>
      </c>
      <c r="L67" s="47">
        <f t="shared" ca="1" si="0"/>
        <v>0</v>
      </c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</row>
    <row r="68" spans="1:23" customFormat="1" ht="15" hidden="1" x14ac:dyDescent="0.2">
      <c r="A68" s="41">
        <v>1064</v>
      </c>
      <c r="B68" s="44">
        <f>VLOOKUP(A68,'تكويد الأصناف'!A:F,3,0)</f>
        <v>1</v>
      </c>
      <c r="C68" s="45">
        <f>VLOOKUP(A68,'تكويد الأصناف'!A:F,6,0)</f>
        <v>0</v>
      </c>
      <c r="D68" s="46">
        <f>VLOOKUP(A68,'تكويد الأصناف'!A:F,5,0)</f>
        <v>0</v>
      </c>
      <c r="E68" s="42">
        <f>VLOOKUP(A68,'تكويد الأصناف'!A:F,4,1)</f>
        <v>0</v>
      </c>
      <c r="F68" s="37">
        <v>0</v>
      </c>
      <c r="G68" s="43">
        <f ca="1">SUMIF('الوارد والمرتجع'!B:F,A68,'الوارد والمرتجع'!E:E)</f>
        <v>0</v>
      </c>
      <c r="H68" s="58">
        <f>SUMIF(الجدول1[كود الصنف],A68,الجدول1[العدد])+SUMIF(الجدول2[كود الصنف],A68,الجدول2[العدد])+SUMIF(الجدول3[كود الصنف],A68,الجدول3[العدد])+SUMIF(الجدول4[كود الصنف],A68,الجدول4[العدد])+SUMIF(الجدول5[كود الصنف],A68,الجدول5[العدد])+SUMIF(الجدول6[كود الصنف],A68,الجدول6[العدد])+SUMIF(الجدول7[كود الصنف],A68,الجدول7[العدد])+SUMIF(الجدول8[كود الصنف],A68,الجدول8[العدد])+SUMIF(الجدول9[كود الصنف],A68,الجدول9[العدد])+SUMIF(الجدول10[كود الصنف],A68,الجدول10[العدد])+SUMIF(الجدول11[كود الصنف],A68,الجدول11[العدد])+SUMIF(الجدول12[كود الصنف],A68,الجدول12[العدد])+SUMIF(الجدول13[كود الصنف],A68,الجدول13[العدد])+SUMIF(الجدول14[كود الصنف],A68,الجدول14[العدد])+SUMIF(الجدول15[كود الصنف],A68,الجدول15[العدد])+SUMIF(الجدول16[كود الصنف],A68,الجدول16[العدد])+SUMIF(الجدول17[كود الصنف],A68,الجدول17[العدد])+SUMIF(الجدول18[كود الصنف],A68,الجدول18[العدد])+SUMIF(الجدول19[كود الصنف],A68,الجدول19[العدد])+SUMIF(الجدول20[كود الصنف],A68,الجدول20[العدد])+SUMIF(الجدول21[كود الصنف],A68,الجدول21[العدد])+SUMIF(الجدول22[كود الصنف],A68,الجدول22[العدد])+SUMIF(الجدول23[كود الصنف],A68,الجدول23[العدد])+SUMIF(الجدول24[كود الصنف],A68,الجدول24[العدد])+SUMIF(الجدول25[كود الصنف],A68,الجدول25[العدد])+SUMIF(الجدول26[كود الصنف],A68,الجدول26[العدد])+SUMIF(الجدول27[كود الصنف],A68,الجدول27[العدد])+SUMIF(الجدول28[كود الصنف],A68,الجدول28[العدد])+SUMIF(الجدول29[كود الصنف],A68,الجدول29[العدد])+SUMIF(الجدول30[كود الصنف],A68,الجدول30[العدد])+SUMIF(الجدول31[كود الصنف],A68,الجدول31[العدد])</f>
        <v>0</v>
      </c>
      <c r="I68" s="47">
        <f ca="1">SUMIF('تكويد الأصناف'!K:N,A68,'تكويد الأصناف'!M:M)</f>
        <v>0</v>
      </c>
      <c r="J68" s="47">
        <f ca="1">SUMIF('تكويد الأصناف'!K:N,A68,'تكويد الأصناف'!N:N)</f>
        <v>0</v>
      </c>
      <c r="K68" s="43">
        <f ca="1">SUMIF('الوارد والمرتجع'!J:M,A68,'الوارد والمرتجع'!M:M)</f>
        <v>0</v>
      </c>
      <c r="L68" s="47">
        <f t="shared" ca="1" si="0"/>
        <v>0</v>
      </c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</row>
    <row r="69" spans="1:23" customFormat="1" ht="15" hidden="1" x14ac:dyDescent="0.2">
      <c r="A69" s="41">
        <v>1065</v>
      </c>
      <c r="B69" s="44">
        <f>VLOOKUP(A69,'تكويد الأصناف'!A:F,3,0)</f>
        <v>1</v>
      </c>
      <c r="C69" s="45">
        <f>VLOOKUP(A69,'تكويد الأصناف'!A:F,6,0)</f>
        <v>0</v>
      </c>
      <c r="D69" s="46">
        <f>VLOOKUP(A69,'تكويد الأصناف'!A:F,5,0)</f>
        <v>0</v>
      </c>
      <c r="E69" s="42">
        <f>VLOOKUP(A69,'تكويد الأصناف'!A:F,4,1)</f>
        <v>0</v>
      </c>
      <c r="F69" s="37">
        <v>0</v>
      </c>
      <c r="G69" s="43">
        <f ca="1">SUMIF('الوارد والمرتجع'!B:F,A69,'الوارد والمرتجع'!E:E)</f>
        <v>0</v>
      </c>
      <c r="H69" s="58">
        <f>SUMIF(الجدول1[كود الصنف],A69,الجدول1[العدد])+SUMIF(الجدول2[كود الصنف],A69,الجدول2[العدد])+SUMIF(الجدول3[كود الصنف],A69,الجدول3[العدد])+SUMIF(الجدول4[كود الصنف],A69,الجدول4[العدد])+SUMIF(الجدول5[كود الصنف],A69,الجدول5[العدد])+SUMIF(الجدول6[كود الصنف],A69,الجدول6[العدد])+SUMIF(الجدول7[كود الصنف],A69,الجدول7[العدد])+SUMIF(الجدول8[كود الصنف],A69,الجدول8[العدد])+SUMIF(الجدول9[كود الصنف],A69,الجدول9[العدد])+SUMIF(الجدول10[كود الصنف],A69,الجدول10[العدد])+SUMIF(الجدول11[كود الصنف],A69,الجدول11[العدد])+SUMIF(الجدول12[كود الصنف],A69,الجدول12[العدد])+SUMIF(الجدول13[كود الصنف],A69,الجدول13[العدد])+SUMIF(الجدول14[كود الصنف],A69,الجدول14[العدد])+SUMIF(الجدول15[كود الصنف],A69,الجدول15[العدد])+SUMIF(الجدول16[كود الصنف],A69,الجدول16[العدد])+SUMIF(الجدول17[كود الصنف],A69,الجدول17[العدد])+SUMIF(الجدول18[كود الصنف],A69,الجدول18[العدد])+SUMIF(الجدول19[كود الصنف],A69,الجدول19[العدد])+SUMIF(الجدول20[كود الصنف],A69,الجدول20[العدد])+SUMIF(الجدول21[كود الصنف],A69,الجدول21[العدد])+SUMIF(الجدول22[كود الصنف],A69,الجدول22[العدد])+SUMIF(الجدول23[كود الصنف],A69,الجدول23[العدد])+SUMIF(الجدول24[كود الصنف],A69,الجدول24[العدد])+SUMIF(الجدول25[كود الصنف],A69,الجدول25[العدد])+SUMIF(الجدول26[كود الصنف],A69,الجدول26[العدد])+SUMIF(الجدول27[كود الصنف],A69,الجدول27[العدد])+SUMIF(الجدول28[كود الصنف],A69,الجدول28[العدد])+SUMIF(الجدول29[كود الصنف],A69,الجدول29[العدد])+SUMIF(الجدول30[كود الصنف],A69,الجدول30[العدد])+SUMIF(الجدول31[كود الصنف],A69,الجدول31[العدد])</f>
        <v>0</v>
      </c>
      <c r="I69" s="47">
        <f ca="1">SUMIF('تكويد الأصناف'!K:N,A69,'تكويد الأصناف'!M:M)</f>
        <v>0</v>
      </c>
      <c r="J69" s="47">
        <f ca="1">SUMIF('تكويد الأصناف'!K:N,A69,'تكويد الأصناف'!N:N)</f>
        <v>0</v>
      </c>
      <c r="K69" s="43">
        <f ca="1">SUMIF('الوارد والمرتجع'!J:M,A69,'الوارد والمرتجع'!M:M)</f>
        <v>0</v>
      </c>
      <c r="L69" s="47">
        <f t="shared" ref="L69:L132" ca="1" si="1">F69+G69-H69-I69+J69-K69</f>
        <v>0</v>
      </c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</row>
    <row r="70" spans="1:23" customFormat="1" ht="15" hidden="1" x14ac:dyDescent="0.2">
      <c r="A70" s="41">
        <v>1066</v>
      </c>
      <c r="B70" s="44">
        <f>VLOOKUP(A70,'تكويد الأصناف'!A:F,3,0)</f>
        <v>1</v>
      </c>
      <c r="C70" s="45">
        <f>VLOOKUP(A70,'تكويد الأصناف'!A:F,6,0)</f>
        <v>0</v>
      </c>
      <c r="D70" s="46">
        <f>VLOOKUP(A70,'تكويد الأصناف'!A:F,5,0)</f>
        <v>0</v>
      </c>
      <c r="E70" s="42">
        <f>VLOOKUP(A70,'تكويد الأصناف'!A:F,4,1)</f>
        <v>0</v>
      </c>
      <c r="F70" s="43">
        <v>0</v>
      </c>
      <c r="G70" s="43">
        <f ca="1">SUMIF('الوارد والمرتجع'!B:F,A70,'الوارد والمرتجع'!E:E)</f>
        <v>0</v>
      </c>
      <c r="H70" s="58">
        <f>SUMIF(الجدول1[كود الصنف],A70,الجدول1[العدد])+SUMIF(الجدول2[كود الصنف],A70,الجدول2[العدد])+SUMIF(الجدول3[كود الصنف],A70,الجدول3[العدد])+SUMIF(الجدول4[كود الصنف],A70,الجدول4[العدد])+SUMIF(الجدول5[كود الصنف],A70,الجدول5[العدد])+SUMIF(الجدول6[كود الصنف],A70,الجدول6[العدد])+SUMIF(الجدول7[كود الصنف],A70,الجدول7[العدد])+SUMIF(الجدول8[كود الصنف],A70,الجدول8[العدد])+SUMIF(الجدول9[كود الصنف],A70,الجدول9[العدد])+SUMIF(الجدول10[كود الصنف],A70,الجدول10[العدد])+SUMIF(الجدول11[كود الصنف],A70,الجدول11[العدد])+SUMIF(الجدول12[كود الصنف],A70,الجدول12[العدد])+SUMIF(الجدول13[كود الصنف],A70,الجدول13[العدد])+SUMIF(الجدول14[كود الصنف],A70,الجدول14[العدد])+SUMIF(الجدول15[كود الصنف],A70,الجدول15[العدد])+SUMIF(الجدول16[كود الصنف],A70,الجدول16[العدد])+SUMIF(الجدول17[كود الصنف],A70,الجدول17[العدد])+SUMIF(الجدول18[كود الصنف],A70,الجدول18[العدد])+SUMIF(الجدول19[كود الصنف],A70,الجدول19[العدد])+SUMIF(الجدول20[كود الصنف],A70,الجدول20[العدد])+SUMIF(الجدول21[كود الصنف],A70,الجدول21[العدد])+SUMIF(الجدول22[كود الصنف],A70,الجدول22[العدد])+SUMIF(الجدول23[كود الصنف],A70,الجدول23[العدد])+SUMIF(الجدول24[كود الصنف],A70,الجدول24[العدد])+SUMIF(الجدول25[كود الصنف],A70,الجدول25[العدد])+SUMIF(الجدول26[كود الصنف],A70,الجدول26[العدد])+SUMIF(الجدول27[كود الصنف],A70,الجدول27[العدد])+SUMIF(الجدول28[كود الصنف],A70,الجدول28[العدد])+SUMIF(الجدول29[كود الصنف],A70,الجدول29[العدد])+SUMIF(الجدول30[كود الصنف],A70,الجدول30[العدد])+SUMIF(الجدول31[كود الصنف],A70,الجدول31[العدد])</f>
        <v>0</v>
      </c>
      <c r="I70" s="47">
        <f ca="1">SUMIF('تكويد الأصناف'!K:N,A70,'تكويد الأصناف'!M:M)</f>
        <v>0</v>
      </c>
      <c r="J70" s="47">
        <f ca="1">SUMIF('تكويد الأصناف'!K:N,A70,'تكويد الأصناف'!N:N)</f>
        <v>0</v>
      </c>
      <c r="K70" s="43">
        <f ca="1">SUMIF('الوارد والمرتجع'!J:M,A70,'الوارد والمرتجع'!M:M)</f>
        <v>0</v>
      </c>
      <c r="L70" s="47">
        <f t="shared" ca="1" si="1"/>
        <v>0</v>
      </c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</row>
    <row r="71" spans="1:23" customFormat="1" ht="15" hidden="1" x14ac:dyDescent="0.2">
      <c r="A71" s="41">
        <v>1067</v>
      </c>
      <c r="B71" s="44">
        <f>VLOOKUP(A71,'تكويد الأصناف'!A:F,3,0)</f>
        <v>1</v>
      </c>
      <c r="C71" s="45">
        <f>VLOOKUP(A71,'تكويد الأصناف'!A:F,6,0)</f>
        <v>0</v>
      </c>
      <c r="D71" s="46">
        <f>VLOOKUP(A71,'تكويد الأصناف'!A:F,5,0)</f>
        <v>0</v>
      </c>
      <c r="E71" s="42">
        <f>VLOOKUP(A71,'تكويد الأصناف'!A:F,4,1)</f>
        <v>0</v>
      </c>
      <c r="F71" s="37">
        <v>0</v>
      </c>
      <c r="G71" s="43">
        <f ca="1">SUMIF('الوارد والمرتجع'!B:F,A71,'الوارد والمرتجع'!E:E)</f>
        <v>0</v>
      </c>
      <c r="H71" s="58">
        <f>SUMIF(الجدول1[كود الصنف],A71,الجدول1[العدد])+SUMIF(الجدول2[كود الصنف],A71,الجدول2[العدد])+SUMIF(الجدول3[كود الصنف],A71,الجدول3[العدد])+SUMIF(الجدول4[كود الصنف],A71,الجدول4[العدد])+SUMIF(الجدول5[كود الصنف],A71,الجدول5[العدد])+SUMIF(الجدول6[كود الصنف],A71,الجدول6[العدد])+SUMIF(الجدول7[كود الصنف],A71,الجدول7[العدد])+SUMIF(الجدول8[كود الصنف],A71,الجدول8[العدد])+SUMIF(الجدول9[كود الصنف],A71,الجدول9[العدد])+SUMIF(الجدول10[كود الصنف],A71,الجدول10[العدد])+SUMIF(الجدول11[كود الصنف],A71,الجدول11[العدد])+SUMIF(الجدول12[كود الصنف],A71,الجدول12[العدد])+SUMIF(الجدول13[كود الصنف],A71,الجدول13[العدد])+SUMIF(الجدول14[كود الصنف],A71,الجدول14[العدد])+SUMIF(الجدول15[كود الصنف],A71,الجدول15[العدد])+SUMIF(الجدول16[كود الصنف],A71,الجدول16[العدد])+SUMIF(الجدول17[كود الصنف],A71,الجدول17[العدد])+SUMIF(الجدول18[كود الصنف],A71,الجدول18[العدد])+SUMIF(الجدول19[كود الصنف],A71,الجدول19[العدد])+SUMIF(الجدول20[كود الصنف],A71,الجدول20[العدد])+SUMIF(الجدول21[كود الصنف],A71,الجدول21[العدد])+SUMIF(الجدول22[كود الصنف],A71,الجدول22[العدد])+SUMIF(الجدول23[كود الصنف],A71,الجدول23[العدد])+SUMIF(الجدول24[كود الصنف],A71,الجدول24[العدد])+SUMIF(الجدول25[كود الصنف],A71,الجدول25[العدد])+SUMIF(الجدول26[كود الصنف],A71,الجدول26[العدد])+SUMIF(الجدول27[كود الصنف],A71,الجدول27[العدد])+SUMIF(الجدول28[كود الصنف],A71,الجدول28[العدد])+SUMIF(الجدول29[كود الصنف],A71,الجدول29[العدد])+SUMIF(الجدول30[كود الصنف],A71,الجدول30[العدد])+SUMIF(الجدول31[كود الصنف],A71,الجدول31[العدد])</f>
        <v>0</v>
      </c>
      <c r="I71" s="47">
        <f ca="1">SUMIF('تكويد الأصناف'!K:N,A71,'تكويد الأصناف'!M:M)</f>
        <v>0</v>
      </c>
      <c r="J71" s="47">
        <f ca="1">SUMIF('تكويد الأصناف'!K:N,A71,'تكويد الأصناف'!N:N)</f>
        <v>0</v>
      </c>
      <c r="K71" s="43">
        <f ca="1">SUMIF('الوارد والمرتجع'!J:M,A71,'الوارد والمرتجع'!M:M)</f>
        <v>0</v>
      </c>
      <c r="L71" s="47">
        <f t="shared" ca="1" si="1"/>
        <v>0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</row>
    <row r="72" spans="1:23" customFormat="1" ht="15" hidden="1" x14ac:dyDescent="0.2">
      <c r="A72" s="41">
        <v>1068</v>
      </c>
      <c r="B72" s="44">
        <f>VLOOKUP(A72,'تكويد الأصناف'!A:F,3,0)</f>
        <v>1</v>
      </c>
      <c r="C72" s="45">
        <f>VLOOKUP(A72,'تكويد الأصناف'!A:F,6,0)</f>
        <v>0</v>
      </c>
      <c r="D72" s="46">
        <f>VLOOKUP(A72,'تكويد الأصناف'!A:F,5,0)</f>
        <v>0</v>
      </c>
      <c r="E72" s="42">
        <f>VLOOKUP(A72,'تكويد الأصناف'!A:F,4,1)</f>
        <v>0</v>
      </c>
      <c r="F72" s="37">
        <v>0</v>
      </c>
      <c r="G72" s="43">
        <f ca="1">SUMIF('الوارد والمرتجع'!B:F,A72,'الوارد والمرتجع'!E:E)</f>
        <v>0</v>
      </c>
      <c r="H72" s="58">
        <f>SUMIF(الجدول1[كود الصنف],A72,الجدول1[العدد])+SUMIF(الجدول2[كود الصنف],A72,الجدول2[العدد])+SUMIF(الجدول3[كود الصنف],A72,الجدول3[العدد])+SUMIF(الجدول4[كود الصنف],A72,الجدول4[العدد])+SUMIF(الجدول5[كود الصنف],A72,الجدول5[العدد])+SUMIF(الجدول6[كود الصنف],A72,الجدول6[العدد])+SUMIF(الجدول7[كود الصنف],A72,الجدول7[العدد])+SUMIF(الجدول8[كود الصنف],A72,الجدول8[العدد])+SUMIF(الجدول9[كود الصنف],A72,الجدول9[العدد])+SUMIF(الجدول10[كود الصنف],A72,الجدول10[العدد])+SUMIF(الجدول11[كود الصنف],A72,الجدول11[العدد])+SUMIF(الجدول12[كود الصنف],A72,الجدول12[العدد])+SUMIF(الجدول13[كود الصنف],A72,الجدول13[العدد])+SUMIF(الجدول14[كود الصنف],A72,الجدول14[العدد])+SUMIF(الجدول15[كود الصنف],A72,الجدول15[العدد])+SUMIF(الجدول16[كود الصنف],A72,الجدول16[العدد])+SUMIF(الجدول17[كود الصنف],A72,الجدول17[العدد])+SUMIF(الجدول18[كود الصنف],A72,الجدول18[العدد])+SUMIF(الجدول19[كود الصنف],A72,الجدول19[العدد])+SUMIF(الجدول20[كود الصنف],A72,الجدول20[العدد])+SUMIF(الجدول21[كود الصنف],A72,الجدول21[العدد])+SUMIF(الجدول22[كود الصنف],A72,الجدول22[العدد])+SUMIF(الجدول23[كود الصنف],A72,الجدول23[العدد])+SUMIF(الجدول24[كود الصنف],A72,الجدول24[العدد])+SUMIF(الجدول25[كود الصنف],A72,الجدول25[العدد])+SUMIF(الجدول26[كود الصنف],A72,الجدول26[العدد])+SUMIF(الجدول27[كود الصنف],A72,الجدول27[العدد])+SUMIF(الجدول28[كود الصنف],A72,الجدول28[العدد])+SUMIF(الجدول29[كود الصنف],A72,الجدول29[العدد])+SUMIF(الجدول30[كود الصنف],A72,الجدول30[العدد])+SUMIF(الجدول31[كود الصنف],A72,الجدول31[العدد])</f>
        <v>0</v>
      </c>
      <c r="I72" s="47">
        <f ca="1">SUMIF('تكويد الأصناف'!K:N,A72,'تكويد الأصناف'!M:M)</f>
        <v>0</v>
      </c>
      <c r="J72" s="47">
        <f ca="1">SUMIF('تكويد الأصناف'!K:N,A72,'تكويد الأصناف'!N:N)</f>
        <v>0</v>
      </c>
      <c r="K72" s="43">
        <f ca="1">SUMIF('الوارد والمرتجع'!J:M,A72,'الوارد والمرتجع'!M:M)</f>
        <v>0</v>
      </c>
      <c r="L72" s="47">
        <f t="shared" ca="1" si="1"/>
        <v>0</v>
      </c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</row>
    <row r="73" spans="1:23" customFormat="1" ht="15" hidden="1" x14ac:dyDescent="0.2">
      <c r="A73" s="41">
        <v>1069</v>
      </c>
      <c r="B73" s="44">
        <f>VLOOKUP(A73,'تكويد الأصناف'!A:F,3,0)</f>
        <v>1</v>
      </c>
      <c r="C73" s="45">
        <f>VLOOKUP(A73,'تكويد الأصناف'!A:F,6,0)</f>
        <v>0</v>
      </c>
      <c r="D73" s="46">
        <f>VLOOKUP(A73,'تكويد الأصناف'!A:F,5,0)</f>
        <v>0</v>
      </c>
      <c r="E73" s="42">
        <f>VLOOKUP(A73,'تكويد الأصناف'!A:F,4,1)</f>
        <v>0</v>
      </c>
      <c r="F73" s="37">
        <v>0</v>
      </c>
      <c r="G73" s="43">
        <f ca="1">SUMIF('الوارد والمرتجع'!B:F,A73,'الوارد والمرتجع'!E:E)</f>
        <v>0</v>
      </c>
      <c r="H73" s="58">
        <f>SUMIF(الجدول1[كود الصنف],A73,الجدول1[العدد])+SUMIF(الجدول2[كود الصنف],A73,الجدول2[العدد])+SUMIF(الجدول3[كود الصنف],A73,الجدول3[العدد])+SUMIF(الجدول4[كود الصنف],A73,الجدول4[العدد])+SUMIF(الجدول5[كود الصنف],A73,الجدول5[العدد])+SUMIF(الجدول6[كود الصنف],A73,الجدول6[العدد])+SUMIF(الجدول7[كود الصنف],A73,الجدول7[العدد])+SUMIF(الجدول8[كود الصنف],A73,الجدول8[العدد])+SUMIF(الجدول9[كود الصنف],A73,الجدول9[العدد])+SUMIF(الجدول10[كود الصنف],A73,الجدول10[العدد])+SUMIF(الجدول11[كود الصنف],A73,الجدول11[العدد])+SUMIF(الجدول12[كود الصنف],A73,الجدول12[العدد])+SUMIF(الجدول13[كود الصنف],A73,الجدول13[العدد])+SUMIF(الجدول14[كود الصنف],A73,الجدول14[العدد])+SUMIF(الجدول15[كود الصنف],A73,الجدول15[العدد])+SUMIF(الجدول16[كود الصنف],A73,الجدول16[العدد])+SUMIF(الجدول17[كود الصنف],A73,الجدول17[العدد])+SUMIF(الجدول18[كود الصنف],A73,الجدول18[العدد])+SUMIF(الجدول19[كود الصنف],A73,الجدول19[العدد])+SUMIF(الجدول20[كود الصنف],A73,الجدول20[العدد])+SUMIF(الجدول21[كود الصنف],A73,الجدول21[العدد])+SUMIF(الجدول22[كود الصنف],A73,الجدول22[العدد])+SUMIF(الجدول23[كود الصنف],A73,الجدول23[العدد])+SUMIF(الجدول24[كود الصنف],A73,الجدول24[العدد])+SUMIF(الجدول25[كود الصنف],A73,الجدول25[العدد])+SUMIF(الجدول26[كود الصنف],A73,الجدول26[العدد])+SUMIF(الجدول27[كود الصنف],A73,الجدول27[العدد])+SUMIF(الجدول28[كود الصنف],A73,الجدول28[العدد])+SUMIF(الجدول29[كود الصنف],A73,الجدول29[العدد])+SUMIF(الجدول30[كود الصنف],A73,الجدول30[العدد])+SUMIF(الجدول31[كود الصنف],A73,الجدول31[العدد])</f>
        <v>0</v>
      </c>
      <c r="I73" s="47">
        <f ca="1">SUMIF('تكويد الأصناف'!K:N,A73,'تكويد الأصناف'!M:M)</f>
        <v>0</v>
      </c>
      <c r="J73" s="47">
        <f ca="1">SUMIF('تكويد الأصناف'!K:N,A73,'تكويد الأصناف'!N:N)</f>
        <v>0</v>
      </c>
      <c r="K73" s="43">
        <f ca="1">SUMIF('الوارد والمرتجع'!J:M,A73,'الوارد والمرتجع'!M:M)</f>
        <v>0</v>
      </c>
      <c r="L73" s="47">
        <f t="shared" ca="1" si="1"/>
        <v>0</v>
      </c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</row>
    <row r="74" spans="1:23" customFormat="1" ht="15" hidden="1" x14ac:dyDescent="0.2">
      <c r="A74" s="41">
        <v>1070</v>
      </c>
      <c r="B74" s="44">
        <f>VLOOKUP(A74,'تكويد الأصناف'!A:F,3,0)</f>
        <v>1</v>
      </c>
      <c r="C74" s="45">
        <f>VLOOKUP(A74,'تكويد الأصناف'!A:F,6,0)</f>
        <v>0</v>
      </c>
      <c r="D74" s="46">
        <f>VLOOKUP(A74,'تكويد الأصناف'!A:F,5,0)</f>
        <v>0</v>
      </c>
      <c r="E74" s="42">
        <f>VLOOKUP(A74,'تكويد الأصناف'!A:F,4,1)</f>
        <v>0</v>
      </c>
      <c r="F74" s="37">
        <v>0</v>
      </c>
      <c r="G74" s="43">
        <f ca="1">SUMIF('الوارد والمرتجع'!B:F,A74,'الوارد والمرتجع'!E:E)</f>
        <v>0</v>
      </c>
      <c r="H74" s="58">
        <f>SUMIF(الجدول1[كود الصنف],A74,الجدول1[العدد])+SUMIF(الجدول2[كود الصنف],A74,الجدول2[العدد])+SUMIF(الجدول3[كود الصنف],A74,الجدول3[العدد])+SUMIF(الجدول4[كود الصنف],A74,الجدول4[العدد])+SUMIF(الجدول5[كود الصنف],A74,الجدول5[العدد])+SUMIF(الجدول6[كود الصنف],A74,الجدول6[العدد])+SUMIF(الجدول7[كود الصنف],A74,الجدول7[العدد])+SUMIF(الجدول8[كود الصنف],A74,الجدول8[العدد])+SUMIF(الجدول9[كود الصنف],A74,الجدول9[العدد])+SUMIF(الجدول10[كود الصنف],A74,الجدول10[العدد])+SUMIF(الجدول11[كود الصنف],A74,الجدول11[العدد])+SUMIF(الجدول12[كود الصنف],A74,الجدول12[العدد])+SUMIF(الجدول13[كود الصنف],A74,الجدول13[العدد])+SUMIF(الجدول14[كود الصنف],A74,الجدول14[العدد])+SUMIF(الجدول15[كود الصنف],A74,الجدول15[العدد])+SUMIF(الجدول16[كود الصنف],A74,الجدول16[العدد])+SUMIF(الجدول17[كود الصنف],A74,الجدول17[العدد])+SUMIF(الجدول18[كود الصنف],A74,الجدول18[العدد])+SUMIF(الجدول19[كود الصنف],A74,الجدول19[العدد])+SUMIF(الجدول20[كود الصنف],A74,الجدول20[العدد])+SUMIF(الجدول21[كود الصنف],A74,الجدول21[العدد])+SUMIF(الجدول22[كود الصنف],A74,الجدول22[العدد])+SUMIF(الجدول23[كود الصنف],A74,الجدول23[العدد])+SUMIF(الجدول24[كود الصنف],A74,الجدول24[العدد])+SUMIF(الجدول25[كود الصنف],A74,الجدول25[العدد])+SUMIF(الجدول26[كود الصنف],A74,الجدول26[العدد])+SUMIF(الجدول27[كود الصنف],A74,الجدول27[العدد])+SUMIF(الجدول28[كود الصنف],A74,الجدول28[العدد])+SUMIF(الجدول29[كود الصنف],A74,الجدول29[العدد])+SUMIF(الجدول30[كود الصنف],A74,الجدول30[العدد])+SUMIF(الجدول31[كود الصنف],A74,الجدول31[العدد])</f>
        <v>0</v>
      </c>
      <c r="I74" s="47">
        <f ca="1">SUMIF('تكويد الأصناف'!K:N,A74,'تكويد الأصناف'!M:M)</f>
        <v>0</v>
      </c>
      <c r="J74" s="47">
        <f ca="1">SUMIF('تكويد الأصناف'!K:N,A74,'تكويد الأصناف'!N:N)</f>
        <v>0</v>
      </c>
      <c r="K74" s="43">
        <f ca="1">SUMIF('الوارد والمرتجع'!J:M,A74,'الوارد والمرتجع'!M:M)</f>
        <v>0</v>
      </c>
      <c r="L74" s="47">
        <f t="shared" ca="1" si="1"/>
        <v>0</v>
      </c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</row>
    <row r="75" spans="1:23" customFormat="1" ht="15" hidden="1" x14ac:dyDescent="0.2">
      <c r="A75" s="41">
        <v>1071</v>
      </c>
      <c r="B75" s="44">
        <f>VLOOKUP(A75,'تكويد الأصناف'!A:F,3,0)</f>
        <v>1</v>
      </c>
      <c r="C75" s="45">
        <f>VLOOKUP(A75,'تكويد الأصناف'!A:F,6,0)</f>
        <v>0</v>
      </c>
      <c r="D75" s="46">
        <f>VLOOKUP(A75,'تكويد الأصناف'!A:F,5,0)</f>
        <v>0</v>
      </c>
      <c r="E75" s="42">
        <f>VLOOKUP(A75,'تكويد الأصناف'!A:F,4,1)</f>
        <v>0</v>
      </c>
      <c r="F75" s="43">
        <v>0</v>
      </c>
      <c r="G75" s="43">
        <f ca="1">SUMIF('الوارد والمرتجع'!B:F,A75,'الوارد والمرتجع'!E:E)</f>
        <v>0</v>
      </c>
      <c r="H75" s="58">
        <f>SUMIF(الجدول1[كود الصنف],A75,الجدول1[العدد])+SUMIF(الجدول2[كود الصنف],A75,الجدول2[العدد])+SUMIF(الجدول3[كود الصنف],A75,الجدول3[العدد])+SUMIF(الجدول4[كود الصنف],A75,الجدول4[العدد])+SUMIF(الجدول5[كود الصنف],A75,الجدول5[العدد])+SUMIF(الجدول6[كود الصنف],A75,الجدول6[العدد])+SUMIF(الجدول7[كود الصنف],A75,الجدول7[العدد])+SUMIF(الجدول8[كود الصنف],A75,الجدول8[العدد])+SUMIF(الجدول9[كود الصنف],A75,الجدول9[العدد])+SUMIF(الجدول10[كود الصنف],A75,الجدول10[العدد])+SUMIF(الجدول11[كود الصنف],A75,الجدول11[العدد])+SUMIF(الجدول12[كود الصنف],A75,الجدول12[العدد])+SUMIF(الجدول13[كود الصنف],A75,الجدول13[العدد])+SUMIF(الجدول14[كود الصنف],A75,الجدول14[العدد])+SUMIF(الجدول15[كود الصنف],A75,الجدول15[العدد])+SUMIF(الجدول16[كود الصنف],A75,الجدول16[العدد])+SUMIF(الجدول17[كود الصنف],A75,الجدول17[العدد])+SUMIF(الجدول18[كود الصنف],A75,الجدول18[العدد])+SUMIF(الجدول19[كود الصنف],A75,الجدول19[العدد])+SUMIF(الجدول20[كود الصنف],A75,الجدول20[العدد])+SUMIF(الجدول21[كود الصنف],A75,الجدول21[العدد])+SUMIF(الجدول22[كود الصنف],A75,الجدول22[العدد])+SUMIF(الجدول23[كود الصنف],A75,الجدول23[العدد])+SUMIF(الجدول24[كود الصنف],A75,الجدول24[العدد])+SUMIF(الجدول25[كود الصنف],A75,الجدول25[العدد])+SUMIF(الجدول26[كود الصنف],A75,الجدول26[العدد])+SUMIF(الجدول27[كود الصنف],A75,الجدول27[العدد])+SUMIF(الجدول28[كود الصنف],A75,الجدول28[العدد])+SUMIF(الجدول29[كود الصنف],A75,الجدول29[العدد])+SUMIF(الجدول30[كود الصنف],A75,الجدول30[العدد])+SUMIF(الجدول31[كود الصنف],A75,الجدول31[العدد])</f>
        <v>0</v>
      </c>
      <c r="I75" s="47">
        <f ca="1">SUMIF('تكويد الأصناف'!K:N,A75,'تكويد الأصناف'!M:M)</f>
        <v>0</v>
      </c>
      <c r="J75" s="47">
        <f ca="1">SUMIF('تكويد الأصناف'!K:N,A75,'تكويد الأصناف'!N:N)</f>
        <v>0</v>
      </c>
      <c r="K75" s="43">
        <f ca="1">SUMIF('الوارد والمرتجع'!J:M,A75,'الوارد والمرتجع'!M:M)</f>
        <v>0</v>
      </c>
      <c r="L75" s="47">
        <f t="shared" ca="1" si="1"/>
        <v>0</v>
      </c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</row>
    <row r="76" spans="1:23" customFormat="1" ht="15" hidden="1" x14ac:dyDescent="0.2">
      <c r="A76" s="41">
        <v>1072</v>
      </c>
      <c r="B76" s="44">
        <f>VLOOKUP(A76,'تكويد الأصناف'!A:F,3,0)</f>
        <v>1</v>
      </c>
      <c r="C76" s="45">
        <f>VLOOKUP(A76,'تكويد الأصناف'!A:F,6,0)</f>
        <v>0</v>
      </c>
      <c r="D76" s="46">
        <f>VLOOKUP(A76,'تكويد الأصناف'!A:F,5,0)</f>
        <v>0</v>
      </c>
      <c r="E76" s="42">
        <f>VLOOKUP(A76,'تكويد الأصناف'!A:F,4,1)</f>
        <v>0</v>
      </c>
      <c r="F76" s="43">
        <v>0</v>
      </c>
      <c r="G76" s="43">
        <f ca="1">SUMIF('الوارد والمرتجع'!B:F,A76,'الوارد والمرتجع'!E:E)</f>
        <v>0</v>
      </c>
      <c r="H76" s="58">
        <f>SUMIF(الجدول1[كود الصنف],A76,الجدول1[العدد])+SUMIF(الجدول2[كود الصنف],A76,الجدول2[العدد])+SUMIF(الجدول3[كود الصنف],A76,الجدول3[العدد])+SUMIF(الجدول4[كود الصنف],A76,الجدول4[العدد])+SUMIF(الجدول5[كود الصنف],A76,الجدول5[العدد])+SUMIF(الجدول6[كود الصنف],A76,الجدول6[العدد])+SUMIF(الجدول7[كود الصنف],A76,الجدول7[العدد])+SUMIF(الجدول8[كود الصنف],A76,الجدول8[العدد])+SUMIF(الجدول9[كود الصنف],A76,الجدول9[العدد])+SUMIF(الجدول10[كود الصنف],A76,الجدول10[العدد])+SUMIF(الجدول11[كود الصنف],A76,الجدول11[العدد])+SUMIF(الجدول12[كود الصنف],A76,الجدول12[العدد])+SUMIF(الجدول13[كود الصنف],A76,الجدول13[العدد])+SUMIF(الجدول14[كود الصنف],A76,الجدول14[العدد])+SUMIF(الجدول15[كود الصنف],A76,الجدول15[العدد])+SUMIF(الجدول16[كود الصنف],A76,الجدول16[العدد])+SUMIF(الجدول17[كود الصنف],A76,الجدول17[العدد])+SUMIF(الجدول18[كود الصنف],A76,الجدول18[العدد])+SUMIF(الجدول19[كود الصنف],A76,الجدول19[العدد])+SUMIF(الجدول20[كود الصنف],A76,الجدول20[العدد])+SUMIF(الجدول21[كود الصنف],A76,الجدول21[العدد])+SUMIF(الجدول22[كود الصنف],A76,الجدول22[العدد])+SUMIF(الجدول23[كود الصنف],A76,الجدول23[العدد])+SUMIF(الجدول24[كود الصنف],A76,الجدول24[العدد])+SUMIF(الجدول25[كود الصنف],A76,الجدول25[العدد])+SUMIF(الجدول26[كود الصنف],A76,الجدول26[العدد])+SUMIF(الجدول27[كود الصنف],A76,الجدول27[العدد])+SUMIF(الجدول28[كود الصنف],A76,الجدول28[العدد])+SUMIF(الجدول29[كود الصنف],A76,الجدول29[العدد])+SUMIF(الجدول30[كود الصنف],A76,الجدول30[العدد])+SUMIF(الجدول31[كود الصنف],A76,الجدول31[العدد])</f>
        <v>0</v>
      </c>
      <c r="I76" s="47">
        <f ca="1">SUMIF('تكويد الأصناف'!K:N,A76,'تكويد الأصناف'!M:M)</f>
        <v>0</v>
      </c>
      <c r="J76" s="47">
        <f ca="1">SUMIF('تكويد الأصناف'!K:N,A76,'تكويد الأصناف'!N:N)</f>
        <v>0</v>
      </c>
      <c r="K76" s="43">
        <f ca="1">SUMIF('الوارد والمرتجع'!J:M,A76,'الوارد والمرتجع'!M:M)</f>
        <v>0</v>
      </c>
      <c r="L76" s="47">
        <f t="shared" ca="1" si="1"/>
        <v>0</v>
      </c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</row>
    <row r="77" spans="1:23" customFormat="1" ht="15" hidden="1" x14ac:dyDescent="0.2">
      <c r="A77" s="41">
        <v>1073</v>
      </c>
      <c r="B77" s="44">
        <f>VLOOKUP(A77,'تكويد الأصناف'!A:F,3,0)</f>
        <v>1</v>
      </c>
      <c r="C77" s="45">
        <f>VLOOKUP(A77,'تكويد الأصناف'!A:F,6,0)</f>
        <v>0</v>
      </c>
      <c r="D77" s="46">
        <f>VLOOKUP(A77,'تكويد الأصناف'!A:F,5,0)</f>
        <v>0</v>
      </c>
      <c r="E77" s="42">
        <f>VLOOKUP(A77,'تكويد الأصناف'!A:F,4,1)</f>
        <v>0</v>
      </c>
      <c r="F77" s="37">
        <v>0</v>
      </c>
      <c r="G77" s="43">
        <f ca="1">SUMIF('الوارد والمرتجع'!B:F,A77,'الوارد والمرتجع'!E:E)</f>
        <v>0</v>
      </c>
      <c r="H77" s="58">
        <f>SUMIF(الجدول1[كود الصنف],A77,الجدول1[العدد])+SUMIF(الجدول2[كود الصنف],A77,الجدول2[العدد])+SUMIF(الجدول3[كود الصنف],A77,الجدول3[العدد])+SUMIF(الجدول4[كود الصنف],A77,الجدول4[العدد])+SUMIF(الجدول5[كود الصنف],A77,الجدول5[العدد])+SUMIF(الجدول6[كود الصنف],A77,الجدول6[العدد])+SUMIF(الجدول7[كود الصنف],A77,الجدول7[العدد])+SUMIF(الجدول8[كود الصنف],A77,الجدول8[العدد])+SUMIF(الجدول9[كود الصنف],A77,الجدول9[العدد])+SUMIF(الجدول10[كود الصنف],A77,الجدول10[العدد])+SUMIF(الجدول11[كود الصنف],A77,الجدول11[العدد])+SUMIF(الجدول12[كود الصنف],A77,الجدول12[العدد])+SUMIF(الجدول13[كود الصنف],A77,الجدول13[العدد])+SUMIF(الجدول14[كود الصنف],A77,الجدول14[العدد])+SUMIF(الجدول15[كود الصنف],A77,الجدول15[العدد])+SUMIF(الجدول16[كود الصنف],A77,الجدول16[العدد])+SUMIF(الجدول17[كود الصنف],A77,الجدول17[العدد])+SUMIF(الجدول18[كود الصنف],A77,الجدول18[العدد])+SUMIF(الجدول19[كود الصنف],A77,الجدول19[العدد])+SUMIF(الجدول20[كود الصنف],A77,الجدول20[العدد])+SUMIF(الجدول21[كود الصنف],A77,الجدول21[العدد])+SUMIF(الجدول22[كود الصنف],A77,الجدول22[العدد])+SUMIF(الجدول23[كود الصنف],A77,الجدول23[العدد])+SUMIF(الجدول24[كود الصنف],A77,الجدول24[العدد])+SUMIF(الجدول25[كود الصنف],A77,الجدول25[العدد])+SUMIF(الجدول26[كود الصنف],A77,الجدول26[العدد])+SUMIF(الجدول27[كود الصنف],A77,الجدول27[العدد])+SUMIF(الجدول28[كود الصنف],A77,الجدول28[العدد])+SUMIF(الجدول29[كود الصنف],A77,الجدول29[العدد])+SUMIF(الجدول30[كود الصنف],A77,الجدول30[العدد])+SUMIF(الجدول31[كود الصنف],A77,الجدول31[العدد])</f>
        <v>0</v>
      </c>
      <c r="I77" s="47">
        <f ca="1">SUMIF('تكويد الأصناف'!K:N,A77,'تكويد الأصناف'!M:M)</f>
        <v>0</v>
      </c>
      <c r="J77" s="47">
        <f ca="1">SUMIF('تكويد الأصناف'!K:N,A77,'تكويد الأصناف'!N:N)</f>
        <v>0</v>
      </c>
      <c r="K77" s="43">
        <f ca="1">SUMIF('الوارد والمرتجع'!J:M,A77,'الوارد والمرتجع'!M:M)</f>
        <v>0</v>
      </c>
      <c r="L77" s="47">
        <f t="shared" ca="1" si="1"/>
        <v>0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</row>
    <row r="78" spans="1:23" customFormat="1" ht="15" hidden="1" x14ac:dyDescent="0.2">
      <c r="A78" s="41">
        <v>1074</v>
      </c>
      <c r="B78" s="44">
        <f>VLOOKUP(A78,'تكويد الأصناف'!A:F,3,0)</f>
        <v>1</v>
      </c>
      <c r="C78" s="45">
        <f>VLOOKUP(A78,'تكويد الأصناف'!A:F,6,0)</f>
        <v>0</v>
      </c>
      <c r="D78" s="46">
        <f>VLOOKUP(A78,'تكويد الأصناف'!A:F,5,0)</f>
        <v>0</v>
      </c>
      <c r="E78" s="42">
        <f>VLOOKUP(A78,'تكويد الأصناف'!A:F,4,1)</f>
        <v>0</v>
      </c>
      <c r="F78" s="37">
        <v>0</v>
      </c>
      <c r="G78" s="43">
        <f ca="1">SUMIF('الوارد والمرتجع'!B:F,A78,'الوارد والمرتجع'!E:E)</f>
        <v>0</v>
      </c>
      <c r="H78" s="58">
        <f>SUMIF(الجدول1[كود الصنف],A78,الجدول1[العدد])+SUMIF(الجدول2[كود الصنف],A78,الجدول2[العدد])+SUMIF(الجدول3[كود الصنف],A78,الجدول3[العدد])+SUMIF(الجدول4[كود الصنف],A78,الجدول4[العدد])+SUMIF(الجدول5[كود الصنف],A78,الجدول5[العدد])+SUMIF(الجدول6[كود الصنف],A78,الجدول6[العدد])+SUMIF(الجدول7[كود الصنف],A78,الجدول7[العدد])+SUMIF(الجدول8[كود الصنف],A78,الجدول8[العدد])+SUMIF(الجدول9[كود الصنف],A78,الجدول9[العدد])+SUMIF(الجدول10[كود الصنف],A78,الجدول10[العدد])+SUMIF(الجدول11[كود الصنف],A78,الجدول11[العدد])+SUMIF(الجدول12[كود الصنف],A78,الجدول12[العدد])+SUMIF(الجدول13[كود الصنف],A78,الجدول13[العدد])+SUMIF(الجدول14[كود الصنف],A78,الجدول14[العدد])+SUMIF(الجدول15[كود الصنف],A78,الجدول15[العدد])+SUMIF(الجدول16[كود الصنف],A78,الجدول16[العدد])+SUMIF(الجدول17[كود الصنف],A78,الجدول17[العدد])+SUMIF(الجدول18[كود الصنف],A78,الجدول18[العدد])+SUMIF(الجدول19[كود الصنف],A78,الجدول19[العدد])+SUMIF(الجدول20[كود الصنف],A78,الجدول20[العدد])+SUMIF(الجدول21[كود الصنف],A78,الجدول21[العدد])+SUMIF(الجدول22[كود الصنف],A78,الجدول22[العدد])+SUMIF(الجدول23[كود الصنف],A78,الجدول23[العدد])+SUMIF(الجدول24[كود الصنف],A78,الجدول24[العدد])+SUMIF(الجدول25[كود الصنف],A78,الجدول25[العدد])+SUMIF(الجدول26[كود الصنف],A78,الجدول26[العدد])+SUMIF(الجدول27[كود الصنف],A78,الجدول27[العدد])+SUMIF(الجدول28[كود الصنف],A78,الجدول28[العدد])+SUMIF(الجدول29[كود الصنف],A78,الجدول29[العدد])+SUMIF(الجدول30[كود الصنف],A78,الجدول30[العدد])+SUMIF(الجدول31[كود الصنف],A78,الجدول31[العدد])</f>
        <v>0</v>
      </c>
      <c r="I78" s="47">
        <f ca="1">SUMIF('تكويد الأصناف'!K:N,A78,'تكويد الأصناف'!M:M)</f>
        <v>0</v>
      </c>
      <c r="J78" s="47">
        <f ca="1">SUMIF('تكويد الأصناف'!K:N,A78,'تكويد الأصناف'!N:N)</f>
        <v>0</v>
      </c>
      <c r="K78" s="43">
        <f ca="1">SUMIF('الوارد والمرتجع'!J:M,A78,'الوارد والمرتجع'!M:M)</f>
        <v>0</v>
      </c>
      <c r="L78" s="47">
        <f t="shared" ca="1" si="1"/>
        <v>0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</row>
    <row r="79" spans="1:23" customFormat="1" ht="15" hidden="1" x14ac:dyDescent="0.2">
      <c r="A79" s="41">
        <v>1075</v>
      </c>
      <c r="B79" s="44">
        <f>VLOOKUP(A79,'تكويد الأصناف'!A:F,3,0)</f>
        <v>1</v>
      </c>
      <c r="C79" s="45">
        <f>VLOOKUP(A79,'تكويد الأصناف'!A:F,6,0)</f>
        <v>0</v>
      </c>
      <c r="D79" s="46">
        <f>VLOOKUP(A79,'تكويد الأصناف'!A:F,5,0)</f>
        <v>0</v>
      </c>
      <c r="E79" s="42">
        <f>VLOOKUP(A79,'تكويد الأصناف'!A:F,4,1)</f>
        <v>0</v>
      </c>
      <c r="F79" s="37">
        <v>0</v>
      </c>
      <c r="G79" s="43">
        <f ca="1">SUMIF('الوارد والمرتجع'!B:F,A79,'الوارد والمرتجع'!E:E)</f>
        <v>0</v>
      </c>
      <c r="H79" s="58">
        <f>SUMIF(الجدول1[كود الصنف],A79,الجدول1[العدد])+SUMIF(الجدول2[كود الصنف],A79,الجدول2[العدد])+SUMIF(الجدول3[كود الصنف],A79,الجدول3[العدد])+SUMIF(الجدول4[كود الصنف],A79,الجدول4[العدد])+SUMIF(الجدول5[كود الصنف],A79,الجدول5[العدد])+SUMIF(الجدول6[كود الصنف],A79,الجدول6[العدد])+SUMIF(الجدول7[كود الصنف],A79,الجدول7[العدد])+SUMIF(الجدول8[كود الصنف],A79,الجدول8[العدد])+SUMIF(الجدول9[كود الصنف],A79,الجدول9[العدد])+SUMIF(الجدول10[كود الصنف],A79,الجدول10[العدد])+SUMIF(الجدول11[كود الصنف],A79,الجدول11[العدد])+SUMIF(الجدول12[كود الصنف],A79,الجدول12[العدد])+SUMIF(الجدول13[كود الصنف],A79,الجدول13[العدد])+SUMIF(الجدول14[كود الصنف],A79,الجدول14[العدد])+SUMIF(الجدول15[كود الصنف],A79,الجدول15[العدد])+SUMIF(الجدول16[كود الصنف],A79,الجدول16[العدد])+SUMIF(الجدول17[كود الصنف],A79,الجدول17[العدد])+SUMIF(الجدول18[كود الصنف],A79,الجدول18[العدد])+SUMIF(الجدول19[كود الصنف],A79,الجدول19[العدد])+SUMIF(الجدول20[كود الصنف],A79,الجدول20[العدد])+SUMIF(الجدول21[كود الصنف],A79,الجدول21[العدد])+SUMIF(الجدول22[كود الصنف],A79,الجدول22[العدد])+SUMIF(الجدول23[كود الصنف],A79,الجدول23[العدد])+SUMIF(الجدول24[كود الصنف],A79,الجدول24[العدد])+SUMIF(الجدول25[كود الصنف],A79,الجدول25[العدد])+SUMIF(الجدول26[كود الصنف],A79,الجدول26[العدد])+SUMIF(الجدول27[كود الصنف],A79,الجدول27[العدد])+SUMIF(الجدول28[كود الصنف],A79,الجدول28[العدد])+SUMIF(الجدول29[كود الصنف],A79,الجدول29[العدد])+SUMIF(الجدول30[كود الصنف],A79,الجدول30[العدد])+SUMIF(الجدول31[كود الصنف],A79,الجدول31[العدد])</f>
        <v>0</v>
      </c>
      <c r="I79" s="47">
        <f ca="1">SUMIF('تكويد الأصناف'!K:N,A79,'تكويد الأصناف'!M:M)</f>
        <v>0</v>
      </c>
      <c r="J79" s="47">
        <f ca="1">SUMIF('تكويد الأصناف'!K:N,A79,'تكويد الأصناف'!N:N)</f>
        <v>0</v>
      </c>
      <c r="K79" s="43">
        <f ca="1">SUMIF('الوارد والمرتجع'!J:M,A79,'الوارد والمرتجع'!M:M)</f>
        <v>0</v>
      </c>
      <c r="L79" s="47">
        <f t="shared" ca="1" si="1"/>
        <v>0</v>
      </c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</row>
    <row r="80" spans="1:23" customFormat="1" ht="15" hidden="1" x14ac:dyDescent="0.2">
      <c r="A80" s="41">
        <v>1076</v>
      </c>
      <c r="B80" s="44">
        <f>VLOOKUP(A80,'تكويد الأصناف'!A:F,3,0)</f>
        <v>1</v>
      </c>
      <c r="C80" s="45">
        <f>VLOOKUP(A80,'تكويد الأصناف'!A:F,6,0)</f>
        <v>0</v>
      </c>
      <c r="D80" s="46">
        <f>VLOOKUP(A80,'تكويد الأصناف'!A:F,5,0)</f>
        <v>0</v>
      </c>
      <c r="E80" s="42">
        <f>VLOOKUP(A80,'تكويد الأصناف'!A:F,4,1)</f>
        <v>0</v>
      </c>
      <c r="F80" s="37">
        <v>0</v>
      </c>
      <c r="G80" s="43">
        <f ca="1">SUMIF('الوارد والمرتجع'!B:F,A80,'الوارد والمرتجع'!E:E)</f>
        <v>0</v>
      </c>
      <c r="H80" s="58">
        <f>SUMIF(الجدول1[كود الصنف],A80,الجدول1[العدد])+SUMIF(الجدول2[كود الصنف],A80,الجدول2[العدد])+SUMIF(الجدول3[كود الصنف],A80,الجدول3[العدد])+SUMIF(الجدول4[كود الصنف],A80,الجدول4[العدد])+SUMIF(الجدول5[كود الصنف],A80,الجدول5[العدد])+SUMIF(الجدول6[كود الصنف],A80,الجدول6[العدد])+SUMIF(الجدول7[كود الصنف],A80,الجدول7[العدد])+SUMIF(الجدول8[كود الصنف],A80,الجدول8[العدد])+SUMIF(الجدول9[كود الصنف],A80,الجدول9[العدد])+SUMIF(الجدول10[كود الصنف],A80,الجدول10[العدد])+SUMIF(الجدول11[كود الصنف],A80,الجدول11[العدد])+SUMIF(الجدول12[كود الصنف],A80,الجدول12[العدد])+SUMIF(الجدول13[كود الصنف],A80,الجدول13[العدد])+SUMIF(الجدول14[كود الصنف],A80,الجدول14[العدد])+SUMIF(الجدول15[كود الصنف],A80,الجدول15[العدد])+SUMIF(الجدول16[كود الصنف],A80,الجدول16[العدد])+SUMIF(الجدول17[كود الصنف],A80,الجدول17[العدد])+SUMIF(الجدول18[كود الصنف],A80,الجدول18[العدد])+SUMIF(الجدول19[كود الصنف],A80,الجدول19[العدد])+SUMIF(الجدول20[كود الصنف],A80,الجدول20[العدد])+SUMIF(الجدول21[كود الصنف],A80,الجدول21[العدد])+SUMIF(الجدول22[كود الصنف],A80,الجدول22[العدد])+SUMIF(الجدول23[كود الصنف],A80,الجدول23[العدد])+SUMIF(الجدول24[كود الصنف],A80,الجدول24[العدد])+SUMIF(الجدول25[كود الصنف],A80,الجدول25[العدد])+SUMIF(الجدول26[كود الصنف],A80,الجدول26[العدد])+SUMIF(الجدول27[كود الصنف],A80,الجدول27[العدد])+SUMIF(الجدول28[كود الصنف],A80,الجدول28[العدد])+SUMIF(الجدول29[كود الصنف],A80,الجدول29[العدد])+SUMIF(الجدول30[كود الصنف],A80,الجدول30[العدد])+SUMIF(الجدول31[كود الصنف],A80,الجدول31[العدد])</f>
        <v>0</v>
      </c>
      <c r="I80" s="47">
        <f ca="1">SUMIF('تكويد الأصناف'!K:N,A80,'تكويد الأصناف'!M:M)</f>
        <v>0</v>
      </c>
      <c r="J80" s="47">
        <f ca="1">SUMIF('تكويد الأصناف'!K:N,A80,'تكويد الأصناف'!N:N)</f>
        <v>0</v>
      </c>
      <c r="K80" s="43">
        <f ca="1">SUMIF('الوارد والمرتجع'!J:M,A80,'الوارد والمرتجع'!M:M)</f>
        <v>0</v>
      </c>
      <c r="L80" s="47">
        <f t="shared" ca="1" si="1"/>
        <v>0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1:23" customFormat="1" ht="15" hidden="1" x14ac:dyDescent="0.2">
      <c r="A81" s="41">
        <v>1077</v>
      </c>
      <c r="B81" s="44">
        <f>VLOOKUP(A81,'تكويد الأصناف'!A:F,3,0)</f>
        <v>1</v>
      </c>
      <c r="C81" s="45">
        <f>VLOOKUP(A81,'تكويد الأصناف'!A:F,6,0)</f>
        <v>0</v>
      </c>
      <c r="D81" s="46">
        <f>VLOOKUP(A81,'تكويد الأصناف'!A:F,5,0)</f>
        <v>0</v>
      </c>
      <c r="E81" s="42">
        <f>VLOOKUP(A81,'تكويد الأصناف'!A:F,4,1)</f>
        <v>0</v>
      </c>
      <c r="F81" s="37">
        <v>0</v>
      </c>
      <c r="G81" s="43">
        <f ca="1">SUMIF('الوارد والمرتجع'!B:F,A81,'الوارد والمرتجع'!E:E)</f>
        <v>0</v>
      </c>
      <c r="H81" s="58">
        <f>SUMIF(الجدول1[كود الصنف],A81,الجدول1[العدد])+SUMIF(الجدول2[كود الصنف],A81,الجدول2[العدد])+SUMIF(الجدول3[كود الصنف],A81,الجدول3[العدد])+SUMIF(الجدول4[كود الصنف],A81,الجدول4[العدد])+SUMIF(الجدول5[كود الصنف],A81,الجدول5[العدد])+SUMIF(الجدول6[كود الصنف],A81,الجدول6[العدد])+SUMIF(الجدول7[كود الصنف],A81,الجدول7[العدد])+SUMIF(الجدول8[كود الصنف],A81,الجدول8[العدد])+SUMIF(الجدول9[كود الصنف],A81,الجدول9[العدد])+SUMIF(الجدول10[كود الصنف],A81,الجدول10[العدد])+SUMIF(الجدول11[كود الصنف],A81,الجدول11[العدد])+SUMIF(الجدول12[كود الصنف],A81,الجدول12[العدد])+SUMIF(الجدول13[كود الصنف],A81,الجدول13[العدد])+SUMIF(الجدول14[كود الصنف],A81,الجدول14[العدد])+SUMIF(الجدول15[كود الصنف],A81,الجدول15[العدد])+SUMIF(الجدول16[كود الصنف],A81,الجدول16[العدد])+SUMIF(الجدول17[كود الصنف],A81,الجدول17[العدد])+SUMIF(الجدول18[كود الصنف],A81,الجدول18[العدد])+SUMIF(الجدول19[كود الصنف],A81,الجدول19[العدد])+SUMIF(الجدول20[كود الصنف],A81,الجدول20[العدد])+SUMIF(الجدول21[كود الصنف],A81,الجدول21[العدد])+SUMIF(الجدول22[كود الصنف],A81,الجدول22[العدد])+SUMIF(الجدول23[كود الصنف],A81,الجدول23[العدد])+SUMIF(الجدول24[كود الصنف],A81,الجدول24[العدد])+SUMIF(الجدول25[كود الصنف],A81,الجدول25[العدد])+SUMIF(الجدول26[كود الصنف],A81,الجدول26[العدد])+SUMIF(الجدول27[كود الصنف],A81,الجدول27[العدد])+SUMIF(الجدول28[كود الصنف],A81,الجدول28[العدد])+SUMIF(الجدول29[كود الصنف],A81,الجدول29[العدد])+SUMIF(الجدول30[كود الصنف],A81,الجدول30[العدد])+SUMIF(الجدول31[كود الصنف],A81,الجدول31[العدد])</f>
        <v>0</v>
      </c>
      <c r="I81" s="47">
        <f ca="1">SUMIF('تكويد الأصناف'!K:N,A81,'تكويد الأصناف'!M:M)</f>
        <v>0</v>
      </c>
      <c r="J81" s="47">
        <f ca="1">SUMIF('تكويد الأصناف'!K:N,A81,'تكويد الأصناف'!N:N)</f>
        <v>0</v>
      </c>
      <c r="K81" s="43">
        <f ca="1">SUMIF('الوارد والمرتجع'!J:M,A81,'الوارد والمرتجع'!M:M)</f>
        <v>0</v>
      </c>
      <c r="L81" s="47">
        <f t="shared" ca="1" si="1"/>
        <v>0</v>
      </c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</row>
    <row r="82" spans="1:23" customFormat="1" ht="15" hidden="1" x14ac:dyDescent="0.2">
      <c r="A82" s="41">
        <v>1078</v>
      </c>
      <c r="B82" s="44">
        <f>VLOOKUP(A82,'تكويد الأصناف'!A:F,3,0)</f>
        <v>1</v>
      </c>
      <c r="C82" s="45">
        <f>VLOOKUP(A82,'تكويد الأصناف'!A:F,6,0)</f>
        <v>0</v>
      </c>
      <c r="D82" s="46">
        <f>VLOOKUP(A82,'تكويد الأصناف'!A:F,5,0)</f>
        <v>0</v>
      </c>
      <c r="E82" s="42">
        <f>VLOOKUP(A82,'تكويد الأصناف'!A:F,4,1)</f>
        <v>0</v>
      </c>
      <c r="F82" s="37">
        <v>0</v>
      </c>
      <c r="G82" s="43">
        <f ca="1">SUMIF('الوارد والمرتجع'!B:F,A82,'الوارد والمرتجع'!E:E)</f>
        <v>0</v>
      </c>
      <c r="H82" s="58">
        <f>SUMIF(الجدول1[كود الصنف],A82,الجدول1[العدد])+SUMIF(الجدول2[كود الصنف],A82,الجدول2[العدد])+SUMIF(الجدول3[كود الصنف],A82,الجدول3[العدد])+SUMIF(الجدول4[كود الصنف],A82,الجدول4[العدد])+SUMIF(الجدول5[كود الصنف],A82,الجدول5[العدد])+SUMIF(الجدول6[كود الصنف],A82,الجدول6[العدد])+SUMIF(الجدول7[كود الصنف],A82,الجدول7[العدد])+SUMIF(الجدول8[كود الصنف],A82,الجدول8[العدد])+SUMIF(الجدول9[كود الصنف],A82,الجدول9[العدد])+SUMIF(الجدول10[كود الصنف],A82,الجدول10[العدد])+SUMIF(الجدول11[كود الصنف],A82,الجدول11[العدد])+SUMIF(الجدول12[كود الصنف],A82,الجدول12[العدد])+SUMIF(الجدول13[كود الصنف],A82,الجدول13[العدد])+SUMIF(الجدول14[كود الصنف],A82,الجدول14[العدد])+SUMIF(الجدول15[كود الصنف],A82,الجدول15[العدد])+SUMIF(الجدول16[كود الصنف],A82,الجدول16[العدد])+SUMIF(الجدول17[كود الصنف],A82,الجدول17[العدد])+SUMIF(الجدول18[كود الصنف],A82,الجدول18[العدد])+SUMIF(الجدول19[كود الصنف],A82,الجدول19[العدد])+SUMIF(الجدول20[كود الصنف],A82,الجدول20[العدد])+SUMIF(الجدول21[كود الصنف],A82,الجدول21[العدد])+SUMIF(الجدول22[كود الصنف],A82,الجدول22[العدد])+SUMIF(الجدول23[كود الصنف],A82,الجدول23[العدد])+SUMIF(الجدول24[كود الصنف],A82,الجدول24[العدد])+SUMIF(الجدول25[كود الصنف],A82,الجدول25[العدد])+SUMIF(الجدول26[كود الصنف],A82,الجدول26[العدد])+SUMIF(الجدول27[كود الصنف],A82,الجدول27[العدد])+SUMIF(الجدول28[كود الصنف],A82,الجدول28[العدد])+SUMIF(الجدول29[كود الصنف],A82,الجدول29[العدد])+SUMIF(الجدول30[كود الصنف],A82,الجدول30[العدد])+SUMIF(الجدول31[كود الصنف],A82,الجدول31[العدد])</f>
        <v>0</v>
      </c>
      <c r="I82" s="47">
        <f ca="1">SUMIF('تكويد الأصناف'!K:N,A82,'تكويد الأصناف'!M:M)</f>
        <v>0</v>
      </c>
      <c r="J82" s="47">
        <f ca="1">SUMIF('تكويد الأصناف'!K:N,A82,'تكويد الأصناف'!N:N)</f>
        <v>0</v>
      </c>
      <c r="K82" s="43">
        <f ca="1">SUMIF('الوارد والمرتجع'!J:M,A82,'الوارد والمرتجع'!M:M)</f>
        <v>0</v>
      </c>
      <c r="L82" s="47">
        <f t="shared" ca="1" si="1"/>
        <v>0</v>
      </c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</row>
    <row r="83" spans="1:23" customFormat="1" ht="15" hidden="1" x14ac:dyDescent="0.2">
      <c r="A83" s="41">
        <v>1079</v>
      </c>
      <c r="B83" s="44">
        <f>VLOOKUP(A83,'تكويد الأصناف'!A:F,3,0)</f>
        <v>1</v>
      </c>
      <c r="C83" s="45">
        <f>VLOOKUP(A83,'تكويد الأصناف'!A:F,6,0)</f>
        <v>0</v>
      </c>
      <c r="D83" s="46">
        <f>VLOOKUP(A83,'تكويد الأصناف'!A:F,5,0)</f>
        <v>0</v>
      </c>
      <c r="E83" s="42">
        <f>VLOOKUP(A83,'تكويد الأصناف'!A:F,4,1)</f>
        <v>0</v>
      </c>
      <c r="F83" s="37">
        <v>0</v>
      </c>
      <c r="G83" s="43">
        <f ca="1">SUMIF('الوارد والمرتجع'!B:F,A83,'الوارد والمرتجع'!E:E)</f>
        <v>0</v>
      </c>
      <c r="H83" s="58">
        <f>SUMIF(الجدول1[كود الصنف],A83,الجدول1[العدد])+SUMIF(الجدول2[كود الصنف],A83,الجدول2[العدد])+SUMIF(الجدول3[كود الصنف],A83,الجدول3[العدد])+SUMIF(الجدول4[كود الصنف],A83,الجدول4[العدد])+SUMIF(الجدول5[كود الصنف],A83,الجدول5[العدد])+SUMIF(الجدول6[كود الصنف],A83,الجدول6[العدد])+SUMIF(الجدول7[كود الصنف],A83,الجدول7[العدد])+SUMIF(الجدول8[كود الصنف],A83,الجدول8[العدد])+SUMIF(الجدول9[كود الصنف],A83,الجدول9[العدد])+SUMIF(الجدول10[كود الصنف],A83,الجدول10[العدد])+SUMIF(الجدول11[كود الصنف],A83,الجدول11[العدد])+SUMIF(الجدول12[كود الصنف],A83,الجدول12[العدد])+SUMIF(الجدول13[كود الصنف],A83,الجدول13[العدد])+SUMIF(الجدول14[كود الصنف],A83,الجدول14[العدد])+SUMIF(الجدول15[كود الصنف],A83,الجدول15[العدد])+SUMIF(الجدول16[كود الصنف],A83,الجدول16[العدد])+SUMIF(الجدول17[كود الصنف],A83,الجدول17[العدد])+SUMIF(الجدول18[كود الصنف],A83,الجدول18[العدد])+SUMIF(الجدول19[كود الصنف],A83,الجدول19[العدد])+SUMIF(الجدول20[كود الصنف],A83,الجدول20[العدد])+SUMIF(الجدول21[كود الصنف],A83,الجدول21[العدد])+SUMIF(الجدول22[كود الصنف],A83,الجدول22[العدد])+SUMIF(الجدول23[كود الصنف],A83,الجدول23[العدد])+SUMIF(الجدول24[كود الصنف],A83,الجدول24[العدد])+SUMIF(الجدول25[كود الصنف],A83,الجدول25[العدد])+SUMIF(الجدول26[كود الصنف],A83,الجدول26[العدد])+SUMIF(الجدول27[كود الصنف],A83,الجدول27[العدد])+SUMIF(الجدول28[كود الصنف],A83,الجدول28[العدد])+SUMIF(الجدول29[كود الصنف],A83,الجدول29[العدد])+SUMIF(الجدول30[كود الصنف],A83,الجدول30[العدد])+SUMIF(الجدول31[كود الصنف],A83,الجدول31[العدد])</f>
        <v>0</v>
      </c>
      <c r="I83" s="47">
        <f ca="1">SUMIF('تكويد الأصناف'!K:N,A83,'تكويد الأصناف'!M:M)</f>
        <v>0</v>
      </c>
      <c r="J83" s="47">
        <f ca="1">SUMIF('تكويد الأصناف'!K:N,A83,'تكويد الأصناف'!N:N)</f>
        <v>0</v>
      </c>
      <c r="K83" s="43">
        <f ca="1">SUMIF('الوارد والمرتجع'!J:M,A83,'الوارد والمرتجع'!M:M)</f>
        <v>0</v>
      </c>
      <c r="L83" s="47">
        <f t="shared" ca="1" si="1"/>
        <v>0</v>
      </c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</row>
    <row r="84" spans="1:23" customFormat="1" ht="15" hidden="1" x14ac:dyDescent="0.2">
      <c r="A84" s="41">
        <v>1080</v>
      </c>
      <c r="B84" s="44">
        <f>VLOOKUP(A84,'تكويد الأصناف'!A:F,3,0)</f>
        <v>1</v>
      </c>
      <c r="C84" s="45">
        <f>VLOOKUP(A84,'تكويد الأصناف'!A:F,6,0)</f>
        <v>0</v>
      </c>
      <c r="D84" s="46">
        <f>VLOOKUP(A84,'تكويد الأصناف'!A:F,5,0)</f>
        <v>0</v>
      </c>
      <c r="E84" s="42">
        <f>VLOOKUP(A84,'تكويد الأصناف'!A:F,4,1)</f>
        <v>0</v>
      </c>
      <c r="F84" s="37">
        <v>0</v>
      </c>
      <c r="G84" s="43">
        <f ca="1">SUMIF('الوارد والمرتجع'!B:F,A84,'الوارد والمرتجع'!E:E)</f>
        <v>0</v>
      </c>
      <c r="H84" s="58">
        <f>SUMIF(الجدول1[كود الصنف],A84,الجدول1[العدد])+SUMIF(الجدول2[كود الصنف],A84,الجدول2[العدد])+SUMIF(الجدول3[كود الصنف],A84,الجدول3[العدد])+SUMIF(الجدول4[كود الصنف],A84,الجدول4[العدد])+SUMIF(الجدول5[كود الصنف],A84,الجدول5[العدد])+SUMIF(الجدول6[كود الصنف],A84,الجدول6[العدد])+SUMIF(الجدول7[كود الصنف],A84,الجدول7[العدد])+SUMIF(الجدول8[كود الصنف],A84,الجدول8[العدد])+SUMIF(الجدول9[كود الصنف],A84,الجدول9[العدد])+SUMIF(الجدول10[كود الصنف],A84,الجدول10[العدد])+SUMIF(الجدول11[كود الصنف],A84,الجدول11[العدد])+SUMIF(الجدول12[كود الصنف],A84,الجدول12[العدد])+SUMIF(الجدول13[كود الصنف],A84,الجدول13[العدد])+SUMIF(الجدول14[كود الصنف],A84,الجدول14[العدد])+SUMIF(الجدول15[كود الصنف],A84,الجدول15[العدد])+SUMIF(الجدول16[كود الصنف],A84,الجدول16[العدد])+SUMIF(الجدول17[كود الصنف],A84,الجدول17[العدد])+SUMIF(الجدول18[كود الصنف],A84,الجدول18[العدد])+SUMIF(الجدول19[كود الصنف],A84,الجدول19[العدد])+SUMIF(الجدول20[كود الصنف],A84,الجدول20[العدد])+SUMIF(الجدول21[كود الصنف],A84,الجدول21[العدد])+SUMIF(الجدول22[كود الصنف],A84,الجدول22[العدد])+SUMIF(الجدول23[كود الصنف],A84,الجدول23[العدد])+SUMIF(الجدول24[كود الصنف],A84,الجدول24[العدد])+SUMIF(الجدول25[كود الصنف],A84,الجدول25[العدد])+SUMIF(الجدول26[كود الصنف],A84,الجدول26[العدد])+SUMIF(الجدول27[كود الصنف],A84,الجدول27[العدد])+SUMIF(الجدول28[كود الصنف],A84,الجدول28[العدد])+SUMIF(الجدول29[كود الصنف],A84,الجدول29[العدد])+SUMIF(الجدول30[كود الصنف],A84,الجدول30[العدد])+SUMIF(الجدول31[كود الصنف],A84,الجدول31[العدد])</f>
        <v>0</v>
      </c>
      <c r="I84" s="47">
        <f ca="1">SUMIF('تكويد الأصناف'!K:N,A84,'تكويد الأصناف'!M:M)</f>
        <v>0</v>
      </c>
      <c r="J84" s="47">
        <f ca="1">SUMIF('تكويد الأصناف'!K:N,A84,'تكويد الأصناف'!N:N)</f>
        <v>0</v>
      </c>
      <c r="K84" s="43">
        <f ca="1">SUMIF('الوارد والمرتجع'!J:M,A84,'الوارد والمرتجع'!M:M)</f>
        <v>0</v>
      </c>
      <c r="L84" s="47">
        <f t="shared" ca="1" si="1"/>
        <v>0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</row>
    <row r="85" spans="1:23" customFormat="1" ht="15" hidden="1" x14ac:dyDescent="0.2">
      <c r="A85" s="41">
        <v>1081</v>
      </c>
      <c r="B85" s="44">
        <f>VLOOKUP(A85,'تكويد الأصناف'!A:F,3,0)</f>
        <v>1</v>
      </c>
      <c r="C85" s="45">
        <f>VLOOKUP(A85,'تكويد الأصناف'!A:F,6,0)</f>
        <v>0</v>
      </c>
      <c r="D85" s="46">
        <f>VLOOKUP(A85,'تكويد الأصناف'!A:F,5,0)</f>
        <v>0</v>
      </c>
      <c r="E85" s="42">
        <f>VLOOKUP(A85,'تكويد الأصناف'!A:F,4,1)</f>
        <v>0</v>
      </c>
      <c r="F85" s="37">
        <v>0</v>
      </c>
      <c r="G85" s="43">
        <f ca="1">SUMIF('الوارد والمرتجع'!B:F,A85,'الوارد والمرتجع'!E:E)</f>
        <v>0</v>
      </c>
      <c r="H85" s="58">
        <f>SUMIF(الجدول1[كود الصنف],A85,الجدول1[العدد])+SUMIF(الجدول2[كود الصنف],A85,الجدول2[العدد])+SUMIF(الجدول3[كود الصنف],A85,الجدول3[العدد])+SUMIF(الجدول4[كود الصنف],A85,الجدول4[العدد])+SUMIF(الجدول5[كود الصنف],A85,الجدول5[العدد])+SUMIF(الجدول6[كود الصنف],A85,الجدول6[العدد])+SUMIF(الجدول7[كود الصنف],A85,الجدول7[العدد])+SUMIF(الجدول8[كود الصنف],A85,الجدول8[العدد])+SUMIF(الجدول9[كود الصنف],A85,الجدول9[العدد])+SUMIF(الجدول10[كود الصنف],A85,الجدول10[العدد])+SUMIF(الجدول11[كود الصنف],A85,الجدول11[العدد])+SUMIF(الجدول12[كود الصنف],A85,الجدول12[العدد])+SUMIF(الجدول13[كود الصنف],A85,الجدول13[العدد])+SUMIF(الجدول14[كود الصنف],A85,الجدول14[العدد])+SUMIF(الجدول15[كود الصنف],A85,الجدول15[العدد])+SUMIF(الجدول16[كود الصنف],A85,الجدول16[العدد])+SUMIF(الجدول17[كود الصنف],A85,الجدول17[العدد])+SUMIF(الجدول18[كود الصنف],A85,الجدول18[العدد])+SUMIF(الجدول19[كود الصنف],A85,الجدول19[العدد])+SUMIF(الجدول20[كود الصنف],A85,الجدول20[العدد])+SUMIF(الجدول21[كود الصنف],A85,الجدول21[العدد])+SUMIF(الجدول22[كود الصنف],A85,الجدول22[العدد])+SUMIF(الجدول23[كود الصنف],A85,الجدول23[العدد])+SUMIF(الجدول24[كود الصنف],A85,الجدول24[العدد])+SUMIF(الجدول25[كود الصنف],A85,الجدول25[العدد])+SUMIF(الجدول26[كود الصنف],A85,الجدول26[العدد])+SUMIF(الجدول27[كود الصنف],A85,الجدول27[العدد])+SUMIF(الجدول28[كود الصنف],A85,الجدول28[العدد])+SUMIF(الجدول29[كود الصنف],A85,الجدول29[العدد])+SUMIF(الجدول30[كود الصنف],A85,الجدول30[العدد])+SUMIF(الجدول31[كود الصنف],A85,الجدول31[العدد])</f>
        <v>0</v>
      </c>
      <c r="I85" s="47">
        <f ca="1">SUMIF('تكويد الأصناف'!K:N,A85,'تكويد الأصناف'!M:M)</f>
        <v>0</v>
      </c>
      <c r="J85" s="47">
        <f ca="1">SUMIF('تكويد الأصناف'!K:N,A85,'تكويد الأصناف'!N:N)</f>
        <v>0</v>
      </c>
      <c r="K85" s="43">
        <f ca="1">SUMIF('الوارد والمرتجع'!J:M,A85,'الوارد والمرتجع'!M:M)</f>
        <v>0</v>
      </c>
      <c r="L85" s="47">
        <f t="shared" ca="1" si="1"/>
        <v>0</v>
      </c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</row>
    <row r="86" spans="1:23" customFormat="1" ht="15" hidden="1" x14ac:dyDescent="0.2">
      <c r="A86" s="41">
        <v>1082</v>
      </c>
      <c r="B86" s="44">
        <f>VLOOKUP(A86,'تكويد الأصناف'!A:F,3,0)</f>
        <v>1</v>
      </c>
      <c r="C86" s="45">
        <f>VLOOKUP(A86,'تكويد الأصناف'!A:F,6,0)</f>
        <v>0</v>
      </c>
      <c r="D86" s="46">
        <f>VLOOKUP(A86,'تكويد الأصناف'!A:F,5,0)</f>
        <v>0</v>
      </c>
      <c r="E86" s="42">
        <f>VLOOKUP(A86,'تكويد الأصناف'!A:F,4,1)</f>
        <v>0</v>
      </c>
      <c r="F86" s="37">
        <v>0</v>
      </c>
      <c r="G86" s="43">
        <f ca="1">SUMIF('الوارد والمرتجع'!B:F,A86,'الوارد والمرتجع'!E:E)</f>
        <v>0</v>
      </c>
      <c r="H86" s="58">
        <f>SUMIF(الجدول1[كود الصنف],A86,الجدول1[العدد])+SUMIF(الجدول2[كود الصنف],A86,الجدول2[العدد])+SUMIF(الجدول3[كود الصنف],A86,الجدول3[العدد])+SUMIF(الجدول4[كود الصنف],A86,الجدول4[العدد])+SUMIF(الجدول5[كود الصنف],A86,الجدول5[العدد])+SUMIF(الجدول6[كود الصنف],A86,الجدول6[العدد])+SUMIF(الجدول7[كود الصنف],A86,الجدول7[العدد])+SUMIF(الجدول8[كود الصنف],A86,الجدول8[العدد])+SUMIF(الجدول9[كود الصنف],A86,الجدول9[العدد])+SUMIF(الجدول10[كود الصنف],A86,الجدول10[العدد])+SUMIF(الجدول11[كود الصنف],A86,الجدول11[العدد])+SUMIF(الجدول12[كود الصنف],A86,الجدول12[العدد])+SUMIF(الجدول13[كود الصنف],A86,الجدول13[العدد])+SUMIF(الجدول14[كود الصنف],A86,الجدول14[العدد])+SUMIF(الجدول15[كود الصنف],A86,الجدول15[العدد])+SUMIF(الجدول16[كود الصنف],A86,الجدول16[العدد])+SUMIF(الجدول17[كود الصنف],A86,الجدول17[العدد])+SUMIF(الجدول18[كود الصنف],A86,الجدول18[العدد])+SUMIF(الجدول19[كود الصنف],A86,الجدول19[العدد])+SUMIF(الجدول20[كود الصنف],A86,الجدول20[العدد])+SUMIF(الجدول21[كود الصنف],A86,الجدول21[العدد])+SUMIF(الجدول22[كود الصنف],A86,الجدول22[العدد])+SUMIF(الجدول23[كود الصنف],A86,الجدول23[العدد])+SUMIF(الجدول24[كود الصنف],A86,الجدول24[العدد])+SUMIF(الجدول25[كود الصنف],A86,الجدول25[العدد])+SUMIF(الجدول26[كود الصنف],A86,الجدول26[العدد])+SUMIF(الجدول27[كود الصنف],A86,الجدول27[العدد])+SUMIF(الجدول28[كود الصنف],A86,الجدول28[العدد])+SUMIF(الجدول29[كود الصنف],A86,الجدول29[العدد])+SUMIF(الجدول30[كود الصنف],A86,الجدول30[العدد])+SUMIF(الجدول31[كود الصنف],A86,الجدول31[العدد])</f>
        <v>0</v>
      </c>
      <c r="I86" s="47">
        <f ca="1">SUMIF('تكويد الأصناف'!K:N,A86,'تكويد الأصناف'!M:M)</f>
        <v>0</v>
      </c>
      <c r="J86" s="47">
        <f ca="1">SUMIF('تكويد الأصناف'!K:N,A86,'تكويد الأصناف'!N:N)</f>
        <v>0</v>
      </c>
      <c r="K86" s="43">
        <f ca="1">SUMIF('الوارد والمرتجع'!J:M,A86,'الوارد والمرتجع'!M:M)</f>
        <v>0</v>
      </c>
      <c r="L86" s="47">
        <f t="shared" ca="1" si="1"/>
        <v>0</v>
      </c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</row>
    <row r="87" spans="1:23" customFormat="1" ht="15" hidden="1" x14ac:dyDescent="0.2">
      <c r="A87" s="41">
        <v>1083</v>
      </c>
      <c r="B87" s="44">
        <f>VLOOKUP(A87,'تكويد الأصناف'!A:F,3,0)</f>
        <v>1</v>
      </c>
      <c r="C87" s="45">
        <f>VLOOKUP(A87,'تكويد الأصناف'!A:F,6,0)</f>
        <v>0</v>
      </c>
      <c r="D87" s="46">
        <f>VLOOKUP(A87,'تكويد الأصناف'!A:F,5,0)</f>
        <v>0</v>
      </c>
      <c r="E87" s="42">
        <f>VLOOKUP(A87,'تكويد الأصناف'!A:F,4,1)</f>
        <v>0</v>
      </c>
      <c r="F87" s="37">
        <v>0</v>
      </c>
      <c r="G87" s="43">
        <f ca="1">SUMIF('الوارد والمرتجع'!B:F,A87,'الوارد والمرتجع'!E:E)</f>
        <v>0</v>
      </c>
      <c r="H87" s="58">
        <f>SUMIF(الجدول1[كود الصنف],A87,الجدول1[العدد])+SUMIF(الجدول2[كود الصنف],A87,الجدول2[العدد])+SUMIF(الجدول3[كود الصنف],A87,الجدول3[العدد])+SUMIF(الجدول4[كود الصنف],A87,الجدول4[العدد])+SUMIF(الجدول5[كود الصنف],A87,الجدول5[العدد])+SUMIF(الجدول6[كود الصنف],A87,الجدول6[العدد])+SUMIF(الجدول7[كود الصنف],A87,الجدول7[العدد])+SUMIF(الجدول8[كود الصنف],A87,الجدول8[العدد])+SUMIF(الجدول9[كود الصنف],A87,الجدول9[العدد])+SUMIF(الجدول10[كود الصنف],A87,الجدول10[العدد])+SUMIF(الجدول11[كود الصنف],A87,الجدول11[العدد])+SUMIF(الجدول12[كود الصنف],A87,الجدول12[العدد])+SUMIF(الجدول13[كود الصنف],A87,الجدول13[العدد])+SUMIF(الجدول14[كود الصنف],A87,الجدول14[العدد])+SUMIF(الجدول15[كود الصنف],A87,الجدول15[العدد])+SUMIF(الجدول16[كود الصنف],A87,الجدول16[العدد])+SUMIF(الجدول17[كود الصنف],A87,الجدول17[العدد])+SUMIF(الجدول18[كود الصنف],A87,الجدول18[العدد])+SUMIF(الجدول19[كود الصنف],A87,الجدول19[العدد])+SUMIF(الجدول20[كود الصنف],A87,الجدول20[العدد])+SUMIF(الجدول21[كود الصنف],A87,الجدول21[العدد])+SUMIF(الجدول22[كود الصنف],A87,الجدول22[العدد])+SUMIF(الجدول23[كود الصنف],A87,الجدول23[العدد])+SUMIF(الجدول24[كود الصنف],A87,الجدول24[العدد])+SUMIF(الجدول25[كود الصنف],A87,الجدول25[العدد])+SUMIF(الجدول26[كود الصنف],A87,الجدول26[العدد])+SUMIF(الجدول27[كود الصنف],A87,الجدول27[العدد])+SUMIF(الجدول28[كود الصنف],A87,الجدول28[العدد])+SUMIF(الجدول29[كود الصنف],A87,الجدول29[العدد])+SUMIF(الجدول30[كود الصنف],A87,الجدول30[العدد])+SUMIF(الجدول31[كود الصنف],A87,الجدول31[العدد])</f>
        <v>0</v>
      </c>
      <c r="I87" s="47">
        <f ca="1">SUMIF('تكويد الأصناف'!K:N,A87,'تكويد الأصناف'!M:M)</f>
        <v>0</v>
      </c>
      <c r="J87" s="47">
        <f ca="1">SUMIF('تكويد الأصناف'!K:N,A87,'تكويد الأصناف'!N:N)</f>
        <v>0</v>
      </c>
      <c r="K87" s="43">
        <f ca="1">SUMIF('الوارد والمرتجع'!J:M,A87,'الوارد والمرتجع'!M:M)</f>
        <v>0</v>
      </c>
      <c r="L87" s="47">
        <f t="shared" ca="1" si="1"/>
        <v>0</v>
      </c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</row>
    <row r="88" spans="1:23" customFormat="1" ht="15" hidden="1" x14ac:dyDescent="0.2">
      <c r="A88" s="41">
        <v>1084</v>
      </c>
      <c r="B88" s="44">
        <f>VLOOKUP(A88,'تكويد الأصناف'!A:F,3,0)</f>
        <v>1</v>
      </c>
      <c r="C88" s="45">
        <f>VLOOKUP(A88,'تكويد الأصناف'!A:F,6,0)</f>
        <v>0</v>
      </c>
      <c r="D88" s="46">
        <f>VLOOKUP(A88,'تكويد الأصناف'!A:F,5,0)</f>
        <v>0</v>
      </c>
      <c r="E88" s="42">
        <f>VLOOKUP(A88,'تكويد الأصناف'!A:F,4,1)</f>
        <v>0</v>
      </c>
      <c r="F88" s="37">
        <v>0</v>
      </c>
      <c r="G88" s="43">
        <f ca="1">SUMIF('الوارد والمرتجع'!B:F,A88,'الوارد والمرتجع'!E:E)</f>
        <v>0</v>
      </c>
      <c r="H88" s="58">
        <f>SUMIF(الجدول1[كود الصنف],A88,الجدول1[العدد])+SUMIF(الجدول2[كود الصنف],A88,الجدول2[العدد])+SUMIF(الجدول3[كود الصنف],A88,الجدول3[العدد])+SUMIF(الجدول4[كود الصنف],A88,الجدول4[العدد])+SUMIF(الجدول5[كود الصنف],A88,الجدول5[العدد])+SUMIF(الجدول6[كود الصنف],A88,الجدول6[العدد])+SUMIF(الجدول7[كود الصنف],A88,الجدول7[العدد])+SUMIF(الجدول8[كود الصنف],A88,الجدول8[العدد])+SUMIF(الجدول9[كود الصنف],A88,الجدول9[العدد])+SUMIF(الجدول10[كود الصنف],A88,الجدول10[العدد])+SUMIF(الجدول11[كود الصنف],A88,الجدول11[العدد])+SUMIF(الجدول12[كود الصنف],A88,الجدول12[العدد])+SUMIF(الجدول13[كود الصنف],A88,الجدول13[العدد])+SUMIF(الجدول14[كود الصنف],A88,الجدول14[العدد])+SUMIF(الجدول15[كود الصنف],A88,الجدول15[العدد])+SUMIF(الجدول16[كود الصنف],A88,الجدول16[العدد])+SUMIF(الجدول17[كود الصنف],A88,الجدول17[العدد])+SUMIF(الجدول18[كود الصنف],A88,الجدول18[العدد])+SUMIF(الجدول19[كود الصنف],A88,الجدول19[العدد])+SUMIF(الجدول20[كود الصنف],A88,الجدول20[العدد])+SUMIF(الجدول21[كود الصنف],A88,الجدول21[العدد])+SUMIF(الجدول22[كود الصنف],A88,الجدول22[العدد])+SUMIF(الجدول23[كود الصنف],A88,الجدول23[العدد])+SUMIF(الجدول24[كود الصنف],A88,الجدول24[العدد])+SUMIF(الجدول25[كود الصنف],A88,الجدول25[العدد])+SUMIF(الجدول26[كود الصنف],A88,الجدول26[العدد])+SUMIF(الجدول27[كود الصنف],A88,الجدول27[العدد])+SUMIF(الجدول28[كود الصنف],A88,الجدول28[العدد])+SUMIF(الجدول29[كود الصنف],A88,الجدول29[العدد])+SUMIF(الجدول30[كود الصنف],A88,الجدول30[العدد])+SUMIF(الجدول31[كود الصنف],A88,الجدول31[العدد])</f>
        <v>0</v>
      </c>
      <c r="I88" s="47">
        <f ca="1">SUMIF('تكويد الأصناف'!K:N,A88,'تكويد الأصناف'!M:M)</f>
        <v>0</v>
      </c>
      <c r="J88" s="47">
        <f ca="1">SUMIF('تكويد الأصناف'!K:N,A88,'تكويد الأصناف'!N:N)</f>
        <v>0</v>
      </c>
      <c r="K88" s="43">
        <f ca="1">SUMIF('الوارد والمرتجع'!J:M,A88,'الوارد والمرتجع'!M:M)</f>
        <v>0</v>
      </c>
      <c r="L88" s="47">
        <f t="shared" ca="1" si="1"/>
        <v>0</v>
      </c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</row>
    <row r="89" spans="1:23" customFormat="1" ht="15" hidden="1" x14ac:dyDescent="0.2">
      <c r="A89" s="41">
        <v>1085</v>
      </c>
      <c r="B89" s="44">
        <f>VLOOKUP(A89,'تكويد الأصناف'!A:F,3,0)</f>
        <v>1</v>
      </c>
      <c r="C89" s="45">
        <f>VLOOKUP(A89,'تكويد الأصناف'!A:F,6,0)</f>
        <v>0</v>
      </c>
      <c r="D89" s="46">
        <f>VLOOKUP(A89,'تكويد الأصناف'!A:F,5,0)</f>
        <v>0</v>
      </c>
      <c r="E89" s="42">
        <f>VLOOKUP(A89,'تكويد الأصناف'!A:F,4,1)</f>
        <v>0</v>
      </c>
      <c r="F89" s="37">
        <v>0</v>
      </c>
      <c r="G89" s="43">
        <f ca="1">SUMIF('الوارد والمرتجع'!B:F,A89,'الوارد والمرتجع'!E:E)</f>
        <v>0</v>
      </c>
      <c r="H89" s="58">
        <f>SUMIF(الجدول1[كود الصنف],A89,الجدول1[العدد])+SUMIF(الجدول2[كود الصنف],A89,الجدول2[العدد])+SUMIF(الجدول3[كود الصنف],A89,الجدول3[العدد])+SUMIF(الجدول4[كود الصنف],A89,الجدول4[العدد])+SUMIF(الجدول5[كود الصنف],A89,الجدول5[العدد])+SUMIF(الجدول6[كود الصنف],A89,الجدول6[العدد])+SUMIF(الجدول7[كود الصنف],A89,الجدول7[العدد])+SUMIF(الجدول8[كود الصنف],A89,الجدول8[العدد])+SUMIF(الجدول9[كود الصنف],A89,الجدول9[العدد])+SUMIF(الجدول10[كود الصنف],A89,الجدول10[العدد])+SUMIF(الجدول11[كود الصنف],A89,الجدول11[العدد])+SUMIF(الجدول12[كود الصنف],A89,الجدول12[العدد])+SUMIF(الجدول13[كود الصنف],A89,الجدول13[العدد])+SUMIF(الجدول14[كود الصنف],A89,الجدول14[العدد])+SUMIF(الجدول15[كود الصنف],A89,الجدول15[العدد])+SUMIF(الجدول16[كود الصنف],A89,الجدول16[العدد])+SUMIF(الجدول17[كود الصنف],A89,الجدول17[العدد])+SUMIF(الجدول18[كود الصنف],A89,الجدول18[العدد])+SUMIF(الجدول19[كود الصنف],A89,الجدول19[العدد])+SUMIF(الجدول20[كود الصنف],A89,الجدول20[العدد])+SUMIF(الجدول21[كود الصنف],A89,الجدول21[العدد])+SUMIF(الجدول22[كود الصنف],A89,الجدول22[العدد])+SUMIF(الجدول23[كود الصنف],A89,الجدول23[العدد])+SUMIF(الجدول24[كود الصنف],A89,الجدول24[العدد])+SUMIF(الجدول25[كود الصنف],A89,الجدول25[العدد])+SUMIF(الجدول26[كود الصنف],A89,الجدول26[العدد])+SUMIF(الجدول27[كود الصنف],A89,الجدول27[العدد])+SUMIF(الجدول28[كود الصنف],A89,الجدول28[العدد])+SUMIF(الجدول29[كود الصنف],A89,الجدول29[العدد])+SUMIF(الجدول30[كود الصنف],A89,الجدول30[العدد])+SUMIF(الجدول31[كود الصنف],A89,الجدول31[العدد])</f>
        <v>0</v>
      </c>
      <c r="I89" s="47">
        <f ca="1">SUMIF('تكويد الأصناف'!K:N,A89,'تكويد الأصناف'!M:M)</f>
        <v>0</v>
      </c>
      <c r="J89" s="47">
        <f ca="1">SUMIF('تكويد الأصناف'!K:N,A89,'تكويد الأصناف'!N:N)</f>
        <v>0</v>
      </c>
      <c r="K89" s="43">
        <f ca="1">SUMIF('الوارد والمرتجع'!J:M,A89,'الوارد والمرتجع'!M:M)</f>
        <v>0</v>
      </c>
      <c r="L89" s="47">
        <f t="shared" ca="1" si="1"/>
        <v>0</v>
      </c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</row>
    <row r="90" spans="1:23" customFormat="1" ht="15" hidden="1" x14ac:dyDescent="0.2">
      <c r="A90" s="41">
        <v>1086</v>
      </c>
      <c r="B90" s="44">
        <f>VLOOKUP(A90,'تكويد الأصناف'!A:F,3,0)</f>
        <v>1</v>
      </c>
      <c r="C90" s="45">
        <f>VLOOKUP(A90,'تكويد الأصناف'!A:F,6,0)</f>
        <v>0</v>
      </c>
      <c r="D90" s="46">
        <f>VLOOKUP(A90,'تكويد الأصناف'!A:F,5,0)</f>
        <v>0</v>
      </c>
      <c r="E90" s="42">
        <f>VLOOKUP(A90,'تكويد الأصناف'!A:F,4,1)</f>
        <v>0</v>
      </c>
      <c r="F90" s="37">
        <v>0</v>
      </c>
      <c r="G90" s="43">
        <f ca="1">SUMIF('الوارد والمرتجع'!B:F,A90,'الوارد والمرتجع'!E:E)</f>
        <v>0</v>
      </c>
      <c r="H90" s="58">
        <f>SUMIF(الجدول1[كود الصنف],A90,الجدول1[العدد])+SUMIF(الجدول2[كود الصنف],A90,الجدول2[العدد])+SUMIF(الجدول3[كود الصنف],A90,الجدول3[العدد])+SUMIF(الجدول4[كود الصنف],A90,الجدول4[العدد])+SUMIF(الجدول5[كود الصنف],A90,الجدول5[العدد])+SUMIF(الجدول6[كود الصنف],A90,الجدول6[العدد])+SUMIF(الجدول7[كود الصنف],A90,الجدول7[العدد])+SUMIF(الجدول8[كود الصنف],A90,الجدول8[العدد])+SUMIF(الجدول9[كود الصنف],A90,الجدول9[العدد])+SUMIF(الجدول10[كود الصنف],A90,الجدول10[العدد])+SUMIF(الجدول11[كود الصنف],A90,الجدول11[العدد])+SUMIF(الجدول12[كود الصنف],A90,الجدول12[العدد])+SUMIF(الجدول13[كود الصنف],A90,الجدول13[العدد])+SUMIF(الجدول14[كود الصنف],A90,الجدول14[العدد])+SUMIF(الجدول15[كود الصنف],A90,الجدول15[العدد])+SUMIF(الجدول16[كود الصنف],A90,الجدول16[العدد])+SUMIF(الجدول17[كود الصنف],A90,الجدول17[العدد])+SUMIF(الجدول18[كود الصنف],A90,الجدول18[العدد])+SUMIF(الجدول19[كود الصنف],A90,الجدول19[العدد])+SUMIF(الجدول20[كود الصنف],A90,الجدول20[العدد])+SUMIF(الجدول21[كود الصنف],A90,الجدول21[العدد])+SUMIF(الجدول22[كود الصنف],A90,الجدول22[العدد])+SUMIF(الجدول23[كود الصنف],A90,الجدول23[العدد])+SUMIF(الجدول24[كود الصنف],A90,الجدول24[العدد])+SUMIF(الجدول25[كود الصنف],A90,الجدول25[العدد])+SUMIF(الجدول26[كود الصنف],A90,الجدول26[العدد])+SUMIF(الجدول27[كود الصنف],A90,الجدول27[العدد])+SUMIF(الجدول28[كود الصنف],A90,الجدول28[العدد])+SUMIF(الجدول29[كود الصنف],A90,الجدول29[العدد])+SUMIF(الجدول30[كود الصنف],A90,الجدول30[العدد])+SUMIF(الجدول31[كود الصنف],A90,الجدول31[العدد])</f>
        <v>0</v>
      </c>
      <c r="I90" s="47">
        <f ca="1">SUMIF('تكويد الأصناف'!K:N,A90,'تكويد الأصناف'!M:M)</f>
        <v>0</v>
      </c>
      <c r="J90" s="47">
        <f ca="1">SUMIF('تكويد الأصناف'!K:N,A90,'تكويد الأصناف'!N:N)</f>
        <v>0</v>
      </c>
      <c r="K90" s="43">
        <f ca="1">SUMIF('الوارد والمرتجع'!J:M,A90,'الوارد والمرتجع'!M:M)</f>
        <v>0</v>
      </c>
      <c r="L90" s="47">
        <f t="shared" ca="1" si="1"/>
        <v>0</v>
      </c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</row>
    <row r="91" spans="1:23" customFormat="1" ht="15" hidden="1" x14ac:dyDescent="0.2">
      <c r="A91" s="41">
        <v>1087</v>
      </c>
      <c r="B91" s="44">
        <f>VLOOKUP(A91,'تكويد الأصناف'!A:F,3,0)</f>
        <v>1</v>
      </c>
      <c r="C91" s="45">
        <f>VLOOKUP(A91,'تكويد الأصناف'!A:F,6,0)</f>
        <v>0</v>
      </c>
      <c r="D91" s="46">
        <f>VLOOKUP(A91,'تكويد الأصناف'!A:F,5,0)</f>
        <v>0</v>
      </c>
      <c r="E91" s="42">
        <f>VLOOKUP(A91,'تكويد الأصناف'!A:F,4,1)</f>
        <v>0</v>
      </c>
      <c r="F91" s="37">
        <v>0</v>
      </c>
      <c r="G91" s="43">
        <f ca="1">SUMIF('الوارد والمرتجع'!B:F,A91,'الوارد والمرتجع'!E:E)</f>
        <v>0</v>
      </c>
      <c r="H91" s="58">
        <f>SUMIF(الجدول1[كود الصنف],A91,الجدول1[العدد])+SUMIF(الجدول2[كود الصنف],A91,الجدول2[العدد])+SUMIF(الجدول3[كود الصنف],A91,الجدول3[العدد])+SUMIF(الجدول4[كود الصنف],A91,الجدول4[العدد])+SUMIF(الجدول5[كود الصنف],A91,الجدول5[العدد])+SUMIF(الجدول6[كود الصنف],A91,الجدول6[العدد])+SUMIF(الجدول7[كود الصنف],A91,الجدول7[العدد])+SUMIF(الجدول8[كود الصنف],A91,الجدول8[العدد])+SUMIF(الجدول9[كود الصنف],A91,الجدول9[العدد])+SUMIF(الجدول10[كود الصنف],A91,الجدول10[العدد])+SUMIF(الجدول11[كود الصنف],A91,الجدول11[العدد])+SUMIF(الجدول12[كود الصنف],A91,الجدول12[العدد])+SUMIF(الجدول13[كود الصنف],A91,الجدول13[العدد])+SUMIF(الجدول14[كود الصنف],A91,الجدول14[العدد])+SUMIF(الجدول15[كود الصنف],A91,الجدول15[العدد])+SUMIF(الجدول16[كود الصنف],A91,الجدول16[العدد])+SUMIF(الجدول17[كود الصنف],A91,الجدول17[العدد])+SUMIF(الجدول18[كود الصنف],A91,الجدول18[العدد])+SUMIF(الجدول19[كود الصنف],A91,الجدول19[العدد])+SUMIF(الجدول20[كود الصنف],A91,الجدول20[العدد])+SUMIF(الجدول21[كود الصنف],A91,الجدول21[العدد])+SUMIF(الجدول22[كود الصنف],A91,الجدول22[العدد])+SUMIF(الجدول23[كود الصنف],A91,الجدول23[العدد])+SUMIF(الجدول24[كود الصنف],A91,الجدول24[العدد])+SUMIF(الجدول25[كود الصنف],A91,الجدول25[العدد])+SUMIF(الجدول26[كود الصنف],A91,الجدول26[العدد])+SUMIF(الجدول27[كود الصنف],A91,الجدول27[العدد])+SUMIF(الجدول28[كود الصنف],A91,الجدول28[العدد])+SUMIF(الجدول29[كود الصنف],A91,الجدول29[العدد])+SUMIF(الجدول30[كود الصنف],A91,الجدول30[العدد])+SUMIF(الجدول31[كود الصنف],A91,الجدول31[العدد])</f>
        <v>0</v>
      </c>
      <c r="I91" s="47">
        <f ca="1">SUMIF('تكويد الأصناف'!K:N,A91,'تكويد الأصناف'!M:M)</f>
        <v>0</v>
      </c>
      <c r="J91" s="47">
        <f ca="1">SUMIF('تكويد الأصناف'!K:N,A91,'تكويد الأصناف'!N:N)</f>
        <v>0</v>
      </c>
      <c r="K91" s="43">
        <f ca="1">SUMIF('الوارد والمرتجع'!J:M,A91,'الوارد والمرتجع'!M:M)</f>
        <v>0</v>
      </c>
      <c r="L91" s="47">
        <f t="shared" ca="1" si="1"/>
        <v>0</v>
      </c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</row>
    <row r="92" spans="1:23" customFormat="1" ht="15" hidden="1" x14ac:dyDescent="0.2">
      <c r="A92" s="41">
        <v>1088</v>
      </c>
      <c r="B92" s="44">
        <f>VLOOKUP(A92,'تكويد الأصناف'!A:F,3,0)</f>
        <v>1</v>
      </c>
      <c r="C92" s="45">
        <f>VLOOKUP(A92,'تكويد الأصناف'!A:F,6,0)</f>
        <v>0</v>
      </c>
      <c r="D92" s="46">
        <f>VLOOKUP(A92,'تكويد الأصناف'!A:F,5,0)</f>
        <v>0</v>
      </c>
      <c r="E92" s="42">
        <f>VLOOKUP(A92,'تكويد الأصناف'!A:F,4,1)</f>
        <v>0</v>
      </c>
      <c r="F92" s="37">
        <v>0</v>
      </c>
      <c r="G92" s="43">
        <f ca="1">SUMIF('الوارد والمرتجع'!B:F,A92,'الوارد والمرتجع'!E:E)</f>
        <v>0</v>
      </c>
      <c r="H92" s="58">
        <f>SUMIF(الجدول1[كود الصنف],A92,الجدول1[العدد])+SUMIF(الجدول2[كود الصنف],A92,الجدول2[العدد])+SUMIF(الجدول3[كود الصنف],A92,الجدول3[العدد])+SUMIF(الجدول4[كود الصنف],A92,الجدول4[العدد])+SUMIF(الجدول5[كود الصنف],A92,الجدول5[العدد])+SUMIF(الجدول6[كود الصنف],A92,الجدول6[العدد])+SUMIF(الجدول7[كود الصنف],A92,الجدول7[العدد])+SUMIF(الجدول8[كود الصنف],A92,الجدول8[العدد])+SUMIF(الجدول9[كود الصنف],A92,الجدول9[العدد])+SUMIF(الجدول10[كود الصنف],A92,الجدول10[العدد])+SUMIF(الجدول11[كود الصنف],A92,الجدول11[العدد])+SUMIF(الجدول12[كود الصنف],A92,الجدول12[العدد])+SUMIF(الجدول13[كود الصنف],A92,الجدول13[العدد])+SUMIF(الجدول14[كود الصنف],A92,الجدول14[العدد])+SUMIF(الجدول15[كود الصنف],A92,الجدول15[العدد])+SUMIF(الجدول16[كود الصنف],A92,الجدول16[العدد])+SUMIF(الجدول17[كود الصنف],A92,الجدول17[العدد])+SUMIF(الجدول18[كود الصنف],A92,الجدول18[العدد])+SUMIF(الجدول19[كود الصنف],A92,الجدول19[العدد])+SUMIF(الجدول20[كود الصنف],A92,الجدول20[العدد])+SUMIF(الجدول21[كود الصنف],A92,الجدول21[العدد])+SUMIF(الجدول22[كود الصنف],A92,الجدول22[العدد])+SUMIF(الجدول23[كود الصنف],A92,الجدول23[العدد])+SUMIF(الجدول24[كود الصنف],A92,الجدول24[العدد])+SUMIF(الجدول25[كود الصنف],A92,الجدول25[العدد])+SUMIF(الجدول26[كود الصنف],A92,الجدول26[العدد])+SUMIF(الجدول27[كود الصنف],A92,الجدول27[العدد])+SUMIF(الجدول28[كود الصنف],A92,الجدول28[العدد])+SUMIF(الجدول29[كود الصنف],A92,الجدول29[العدد])+SUMIF(الجدول30[كود الصنف],A92,الجدول30[العدد])+SUMIF(الجدول31[كود الصنف],A92,الجدول31[العدد])</f>
        <v>0</v>
      </c>
      <c r="I92" s="47">
        <f ca="1">SUMIF('تكويد الأصناف'!K:N,A92,'تكويد الأصناف'!M:M)</f>
        <v>0</v>
      </c>
      <c r="J92" s="47">
        <f ca="1">SUMIF('تكويد الأصناف'!K:N,A92,'تكويد الأصناف'!N:N)</f>
        <v>0</v>
      </c>
      <c r="K92" s="43">
        <f ca="1">SUMIF('الوارد والمرتجع'!J:M,A92,'الوارد والمرتجع'!M:M)</f>
        <v>0</v>
      </c>
      <c r="L92" s="47">
        <f t="shared" ca="1" si="1"/>
        <v>0</v>
      </c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</row>
    <row r="93" spans="1:23" customFormat="1" ht="15" hidden="1" x14ac:dyDescent="0.2">
      <c r="A93" s="41">
        <v>1089</v>
      </c>
      <c r="B93" s="44">
        <f>VLOOKUP(A93,'تكويد الأصناف'!A:F,3,0)</f>
        <v>1</v>
      </c>
      <c r="C93" s="45">
        <f>VLOOKUP(A93,'تكويد الأصناف'!A:F,6,0)</f>
        <v>0</v>
      </c>
      <c r="D93" s="46">
        <f>VLOOKUP(A93,'تكويد الأصناف'!A:F,5,0)</f>
        <v>0</v>
      </c>
      <c r="E93" s="42">
        <f>VLOOKUP(A93,'تكويد الأصناف'!A:F,4,1)</f>
        <v>0</v>
      </c>
      <c r="F93" s="37">
        <v>0</v>
      </c>
      <c r="G93" s="43">
        <f ca="1">SUMIF('الوارد والمرتجع'!B:F,A93,'الوارد والمرتجع'!E:E)</f>
        <v>0</v>
      </c>
      <c r="H93" s="58">
        <f>SUMIF(الجدول1[كود الصنف],A93,الجدول1[العدد])+SUMIF(الجدول2[كود الصنف],A93,الجدول2[العدد])+SUMIF(الجدول3[كود الصنف],A93,الجدول3[العدد])+SUMIF(الجدول4[كود الصنف],A93,الجدول4[العدد])+SUMIF(الجدول5[كود الصنف],A93,الجدول5[العدد])+SUMIF(الجدول6[كود الصنف],A93,الجدول6[العدد])+SUMIF(الجدول7[كود الصنف],A93,الجدول7[العدد])+SUMIF(الجدول8[كود الصنف],A93,الجدول8[العدد])+SUMIF(الجدول9[كود الصنف],A93,الجدول9[العدد])+SUMIF(الجدول10[كود الصنف],A93,الجدول10[العدد])+SUMIF(الجدول11[كود الصنف],A93,الجدول11[العدد])+SUMIF(الجدول12[كود الصنف],A93,الجدول12[العدد])+SUMIF(الجدول13[كود الصنف],A93,الجدول13[العدد])+SUMIF(الجدول14[كود الصنف],A93,الجدول14[العدد])+SUMIF(الجدول15[كود الصنف],A93,الجدول15[العدد])+SUMIF(الجدول16[كود الصنف],A93,الجدول16[العدد])+SUMIF(الجدول17[كود الصنف],A93,الجدول17[العدد])+SUMIF(الجدول18[كود الصنف],A93,الجدول18[العدد])+SUMIF(الجدول19[كود الصنف],A93,الجدول19[العدد])+SUMIF(الجدول20[كود الصنف],A93,الجدول20[العدد])+SUMIF(الجدول21[كود الصنف],A93,الجدول21[العدد])+SUMIF(الجدول22[كود الصنف],A93,الجدول22[العدد])+SUMIF(الجدول23[كود الصنف],A93,الجدول23[العدد])+SUMIF(الجدول24[كود الصنف],A93,الجدول24[العدد])+SUMIF(الجدول25[كود الصنف],A93,الجدول25[العدد])+SUMIF(الجدول26[كود الصنف],A93,الجدول26[العدد])+SUMIF(الجدول27[كود الصنف],A93,الجدول27[العدد])+SUMIF(الجدول28[كود الصنف],A93,الجدول28[العدد])+SUMIF(الجدول29[كود الصنف],A93,الجدول29[العدد])+SUMIF(الجدول30[كود الصنف],A93,الجدول30[العدد])+SUMIF(الجدول31[كود الصنف],A93,الجدول31[العدد])</f>
        <v>0</v>
      </c>
      <c r="I93" s="47">
        <f ca="1">SUMIF('تكويد الأصناف'!K:N,A93,'تكويد الأصناف'!M:M)</f>
        <v>0</v>
      </c>
      <c r="J93" s="47">
        <f ca="1">SUMIF('تكويد الأصناف'!K:N,A93,'تكويد الأصناف'!N:N)</f>
        <v>0</v>
      </c>
      <c r="K93" s="43">
        <f ca="1">SUMIF('الوارد والمرتجع'!J:M,A93,'الوارد والمرتجع'!M:M)</f>
        <v>0</v>
      </c>
      <c r="L93" s="47">
        <f t="shared" ca="1" si="1"/>
        <v>0</v>
      </c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</row>
    <row r="94" spans="1:23" customFormat="1" ht="15" hidden="1" x14ac:dyDescent="0.2">
      <c r="A94" s="41">
        <v>1090</v>
      </c>
      <c r="B94" s="44">
        <f>VLOOKUP(A94,'تكويد الأصناف'!A:F,3,0)</f>
        <v>1</v>
      </c>
      <c r="C94" s="45">
        <f>VLOOKUP(A94,'تكويد الأصناف'!A:F,6,0)</f>
        <v>0</v>
      </c>
      <c r="D94" s="46">
        <f>VLOOKUP(A94,'تكويد الأصناف'!A:F,5,0)</f>
        <v>0</v>
      </c>
      <c r="E94" s="42">
        <f>VLOOKUP(A94,'تكويد الأصناف'!A:F,4,1)</f>
        <v>0</v>
      </c>
      <c r="F94" s="37">
        <v>0</v>
      </c>
      <c r="G94" s="43">
        <f ca="1">SUMIF('الوارد والمرتجع'!B:F,A94,'الوارد والمرتجع'!E:E)</f>
        <v>0</v>
      </c>
      <c r="H94" s="58">
        <f>SUMIF(الجدول1[كود الصنف],A94,الجدول1[العدد])+SUMIF(الجدول2[كود الصنف],A94,الجدول2[العدد])+SUMIF(الجدول3[كود الصنف],A94,الجدول3[العدد])+SUMIF(الجدول4[كود الصنف],A94,الجدول4[العدد])+SUMIF(الجدول5[كود الصنف],A94,الجدول5[العدد])+SUMIF(الجدول6[كود الصنف],A94,الجدول6[العدد])+SUMIF(الجدول7[كود الصنف],A94,الجدول7[العدد])+SUMIF(الجدول8[كود الصنف],A94,الجدول8[العدد])+SUMIF(الجدول9[كود الصنف],A94,الجدول9[العدد])+SUMIF(الجدول10[كود الصنف],A94,الجدول10[العدد])+SUMIF(الجدول11[كود الصنف],A94,الجدول11[العدد])+SUMIF(الجدول12[كود الصنف],A94,الجدول12[العدد])+SUMIF(الجدول13[كود الصنف],A94,الجدول13[العدد])+SUMIF(الجدول14[كود الصنف],A94,الجدول14[العدد])+SUMIF(الجدول15[كود الصنف],A94,الجدول15[العدد])+SUMIF(الجدول16[كود الصنف],A94,الجدول16[العدد])+SUMIF(الجدول17[كود الصنف],A94,الجدول17[العدد])+SUMIF(الجدول18[كود الصنف],A94,الجدول18[العدد])+SUMIF(الجدول19[كود الصنف],A94,الجدول19[العدد])+SUMIF(الجدول20[كود الصنف],A94,الجدول20[العدد])+SUMIF(الجدول21[كود الصنف],A94,الجدول21[العدد])+SUMIF(الجدول22[كود الصنف],A94,الجدول22[العدد])+SUMIF(الجدول23[كود الصنف],A94,الجدول23[العدد])+SUMIF(الجدول24[كود الصنف],A94,الجدول24[العدد])+SUMIF(الجدول25[كود الصنف],A94,الجدول25[العدد])+SUMIF(الجدول26[كود الصنف],A94,الجدول26[العدد])+SUMIF(الجدول27[كود الصنف],A94,الجدول27[العدد])+SUMIF(الجدول28[كود الصنف],A94,الجدول28[العدد])+SUMIF(الجدول29[كود الصنف],A94,الجدول29[العدد])+SUMIF(الجدول30[كود الصنف],A94,الجدول30[العدد])+SUMIF(الجدول31[كود الصنف],A94,الجدول31[العدد])</f>
        <v>0</v>
      </c>
      <c r="I94" s="47">
        <f ca="1">SUMIF('تكويد الأصناف'!K:N,A94,'تكويد الأصناف'!M:M)</f>
        <v>0</v>
      </c>
      <c r="J94" s="47">
        <f ca="1">SUMIF('تكويد الأصناف'!K:N,A94,'تكويد الأصناف'!N:N)</f>
        <v>0</v>
      </c>
      <c r="K94" s="43">
        <f ca="1">SUMIF('الوارد والمرتجع'!J:M,A94,'الوارد والمرتجع'!M:M)</f>
        <v>0</v>
      </c>
      <c r="L94" s="47">
        <f t="shared" ca="1" si="1"/>
        <v>0</v>
      </c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</row>
    <row r="95" spans="1:23" ht="17.25" customHeight="1" x14ac:dyDescent="0.2">
      <c r="A95" s="103">
        <v>2001</v>
      </c>
      <c r="B95" s="104">
        <f>VLOOKUP(A95,'تكويد الأصناف'!A:F,3,0)</f>
        <v>1</v>
      </c>
      <c r="C95" s="105">
        <f>VLOOKUP(A95,'تكويد الأصناف'!A:F,6,0)</f>
        <v>8</v>
      </c>
      <c r="D95" s="106">
        <f>VLOOKUP(A95,'تكويد الأصناف'!A:F,5,0)</f>
        <v>15</v>
      </c>
      <c r="E95" s="107" t="str">
        <f>VLOOKUP(A95,'تكويد الأصناف'!A:F,4,1)</f>
        <v>جلباب عروض</v>
      </c>
      <c r="F95" s="47">
        <v>0</v>
      </c>
      <c r="G95" s="47">
        <f ca="1">SUMIF('الوارد والمرتجع'!B:F,A95,'الوارد والمرتجع'!E:E)</f>
        <v>0</v>
      </c>
      <c r="H95" s="108">
        <f>SUMIF(الجدول1[كود الصنف],A95,الجدول1[العدد])+SUMIF(الجدول2[كود الصنف],A95,الجدول2[العدد])+SUMIF(الجدول3[كود الصنف],A95,الجدول3[العدد])+SUMIF(الجدول4[كود الصنف],A95,الجدول4[العدد])+SUMIF(الجدول5[كود الصنف],A95,الجدول5[العدد])+SUMIF(الجدول6[كود الصنف],A95,الجدول6[العدد])+SUMIF(الجدول7[كود الصنف],A95,الجدول7[العدد])+SUMIF(الجدول8[كود الصنف],A95,الجدول8[العدد])+SUMIF(الجدول9[كود الصنف],A95,الجدول9[العدد])+SUMIF(الجدول10[كود الصنف],A95,الجدول10[العدد])+SUMIF(الجدول11[كود الصنف],A95,الجدول11[العدد])+SUMIF(الجدول12[كود الصنف],A95,الجدول12[العدد])+SUMIF(الجدول13[كود الصنف],A95,الجدول13[العدد])+SUMIF(الجدول14[كود الصنف],A95,الجدول14[العدد])+SUMIF(الجدول15[كود الصنف],A95,الجدول15[العدد])+SUMIF(الجدول16[كود الصنف],A95,الجدول16[العدد])+SUMIF(الجدول17[كود الصنف],A95,الجدول17[العدد])+SUMIF(الجدول18[كود الصنف],A95,الجدول18[العدد])+SUMIF(الجدول19[كود الصنف],A95,الجدول19[العدد])+SUMIF(الجدول20[كود الصنف],A95,الجدول20[العدد])+SUMIF(الجدول21[كود الصنف],A95,الجدول21[العدد])+SUMIF(الجدول22[كود الصنف],A95,الجدول22[العدد])+SUMIF(الجدول23[كود الصنف],A95,الجدول23[العدد])+SUMIF(الجدول24[كود الصنف],A95,الجدول24[العدد])+SUMIF(الجدول25[كود الصنف],A95,الجدول25[العدد])+SUMIF(الجدول26[كود الصنف],A95,الجدول26[العدد])+SUMIF(الجدول27[كود الصنف],A95,الجدول27[العدد])+SUMIF(الجدول28[كود الصنف],A95,الجدول28[العدد])+SUMIF(الجدول29[كود الصنف],A95,الجدول29[العدد])+SUMIF(الجدول30[كود الصنف],A95,الجدول30[العدد])+SUMIF(الجدول31[كود الصنف],A95,الجدول31[العدد])</f>
        <v>0</v>
      </c>
      <c r="I95" s="47">
        <f ca="1">SUMIF('تكويد الأصناف'!K:N,A95,'تكويد الأصناف'!M:M)</f>
        <v>0</v>
      </c>
      <c r="J95" s="47">
        <f ca="1">SUMIF('تكويد الأصناف'!K:N,A95,'تكويد الأصناف'!N:N)</f>
        <v>0</v>
      </c>
      <c r="K95" s="47">
        <f ca="1">SUMIF('الوارد والمرتجع'!J:M,A95,'الوارد والمرتجع'!M:M)</f>
        <v>0</v>
      </c>
      <c r="L95" s="47">
        <f t="shared" ca="1" si="1"/>
        <v>0</v>
      </c>
    </row>
    <row r="96" spans="1:23" ht="17.25" hidden="1" customHeight="1" x14ac:dyDescent="0.2">
      <c r="A96" s="103">
        <v>2002</v>
      </c>
      <c r="B96" s="104">
        <f>VLOOKUP(A96,'تكويد الأصناف'!A:F,3,0)</f>
        <v>1</v>
      </c>
      <c r="C96" s="105">
        <f>VLOOKUP(A96,'تكويد الأصناف'!A:F,6,0)</f>
        <v>0</v>
      </c>
      <c r="D96" s="106">
        <f>VLOOKUP(A96,'تكويد الأصناف'!A:F,5,0)</f>
        <v>0</v>
      </c>
      <c r="E96" s="107">
        <f>VLOOKUP(A96,'تكويد الأصناف'!A:F,4,1)</f>
        <v>0</v>
      </c>
      <c r="F96" s="47">
        <v>0</v>
      </c>
      <c r="G96" s="47">
        <f ca="1">SUMIF('الوارد والمرتجع'!B:F,A96,'الوارد والمرتجع'!E:E)</f>
        <v>0</v>
      </c>
      <c r="H96" s="108">
        <f>SUMIF(الجدول1[كود الصنف],A96,الجدول1[العدد])+SUMIF(الجدول2[كود الصنف],A96,الجدول2[العدد])+SUMIF(الجدول3[كود الصنف],A96,الجدول3[العدد])+SUMIF(الجدول4[كود الصنف],A96,الجدول4[العدد])+SUMIF(الجدول5[كود الصنف],A96,الجدول5[العدد])+SUMIF(الجدول6[كود الصنف],A96,الجدول6[العدد])+SUMIF(الجدول7[كود الصنف],A96,الجدول7[العدد])+SUMIF(الجدول8[كود الصنف],A96,الجدول8[العدد])+SUMIF(الجدول9[كود الصنف],A96,الجدول9[العدد])+SUMIF(الجدول10[كود الصنف],A96,الجدول10[العدد])+SUMIF(الجدول11[كود الصنف],A96,الجدول11[العدد])+SUMIF(الجدول12[كود الصنف],A96,الجدول12[العدد])+SUMIF(الجدول13[كود الصنف],A96,الجدول13[العدد])+SUMIF(الجدول14[كود الصنف],A96,الجدول14[العدد])+SUMIF(الجدول15[كود الصنف],A96,الجدول15[العدد])+SUMIF(الجدول16[كود الصنف],A96,الجدول16[العدد])+SUMIF(الجدول17[كود الصنف],A96,الجدول17[العدد])+SUMIF(الجدول18[كود الصنف],A96,الجدول18[العدد])+SUMIF(الجدول19[كود الصنف],A96,الجدول19[العدد])+SUMIF(الجدول20[كود الصنف],A96,الجدول20[العدد])+SUMIF(الجدول21[كود الصنف],A96,الجدول21[العدد])+SUMIF(الجدول22[كود الصنف],A96,الجدول22[العدد])+SUMIF(الجدول23[كود الصنف],A96,الجدول23[العدد])+SUMIF(الجدول24[كود الصنف],A96,الجدول24[العدد])+SUMIF(الجدول25[كود الصنف],A96,الجدول25[العدد])+SUMIF(الجدول26[كود الصنف],A96,الجدول26[العدد])+SUMIF(الجدول27[كود الصنف],A96,الجدول27[العدد])+SUMIF(الجدول28[كود الصنف],A96,الجدول28[العدد])+SUMIF(الجدول29[كود الصنف],A96,الجدول29[العدد])+SUMIF(الجدول30[كود الصنف],A96,الجدول30[العدد])+SUMIF(الجدول31[كود الصنف],A96,الجدول31[العدد])</f>
        <v>0</v>
      </c>
      <c r="I96" s="47">
        <f ca="1">SUMIF('تكويد الأصناف'!K:N,A96,'تكويد الأصناف'!M:M)</f>
        <v>0</v>
      </c>
      <c r="J96" s="47">
        <f ca="1">SUMIF('تكويد الأصناف'!K:N,A96,'تكويد الأصناف'!N:N)</f>
        <v>0</v>
      </c>
      <c r="K96" s="47">
        <f ca="1">SUMIF('الوارد والمرتجع'!J:M,A96,'الوارد والمرتجع'!M:M)</f>
        <v>0</v>
      </c>
      <c r="L96" s="47">
        <f t="shared" ca="1" si="1"/>
        <v>0</v>
      </c>
    </row>
    <row r="97" spans="1:23" ht="17.25" hidden="1" customHeight="1" x14ac:dyDescent="0.2">
      <c r="A97" s="103">
        <v>2003</v>
      </c>
      <c r="B97" s="104">
        <f>VLOOKUP(A97,'تكويد الأصناف'!A:F,3,0)</f>
        <v>1</v>
      </c>
      <c r="C97" s="105">
        <f>VLOOKUP(A97,'تكويد الأصناف'!A:F,6,0)</f>
        <v>0</v>
      </c>
      <c r="D97" s="106">
        <f>VLOOKUP(A97,'تكويد الأصناف'!A:F,5,0)</f>
        <v>0</v>
      </c>
      <c r="E97" s="107">
        <f>VLOOKUP(A97,'تكويد الأصناف'!A:F,4,1)</f>
        <v>0</v>
      </c>
      <c r="F97" s="47">
        <v>0</v>
      </c>
      <c r="G97" s="47">
        <f ca="1">SUMIF('الوارد والمرتجع'!B:F,A97,'الوارد والمرتجع'!E:E)</f>
        <v>0</v>
      </c>
      <c r="H97" s="108">
        <f>SUMIF(الجدول1[كود الصنف],A97,الجدول1[العدد])+SUMIF(الجدول2[كود الصنف],A97,الجدول2[العدد])+SUMIF(الجدول3[كود الصنف],A97,الجدول3[العدد])+SUMIF(الجدول4[كود الصنف],A97,الجدول4[العدد])+SUMIF(الجدول5[كود الصنف],A97,الجدول5[العدد])+SUMIF(الجدول6[كود الصنف],A97,الجدول6[العدد])+SUMIF(الجدول7[كود الصنف],A97,الجدول7[العدد])+SUMIF(الجدول8[كود الصنف],A97,الجدول8[العدد])+SUMIF(الجدول9[كود الصنف],A97,الجدول9[العدد])+SUMIF(الجدول10[كود الصنف],A97,الجدول10[العدد])+SUMIF(الجدول11[كود الصنف],A97,الجدول11[العدد])+SUMIF(الجدول12[كود الصنف],A97,الجدول12[العدد])+SUMIF(الجدول13[كود الصنف],A97,الجدول13[العدد])+SUMIF(الجدول14[كود الصنف],A97,الجدول14[العدد])+SUMIF(الجدول15[كود الصنف],A97,الجدول15[العدد])+SUMIF(الجدول16[كود الصنف],A97,الجدول16[العدد])+SUMIF(الجدول17[كود الصنف],A97,الجدول17[العدد])+SUMIF(الجدول18[كود الصنف],A97,الجدول18[العدد])+SUMIF(الجدول19[كود الصنف],A97,الجدول19[العدد])+SUMIF(الجدول20[كود الصنف],A97,الجدول20[العدد])+SUMIF(الجدول21[كود الصنف],A97,الجدول21[العدد])+SUMIF(الجدول22[كود الصنف],A97,الجدول22[العدد])+SUMIF(الجدول23[كود الصنف],A97,الجدول23[العدد])+SUMIF(الجدول24[كود الصنف],A97,الجدول24[العدد])+SUMIF(الجدول25[كود الصنف],A97,الجدول25[العدد])+SUMIF(الجدول26[كود الصنف],A97,الجدول26[العدد])+SUMIF(الجدول27[كود الصنف],A97,الجدول27[العدد])+SUMIF(الجدول28[كود الصنف],A97,الجدول28[العدد])+SUMIF(الجدول29[كود الصنف],A97,الجدول29[العدد])+SUMIF(الجدول30[كود الصنف],A97,الجدول30[العدد])+SUMIF(الجدول31[كود الصنف],A97,الجدول31[العدد])</f>
        <v>0</v>
      </c>
      <c r="I97" s="47">
        <f ca="1">SUMIF('تكويد الأصناف'!K:N,A97,'تكويد الأصناف'!M:M)</f>
        <v>0</v>
      </c>
      <c r="J97" s="47">
        <f ca="1">SUMIF('تكويد الأصناف'!K:N,A97,'تكويد الأصناف'!N:N)</f>
        <v>0</v>
      </c>
      <c r="K97" s="47">
        <f ca="1">SUMIF('الوارد والمرتجع'!J:M,A97,'الوارد والمرتجع'!M:M)</f>
        <v>0</v>
      </c>
      <c r="L97" s="47">
        <f t="shared" ca="1" si="1"/>
        <v>0</v>
      </c>
    </row>
    <row r="98" spans="1:23" ht="17.25" hidden="1" customHeight="1" x14ac:dyDescent="0.2">
      <c r="A98" s="103">
        <v>2004</v>
      </c>
      <c r="B98" s="104">
        <f>VLOOKUP(A98,'تكويد الأصناف'!A:F,3,0)</f>
        <v>1</v>
      </c>
      <c r="C98" s="105">
        <f>VLOOKUP(A98,'تكويد الأصناف'!A:F,6,0)</f>
        <v>0</v>
      </c>
      <c r="D98" s="106">
        <f>VLOOKUP(A98,'تكويد الأصناف'!A:F,5,0)</f>
        <v>0</v>
      </c>
      <c r="E98" s="107">
        <f>VLOOKUP(A98,'تكويد الأصناف'!A:F,4,1)</f>
        <v>0</v>
      </c>
      <c r="F98" s="47">
        <v>0</v>
      </c>
      <c r="G98" s="47">
        <f ca="1">SUMIF('الوارد والمرتجع'!B:F,A98,'الوارد والمرتجع'!E:E)</f>
        <v>0</v>
      </c>
      <c r="H98" s="108">
        <f>SUMIF(الجدول1[كود الصنف],A98,الجدول1[العدد])+SUMIF(الجدول2[كود الصنف],A98,الجدول2[العدد])+SUMIF(الجدول3[كود الصنف],A98,الجدول3[العدد])+SUMIF(الجدول4[كود الصنف],A98,الجدول4[العدد])+SUMIF(الجدول5[كود الصنف],A98,الجدول5[العدد])+SUMIF(الجدول6[كود الصنف],A98,الجدول6[العدد])+SUMIF(الجدول7[كود الصنف],A98,الجدول7[العدد])+SUMIF(الجدول8[كود الصنف],A98,الجدول8[العدد])+SUMIF(الجدول9[كود الصنف],A98,الجدول9[العدد])+SUMIF(الجدول10[كود الصنف],A98,الجدول10[العدد])+SUMIF(الجدول11[كود الصنف],A98,الجدول11[العدد])+SUMIF(الجدول12[كود الصنف],A98,الجدول12[العدد])+SUMIF(الجدول13[كود الصنف],A98,الجدول13[العدد])+SUMIF(الجدول14[كود الصنف],A98,الجدول14[العدد])+SUMIF(الجدول15[كود الصنف],A98,الجدول15[العدد])+SUMIF(الجدول16[كود الصنف],A98,الجدول16[العدد])+SUMIF(الجدول17[كود الصنف],A98,الجدول17[العدد])+SUMIF(الجدول18[كود الصنف],A98,الجدول18[العدد])+SUMIF(الجدول19[كود الصنف],A98,الجدول19[العدد])+SUMIF(الجدول20[كود الصنف],A98,الجدول20[العدد])+SUMIF(الجدول21[كود الصنف],A98,الجدول21[العدد])+SUMIF(الجدول22[كود الصنف],A98,الجدول22[العدد])+SUMIF(الجدول23[كود الصنف],A98,الجدول23[العدد])+SUMIF(الجدول24[كود الصنف],A98,الجدول24[العدد])+SUMIF(الجدول25[كود الصنف],A98,الجدول25[العدد])+SUMIF(الجدول26[كود الصنف],A98,الجدول26[العدد])+SUMIF(الجدول27[كود الصنف],A98,الجدول27[العدد])+SUMIF(الجدول28[كود الصنف],A98,الجدول28[العدد])+SUMIF(الجدول29[كود الصنف],A98,الجدول29[العدد])+SUMIF(الجدول30[كود الصنف],A98,الجدول30[العدد])+SUMIF(الجدول31[كود الصنف],A98,الجدول31[العدد])</f>
        <v>0</v>
      </c>
      <c r="I98" s="47">
        <f ca="1">SUMIF('تكويد الأصناف'!K:N,A98,'تكويد الأصناف'!M:M)</f>
        <v>0</v>
      </c>
      <c r="J98" s="47">
        <f ca="1">SUMIF('تكويد الأصناف'!K:N,A98,'تكويد الأصناف'!N:N)</f>
        <v>0</v>
      </c>
      <c r="K98" s="47">
        <f ca="1">SUMIF('الوارد والمرتجع'!J:M,A98,'الوارد والمرتجع'!M:M)</f>
        <v>0</v>
      </c>
      <c r="L98" s="47">
        <f t="shared" ca="1" si="1"/>
        <v>0</v>
      </c>
    </row>
    <row r="99" spans="1:23" ht="17.25" hidden="1" customHeight="1" x14ac:dyDescent="0.2">
      <c r="A99" s="103">
        <v>2005</v>
      </c>
      <c r="B99" s="104">
        <f>VLOOKUP(A99,'تكويد الأصناف'!A:F,3,0)</f>
        <v>1</v>
      </c>
      <c r="C99" s="105">
        <f>VLOOKUP(A99,'تكويد الأصناف'!A:F,6,0)</f>
        <v>0</v>
      </c>
      <c r="D99" s="106">
        <f>VLOOKUP(A99,'تكويد الأصناف'!A:F,5,0)</f>
        <v>0</v>
      </c>
      <c r="E99" s="107">
        <f>VLOOKUP(A99,'تكويد الأصناف'!A:F,4,1)</f>
        <v>0</v>
      </c>
      <c r="F99" s="47">
        <v>0</v>
      </c>
      <c r="G99" s="47">
        <f ca="1">SUMIF('الوارد والمرتجع'!B:F,A99,'الوارد والمرتجع'!E:E)</f>
        <v>0</v>
      </c>
      <c r="H99" s="108">
        <f>SUMIF(الجدول1[كود الصنف],A99,الجدول1[العدد])+SUMIF(الجدول2[كود الصنف],A99,الجدول2[العدد])+SUMIF(الجدول3[كود الصنف],A99,الجدول3[العدد])+SUMIF(الجدول4[كود الصنف],A99,الجدول4[العدد])+SUMIF(الجدول5[كود الصنف],A99,الجدول5[العدد])+SUMIF(الجدول6[كود الصنف],A99,الجدول6[العدد])+SUMIF(الجدول7[كود الصنف],A99,الجدول7[العدد])+SUMIF(الجدول8[كود الصنف],A99,الجدول8[العدد])+SUMIF(الجدول9[كود الصنف],A99,الجدول9[العدد])+SUMIF(الجدول10[كود الصنف],A99,الجدول10[العدد])+SUMIF(الجدول11[كود الصنف],A99,الجدول11[العدد])+SUMIF(الجدول12[كود الصنف],A99,الجدول12[العدد])+SUMIF(الجدول13[كود الصنف],A99,الجدول13[العدد])+SUMIF(الجدول14[كود الصنف],A99,الجدول14[العدد])+SUMIF(الجدول15[كود الصنف],A99,الجدول15[العدد])+SUMIF(الجدول16[كود الصنف],A99,الجدول16[العدد])+SUMIF(الجدول17[كود الصنف],A99,الجدول17[العدد])+SUMIF(الجدول18[كود الصنف],A99,الجدول18[العدد])+SUMIF(الجدول19[كود الصنف],A99,الجدول19[العدد])+SUMIF(الجدول20[كود الصنف],A99,الجدول20[العدد])+SUMIF(الجدول21[كود الصنف],A99,الجدول21[العدد])+SUMIF(الجدول22[كود الصنف],A99,الجدول22[العدد])+SUMIF(الجدول23[كود الصنف],A99,الجدول23[العدد])+SUMIF(الجدول24[كود الصنف],A99,الجدول24[العدد])+SUMIF(الجدول25[كود الصنف],A99,الجدول25[العدد])+SUMIF(الجدول26[كود الصنف],A99,الجدول26[العدد])+SUMIF(الجدول27[كود الصنف],A99,الجدول27[العدد])+SUMIF(الجدول28[كود الصنف],A99,الجدول28[العدد])+SUMIF(الجدول29[كود الصنف],A99,الجدول29[العدد])+SUMIF(الجدول30[كود الصنف],A99,الجدول30[العدد])+SUMIF(الجدول31[كود الصنف],A99,الجدول31[العدد])</f>
        <v>0</v>
      </c>
      <c r="I99" s="47">
        <f ca="1">SUMIF('تكويد الأصناف'!K:N,A99,'تكويد الأصناف'!M:M)</f>
        <v>0</v>
      </c>
      <c r="J99" s="47">
        <f ca="1">SUMIF('تكويد الأصناف'!K:N,A99,'تكويد الأصناف'!N:N)</f>
        <v>0</v>
      </c>
      <c r="K99" s="47">
        <f ca="1">SUMIF('الوارد والمرتجع'!J:M,A99,'الوارد والمرتجع'!M:M)</f>
        <v>0</v>
      </c>
      <c r="L99" s="47">
        <f t="shared" ca="1" si="1"/>
        <v>0</v>
      </c>
    </row>
    <row r="100" spans="1:23" ht="17.25" hidden="1" customHeight="1" x14ac:dyDescent="0.2">
      <c r="A100" s="103">
        <v>2006</v>
      </c>
      <c r="B100" s="104">
        <f>VLOOKUP(A100,'تكويد الأصناف'!A:F,3,0)</f>
        <v>1</v>
      </c>
      <c r="C100" s="105">
        <f>VLOOKUP(A100,'تكويد الأصناف'!A:F,6,0)</f>
        <v>0</v>
      </c>
      <c r="D100" s="106">
        <f>VLOOKUP(A100,'تكويد الأصناف'!A:F,5,0)</f>
        <v>0</v>
      </c>
      <c r="E100" s="107">
        <f>VLOOKUP(A100,'تكويد الأصناف'!A:F,4,1)</f>
        <v>0</v>
      </c>
      <c r="F100" s="47">
        <v>0</v>
      </c>
      <c r="G100" s="47">
        <f ca="1">SUMIF('الوارد والمرتجع'!B:F,A100,'الوارد والمرتجع'!E:E)</f>
        <v>0</v>
      </c>
      <c r="H100" s="108">
        <f>SUMIF(الجدول1[كود الصنف],A100,الجدول1[العدد])+SUMIF(الجدول2[كود الصنف],A100,الجدول2[العدد])+SUMIF(الجدول3[كود الصنف],A100,الجدول3[العدد])+SUMIF(الجدول4[كود الصنف],A100,الجدول4[العدد])+SUMIF(الجدول5[كود الصنف],A100,الجدول5[العدد])+SUMIF(الجدول6[كود الصنف],A100,الجدول6[العدد])+SUMIF(الجدول7[كود الصنف],A100,الجدول7[العدد])+SUMIF(الجدول8[كود الصنف],A100,الجدول8[العدد])+SUMIF(الجدول9[كود الصنف],A100,الجدول9[العدد])+SUMIF(الجدول10[كود الصنف],A100,الجدول10[العدد])+SUMIF(الجدول11[كود الصنف],A100,الجدول11[العدد])+SUMIF(الجدول12[كود الصنف],A100,الجدول12[العدد])+SUMIF(الجدول13[كود الصنف],A100,الجدول13[العدد])+SUMIF(الجدول14[كود الصنف],A100,الجدول14[العدد])+SUMIF(الجدول15[كود الصنف],A100,الجدول15[العدد])+SUMIF(الجدول16[كود الصنف],A100,الجدول16[العدد])+SUMIF(الجدول17[كود الصنف],A100,الجدول17[العدد])+SUMIF(الجدول18[كود الصنف],A100,الجدول18[العدد])+SUMIF(الجدول19[كود الصنف],A100,الجدول19[العدد])+SUMIF(الجدول20[كود الصنف],A100,الجدول20[العدد])+SUMIF(الجدول21[كود الصنف],A100,الجدول21[العدد])+SUMIF(الجدول22[كود الصنف],A100,الجدول22[العدد])+SUMIF(الجدول23[كود الصنف],A100,الجدول23[العدد])+SUMIF(الجدول24[كود الصنف],A100,الجدول24[العدد])+SUMIF(الجدول25[كود الصنف],A100,الجدول25[العدد])+SUMIF(الجدول26[كود الصنف],A100,الجدول26[العدد])+SUMIF(الجدول27[كود الصنف],A100,الجدول27[العدد])+SUMIF(الجدول28[كود الصنف],A100,الجدول28[العدد])+SUMIF(الجدول29[كود الصنف],A100,الجدول29[العدد])+SUMIF(الجدول30[كود الصنف],A100,الجدول30[العدد])+SUMIF(الجدول31[كود الصنف],A100,الجدول31[العدد])</f>
        <v>0</v>
      </c>
      <c r="I100" s="47">
        <f ca="1">SUMIF('تكويد الأصناف'!K:N,A100,'تكويد الأصناف'!M:M)</f>
        <v>0</v>
      </c>
      <c r="J100" s="47">
        <f ca="1">SUMIF('تكويد الأصناف'!K:N,A100,'تكويد الأصناف'!N:N)</f>
        <v>0</v>
      </c>
      <c r="K100" s="47">
        <f ca="1">SUMIF('الوارد والمرتجع'!J:M,A100,'الوارد والمرتجع'!M:M)</f>
        <v>0</v>
      </c>
      <c r="L100" s="47">
        <f t="shared" ca="1" si="1"/>
        <v>0</v>
      </c>
    </row>
    <row r="101" spans="1:23" ht="17.25" hidden="1" customHeight="1" x14ac:dyDescent="0.2">
      <c r="A101" s="103">
        <v>2007</v>
      </c>
      <c r="B101" s="104">
        <f>VLOOKUP(A101,'تكويد الأصناف'!A:F,3,0)</f>
        <v>1</v>
      </c>
      <c r="C101" s="105">
        <f>VLOOKUP(A101,'تكويد الأصناف'!A:F,6,0)</f>
        <v>0</v>
      </c>
      <c r="D101" s="106">
        <f>VLOOKUP(A101,'تكويد الأصناف'!A:F,5,0)</f>
        <v>0</v>
      </c>
      <c r="E101" s="107">
        <f>VLOOKUP(A101,'تكويد الأصناف'!A:F,4,1)</f>
        <v>0</v>
      </c>
      <c r="F101" s="47">
        <v>0</v>
      </c>
      <c r="G101" s="47">
        <f ca="1">SUMIF('الوارد والمرتجع'!B:F,A101,'الوارد والمرتجع'!E:E)</f>
        <v>0</v>
      </c>
      <c r="H101" s="108">
        <f>SUMIF(الجدول1[كود الصنف],A101,الجدول1[العدد])+SUMIF(الجدول2[كود الصنف],A101,الجدول2[العدد])+SUMIF(الجدول3[كود الصنف],A101,الجدول3[العدد])+SUMIF(الجدول4[كود الصنف],A101,الجدول4[العدد])+SUMIF(الجدول5[كود الصنف],A101,الجدول5[العدد])+SUMIF(الجدول6[كود الصنف],A101,الجدول6[العدد])+SUMIF(الجدول7[كود الصنف],A101,الجدول7[العدد])+SUMIF(الجدول8[كود الصنف],A101,الجدول8[العدد])+SUMIF(الجدول9[كود الصنف],A101,الجدول9[العدد])+SUMIF(الجدول10[كود الصنف],A101,الجدول10[العدد])+SUMIF(الجدول11[كود الصنف],A101,الجدول11[العدد])+SUMIF(الجدول12[كود الصنف],A101,الجدول12[العدد])+SUMIF(الجدول13[كود الصنف],A101,الجدول13[العدد])+SUMIF(الجدول14[كود الصنف],A101,الجدول14[العدد])+SUMIF(الجدول15[كود الصنف],A101,الجدول15[العدد])+SUMIF(الجدول16[كود الصنف],A101,الجدول16[العدد])+SUMIF(الجدول17[كود الصنف],A101,الجدول17[العدد])+SUMIF(الجدول18[كود الصنف],A101,الجدول18[العدد])+SUMIF(الجدول19[كود الصنف],A101,الجدول19[العدد])+SUMIF(الجدول20[كود الصنف],A101,الجدول20[العدد])+SUMIF(الجدول21[كود الصنف],A101,الجدول21[العدد])+SUMIF(الجدول22[كود الصنف],A101,الجدول22[العدد])+SUMIF(الجدول23[كود الصنف],A101,الجدول23[العدد])+SUMIF(الجدول24[كود الصنف],A101,الجدول24[العدد])+SUMIF(الجدول25[كود الصنف],A101,الجدول25[العدد])+SUMIF(الجدول26[كود الصنف],A101,الجدول26[العدد])+SUMIF(الجدول27[كود الصنف],A101,الجدول27[العدد])+SUMIF(الجدول28[كود الصنف],A101,الجدول28[العدد])+SUMIF(الجدول29[كود الصنف],A101,الجدول29[العدد])+SUMIF(الجدول30[كود الصنف],A101,الجدول30[العدد])+SUMIF(الجدول31[كود الصنف],A101,الجدول31[العدد])</f>
        <v>0</v>
      </c>
      <c r="I101" s="47">
        <f ca="1">SUMIF('تكويد الأصناف'!K:N,A101,'تكويد الأصناف'!M:M)</f>
        <v>0</v>
      </c>
      <c r="J101" s="47">
        <f ca="1">SUMIF('تكويد الأصناف'!K:N,A101,'تكويد الأصناف'!N:N)</f>
        <v>0</v>
      </c>
      <c r="K101" s="47">
        <f ca="1">SUMIF('الوارد والمرتجع'!J:M,A101,'الوارد والمرتجع'!M:M)</f>
        <v>0</v>
      </c>
      <c r="L101" s="47">
        <f t="shared" ca="1" si="1"/>
        <v>0</v>
      </c>
    </row>
    <row r="102" spans="1:23" ht="17.25" hidden="1" customHeight="1" x14ac:dyDescent="0.2">
      <c r="A102" s="103">
        <v>2008</v>
      </c>
      <c r="B102" s="104">
        <f>VLOOKUP(A102,'تكويد الأصناف'!A:F,3,0)</f>
        <v>1</v>
      </c>
      <c r="C102" s="105">
        <f>VLOOKUP(A102,'تكويد الأصناف'!A:F,6,0)</f>
        <v>0</v>
      </c>
      <c r="D102" s="106">
        <f>VLOOKUP(A102,'تكويد الأصناف'!A:F,5,0)</f>
        <v>0</v>
      </c>
      <c r="E102" s="107">
        <f>VLOOKUP(A102,'تكويد الأصناف'!A:F,4,1)</f>
        <v>0</v>
      </c>
      <c r="F102" s="47">
        <v>0</v>
      </c>
      <c r="G102" s="47">
        <f ca="1">SUMIF('الوارد والمرتجع'!B:F,A102,'الوارد والمرتجع'!E:E)</f>
        <v>0</v>
      </c>
      <c r="H102" s="108">
        <f>SUMIF(الجدول1[كود الصنف],A102,الجدول1[العدد])+SUMIF(الجدول2[كود الصنف],A102,الجدول2[العدد])+SUMIF(الجدول3[كود الصنف],A102,الجدول3[العدد])+SUMIF(الجدول4[كود الصنف],A102,الجدول4[العدد])+SUMIF(الجدول5[كود الصنف],A102,الجدول5[العدد])+SUMIF(الجدول6[كود الصنف],A102,الجدول6[العدد])+SUMIF(الجدول7[كود الصنف],A102,الجدول7[العدد])+SUMIF(الجدول8[كود الصنف],A102,الجدول8[العدد])+SUMIF(الجدول9[كود الصنف],A102,الجدول9[العدد])+SUMIF(الجدول10[كود الصنف],A102,الجدول10[العدد])+SUMIF(الجدول11[كود الصنف],A102,الجدول11[العدد])+SUMIF(الجدول12[كود الصنف],A102,الجدول12[العدد])+SUMIF(الجدول13[كود الصنف],A102,الجدول13[العدد])+SUMIF(الجدول14[كود الصنف],A102,الجدول14[العدد])+SUMIF(الجدول15[كود الصنف],A102,الجدول15[العدد])+SUMIF(الجدول16[كود الصنف],A102,الجدول16[العدد])+SUMIF(الجدول17[كود الصنف],A102,الجدول17[العدد])+SUMIF(الجدول18[كود الصنف],A102,الجدول18[العدد])+SUMIF(الجدول19[كود الصنف],A102,الجدول19[العدد])+SUMIF(الجدول20[كود الصنف],A102,الجدول20[العدد])+SUMIF(الجدول21[كود الصنف],A102,الجدول21[العدد])+SUMIF(الجدول22[كود الصنف],A102,الجدول22[العدد])+SUMIF(الجدول23[كود الصنف],A102,الجدول23[العدد])+SUMIF(الجدول24[كود الصنف],A102,الجدول24[العدد])+SUMIF(الجدول25[كود الصنف],A102,الجدول25[العدد])+SUMIF(الجدول26[كود الصنف],A102,الجدول26[العدد])+SUMIF(الجدول27[كود الصنف],A102,الجدول27[العدد])+SUMIF(الجدول28[كود الصنف],A102,الجدول28[العدد])+SUMIF(الجدول29[كود الصنف],A102,الجدول29[العدد])+SUMIF(الجدول30[كود الصنف],A102,الجدول30[العدد])+SUMIF(الجدول31[كود الصنف],A102,الجدول31[العدد])</f>
        <v>0</v>
      </c>
      <c r="I102" s="47">
        <f ca="1">SUMIF('تكويد الأصناف'!K:N,A102,'تكويد الأصناف'!M:M)</f>
        <v>0</v>
      </c>
      <c r="J102" s="47">
        <f ca="1">SUMIF('تكويد الأصناف'!K:N,A102,'تكويد الأصناف'!N:N)</f>
        <v>0</v>
      </c>
      <c r="K102" s="47">
        <f ca="1">SUMIF('الوارد والمرتجع'!J:M,A102,'الوارد والمرتجع'!M:M)</f>
        <v>0</v>
      </c>
      <c r="L102" s="47">
        <f t="shared" ca="1" si="1"/>
        <v>0</v>
      </c>
    </row>
    <row r="103" spans="1:23" ht="17.25" hidden="1" customHeight="1" x14ac:dyDescent="0.2">
      <c r="A103" s="103">
        <v>2009</v>
      </c>
      <c r="B103" s="104">
        <f>VLOOKUP(A103,'تكويد الأصناف'!A:F,3,0)</f>
        <v>1</v>
      </c>
      <c r="C103" s="105">
        <f>VLOOKUP(A103,'تكويد الأصناف'!A:F,6,0)</f>
        <v>0</v>
      </c>
      <c r="D103" s="106">
        <f>VLOOKUP(A103,'تكويد الأصناف'!A:F,5,0)</f>
        <v>0</v>
      </c>
      <c r="E103" s="107">
        <f>VLOOKUP(A103,'تكويد الأصناف'!A:F,4,1)</f>
        <v>0</v>
      </c>
      <c r="F103" s="47">
        <v>0</v>
      </c>
      <c r="G103" s="47">
        <f ca="1">SUMIF('الوارد والمرتجع'!B:F,A103,'الوارد والمرتجع'!E:E)</f>
        <v>0</v>
      </c>
      <c r="H103" s="108">
        <f>SUMIF(الجدول1[كود الصنف],A103,الجدول1[العدد])+SUMIF(الجدول2[كود الصنف],A103,الجدول2[العدد])+SUMIF(الجدول3[كود الصنف],A103,الجدول3[العدد])+SUMIF(الجدول4[كود الصنف],A103,الجدول4[العدد])+SUMIF(الجدول5[كود الصنف],A103,الجدول5[العدد])+SUMIF(الجدول6[كود الصنف],A103,الجدول6[العدد])+SUMIF(الجدول7[كود الصنف],A103,الجدول7[العدد])+SUMIF(الجدول8[كود الصنف],A103,الجدول8[العدد])+SUMIF(الجدول9[كود الصنف],A103,الجدول9[العدد])+SUMIF(الجدول10[كود الصنف],A103,الجدول10[العدد])+SUMIF(الجدول11[كود الصنف],A103,الجدول11[العدد])+SUMIF(الجدول12[كود الصنف],A103,الجدول12[العدد])+SUMIF(الجدول13[كود الصنف],A103,الجدول13[العدد])+SUMIF(الجدول14[كود الصنف],A103,الجدول14[العدد])+SUMIF(الجدول15[كود الصنف],A103,الجدول15[العدد])+SUMIF(الجدول16[كود الصنف],A103,الجدول16[العدد])+SUMIF(الجدول17[كود الصنف],A103,الجدول17[العدد])+SUMIF(الجدول18[كود الصنف],A103,الجدول18[العدد])+SUMIF(الجدول19[كود الصنف],A103,الجدول19[العدد])+SUMIF(الجدول20[كود الصنف],A103,الجدول20[العدد])+SUMIF(الجدول21[كود الصنف],A103,الجدول21[العدد])+SUMIF(الجدول22[كود الصنف],A103,الجدول22[العدد])+SUMIF(الجدول23[كود الصنف],A103,الجدول23[العدد])+SUMIF(الجدول24[كود الصنف],A103,الجدول24[العدد])+SUMIF(الجدول25[كود الصنف],A103,الجدول25[العدد])+SUMIF(الجدول26[كود الصنف],A103,الجدول26[العدد])+SUMIF(الجدول27[كود الصنف],A103,الجدول27[العدد])+SUMIF(الجدول28[كود الصنف],A103,الجدول28[العدد])+SUMIF(الجدول29[كود الصنف],A103,الجدول29[العدد])+SUMIF(الجدول30[كود الصنف],A103,الجدول30[العدد])+SUMIF(الجدول31[كود الصنف],A103,الجدول31[العدد])</f>
        <v>0</v>
      </c>
      <c r="I103" s="47">
        <f ca="1">SUMIF('تكويد الأصناف'!K:N,A103,'تكويد الأصناف'!M:M)</f>
        <v>0</v>
      </c>
      <c r="J103" s="47">
        <f ca="1">SUMIF('تكويد الأصناف'!K:N,A103,'تكويد الأصناف'!N:N)</f>
        <v>0</v>
      </c>
      <c r="K103" s="47">
        <f ca="1">SUMIF('الوارد والمرتجع'!J:M,A103,'الوارد والمرتجع'!M:M)</f>
        <v>0</v>
      </c>
      <c r="L103" s="47">
        <f t="shared" ca="1" si="1"/>
        <v>0</v>
      </c>
    </row>
    <row r="104" spans="1:23" ht="17.25" hidden="1" customHeight="1" x14ac:dyDescent="0.2">
      <c r="A104" s="103">
        <v>2010</v>
      </c>
      <c r="B104" s="104">
        <f>VLOOKUP(A104,'تكويد الأصناف'!A:F,3,0)</f>
        <v>1</v>
      </c>
      <c r="C104" s="105">
        <f>VLOOKUP(A104,'تكويد الأصناف'!A:F,6,0)</f>
        <v>0</v>
      </c>
      <c r="D104" s="106">
        <f>VLOOKUP(A104,'تكويد الأصناف'!A:F,5,0)</f>
        <v>0</v>
      </c>
      <c r="E104" s="107">
        <f>VLOOKUP(A104,'تكويد الأصناف'!A:F,4,1)</f>
        <v>0</v>
      </c>
      <c r="F104" s="47">
        <v>0</v>
      </c>
      <c r="G104" s="47">
        <f ca="1">SUMIF('الوارد والمرتجع'!B:F,A104,'الوارد والمرتجع'!E:E)</f>
        <v>0</v>
      </c>
      <c r="H104" s="108">
        <f>SUMIF(الجدول1[كود الصنف],A104,الجدول1[العدد])+SUMIF(الجدول2[كود الصنف],A104,الجدول2[العدد])+SUMIF(الجدول3[كود الصنف],A104,الجدول3[العدد])+SUMIF(الجدول4[كود الصنف],A104,الجدول4[العدد])+SUMIF(الجدول5[كود الصنف],A104,الجدول5[العدد])+SUMIF(الجدول6[كود الصنف],A104,الجدول6[العدد])+SUMIF(الجدول7[كود الصنف],A104,الجدول7[العدد])+SUMIF(الجدول8[كود الصنف],A104,الجدول8[العدد])+SUMIF(الجدول9[كود الصنف],A104,الجدول9[العدد])+SUMIF(الجدول10[كود الصنف],A104,الجدول10[العدد])+SUMIF(الجدول11[كود الصنف],A104,الجدول11[العدد])+SUMIF(الجدول12[كود الصنف],A104,الجدول12[العدد])+SUMIF(الجدول13[كود الصنف],A104,الجدول13[العدد])+SUMIF(الجدول14[كود الصنف],A104,الجدول14[العدد])+SUMIF(الجدول15[كود الصنف],A104,الجدول15[العدد])+SUMIF(الجدول16[كود الصنف],A104,الجدول16[العدد])+SUMIF(الجدول17[كود الصنف],A104,الجدول17[العدد])+SUMIF(الجدول18[كود الصنف],A104,الجدول18[العدد])+SUMIF(الجدول19[كود الصنف],A104,الجدول19[العدد])+SUMIF(الجدول20[كود الصنف],A104,الجدول20[العدد])+SUMIF(الجدول21[كود الصنف],A104,الجدول21[العدد])+SUMIF(الجدول22[كود الصنف],A104,الجدول22[العدد])+SUMIF(الجدول23[كود الصنف],A104,الجدول23[العدد])+SUMIF(الجدول24[كود الصنف],A104,الجدول24[العدد])+SUMIF(الجدول25[كود الصنف],A104,الجدول25[العدد])+SUMIF(الجدول26[كود الصنف],A104,الجدول26[العدد])+SUMIF(الجدول27[كود الصنف],A104,الجدول27[العدد])+SUMIF(الجدول28[كود الصنف],A104,الجدول28[العدد])+SUMIF(الجدول29[كود الصنف],A104,الجدول29[العدد])+SUMIF(الجدول30[كود الصنف],A104,الجدول30[العدد])+SUMIF(الجدول31[كود الصنف],A104,الجدول31[العدد])</f>
        <v>0</v>
      </c>
      <c r="I104" s="47">
        <f ca="1">SUMIF('تكويد الأصناف'!K:N,A104,'تكويد الأصناف'!M:M)</f>
        <v>0</v>
      </c>
      <c r="J104" s="47">
        <f ca="1">SUMIF('تكويد الأصناف'!K:N,A104,'تكويد الأصناف'!N:N)</f>
        <v>0</v>
      </c>
      <c r="K104" s="47">
        <f ca="1">SUMIF('الوارد والمرتجع'!J:M,A104,'الوارد والمرتجع'!M:M)</f>
        <v>0</v>
      </c>
      <c r="L104" s="47">
        <f t="shared" ca="1" si="1"/>
        <v>0</v>
      </c>
    </row>
    <row r="105" spans="1:23" customFormat="1" ht="15" hidden="1" x14ac:dyDescent="0.2">
      <c r="A105" s="41">
        <v>2011</v>
      </c>
      <c r="B105" s="44">
        <f>VLOOKUP(A105,'تكويد الأصناف'!A:F,3,0)</f>
        <v>1</v>
      </c>
      <c r="C105" s="45">
        <f>VLOOKUP(A105,'تكويد الأصناف'!A:F,6,0)</f>
        <v>0</v>
      </c>
      <c r="D105" s="46">
        <f>VLOOKUP(A105,'تكويد الأصناف'!A:F,5,0)</f>
        <v>0</v>
      </c>
      <c r="E105" s="42">
        <f>VLOOKUP(A105,'تكويد الأصناف'!A:F,4,1)</f>
        <v>0</v>
      </c>
      <c r="F105" s="43">
        <v>0</v>
      </c>
      <c r="G105" s="43">
        <f ca="1">SUMIF('الوارد والمرتجع'!B:F,A105,'الوارد والمرتجع'!E:E)</f>
        <v>0</v>
      </c>
      <c r="H105" s="58">
        <f>SUMIF(الجدول1[كود الصنف],A105,الجدول1[العدد])+SUMIF(الجدول2[كود الصنف],A105,الجدول2[العدد])+SUMIF(الجدول3[كود الصنف],A105,الجدول3[العدد])+SUMIF(الجدول4[كود الصنف],A105,الجدول4[العدد])+SUMIF(الجدول5[كود الصنف],A105,الجدول5[العدد])+SUMIF(الجدول6[كود الصنف],A105,الجدول6[العدد])+SUMIF(الجدول7[كود الصنف],A105,الجدول7[العدد])+SUMIF(الجدول8[كود الصنف],A105,الجدول8[العدد])+SUMIF(الجدول9[كود الصنف],A105,الجدول9[العدد])+SUMIF(الجدول10[كود الصنف],A105,الجدول10[العدد])+SUMIF(الجدول11[كود الصنف],A105,الجدول11[العدد])+SUMIF(الجدول12[كود الصنف],A105,الجدول12[العدد])+SUMIF(الجدول13[كود الصنف],A105,الجدول13[العدد])+SUMIF(الجدول14[كود الصنف],A105,الجدول14[العدد])+SUMIF(الجدول15[كود الصنف],A105,الجدول15[العدد])+SUMIF(الجدول16[كود الصنف],A105,الجدول16[العدد])+SUMIF(الجدول17[كود الصنف],A105,الجدول17[العدد])+SUMIF(الجدول18[كود الصنف],A105,الجدول18[العدد])+SUMIF(الجدول19[كود الصنف],A105,الجدول19[العدد])+SUMIF(الجدول20[كود الصنف],A105,الجدول20[العدد])+SUMIF(الجدول21[كود الصنف],A105,الجدول21[العدد])+SUMIF(الجدول22[كود الصنف],A105,الجدول22[العدد])+SUMIF(الجدول23[كود الصنف],A105,الجدول23[العدد])+SUMIF(الجدول24[كود الصنف],A105,الجدول24[العدد])+SUMIF(الجدول25[كود الصنف],A105,الجدول25[العدد])+SUMIF(الجدول26[كود الصنف],A105,الجدول26[العدد])+SUMIF(الجدول27[كود الصنف],A105,الجدول27[العدد])+SUMIF(الجدول28[كود الصنف],A105,الجدول28[العدد])+SUMIF(الجدول29[كود الصنف],A105,الجدول29[العدد])+SUMIF(الجدول30[كود الصنف],A105,الجدول30[العدد])+SUMIF(الجدول31[كود الصنف],A105,الجدول31[العدد])</f>
        <v>0</v>
      </c>
      <c r="I105" s="47">
        <f ca="1">SUMIF('تكويد الأصناف'!K:N,A105,'تكويد الأصناف'!M:M)</f>
        <v>0</v>
      </c>
      <c r="J105" s="47">
        <f ca="1">SUMIF('تكويد الأصناف'!K:N,A105,'تكويد الأصناف'!N:N)</f>
        <v>0</v>
      </c>
      <c r="K105" s="43">
        <f ca="1">SUMIF('الوارد والمرتجع'!J:M,A105,'الوارد والمرتجع'!M:M)</f>
        <v>0</v>
      </c>
      <c r="L105" s="43">
        <f t="shared" ca="1" si="1"/>
        <v>0</v>
      </c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</row>
    <row r="106" spans="1:23" customFormat="1" ht="15" hidden="1" x14ac:dyDescent="0.2">
      <c r="A106" s="41">
        <v>2012</v>
      </c>
      <c r="B106" s="44">
        <f>VLOOKUP(A106,'تكويد الأصناف'!A:F,3,0)</f>
        <v>1</v>
      </c>
      <c r="C106" s="45">
        <f>VLOOKUP(A106,'تكويد الأصناف'!A:F,6,0)</f>
        <v>0</v>
      </c>
      <c r="D106" s="46">
        <f>VLOOKUP(A106,'تكويد الأصناف'!A:F,5,0)</f>
        <v>0</v>
      </c>
      <c r="E106" s="42">
        <f>VLOOKUP(A106,'تكويد الأصناف'!A:F,4,1)</f>
        <v>0</v>
      </c>
      <c r="F106" s="43">
        <v>0</v>
      </c>
      <c r="G106" s="43">
        <f ca="1">SUMIF('الوارد والمرتجع'!B:F,A106,'الوارد والمرتجع'!E:E)</f>
        <v>0</v>
      </c>
      <c r="H106" s="58">
        <f>SUMIF(الجدول1[كود الصنف],A106,الجدول1[العدد])+SUMIF(الجدول2[كود الصنف],A106,الجدول2[العدد])+SUMIF(الجدول3[كود الصنف],A106,الجدول3[العدد])+SUMIF(الجدول4[كود الصنف],A106,الجدول4[العدد])+SUMIF(الجدول5[كود الصنف],A106,الجدول5[العدد])+SUMIF(الجدول6[كود الصنف],A106,الجدول6[العدد])+SUMIF(الجدول7[كود الصنف],A106,الجدول7[العدد])+SUMIF(الجدول8[كود الصنف],A106,الجدول8[العدد])+SUMIF(الجدول9[كود الصنف],A106,الجدول9[العدد])+SUMIF(الجدول10[كود الصنف],A106,الجدول10[العدد])+SUMIF(الجدول11[كود الصنف],A106,الجدول11[العدد])+SUMIF(الجدول12[كود الصنف],A106,الجدول12[العدد])+SUMIF(الجدول13[كود الصنف],A106,الجدول13[العدد])+SUMIF(الجدول14[كود الصنف],A106,الجدول14[العدد])+SUMIF(الجدول15[كود الصنف],A106,الجدول15[العدد])+SUMIF(الجدول16[كود الصنف],A106,الجدول16[العدد])+SUMIF(الجدول17[كود الصنف],A106,الجدول17[العدد])+SUMIF(الجدول18[كود الصنف],A106,الجدول18[العدد])+SUMIF(الجدول19[كود الصنف],A106,الجدول19[العدد])+SUMIF(الجدول20[كود الصنف],A106,الجدول20[العدد])+SUMIF(الجدول21[كود الصنف],A106,الجدول21[العدد])+SUMIF(الجدول22[كود الصنف],A106,الجدول22[العدد])+SUMIF(الجدول23[كود الصنف],A106,الجدول23[العدد])+SUMIF(الجدول24[كود الصنف],A106,الجدول24[العدد])+SUMIF(الجدول25[كود الصنف],A106,الجدول25[العدد])+SUMIF(الجدول26[كود الصنف],A106,الجدول26[العدد])+SUMIF(الجدول27[كود الصنف],A106,الجدول27[العدد])+SUMIF(الجدول28[كود الصنف],A106,الجدول28[العدد])+SUMIF(الجدول29[كود الصنف],A106,الجدول29[العدد])+SUMIF(الجدول30[كود الصنف],A106,الجدول30[العدد])+SUMIF(الجدول31[كود الصنف],A106,الجدول31[العدد])</f>
        <v>0</v>
      </c>
      <c r="I106" s="47">
        <f ca="1">SUMIF('تكويد الأصناف'!K:N,A106,'تكويد الأصناف'!M:M)</f>
        <v>0</v>
      </c>
      <c r="J106" s="47">
        <f ca="1">SUMIF('تكويد الأصناف'!K:N,A106,'تكويد الأصناف'!N:N)</f>
        <v>0</v>
      </c>
      <c r="K106" s="43">
        <f ca="1">SUMIF('الوارد والمرتجع'!J:M,A106,'الوارد والمرتجع'!M:M)</f>
        <v>0</v>
      </c>
      <c r="L106" s="47">
        <f t="shared" ca="1" si="1"/>
        <v>0</v>
      </c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</row>
    <row r="107" spans="1:23" ht="17.25" hidden="1" customHeight="1" x14ac:dyDescent="0.2">
      <c r="A107" s="103">
        <v>2013</v>
      </c>
      <c r="B107" s="104">
        <f>VLOOKUP(A107,'تكويد الأصناف'!A:F,3,0)</f>
        <v>1</v>
      </c>
      <c r="C107" s="105">
        <f>VLOOKUP(A107,'تكويد الأصناف'!A:F,6,0)</f>
        <v>0</v>
      </c>
      <c r="D107" s="106">
        <f>VLOOKUP(A107,'تكويد الأصناف'!A:F,5,0)</f>
        <v>0</v>
      </c>
      <c r="E107" s="107">
        <f>VLOOKUP(A107,'تكويد الأصناف'!A:F,4,1)</f>
        <v>0</v>
      </c>
      <c r="F107" s="47">
        <v>0</v>
      </c>
      <c r="G107" s="47">
        <f ca="1">SUMIF('الوارد والمرتجع'!B:F,A107,'الوارد والمرتجع'!E:E)</f>
        <v>0</v>
      </c>
      <c r="H107" s="108">
        <f>SUMIF(الجدول1[كود الصنف],A107,الجدول1[العدد])+SUMIF(الجدول2[كود الصنف],A107,الجدول2[العدد])+SUMIF(الجدول3[كود الصنف],A107,الجدول3[العدد])+SUMIF(الجدول4[كود الصنف],A107,الجدول4[العدد])+SUMIF(الجدول5[كود الصنف],A107,الجدول5[العدد])+SUMIF(الجدول6[كود الصنف],A107,الجدول6[العدد])+SUMIF(الجدول7[كود الصنف],A107,الجدول7[العدد])+SUMIF(الجدول8[كود الصنف],A107,الجدول8[العدد])+SUMIF(الجدول9[كود الصنف],A107,الجدول9[العدد])+SUMIF(الجدول10[كود الصنف],A107,الجدول10[العدد])+SUMIF(الجدول11[كود الصنف],A107,الجدول11[العدد])+SUMIF(الجدول12[كود الصنف],A107,الجدول12[العدد])+SUMIF(الجدول13[كود الصنف],A107,الجدول13[العدد])+SUMIF(الجدول14[كود الصنف],A107,الجدول14[العدد])+SUMIF(الجدول15[كود الصنف],A107,الجدول15[العدد])+SUMIF(الجدول16[كود الصنف],A107,الجدول16[العدد])+SUMIF(الجدول17[كود الصنف],A107,الجدول17[العدد])+SUMIF(الجدول18[كود الصنف],A107,الجدول18[العدد])+SUMIF(الجدول19[كود الصنف],A107,الجدول19[العدد])+SUMIF(الجدول20[كود الصنف],A107,الجدول20[العدد])+SUMIF(الجدول21[كود الصنف],A107,الجدول21[العدد])+SUMIF(الجدول22[كود الصنف],A107,الجدول22[العدد])+SUMIF(الجدول23[كود الصنف],A107,الجدول23[العدد])+SUMIF(الجدول24[كود الصنف],A107,الجدول24[العدد])+SUMIF(الجدول25[كود الصنف],A107,الجدول25[العدد])+SUMIF(الجدول26[كود الصنف],A107,الجدول26[العدد])+SUMIF(الجدول27[كود الصنف],A107,الجدول27[العدد])+SUMIF(الجدول28[كود الصنف],A107,الجدول28[العدد])+SUMIF(الجدول29[كود الصنف],A107,الجدول29[العدد])+SUMIF(الجدول30[كود الصنف],A107,الجدول30[العدد])+SUMIF(الجدول31[كود الصنف],A107,الجدول31[العدد])</f>
        <v>0</v>
      </c>
      <c r="I107" s="47">
        <f ca="1">SUMIF('تكويد الأصناف'!K:N,A107,'تكويد الأصناف'!M:M)</f>
        <v>0</v>
      </c>
      <c r="J107" s="47">
        <f ca="1">SUMIF('تكويد الأصناف'!K:N,A107,'تكويد الأصناف'!N:N)</f>
        <v>0</v>
      </c>
      <c r="K107" s="47">
        <f ca="1">SUMIF('الوارد والمرتجع'!J:M,A107,'الوارد والمرتجع'!M:M)</f>
        <v>0</v>
      </c>
      <c r="L107" s="47">
        <f t="shared" ca="1" si="1"/>
        <v>0</v>
      </c>
    </row>
    <row r="108" spans="1:23" customFormat="1" ht="15" hidden="1" x14ac:dyDescent="0.2">
      <c r="A108" s="41">
        <v>2014</v>
      </c>
      <c r="B108" s="44">
        <f>VLOOKUP(A108,'تكويد الأصناف'!A:F,3,0)</f>
        <v>1</v>
      </c>
      <c r="C108" s="45">
        <f>VLOOKUP(A108,'تكويد الأصناف'!A:F,6,0)</f>
        <v>0</v>
      </c>
      <c r="D108" s="46">
        <f>VLOOKUP(A108,'تكويد الأصناف'!A:F,5,0)</f>
        <v>0</v>
      </c>
      <c r="E108" s="42">
        <f>VLOOKUP(A108,'تكويد الأصناف'!A:F,4,1)</f>
        <v>0</v>
      </c>
      <c r="F108" s="43">
        <v>0</v>
      </c>
      <c r="G108" s="43">
        <f ca="1">SUMIF('الوارد والمرتجع'!B:F,A108,'الوارد والمرتجع'!E:E)</f>
        <v>0</v>
      </c>
      <c r="H108" s="58">
        <f>SUMIF(الجدول1[كود الصنف],A108,الجدول1[العدد])+SUMIF(الجدول2[كود الصنف],A108,الجدول2[العدد])+SUMIF(الجدول3[كود الصنف],A108,الجدول3[العدد])+SUMIF(الجدول4[كود الصنف],A108,الجدول4[العدد])+SUMIF(الجدول5[كود الصنف],A108,الجدول5[العدد])+SUMIF(الجدول6[كود الصنف],A108,الجدول6[العدد])+SUMIF(الجدول7[كود الصنف],A108,الجدول7[العدد])+SUMIF(الجدول8[كود الصنف],A108,الجدول8[العدد])+SUMIF(الجدول9[كود الصنف],A108,الجدول9[العدد])+SUMIF(الجدول10[كود الصنف],A108,الجدول10[العدد])+SUMIF(الجدول11[كود الصنف],A108,الجدول11[العدد])+SUMIF(الجدول12[كود الصنف],A108,الجدول12[العدد])+SUMIF(الجدول13[كود الصنف],A108,الجدول13[العدد])+SUMIF(الجدول14[كود الصنف],A108,الجدول14[العدد])+SUMIF(الجدول15[كود الصنف],A108,الجدول15[العدد])+SUMIF(الجدول16[كود الصنف],A108,الجدول16[العدد])+SUMIF(الجدول17[كود الصنف],A108,الجدول17[العدد])+SUMIF(الجدول18[كود الصنف],A108,الجدول18[العدد])+SUMIF(الجدول19[كود الصنف],A108,الجدول19[العدد])+SUMIF(الجدول20[كود الصنف],A108,الجدول20[العدد])+SUMIF(الجدول21[كود الصنف],A108,الجدول21[العدد])+SUMIF(الجدول22[كود الصنف],A108,الجدول22[العدد])+SUMIF(الجدول23[كود الصنف],A108,الجدول23[العدد])+SUMIF(الجدول24[كود الصنف],A108,الجدول24[العدد])+SUMIF(الجدول25[كود الصنف],A108,الجدول25[العدد])+SUMIF(الجدول26[كود الصنف],A108,الجدول26[العدد])+SUMIF(الجدول27[كود الصنف],A108,الجدول27[العدد])+SUMIF(الجدول28[كود الصنف],A108,الجدول28[العدد])+SUMIF(الجدول29[كود الصنف],A108,الجدول29[العدد])+SUMIF(الجدول30[كود الصنف],A108,الجدول30[العدد])+SUMIF(الجدول31[كود الصنف],A108,الجدول31[العدد])</f>
        <v>0</v>
      </c>
      <c r="I108" s="47">
        <f ca="1">SUMIF('تكويد الأصناف'!K:N,A108,'تكويد الأصناف'!M:M)</f>
        <v>0</v>
      </c>
      <c r="J108" s="47">
        <f ca="1">SUMIF('تكويد الأصناف'!K:N,A108,'تكويد الأصناف'!N:N)</f>
        <v>0</v>
      </c>
      <c r="K108" s="43">
        <f ca="1">SUMIF('الوارد والمرتجع'!J:M,A108,'الوارد والمرتجع'!M:M)</f>
        <v>0</v>
      </c>
      <c r="L108" s="47">
        <f t="shared" ca="1" si="1"/>
        <v>0</v>
      </c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</row>
    <row r="109" spans="1:23" customFormat="1" ht="15" hidden="1" x14ac:dyDescent="0.2">
      <c r="A109" s="41">
        <v>2015</v>
      </c>
      <c r="B109" s="44">
        <f>VLOOKUP(A109,'تكويد الأصناف'!A:F,3,0)</f>
        <v>1</v>
      </c>
      <c r="C109" s="45">
        <f>VLOOKUP(A109,'تكويد الأصناف'!A:F,6,0)</f>
        <v>0</v>
      </c>
      <c r="D109" s="46">
        <f>VLOOKUP(A109,'تكويد الأصناف'!A:F,5,0)</f>
        <v>0</v>
      </c>
      <c r="E109" s="42">
        <f>VLOOKUP(A109,'تكويد الأصناف'!A:F,4,1)</f>
        <v>0</v>
      </c>
      <c r="F109" s="43">
        <v>0</v>
      </c>
      <c r="G109" s="43">
        <f ca="1">SUMIF('الوارد والمرتجع'!B:F,A109,'الوارد والمرتجع'!E:E)</f>
        <v>0</v>
      </c>
      <c r="H109" s="58">
        <f>SUMIF(الجدول1[كود الصنف],A109,الجدول1[العدد])+SUMIF(الجدول2[كود الصنف],A109,الجدول2[العدد])+SUMIF(الجدول3[كود الصنف],A109,الجدول3[العدد])+SUMIF(الجدول4[كود الصنف],A109,الجدول4[العدد])+SUMIF(الجدول5[كود الصنف],A109,الجدول5[العدد])+SUMIF(الجدول6[كود الصنف],A109,الجدول6[العدد])+SUMIF(الجدول7[كود الصنف],A109,الجدول7[العدد])+SUMIF(الجدول8[كود الصنف],A109,الجدول8[العدد])+SUMIF(الجدول9[كود الصنف],A109,الجدول9[العدد])+SUMIF(الجدول10[كود الصنف],A109,الجدول10[العدد])+SUMIF(الجدول11[كود الصنف],A109,الجدول11[العدد])+SUMIF(الجدول12[كود الصنف],A109,الجدول12[العدد])+SUMIF(الجدول13[كود الصنف],A109,الجدول13[العدد])+SUMIF(الجدول14[كود الصنف],A109,الجدول14[العدد])+SUMIF(الجدول15[كود الصنف],A109,الجدول15[العدد])+SUMIF(الجدول16[كود الصنف],A109,الجدول16[العدد])+SUMIF(الجدول17[كود الصنف],A109,الجدول17[العدد])+SUMIF(الجدول18[كود الصنف],A109,الجدول18[العدد])+SUMIF(الجدول19[كود الصنف],A109,الجدول19[العدد])+SUMIF(الجدول20[كود الصنف],A109,الجدول20[العدد])+SUMIF(الجدول21[كود الصنف],A109,الجدول21[العدد])+SUMIF(الجدول22[كود الصنف],A109,الجدول22[العدد])+SUMIF(الجدول23[كود الصنف],A109,الجدول23[العدد])+SUMIF(الجدول24[كود الصنف],A109,الجدول24[العدد])+SUMIF(الجدول25[كود الصنف],A109,الجدول25[العدد])+SUMIF(الجدول26[كود الصنف],A109,الجدول26[العدد])+SUMIF(الجدول27[كود الصنف],A109,الجدول27[العدد])+SUMIF(الجدول28[كود الصنف],A109,الجدول28[العدد])+SUMIF(الجدول29[كود الصنف],A109,الجدول29[العدد])+SUMIF(الجدول30[كود الصنف],A109,الجدول30[العدد])+SUMIF(الجدول31[كود الصنف],A109,الجدول31[العدد])</f>
        <v>0</v>
      </c>
      <c r="I109" s="47">
        <f ca="1">SUMIF('تكويد الأصناف'!K:N,A109,'تكويد الأصناف'!M:M)</f>
        <v>0</v>
      </c>
      <c r="J109" s="47">
        <f ca="1">SUMIF('تكويد الأصناف'!K:N,A109,'تكويد الأصناف'!N:N)</f>
        <v>0</v>
      </c>
      <c r="K109" s="43">
        <f ca="1">SUMIF('الوارد والمرتجع'!J:M,A109,'الوارد والمرتجع'!M:M)</f>
        <v>0</v>
      </c>
      <c r="L109" s="47">
        <f t="shared" ca="1" si="1"/>
        <v>0</v>
      </c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</row>
    <row r="110" spans="1:23" customFormat="1" ht="15" hidden="1" x14ac:dyDescent="0.2">
      <c r="A110" s="41">
        <v>2016</v>
      </c>
      <c r="B110" s="44">
        <f>VLOOKUP(A110,'تكويد الأصناف'!A:F,3,0)</f>
        <v>1</v>
      </c>
      <c r="C110" s="45">
        <f>VLOOKUP(A110,'تكويد الأصناف'!A:F,6,0)</f>
        <v>0</v>
      </c>
      <c r="D110" s="46">
        <f>VLOOKUP(A110,'تكويد الأصناف'!A:F,5,0)</f>
        <v>0</v>
      </c>
      <c r="E110" s="42">
        <f>VLOOKUP(A110,'تكويد الأصناف'!A:F,4,1)</f>
        <v>0</v>
      </c>
      <c r="F110" s="43">
        <v>0</v>
      </c>
      <c r="G110" s="43">
        <f ca="1">SUMIF('الوارد والمرتجع'!B:F,A110,'الوارد والمرتجع'!E:E)</f>
        <v>0</v>
      </c>
      <c r="H110" s="58">
        <f>SUMIF(الجدول1[كود الصنف],A110,الجدول1[العدد])+SUMIF(الجدول2[كود الصنف],A110,الجدول2[العدد])+SUMIF(الجدول3[كود الصنف],A110,الجدول3[العدد])+SUMIF(الجدول4[كود الصنف],A110,الجدول4[العدد])+SUMIF(الجدول5[كود الصنف],A110,الجدول5[العدد])+SUMIF(الجدول6[كود الصنف],A110,الجدول6[العدد])+SUMIF(الجدول7[كود الصنف],A110,الجدول7[العدد])+SUMIF(الجدول8[كود الصنف],A110,الجدول8[العدد])+SUMIF(الجدول9[كود الصنف],A110,الجدول9[العدد])+SUMIF(الجدول10[كود الصنف],A110,الجدول10[العدد])+SUMIF(الجدول11[كود الصنف],A110,الجدول11[العدد])+SUMIF(الجدول12[كود الصنف],A110,الجدول12[العدد])+SUMIF(الجدول13[كود الصنف],A110,الجدول13[العدد])+SUMIF(الجدول14[كود الصنف],A110,الجدول14[العدد])+SUMIF(الجدول15[كود الصنف],A110,الجدول15[العدد])+SUMIF(الجدول16[كود الصنف],A110,الجدول16[العدد])+SUMIF(الجدول17[كود الصنف],A110,الجدول17[العدد])+SUMIF(الجدول18[كود الصنف],A110,الجدول18[العدد])+SUMIF(الجدول19[كود الصنف],A110,الجدول19[العدد])+SUMIF(الجدول20[كود الصنف],A110,الجدول20[العدد])+SUMIF(الجدول21[كود الصنف],A110,الجدول21[العدد])+SUMIF(الجدول22[كود الصنف],A110,الجدول22[العدد])+SUMIF(الجدول23[كود الصنف],A110,الجدول23[العدد])+SUMIF(الجدول24[كود الصنف],A110,الجدول24[العدد])+SUMIF(الجدول25[كود الصنف],A110,الجدول25[العدد])+SUMIF(الجدول26[كود الصنف],A110,الجدول26[العدد])+SUMIF(الجدول27[كود الصنف],A110,الجدول27[العدد])+SUMIF(الجدول28[كود الصنف],A110,الجدول28[العدد])+SUMIF(الجدول29[كود الصنف],A110,الجدول29[العدد])+SUMIF(الجدول30[كود الصنف],A110,الجدول30[العدد])+SUMIF(الجدول31[كود الصنف],A110,الجدول31[العدد])</f>
        <v>0</v>
      </c>
      <c r="I110" s="47">
        <f ca="1">SUMIF('تكويد الأصناف'!K:N,A110,'تكويد الأصناف'!M:M)</f>
        <v>0</v>
      </c>
      <c r="J110" s="47">
        <f ca="1">SUMIF('تكويد الأصناف'!K:N,A110,'تكويد الأصناف'!N:N)</f>
        <v>0</v>
      </c>
      <c r="K110" s="43">
        <f ca="1">SUMIF('الوارد والمرتجع'!J:M,A110,'الوارد والمرتجع'!M:M)</f>
        <v>0</v>
      </c>
      <c r="L110" s="47">
        <f t="shared" ca="1" si="1"/>
        <v>0</v>
      </c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</row>
    <row r="111" spans="1:23" ht="17.25" hidden="1" customHeight="1" x14ac:dyDescent="0.2">
      <c r="A111" s="103">
        <v>2017</v>
      </c>
      <c r="B111" s="104">
        <f>VLOOKUP(A111,'تكويد الأصناف'!A:F,3,0)</f>
        <v>1</v>
      </c>
      <c r="C111" s="105">
        <f>VLOOKUP(A111,'تكويد الأصناف'!A:F,6,0)</f>
        <v>0</v>
      </c>
      <c r="D111" s="106">
        <f>VLOOKUP(A111,'تكويد الأصناف'!A:F,5,0)</f>
        <v>0</v>
      </c>
      <c r="E111" s="107">
        <f>VLOOKUP(A111,'تكويد الأصناف'!A:F,4,1)</f>
        <v>0</v>
      </c>
      <c r="F111" s="47">
        <v>0</v>
      </c>
      <c r="G111" s="47">
        <f ca="1">SUMIF('الوارد والمرتجع'!B:F,A111,'الوارد والمرتجع'!E:E)</f>
        <v>0</v>
      </c>
      <c r="H111" s="108">
        <f>SUMIF(الجدول1[كود الصنف],A111,الجدول1[العدد])+SUMIF(الجدول2[كود الصنف],A111,الجدول2[العدد])+SUMIF(الجدول3[كود الصنف],A111,الجدول3[العدد])+SUMIF(الجدول4[كود الصنف],A111,الجدول4[العدد])+SUMIF(الجدول5[كود الصنف],A111,الجدول5[العدد])+SUMIF(الجدول6[كود الصنف],A111,الجدول6[العدد])+SUMIF(الجدول7[كود الصنف],A111,الجدول7[العدد])+SUMIF(الجدول8[كود الصنف],A111,الجدول8[العدد])+SUMIF(الجدول9[كود الصنف],A111,الجدول9[العدد])+SUMIF(الجدول10[كود الصنف],A111,الجدول10[العدد])+SUMIF(الجدول11[كود الصنف],A111,الجدول11[العدد])+SUMIF(الجدول12[كود الصنف],A111,الجدول12[العدد])+SUMIF(الجدول13[كود الصنف],A111,الجدول13[العدد])+SUMIF(الجدول14[كود الصنف],A111,الجدول14[العدد])+SUMIF(الجدول15[كود الصنف],A111,الجدول15[العدد])+SUMIF(الجدول16[كود الصنف],A111,الجدول16[العدد])+SUMIF(الجدول17[كود الصنف],A111,الجدول17[العدد])+SUMIF(الجدول18[كود الصنف],A111,الجدول18[العدد])+SUMIF(الجدول19[كود الصنف],A111,الجدول19[العدد])+SUMIF(الجدول20[كود الصنف],A111,الجدول20[العدد])+SUMIF(الجدول21[كود الصنف],A111,الجدول21[العدد])+SUMIF(الجدول22[كود الصنف],A111,الجدول22[العدد])+SUMIF(الجدول23[كود الصنف],A111,الجدول23[العدد])+SUMIF(الجدول24[كود الصنف],A111,الجدول24[العدد])+SUMIF(الجدول25[كود الصنف],A111,الجدول25[العدد])+SUMIF(الجدول26[كود الصنف],A111,الجدول26[العدد])+SUMIF(الجدول27[كود الصنف],A111,الجدول27[العدد])+SUMIF(الجدول28[كود الصنف],A111,الجدول28[العدد])+SUMIF(الجدول29[كود الصنف],A111,الجدول29[العدد])+SUMIF(الجدول30[كود الصنف],A111,الجدول30[العدد])+SUMIF(الجدول31[كود الصنف],A111,الجدول31[العدد])</f>
        <v>0</v>
      </c>
      <c r="I111" s="47">
        <f ca="1">SUMIF('تكويد الأصناف'!K:N,A111,'تكويد الأصناف'!M:M)</f>
        <v>0</v>
      </c>
      <c r="J111" s="47">
        <f ca="1">SUMIF('تكويد الأصناف'!K:N,A111,'تكويد الأصناف'!N:N)</f>
        <v>0</v>
      </c>
      <c r="K111" s="47">
        <f ca="1">SUMIF('الوارد والمرتجع'!J:M,A111,'الوارد والمرتجع'!M:M)</f>
        <v>0</v>
      </c>
      <c r="L111" s="47">
        <f t="shared" ca="1" si="1"/>
        <v>0</v>
      </c>
    </row>
    <row r="112" spans="1:23" customFormat="1" ht="15" hidden="1" x14ac:dyDescent="0.2">
      <c r="A112" s="41">
        <v>2018</v>
      </c>
      <c r="B112" s="44">
        <f>VLOOKUP(A112,'تكويد الأصناف'!A:F,3,0)</f>
        <v>1</v>
      </c>
      <c r="C112" s="45">
        <f>VLOOKUP(A112,'تكويد الأصناف'!A:F,6,0)</f>
        <v>0</v>
      </c>
      <c r="D112" s="46">
        <f>VLOOKUP(A112,'تكويد الأصناف'!A:F,5,0)</f>
        <v>0</v>
      </c>
      <c r="E112" s="42">
        <f>VLOOKUP(A112,'تكويد الأصناف'!A:F,4,1)</f>
        <v>0</v>
      </c>
      <c r="F112" s="43">
        <v>0</v>
      </c>
      <c r="G112" s="43">
        <f ca="1">SUMIF('الوارد والمرتجع'!B:F,A112,'الوارد والمرتجع'!E:E)</f>
        <v>0</v>
      </c>
      <c r="H112" s="58">
        <f>SUMIF(الجدول1[كود الصنف],A112,الجدول1[العدد])+SUMIF(الجدول2[كود الصنف],A112,الجدول2[العدد])+SUMIF(الجدول3[كود الصنف],A112,الجدول3[العدد])+SUMIF(الجدول4[كود الصنف],A112,الجدول4[العدد])+SUMIF(الجدول5[كود الصنف],A112,الجدول5[العدد])+SUMIF(الجدول6[كود الصنف],A112,الجدول6[العدد])+SUMIF(الجدول7[كود الصنف],A112,الجدول7[العدد])+SUMIF(الجدول8[كود الصنف],A112,الجدول8[العدد])+SUMIF(الجدول9[كود الصنف],A112,الجدول9[العدد])+SUMIF(الجدول10[كود الصنف],A112,الجدول10[العدد])+SUMIF(الجدول11[كود الصنف],A112,الجدول11[العدد])+SUMIF(الجدول12[كود الصنف],A112,الجدول12[العدد])+SUMIF(الجدول13[كود الصنف],A112,الجدول13[العدد])+SUMIF(الجدول14[كود الصنف],A112,الجدول14[العدد])+SUMIF(الجدول15[كود الصنف],A112,الجدول15[العدد])+SUMIF(الجدول16[كود الصنف],A112,الجدول16[العدد])+SUMIF(الجدول17[كود الصنف],A112,الجدول17[العدد])+SUMIF(الجدول18[كود الصنف],A112,الجدول18[العدد])+SUMIF(الجدول19[كود الصنف],A112,الجدول19[العدد])+SUMIF(الجدول20[كود الصنف],A112,الجدول20[العدد])+SUMIF(الجدول21[كود الصنف],A112,الجدول21[العدد])+SUMIF(الجدول22[كود الصنف],A112,الجدول22[العدد])+SUMIF(الجدول23[كود الصنف],A112,الجدول23[العدد])+SUMIF(الجدول24[كود الصنف],A112,الجدول24[العدد])+SUMIF(الجدول25[كود الصنف],A112,الجدول25[العدد])+SUMIF(الجدول26[كود الصنف],A112,الجدول26[العدد])+SUMIF(الجدول27[كود الصنف],A112,الجدول27[العدد])+SUMIF(الجدول28[كود الصنف],A112,الجدول28[العدد])+SUMIF(الجدول29[كود الصنف],A112,الجدول29[العدد])+SUMIF(الجدول30[كود الصنف],A112,الجدول30[العدد])+SUMIF(الجدول31[كود الصنف],A112,الجدول31[العدد])</f>
        <v>0</v>
      </c>
      <c r="I112" s="47">
        <f ca="1">SUMIF('تكويد الأصناف'!K:N,A112,'تكويد الأصناف'!M:M)</f>
        <v>0</v>
      </c>
      <c r="J112" s="47">
        <f ca="1">SUMIF('تكويد الأصناف'!K:N,A112,'تكويد الأصناف'!N:N)</f>
        <v>0</v>
      </c>
      <c r="K112" s="43">
        <f ca="1">SUMIF('الوارد والمرتجع'!J:M,A112,'الوارد والمرتجع'!M:M)</f>
        <v>0</v>
      </c>
      <c r="L112" s="47">
        <f t="shared" ca="1" si="1"/>
        <v>0</v>
      </c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</row>
    <row r="113" spans="1:23" customFormat="1" ht="15" hidden="1" x14ac:dyDescent="0.2">
      <c r="A113" s="41">
        <v>2019</v>
      </c>
      <c r="B113" s="44">
        <f>VLOOKUP(A113,'تكويد الأصناف'!A:F,3,0)</f>
        <v>1</v>
      </c>
      <c r="C113" s="45">
        <f>VLOOKUP(A113,'تكويد الأصناف'!A:F,6,0)</f>
        <v>0</v>
      </c>
      <c r="D113" s="46">
        <f>VLOOKUP(A113,'تكويد الأصناف'!A:F,5,0)</f>
        <v>0</v>
      </c>
      <c r="E113" s="42">
        <f>VLOOKUP(A113,'تكويد الأصناف'!A:F,4,1)</f>
        <v>0</v>
      </c>
      <c r="F113" s="43">
        <v>0</v>
      </c>
      <c r="G113" s="43">
        <f ca="1">SUMIF('الوارد والمرتجع'!B:F,A113,'الوارد والمرتجع'!E:E)</f>
        <v>0</v>
      </c>
      <c r="H113" s="58">
        <f>SUMIF(الجدول1[كود الصنف],A113,الجدول1[العدد])+SUMIF(الجدول2[كود الصنف],A113,الجدول2[العدد])+SUMIF(الجدول3[كود الصنف],A113,الجدول3[العدد])+SUMIF(الجدول4[كود الصنف],A113,الجدول4[العدد])+SUMIF(الجدول5[كود الصنف],A113,الجدول5[العدد])+SUMIF(الجدول6[كود الصنف],A113,الجدول6[العدد])+SUMIF(الجدول7[كود الصنف],A113,الجدول7[العدد])+SUMIF(الجدول8[كود الصنف],A113,الجدول8[العدد])+SUMIF(الجدول9[كود الصنف],A113,الجدول9[العدد])+SUMIF(الجدول10[كود الصنف],A113,الجدول10[العدد])+SUMIF(الجدول11[كود الصنف],A113,الجدول11[العدد])+SUMIF(الجدول12[كود الصنف],A113,الجدول12[العدد])+SUMIF(الجدول13[كود الصنف],A113,الجدول13[العدد])+SUMIF(الجدول14[كود الصنف],A113,الجدول14[العدد])+SUMIF(الجدول15[كود الصنف],A113,الجدول15[العدد])+SUMIF(الجدول16[كود الصنف],A113,الجدول16[العدد])+SUMIF(الجدول17[كود الصنف],A113,الجدول17[العدد])+SUMIF(الجدول18[كود الصنف],A113,الجدول18[العدد])+SUMIF(الجدول19[كود الصنف],A113,الجدول19[العدد])+SUMIF(الجدول20[كود الصنف],A113,الجدول20[العدد])+SUMIF(الجدول21[كود الصنف],A113,الجدول21[العدد])+SUMIF(الجدول22[كود الصنف],A113,الجدول22[العدد])+SUMIF(الجدول23[كود الصنف],A113,الجدول23[العدد])+SUMIF(الجدول24[كود الصنف],A113,الجدول24[العدد])+SUMIF(الجدول25[كود الصنف],A113,الجدول25[العدد])+SUMIF(الجدول26[كود الصنف],A113,الجدول26[العدد])+SUMIF(الجدول27[كود الصنف],A113,الجدول27[العدد])+SUMIF(الجدول28[كود الصنف],A113,الجدول28[العدد])+SUMIF(الجدول29[كود الصنف],A113,الجدول29[العدد])+SUMIF(الجدول30[كود الصنف],A113,الجدول30[العدد])+SUMIF(الجدول31[كود الصنف],A113,الجدول31[العدد])</f>
        <v>0</v>
      </c>
      <c r="I113" s="47">
        <f ca="1">SUMIF('تكويد الأصناف'!K:N,A113,'تكويد الأصناف'!M:M)</f>
        <v>0</v>
      </c>
      <c r="J113" s="47">
        <f ca="1">SUMIF('تكويد الأصناف'!K:N,A113,'تكويد الأصناف'!N:N)</f>
        <v>0</v>
      </c>
      <c r="K113" s="43">
        <f ca="1">SUMIF('الوارد والمرتجع'!J:M,A113,'الوارد والمرتجع'!M:M)</f>
        <v>0</v>
      </c>
      <c r="L113" s="47">
        <f t="shared" ca="1" si="1"/>
        <v>0</v>
      </c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</row>
    <row r="114" spans="1:23" customFormat="1" ht="15" hidden="1" x14ac:dyDescent="0.2">
      <c r="A114" s="41">
        <v>2020</v>
      </c>
      <c r="B114" s="44">
        <f>VLOOKUP(A114,'تكويد الأصناف'!A:F,3,0)</f>
        <v>1</v>
      </c>
      <c r="C114" s="45">
        <f>VLOOKUP(A114,'تكويد الأصناف'!A:F,6,0)</f>
        <v>0</v>
      </c>
      <c r="D114" s="46">
        <f>VLOOKUP(A114,'تكويد الأصناف'!A:F,5,0)</f>
        <v>0</v>
      </c>
      <c r="E114" s="42">
        <f>VLOOKUP(A114,'تكويد الأصناف'!A:F,4,1)</f>
        <v>0</v>
      </c>
      <c r="F114" s="37">
        <v>0</v>
      </c>
      <c r="G114" s="43">
        <f ca="1">SUMIF('الوارد والمرتجع'!B:F,A114,'الوارد والمرتجع'!E:E)</f>
        <v>0</v>
      </c>
      <c r="H114" s="58">
        <f>SUMIF(الجدول1[كود الصنف],A114,الجدول1[العدد])+SUMIF(الجدول2[كود الصنف],A114,الجدول2[العدد])+SUMIF(الجدول3[كود الصنف],A114,الجدول3[العدد])+SUMIF(الجدول4[كود الصنف],A114,الجدول4[العدد])+SUMIF(الجدول5[كود الصنف],A114,الجدول5[العدد])+SUMIF(الجدول6[كود الصنف],A114,الجدول6[العدد])+SUMIF(الجدول7[كود الصنف],A114,الجدول7[العدد])+SUMIF(الجدول8[كود الصنف],A114,الجدول8[العدد])+SUMIF(الجدول9[كود الصنف],A114,الجدول9[العدد])+SUMIF(الجدول10[كود الصنف],A114,الجدول10[العدد])+SUMIF(الجدول11[كود الصنف],A114,الجدول11[العدد])+SUMIF(الجدول12[كود الصنف],A114,الجدول12[العدد])+SUMIF(الجدول13[كود الصنف],A114,الجدول13[العدد])+SUMIF(الجدول14[كود الصنف],A114,الجدول14[العدد])+SUMIF(الجدول15[كود الصنف],A114,الجدول15[العدد])+SUMIF(الجدول16[كود الصنف],A114,الجدول16[العدد])+SUMIF(الجدول17[كود الصنف],A114,الجدول17[العدد])+SUMIF(الجدول18[كود الصنف],A114,الجدول18[العدد])+SUMIF(الجدول19[كود الصنف],A114,الجدول19[العدد])+SUMIF(الجدول20[كود الصنف],A114,الجدول20[العدد])+SUMIF(الجدول21[كود الصنف],A114,الجدول21[العدد])+SUMIF(الجدول22[كود الصنف],A114,الجدول22[العدد])+SUMIF(الجدول23[كود الصنف],A114,الجدول23[العدد])+SUMIF(الجدول24[كود الصنف],A114,الجدول24[العدد])+SUMIF(الجدول25[كود الصنف],A114,الجدول25[العدد])+SUMIF(الجدول26[كود الصنف],A114,الجدول26[العدد])+SUMIF(الجدول27[كود الصنف],A114,الجدول27[العدد])+SUMIF(الجدول28[كود الصنف],A114,الجدول28[العدد])+SUMIF(الجدول29[كود الصنف],A114,الجدول29[العدد])+SUMIF(الجدول30[كود الصنف],A114,الجدول30[العدد])+SUMIF(الجدول31[كود الصنف],A114,الجدول31[العدد])</f>
        <v>0</v>
      </c>
      <c r="I114" s="47">
        <f ca="1">SUMIF('تكويد الأصناف'!K:N,A114,'تكويد الأصناف'!M:M)</f>
        <v>0</v>
      </c>
      <c r="J114" s="47">
        <f ca="1">SUMIF('تكويد الأصناف'!K:N,A114,'تكويد الأصناف'!N:N)</f>
        <v>0</v>
      </c>
      <c r="K114" s="43">
        <f ca="1">SUMIF('الوارد والمرتجع'!J:M,A114,'الوارد والمرتجع'!M:M)</f>
        <v>0</v>
      </c>
      <c r="L114" s="47">
        <f t="shared" ca="1" si="1"/>
        <v>0</v>
      </c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</row>
    <row r="115" spans="1:23" customFormat="1" ht="15" hidden="1" x14ac:dyDescent="0.2">
      <c r="A115" s="41">
        <v>2021</v>
      </c>
      <c r="B115" s="44">
        <f>VLOOKUP(A115,'تكويد الأصناف'!A:F,3,0)</f>
        <v>1</v>
      </c>
      <c r="C115" s="45">
        <f>VLOOKUP(A115,'تكويد الأصناف'!A:F,6,0)</f>
        <v>0</v>
      </c>
      <c r="D115" s="46">
        <f>VLOOKUP(A115,'تكويد الأصناف'!A:F,5,0)</f>
        <v>0</v>
      </c>
      <c r="E115" s="42">
        <f>VLOOKUP(A115,'تكويد الأصناف'!A:F,4,1)</f>
        <v>0</v>
      </c>
      <c r="F115" s="37">
        <v>0</v>
      </c>
      <c r="G115" s="43">
        <f ca="1">SUMIF('الوارد والمرتجع'!B:F,A115,'الوارد والمرتجع'!E:E)</f>
        <v>0</v>
      </c>
      <c r="H115" s="58">
        <f>SUMIF(الجدول1[كود الصنف],A115,الجدول1[العدد])+SUMIF(الجدول2[كود الصنف],A115,الجدول2[العدد])+SUMIF(الجدول3[كود الصنف],A115,الجدول3[العدد])+SUMIF(الجدول4[كود الصنف],A115,الجدول4[العدد])+SUMIF(الجدول5[كود الصنف],A115,الجدول5[العدد])+SUMIF(الجدول6[كود الصنف],A115,الجدول6[العدد])+SUMIF(الجدول7[كود الصنف],A115,الجدول7[العدد])+SUMIF(الجدول8[كود الصنف],A115,الجدول8[العدد])+SUMIF(الجدول9[كود الصنف],A115,الجدول9[العدد])+SUMIF(الجدول10[كود الصنف],A115,الجدول10[العدد])+SUMIF(الجدول11[كود الصنف],A115,الجدول11[العدد])+SUMIF(الجدول12[كود الصنف],A115,الجدول12[العدد])+SUMIF(الجدول13[كود الصنف],A115,الجدول13[العدد])+SUMIF(الجدول14[كود الصنف],A115,الجدول14[العدد])+SUMIF(الجدول15[كود الصنف],A115,الجدول15[العدد])+SUMIF(الجدول16[كود الصنف],A115,الجدول16[العدد])+SUMIF(الجدول17[كود الصنف],A115,الجدول17[العدد])+SUMIF(الجدول18[كود الصنف],A115,الجدول18[العدد])+SUMIF(الجدول19[كود الصنف],A115,الجدول19[العدد])+SUMIF(الجدول20[كود الصنف],A115,الجدول20[العدد])+SUMIF(الجدول21[كود الصنف],A115,الجدول21[العدد])+SUMIF(الجدول22[كود الصنف],A115,الجدول22[العدد])+SUMIF(الجدول23[كود الصنف],A115,الجدول23[العدد])+SUMIF(الجدول24[كود الصنف],A115,الجدول24[العدد])+SUMIF(الجدول25[كود الصنف],A115,الجدول25[العدد])+SUMIF(الجدول26[كود الصنف],A115,الجدول26[العدد])+SUMIF(الجدول27[كود الصنف],A115,الجدول27[العدد])+SUMIF(الجدول28[كود الصنف],A115,الجدول28[العدد])+SUMIF(الجدول29[كود الصنف],A115,الجدول29[العدد])+SUMIF(الجدول30[كود الصنف],A115,الجدول30[العدد])+SUMIF(الجدول31[كود الصنف],A115,الجدول31[العدد])</f>
        <v>0</v>
      </c>
      <c r="I115" s="47">
        <f ca="1">SUMIF('تكويد الأصناف'!K:N,A115,'تكويد الأصناف'!M:M)</f>
        <v>0</v>
      </c>
      <c r="J115" s="47">
        <f ca="1">SUMIF('تكويد الأصناف'!K:N,A115,'تكويد الأصناف'!N:N)</f>
        <v>0</v>
      </c>
      <c r="K115" s="43">
        <f ca="1">SUMIF('الوارد والمرتجع'!J:M,A115,'الوارد والمرتجع'!M:M)</f>
        <v>0</v>
      </c>
      <c r="L115" s="47">
        <f t="shared" ca="1" si="1"/>
        <v>0</v>
      </c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</row>
    <row r="116" spans="1:23" customFormat="1" ht="15" hidden="1" x14ac:dyDescent="0.2">
      <c r="A116" s="41">
        <v>2022</v>
      </c>
      <c r="B116" s="44">
        <f>VLOOKUP(A116,'تكويد الأصناف'!A:F,3,0)</f>
        <v>1</v>
      </c>
      <c r="C116" s="45">
        <f>VLOOKUP(A116,'تكويد الأصناف'!A:F,6,0)</f>
        <v>0</v>
      </c>
      <c r="D116" s="46">
        <f>VLOOKUP(A116,'تكويد الأصناف'!A:F,5,0)</f>
        <v>0</v>
      </c>
      <c r="E116" s="42">
        <f>VLOOKUP(A116,'تكويد الأصناف'!A:F,4,1)</f>
        <v>0</v>
      </c>
      <c r="F116" s="37">
        <v>0</v>
      </c>
      <c r="G116" s="43">
        <f ca="1">SUMIF('الوارد والمرتجع'!B:F,A116,'الوارد والمرتجع'!E:E)</f>
        <v>0</v>
      </c>
      <c r="H116" s="58">
        <f>SUMIF(الجدول1[كود الصنف],A116,الجدول1[العدد])+SUMIF(الجدول2[كود الصنف],A116,الجدول2[العدد])+SUMIF(الجدول3[كود الصنف],A116,الجدول3[العدد])+SUMIF(الجدول4[كود الصنف],A116,الجدول4[العدد])+SUMIF(الجدول5[كود الصنف],A116,الجدول5[العدد])+SUMIF(الجدول6[كود الصنف],A116,الجدول6[العدد])+SUMIF(الجدول7[كود الصنف],A116,الجدول7[العدد])+SUMIF(الجدول8[كود الصنف],A116,الجدول8[العدد])+SUMIF(الجدول9[كود الصنف],A116,الجدول9[العدد])+SUMIF(الجدول10[كود الصنف],A116,الجدول10[العدد])+SUMIF(الجدول11[كود الصنف],A116,الجدول11[العدد])+SUMIF(الجدول12[كود الصنف],A116,الجدول12[العدد])+SUMIF(الجدول13[كود الصنف],A116,الجدول13[العدد])+SUMIF(الجدول14[كود الصنف],A116,الجدول14[العدد])+SUMIF(الجدول15[كود الصنف],A116,الجدول15[العدد])+SUMIF(الجدول16[كود الصنف],A116,الجدول16[العدد])+SUMIF(الجدول17[كود الصنف],A116,الجدول17[العدد])+SUMIF(الجدول18[كود الصنف],A116,الجدول18[العدد])+SUMIF(الجدول19[كود الصنف],A116,الجدول19[العدد])+SUMIF(الجدول20[كود الصنف],A116,الجدول20[العدد])+SUMIF(الجدول21[كود الصنف],A116,الجدول21[العدد])+SUMIF(الجدول22[كود الصنف],A116,الجدول22[العدد])+SUMIF(الجدول23[كود الصنف],A116,الجدول23[العدد])+SUMIF(الجدول24[كود الصنف],A116,الجدول24[العدد])+SUMIF(الجدول25[كود الصنف],A116,الجدول25[العدد])+SUMIF(الجدول26[كود الصنف],A116,الجدول26[العدد])+SUMIF(الجدول27[كود الصنف],A116,الجدول27[العدد])+SUMIF(الجدول28[كود الصنف],A116,الجدول28[العدد])+SUMIF(الجدول29[كود الصنف],A116,الجدول29[العدد])+SUMIF(الجدول30[كود الصنف],A116,الجدول30[العدد])+SUMIF(الجدول31[كود الصنف],A116,الجدول31[العدد])</f>
        <v>0</v>
      </c>
      <c r="I116" s="47">
        <f ca="1">SUMIF('تكويد الأصناف'!K:N,A116,'تكويد الأصناف'!M:M)</f>
        <v>0</v>
      </c>
      <c r="J116" s="47">
        <f ca="1">SUMIF('تكويد الأصناف'!K:N,A116,'تكويد الأصناف'!N:N)</f>
        <v>0</v>
      </c>
      <c r="K116" s="43">
        <f ca="1">SUMIF('الوارد والمرتجع'!J:M,A116,'الوارد والمرتجع'!M:M)</f>
        <v>0</v>
      </c>
      <c r="L116" s="47">
        <f t="shared" ca="1" si="1"/>
        <v>0</v>
      </c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</row>
    <row r="117" spans="1:23" customFormat="1" ht="15" hidden="1" x14ac:dyDescent="0.2">
      <c r="A117" s="41">
        <v>2023</v>
      </c>
      <c r="B117" s="44">
        <f>VLOOKUP(A117,'تكويد الأصناف'!A:F,3,0)</f>
        <v>1</v>
      </c>
      <c r="C117" s="45">
        <f>VLOOKUP(A117,'تكويد الأصناف'!A:F,6,0)</f>
        <v>0</v>
      </c>
      <c r="D117" s="46">
        <f>VLOOKUP(A117,'تكويد الأصناف'!A:F,5,0)</f>
        <v>0</v>
      </c>
      <c r="E117" s="42">
        <f>VLOOKUP(A117,'تكويد الأصناف'!A:F,4,1)</f>
        <v>0</v>
      </c>
      <c r="F117" s="37">
        <v>0</v>
      </c>
      <c r="G117" s="43">
        <f ca="1">SUMIF('الوارد والمرتجع'!B:F,A117,'الوارد والمرتجع'!E:E)</f>
        <v>0</v>
      </c>
      <c r="H117" s="58">
        <f>SUMIF(الجدول1[كود الصنف],A117,الجدول1[العدد])+SUMIF(الجدول2[كود الصنف],A117,الجدول2[العدد])+SUMIF(الجدول3[كود الصنف],A117,الجدول3[العدد])+SUMIF(الجدول4[كود الصنف],A117,الجدول4[العدد])+SUMIF(الجدول5[كود الصنف],A117,الجدول5[العدد])+SUMIF(الجدول6[كود الصنف],A117,الجدول6[العدد])+SUMIF(الجدول7[كود الصنف],A117,الجدول7[العدد])+SUMIF(الجدول8[كود الصنف],A117,الجدول8[العدد])+SUMIF(الجدول9[كود الصنف],A117,الجدول9[العدد])+SUMIF(الجدول10[كود الصنف],A117,الجدول10[العدد])+SUMIF(الجدول11[كود الصنف],A117,الجدول11[العدد])+SUMIF(الجدول12[كود الصنف],A117,الجدول12[العدد])+SUMIF(الجدول13[كود الصنف],A117,الجدول13[العدد])+SUMIF(الجدول14[كود الصنف],A117,الجدول14[العدد])+SUMIF(الجدول15[كود الصنف],A117,الجدول15[العدد])+SUMIF(الجدول16[كود الصنف],A117,الجدول16[العدد])+SUMIF(الجدول17[كود الصنف],A117,الجدول17[العدد])+SUMIF(الجدول18[كود الصنف],A117,الجدول18[العدد])+SUMIF(الجدول19[كود الصنف],A117,الجدول19[العدد])+SUMIF(الجدول20[كود الصنف],A117,الجدول20[العدد])+SUMIF(الجدول21[كود الصنف],A117,الجدول21[العدد])+SUMIF(الجدول22[كود الصنف],A117,الجدول22[العدد])+SUMIF(الجدول23[كود الصنف],A117,الجدول23[العدد])+SUMIF(الجدول24[كود الصنف],A117,الجدول24[العدد])+SUMIF(الجدول25[كود الصنف],A117,الجدول25[العدد])+SUMIF(الجدول26[كود الصنف],A117,الجدول26[العدد])+SUMIF(الجدول27[كود الصنف],A117,الجدول27[العدد])+SUMIF(الجدول28[كود الصنف],A117,الجدول28[العدد])+SUMIF(الجدول29[كود الصنف],A117,الجدول29[العدد])+SUMIF(الجدول30[كود الصنف],A117,الجدول30[العدد])+SUMIF(الجدول31[كود الصنف],A117,الجدول31[العدد])</f>
        <v>0</v>
      </c>
      <c r="I117" s="47">
        <f ca="1">SUMIF('تكويد الأصناف'!K:N,A117,'تكويد الأصناف'!M:M)</f>
        <v>0</v>
      </c>
      <c r="J117" s="47">
        <f ca="1">SUMIF('تكويد الأصناف'!K:N,A117,'تكويد الأصناف'!N:N)</f>
        <v>0</v>
      </c>
      <c r="K117" s="43">
        <f ca="1">SUMIF('الوارد والمرتجع'!J:M,A117,'الوارد والمرتجع'!M:M)</f>
        <v>0</v>
      </c>
      <c r="L117" s="47">
        <f t="shared" ca="1" si="1"/>
        <v>0</v>
      </c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</row>
    <row r="118" spans="1:23" customFormat="1" ht="15" hidden="1" x14ac:dyDescent="0.2">
      <c r="A118" s="41">
        <v>2024</v>
      </c>
      <c r="B118" s="44">
        <f>VLOOKUP(A118,'تكويد الأصناف'!A:F,3,0)</f>
        <v>1</v>
      </c>
      <c r="C118" s="45">
        <f>VLOOKUP(A118,'تكويد الأصناف'!A:F,6,0)</f>
        <v>0</v>
      </c>
      <c r="D118" s="46">
        <f>VLOOKUP(A118,'تكويد الأصناف'!A:F,5,0)</f>
        <v>0</v>
      </c>
      <c r="E118" s="42">
        <f>VLOOKUP(A118,'تكويد الأصناف'!A:F,4,1)</f>
        <v>0</v>
      </c>
      <c r="F118" s="37">
        <v>0</v>
      </c>
      <c r="G118" s="43">
        <f ca="1">SUMIF('الوارد والمرتجع'!B:F,A118,'الوارد والمرتجع'!E:E)</f>
        <v>0</v>
      </c>
      <c r="H118" s="58">
        <f>SUMIF(الجدول1[كود الصنف],A118,الجدول1[العدد])+SUMIF(الجدول2[كود الصنف],A118,الجدول2[العدد])+SUMIF(الجدول3[كود الصنف],A118,الجدول3[العدد])+SUMIF(الجدول4[كود الصنف],A118,الجدول4[العدد])+SUMIF(الجدول5[كود الصنف],A118,الجدول5[العدد])+SUMIF(الجدول6[كود الصنف],A118,الجدول6[العدد])+SUMIF(الجدول7[كود الصنف],A118,الجدول7[العدد])+SUMIF(الجدول8[كود الصنف],A118,الجدول8[العدد])+SUMIF(الجدول9[كود الصنف],A118,الجدول9[العدد])+SUMIF(الجدول10[كود الصنف],A118,الجدول10[العدد])+SUMIF(الجدول11[كود الصنف],A118,الجدول11[العدد])+SUMIF(الجدول12[كود الصنف],A118,الجدول12[العدد])+SUMIF(الجدول13[كود الصنف],A118,الجدول13[العدد])+SUMIF(الجدول14[كود الصنف],A118,الجدول14[العدد])+SUMIF(الجدول15[كود الصنف],A118,الجدول15[العدد])+SUMIF(الجدول16[كود الصنف],A118,الجدول16[العدد])+SUMIF(الجدول17[كود الصنف],A118,الجدول17[العدد])+SUMIF(الجدول18[كود الصنف],A118,الجدول18[العدد])+SUMIF(الجدول19[كود الصنف],A118,الجدول19[العدد])+SUMIF(الجدول20[كود الصنف],A118,الجدول20[العدد])+SUMIF(الجدول21[كود الصنف],A118,الجدول21[العدد])+SUMIF(الجدول22[كود الصنف],A118,الجدول22[العدد])+SUMIF(الجدول23[كود الصنف],A118,الجدول23[العدد])+SUMIF(الجدول24[كود الصنف],A118,الجدول24[العدد])+SUMIF(الجدول25[كود الصنف],A118,الجدول25[العدد])+SUMIF(الجدول26[كود الصنف],A118,الجدول26[العدد])+SUMIF(الجدول27[كود الصنف],A118,الجدول27[العدد])+SUMIF(الجدول28[كود الصنف],A118,الجدول28[العدد])+SUMIF(الجدول29[كود الصنف],A118,الجدول29[العدد])+SUMIF(الجدول30[كود الصنف],A118,الجدول30[العدد])+SUMIF(الجدول31[كود الصنف],A118,الجدول31[العدد])</f>
        <v>0</v>
      </c>
      <c r="I118" s="47">
        <f ca="1">SUMIF('تكويد الأصناف'!K:N,A118,'تكويد الأصناف'!M:M)</f>
        <v>0</v>
      </c>
      <c r="J118" s="47">
        <f ca="1">SUMIF('تكويد الأصناف'!K:N,A118,'تكويد الأصناف'!N:N)</f>
        <v>0</v>
      </c>
      <c r="K118" s="43">
        <f ca="1">SUMIF('الوارد والمرتجع'!J:M,A118,'الوارد والمرتجع'!M:M)</f>
        <v>0</v>
      </c>
      <c r="L118" s="47">
        <f t="shared" ca="1" si="1"/>
        <v>0</v>
      </c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</row>
    <row r="119" spans="1:23" customFormat="1" ht="15" hidden="1" x14ac:dyDescent="0.2">
      <c r="A119" s="41">
        <v>2025</v>
      </c>
      <c r="B119" s="44">
        <f>VLOOKUP(A119,'تكويد الأصناف'!A:F,3,0)</f>
        <v>1</v>
      </c>
      <c r="C119" s="45">
        <f>VLOOKUP(A119,'تكويد الأصناف'!A:F,6,0)</f>
        <v>0</v>
      </c>
      <c r="D119" s="46">
        <f>VLOOKUP(A119,'تكويد الأصناف'!A:F,5,0)</f>
        <v>0</v>
      </c>
      <c r="E119" s="42">
        <f>VLOOKUP(A119,'تكويد الأصناف'!A:F,4,1)</f>
        <v>0</v>
      </c>
      <c r="F119" s="37">
        <v>0</v>
      </c>
      <c r="G119" s="43">
        <f ca="1">SUMIF('الوارد والمرتجع'!B:F,A119,'الوارد والمرتجع'!E:E)</f>
        <v>0</v>
      </c>
      <c r="H119" s="58">
        <f>SUMIF(الجدول1[كود الصنف],A119,الجدول1[العدد])+SUMIF(الجدول2[كود الصنف],A119,الجدول2[العدد])+SUMIF(الجدول3[كود الصنف],A119,الجدول3[العدد])+SUMIF(الجدول4[كود الصنف],A119,الجدول4[العدد])+SUMIF(الجدول5[كود الصنف],A119,الجدول5[العدد])+SUMIF(الجدول6[كود الصنف],A119,الجدول6[العدد])+SUMIF(الجدول7[كود الصنف],A119,الجدول7[العدد])+SUMIF(الجدول8[كود الصنف],A119,الجدول8[العدد])+SUMIF(الجدول9[كود الصنف],A119,الجدول9[العدد])+SUMIF(الجدول10[كود الصنف],A119,الجدول10[العدد])+SUMIF(الجدول11[كود الصنف],A119,الجدول11[العدد])+SUMIF(الجدول12[كود الصنف],A119,الجدول12[العدد])+SUMIF(الجدول13[كود الصنف],A119,الجدول13[العدد])+SUMIF(الجدول14[كود الصنف],A119,الجدول14[العدد])+SUMIF(الجدول15[كود الصنف],A119,الجدول15[العدد])+SUMIF(الجدول16[كود الصنف],A119,الجدول16[العدد])+SUMIF(الجدول17[كود الصنف],A119,الجدول17[العدد])+SUMIF(الجدول18[كود الصنف],A119,الجدول18[العدد])+SUMIF(الجدول19[كود الصنف],A119,الجدول19[العدد])+SUMIF(الجدول20[كود الصنف],A119,الجدول20[العدد])+SUMIF(الجدول21[كود الصنف],A119,الجدول21[العدد])+SUMIF(الجدول22[كود الصنف],A119,الجدول22[العدد])+SUMIF(الجدول23[كود الصنف],A119,الجدول23[العدد])+SUMIF(الجدول24[كود الصنف],A119,الجدول24[العدد])+SUMIF(الجدول25[كود الصنف],A119,الجدول25[العدد])+SUMIF(الجدول26[كود الصنف],A119,الجدول26[العدد])+SUMIF(الجدول27[كود الصنف],A119,الجدول27[العدد])+SUMIF(الجدول28[كود الصنف],A119,الجدول28[العدد])+SUMIF(الجدول29[كود الصنف],A119,الجدول29[العدد])+SUMIF(الجدول30[كود الصنف],A119,الجدول30[العدد])+SUMIF(الجدول31[كود الصنف],A119,الجدول31[العدد])</f>
        <v>0</v>
      </c>
      <c r="I119" s="47">
        <f ca="1">SUMIF('تكويد الأصناف'!K:N,A119,'تكويد الأصناف'!M:M)</f>
        <v>0</v>
      </c>
      <c r="J119" s="47">
        <f ca="1">SUMIF('تكويد الأصناف'!K:N,A119,'تكويد الأصناف'!N:N)</f>
        <v>0</v>
      </c>
      <c r="K119" s="43">
        <f ca="1">SUMIF('الوارد والمرتجع'!J:M,A119,'الوارد والمرتجع'!M:M)</f>
        <v>0</v>
      </c>
      <c r="L119" s="47">
        <f t="shared" ca="1" si="1"/>
        <v>0</v>
      </c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</row>
    <row r="120" spans="1:23" customFormat="1" ht="15" hidden="1" x14ac:dyDescent="0.2">
      <c r="A120" s="41">
        <v>2026</v>
      </c>
      <c r="B120" s="44">
        <f>VLOOKUP(A120,'تكويد الأصناف'!A:F,3,0)</f>
        <v>1</v>
      </c>
      <c r="C120" s="45">
        <f>VLOOKUP(A120,'تكويد الأصناف'!A:F,6,0)</f>
        <v>0</v>
      </c>
      <c r="D120" s="46">
        <f>VLOOKUP(A120,'تكويد الأصناف'!A:F,5,0)</f>
        <v>0</v>
      </c>
      <c r="E120" s="42">
        <f>VLOOKUP(A120,'تكويد الأصناف'!A:F,4,1)</f>
        <v>0</v>
      </c>
      <c r="F120" s="37">
        <v>0</v>
      </c>
      <c r="G120" s="43">
        <f ca="1">SUMIF('الوارد والمرتجع'!B:F,A120,'الوارد والمرتجع'!E:E)</f>
        <v>0</v>
      </c>
      <c r="H120" s="58">
        <f>SUMIF(الجدول1[كود الصنف],A120,الجدول1[العدد])+SUMIF(الجدول2[كود الصنف],A120,الجدول2[العدد])+SUMIF(الجدول3[كود الصنف],A120,الجدول3[العدد])+SUMIF(الجدول4[كود الصنف],A120,الجدول4[العدد])+SUMIF(الجدول5[كود الصنف],A120,الجدول5[العدد])+SUMIF(الجدول6[كود الصنف],A120,الجدول6[العدد])+SUMIF(الجدول7[كود الصنف],A120,الجدول7[العدد])+SUMIF(الجدول8[كود الصنف],A120,الجدول8[العدد])+SUMIF(الجدول9[كود الصنف],A120,الجدول9[العدد])+SUMIF(الجدول10[كود الصنف],A120,الجدول10[العدد])+SUMIF(الجدول11[كود الصنف],A120,الجدول11[العدد])+SUMIF(الجدول12[كود الصنف],A120,الجدول12[العدد])+SUMIF(الجدول13[كود الصنف],A120,الجدول13[العدد])+SUMIF(الجدول14[كود الصنف],A120,الجدول14[العدد])+SUMIF(الجدول15[كود الصنف],A120,الجدول15[العدد])+SUMIF(الجدول16[كود الصنف],A120,الجدول16[العدد])+SUMIF(الجدول17[كود الصنف],A120,الجدول17[العدد])+SUMIF(الجدول18[كود الصنف],A120,الجدول18[العدد])+SUMIF(الجدول19[كود الصنف],A120,الجدول19[العدد])+SUMIF(الجدول20[كود الصنف],A120,الجدول20[العدد])+SUMIF(الجدول21[كود الصنف],A120,الجدول21[العدد])+SUMIF(الجدول22[كود الصنف],A120,الجدول22[العدد])+SUMIF(الجدول23[كود الصنف],A120,الجدول23[العدد])+SUMIF(الجدول24[كود الصنف],A120,الجدول24[العدد])+SUMIF(الجدول25[كود الصنف],A120,الجدول25[العدد])+SUMIF(الجدول26[كود الصنف],A120,الجدول26[العدد])+SUMIF(الجدول27[كود الصنف],A120,الجدول27[العدد])+SUMIF(الجدول28[كود الصنف],A120,الجدول28[العدد])+SUMIF(الجدول29[كود الصنف],A120,الجدول29[العدد])+SUMIF(الجدول30[كود الصنف],A120,الجدول30[العدد])+SUMIF(الجدول31[كود الصنف],A120,الجدول31[العدد])</f>
        <v>0</v>
      </c>
      <c r="I120" s="47">
        <f ca="1">SUMIF('تكويد الأصناف'!K:N,A120,'تكويد الأصناف'!M:M)</f>
        <v>0</v>
      </c>
      <c r="J120" s="47">
        <f ca="1">SUMIF('تكويد الأصناف'!K:N,A120,'تكويد الأصناف'!N:N)</f>
        <v>0</v>
      </c>
      <c r="K120" s="43">
        <f ca="1">SUMIF('الوارد والمرتجع'!J:M,A120,'الوارد والمرتجع'!M:M)</f>
        <v>0</v>
      </c>
      <c r="L120" s="47">
        <f t="shared" ca="1" si="1"/>
        <v>0</v>
      </c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</row>
    <row r="121" spans="1:23" customFormat="1" ht="15" hidden="1" x14ac:dyDescent="0.2">
      <c r="A121" s="41">
        <v>2027</v>
      </c>
      <c r="B121" s="44">
        <f>VLOOKUP(A121,'تكويد الأصناف'!A:F,3,0)</f>
        <v>1</v>
      </c>
      <c r="C121" s="45">
        <f>VLOOKUP(A121,'تكويد الأصناف'!A:F,6,0)</f>
        <v>0</v>
      </c>
      <c r="D121" s="46">
        <f>VLOOKUP(A121,'تكويد الأصناف'!A:F,5,0)</f>
        <v>0</v>
      </c>
      <c r="E121" s="42">
        <f>VLOOKUP(A121,'تكويد الأصناف'!A:F,4,1)</f>
        <v>0</v>
      </c>
      <c r="F121" s="37">
        <v>0</v>
      </c>
      <c r="G121" s="43">
        <f ca="1">SUMIF('الوارد والمرتجع'!B:F,A121,'الوارد والمرتجع'!E:E)</f>
        <v>0</v>
      </c>
      <c r="H121" s="58">
        <f>SUMIF(الجدول1[كود الصنف],A121,الجدول1[العدد])+SUMIF(الجدول2[كود الصنف],A121,الجدول2[العدد])+SUMIF(الجدول3[كود الصنف],A121,الجدول3[العدد])+SUMIF(الجدول4[كود الصنف],A121,الجدول4[العدد])+SUMIF(الجدول5[كود الصنف],A121,الجدول5[العدد])+SUMIF(الجدول6[كود الصنف],A121,الجدول6[العدد])+SUMIF(الجدول7[كود الصنف],A121,الجدول7[العدد])+SUMIF(الجدول8[كود الصنف],A121,الجدول8[العدد])+SUMIF(الجدول9[كود الصنف],A121,الجدول9[العدد])+SUMIF(الجدول10[كود الصنف],A121,الجدول10[العدد])+SUMIF(الجدول11[كود الصنف],A121,الجدول11[العدد])+SUMIF(الجدول12[كود الصنف],A121,الجدول12[العدد])+SUMIF(الجدول13[كود الصنف],A121,الجدول13[العدد])+SUMIF(الجدول14[كود الصنف],A121,الجدول14[العدد])+SUMIF(الجدول15[كود الصنف],A121,الجدول15[العدد])+SUMIF(الجدول16[كود الصنف],A121,الجدول16[العدد])+SUMIF(الجدول17[كود الصنف],A121,الجدول17[العدد])+SUMIF(الجدول18[كود الصنف],A121,الجدول18[العدد])+SUMIF(الجدول19[كود الصنف],A121,الجدول19[العدد])+SUMIF(الجدول20[كود الصنف],A121,الجدول20[العدد])+SUMIF(الجدول21[كود الصنف],A121,الجدول21[العدد])+SUMIF(الجدول22[كود الصنف],A121,الجدول22[العدد])+SUMIF(الجدول23[كود الصنف],A121,الجدول23[العدد])+SUMIF(الجدول24[كود الصنف],A121,الجدول24[العدد])+SUMIF(الجدول25[كود الصنف],A121,الجدول25[العدد])+SUMIF(الجدول26[كود الصنف],A121,الجدول26[العدد])+SUMIF(الجدول27[كود الصنف],A121,الجدول27[العدد])+SUMIF(الجدول28[كود الصنف],A121,الجدول28[العدد])+SUMIF(الجدول29[كود الصنف],A121,الجدول29[العدد])+SUMIF(الجدول30[كود الصنف],A121,الجدول30[العدد])+SUMIF(الجدول31[كود الصنف],A121,الجدول31[العدد])</f>
        <v>0</v>
      </c>
      <c r="I121" s="47">
        <f ca="1">SUMIF('تكويد الأصناف'!K:N,A121,'تكويد الأصناف'!M:M)</f>
        <v>0</v>
      </c>
      <c r="J121" s="47">
        <f ca="1">SUMIF('تكويد الأصناف'!K:N,A121,'تكويد الأصناف'!N:N)</f>
        <v>0</v>
      </c>
      <c r="K121" s="43">
        <f ca="1">SUMIF('الوارد والمرتجع'!J:M,A121,'الوارد والمرتجع'!M:M)</f>
        <v>0</v>
      </c>
      <c r="L121" s="47">
        <f t="shared" ca="1" si="1"/>
        <v>0</v>
      </c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</row>
    <row r="122" spans="1:23" customFormat="1" ht="15" hidden="1" x14ac:dyDescent="0.2">
      <c r="A122" s="41">
        <v>2028</v>
      </c>
      <c r="B122" s="44">
        <f>VLOOKUP(A122,'تكويد الأصناف'!A:F,3,0)</f>
        <v>1</v>
      </c>
      <c r="C122" s="45">
        <f>VLOOKUP(A122,'تكويد الأصناف'!A:F,6,0)</f>
        <v>0</v>
      </c>
      <c r="D122" s="46">
        <f>VLOOKUP(A122,'تكويد الأصناف'!A:F,5,0)</f>
        <v>0</v>
      </c>
      <c r="E122" s="42">
        <f>VLOOKUP(A122,'تكويد الأصناف'!A:F,4,1)</f>
        <v>0</v>
      </c>
      <c r="F122" s="37">
        <v>0</v>
      </c>
      <c r="G122" s="43">
        <f ca="1">SUMIF('الوارد والمرتجع'!B:F,A122,'الوارد والمرتجع'!E:E)</f>
        <v>0</v>
      </c>
      <c r="H122" s="58">
        <f>SUMIF(الجدول1[كود الصنف],A122,الجدول1[العدد])+SUMIF(الجدول2[كود الصنف],A122,الجدول2[العدد])+SUMIF(الجدول3[كود الصنف],A122,الجدول3[العدد])+SUMIF(الجدول4[كود الصنف],A122,الجدول4[العدد])+SUMIF(الجدول5[كود الصنف],A122,الجدول5[العدد])+SUMIF(الجدول6[كود الصنف],A122,الجدول6[العدد])+SUMIF(الجدول7[كود الصنف],A122,الجدول7[العدد])+SUMIF(الجدول8[كود الصنف],A122,الجدول8[العدد])+SUMIF(الجدول9[كود الصنف],A122,الجدول9[العدد])+SUMIF(الجدول10[كود الصنف],A122,الجدول10[العدد])+SUMIF(الجدول11[كود الصنف],A122,الجدول11[العدد])+SUMIF(الجدول12[كود الصنف],A122,الجدول12[العدد])+SUMIF(الجدول13[كود الصنف],A122,الجدول13[العدد])+SUMIF(الجدول14[كود الصنف],A122,الجدول14[العدد])+SUMIF(الجدول15[كود الصنف],A122,الجدول15[العدد])+SUMIF(الجدول16[كود الصنف],A122,الجدول16[العدد])+SUMIF(الجدول17[كود الصنف],A122,الجدول17[العدد])+SUMIF(الجدول18[كود الصنف],A122,الجدول18[العدد])+SUMIF(الجدول19[كود الصنف],A122,الجدول19[العدد])+SUMIF(الجدول20[كود الصنف],A122,الجدول20[العدد])+SUMIF(الجدول21[كود الصنف],A122,الجدول21[العدد])+SUMIF(الجدول22[كود الصنف],A122,الجدول22[العدد])+SUMIF(الجدول23[كود الصنف],A122,الجدول23[العدد])+SUMIF(الجدول24[كود الصنف],A122,الجدول24[العدد])+SUMIF(الجدول25[كود الصنف],A122,الجدول25[العدد])+SUMIF(الجدول26[كود الصنف],A122,الجدول26[العدد])+SUMIF(الجدول27[كود الصنف],A122,الجدول27[العدد])+SUMIF(الجدول28[كود الصنف],A122,الجدول28[العدد])+SUMIF(الجدول29[كود الصنف],A122,الجدول29[العدد])+SUMIF(الجدول30[كود الصنف],A122,الجدول30[العدد])+SUMIF(الجدول31[كود الصنف],A122,الجدول31[العدد])</f>
        <v>0</v>
      </c>
      <c r="I122" s="47">
        <f ca="1">SUMIF('تكويد الأصناف'!K:N,A122,'تكويد الأصناف'!M:M)</f>
        <v>0</v>
      </c>
      <c r="J122" s="47">
        <f ca="1">SUMIF('تكويد الأصناف'!K:N,A122,'تكويد الأصناف'!N:N)</f>
        <v>0</v>
      </c>
      <c r="K122" s="43">
        <f ca="1">SUMIF('الوارد والمرتجع'!J:M,A122,'الوارد والمرتجع'!M:M)</f>
        <v>0</v>
      </c>
      <c r="L122" s="47">
        <f t="shared" ca="1" si="1"/>
        <v>0</v>
      </c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</row>
    <row r="123" spans="1:23" customFormat="1" ht="15" hidden="1" x14ac:dyDescent="0.2">
      <c r="A123" s="41">
        <v>2029</v>
      </c>
      <c r="B123" s="44">
        <f>VLOOKUP(A123,'تكويد الأصناف'!A:F,3,0)</f>
        <v>1</v>
      </c>
      <c r="C123" s="45">
        <f>VLOOKUP(A123,'تكويد الأصناف'!A:F,6,0)</f>
        <v>0</v>
      </c>
      <c r="D123" s="46">
        <f>VLOOKUP(A123,'تكويد الأصناف'!A:F,5,0)</f>
        <v>0</v>
      </c>
      <c r="E123" s="42">
        <f>VLOOKUP(A123,'تكويد الأصناف'!A:F,4,1)</f>
        <v>0</v>
      </c>
      <c r="F123" s="37">
        <v>0</v>
      </c>
      <c r="G123" s="43">
        <f ca="1">SUMIF('الوارد والمرتجع'!B:F,A123,'الوارد والمرتجع'!E:E)</f>
        <v>0</v>
      </c>
      <c r="H123" s="58">
        <f>SUMIF(الجدول1[كود الصنف],A123,الجدول1[العدد])+SUMIF(الجدول2[كود الصنف],A123,الجدول2[العدد])+SUMIF(الجدول3[كود الصنف],A123,الجدول3[العدد])+SUMIF(الجدول4[كود الصنف],A123,الجدول4[العدد])+SUMIF(الجدول5[كود الصنف],A123,الجدول5[العدد])+SUMIF(الجدول6[كود الصنف],A123,الجدول6[العدد])+SUMIF(الجدول7[كود الصنف],A123,الجدول7[العدد])+SUMIF(الجدول8[كود الصنف],A123,الجدول8[العدد])+SUMIF(الجدول9[كود الصنف],A123,الجدول9[العدد])+SUMIF(الجدول10[كود الصنف],A123,الجدول10[العدد])+SUMIF(الجدول11[كود الصنف],A123,الجدول11[العدد])+SUMIF(الجدول12[كود الصنف],A123,الجدول12[العدد])+SUMIF(الجدول13[كود الصنف],A123,الجدول13[العدد])+SUMIF(الجدول14[كود الصنف],A123,الجدول14[العدد])+SUMIF(الجدول15[كود الصنف],A123,الجدول15[العدد])+SUMIF(الجدول16[كود الصنف],A123,الجدول16[العدد])+SUMIF(الجدول17[كود الصنف],A123,الجدول17[العدد])+SUMIF(الجدول18[كود الصنف],A123,الجدول18[العدد])+SUMIF(الجدول19[كود الصنف],A123,الجدول19[العدد])+SUMIF(الجدول20[كود الصنف],A123,الجدول20[العدد])+SUMIF(الجدول21[كود الصنف],A123,الجدول21[العدد])+SUMIF(الجدول22[كود الصنف],A123,الجدول22[العدد])+SUMIF(الجدول23[كود الصنف],A123,الجدول23[العدد])+SUMIF(الجدول24[كود الصنف],A123,الجدول24[العدد])+SUMIF(الجدول25[كود الصنف],A123,الجدول25[العدد])+SUMIF(الجدول26[كود الصنف],A123,الجدول26[العدد])+SUMIF(الجدول27[كود الصنف],A123,الجدول27[العدد])+SUMIF(الجدول28[كود الصنف],A123,الجدول28[العدد])+SUMIF(الجدول29[كود الصنف],A123,الجدول29[العدد])+SUMIF(الجدول30[كود الصنف],A123,الجدول30[العدد])+SUMIF(الجدول31[كود الصنف],A123,الجدول31[العدد])</f>
        <v>0</v>
      </c>
      <c r="I123" s="47">
        <f ca="1">SUMIF('تكويد الأصناف'!K:N,A123,'تكويد الأصناف'!M:M)</f>
        <v>0</v>
      </c>
      <c r="J123" s="47">
        <f ca="1">SUMIF('تكويد الأصناف'!K:N,A123,'تكويد الأصناف'!N:N)</f>
        <v>0</v>
      </c>
      <c r="K123" s="43">
        <f ca="1">SUMIF('الوارد والمرتجع'!J:M,A123,'الوارد والمرتجع'!M:M)</f>
        <v>0</v>
      </c>
      <c r="L123" s="47">
        <f t="shared" ca="1" si="1"/>
        <v>0</v>
      </c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</row>
    <row r="124" spans="1:23" customFormat="1" ht="15" hidden="1" x14ac:dyDescent="0.2">
      <c r="A124" s="41">
        <v>2030</v>
      </c>
      <c r="B124" s="44">
        <f>VLOOKUP(A124,'تكويد الأصناف'!A:F,3,0)</f>
        <v>1</v>
      </c>
      <c r="C124" s="45">
        <f>VLOOKUP(A124,'تكويد الأصناف'!A:F,6,0)</f>
        <v>0</v>
      </c>
      <c r="D124" s="46">
        <f>VLOOKUP(A124,'تكويد الأصناف'!A:F,5,0)</f>
        <v>0</v>
      </c>
      <c r="E124" s="42">
        <f>VLOOKUP(A124,'تكويد الأصناف'!A:F,4,1)</f>
        <v>0</v>
      </c>
      <c r="F124" s="37">
        <v>0</v>
      </c>
      <c r="G124" s="43">
        <f ca="1">SUMIF('الوارد والمرتجع'!B:F,A124,'الوارد والمرتجع'!E:E)</f>
        <v>0</v>
      </c>
      <c r="H124" s="58">
        <f>SUMIF(الجدول1[كود الصنف],A124,الجدول1[العدد])+SUMIF(الجدول2[كود الصنف],A124,الجدول2[العدد])+SUMIF(الجدول3[كود الصنف],A124,الجدول3[العدد])+SUMIF(الجدول4[كود الصنف],A124,الجدول4[العدد])+SUMIF(الجدول5[كود الصنف],A124,الجدول5[العدد])+SUMIF(الجدول6[كود الصنف],A124,الجدول6[العدد])+SUMIF(الجدول7[كود الصنف],A124,الجدول7[العدد])+SUMIF(الجدول8[كود الصنف],A124,الجدول8[العدد])+SUMIF(الجدول9[كود الصنف],A124,الجدول9[العدد])+SUMIF(الجدول10[كود الصنف],A124,الجدول10[العدد])+SUMIF(الجدول11[كود الصنف],A124,الجدول11[العدد])+SUMIF(الجدول12[كود الصنف],A124,الجدول12[العدد])+SUMIF(الجدول13[كود الصنف],A124,الجدول13[العدد])+SUMIF(الجدول14[كود الصنف],A124,الجدول14[العدد])+SUMIF(الجدول15[كود الصنف],A124,الجدول15[العدد])+SUMIF(الجدول16[كود الصنف],A124,الجدول16[العدد])+SUMIF(الجدول17[كود الصنف],A124,الجدول17[العدد])+SUMIF(الجدول18[كود الصنف],A124,الجدول18[العدد])+SUMIF(الجدول19[كود الصنف],A124,الجدول19[العدد])+SUMIF(الجدول20[كود الصنف],A124,الجدول20[العدد])+SUMIF(الجدول21[كود الصنف],A124,الجدول21[العدد])+SUMIF(الجدول22[كود الصنف],A124,الجدول22[العدد])+SUMIF(الجدول23[كود الصنف],A124,الجدول23[العدد])+SUMIF(الجدول24[كود الصنف],A124,الجدول24[العدد])+SUMIF(الجدول25[كود الصنف],A124,الجدول25[العدد])+SUMIF(الجدول26[كود الصنف],A124,الجدول26[العدد])+SUMIF(الجدول27[كود الصنف],A124,الجدول27[العدد])+SUMIF(الجدول28[كود الصنف],A124,الجدول28[العدد])+SUMIF(الجدول29[كود الصنف],A124,الجدول29[العدد])+SUMIF(الجدول30[كود الصنف],A124,الجدول30[العدد])+SUMIF(الجدول31[كود الصنف],A124,الجدول31[العدد])</f>
        <v>0</v>
      </c>
      <c r="I124" s="47">
        <f ca="1">SUMIF('تكويد الأصناف'!K:N,A124,'تكويد الأصناف'!M:M)</f>
        <v>0</v>
      </c>
      <c r="J124" s="47">
        <f ca="1">SUMIF('تكويد الأصناف'!K:N,A124,'تكويد الأصناف'!N:N)</f>
        <v>0</v>
      </c>
      <c r="K124" s="43">
        <f ca="1">SUMIF('الوارد والمرتجع'!J:M,A124,'الوارد والمرتجع'!M:M)</f>
        <v>0</v>
      </c>
      <c r="L124" s="47">
        <f t="shared" ca="1" si="1"/>
        <v>0</v>
      </c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</row>
    <row r="125" spans="1:23" customFormat="1" ht="15" hidden="1" x14ac:dyDescent="0.2">
      <c r="A125" s="41">
        <v>3001</v>
      </c>
      <c r="B125" s="44">
        <f>VLOOKUP(A125,'تكويد الأصناف'!A:F,3,0)</f>
        <v>1</v>
      </c>
      <c r="C125" s="45">
        <f>VLOOKUP(A125,'تكويد الأصناف'!A:F,6,0)</f>
        <v>0</v>
      </c>
      <c r="D125" s="46">
        <f>VLOOKUP(A125,'تكويد الأصناف'!A:F,5,0)</f>
        <v>0</v>
      </c>
      <c r="E125" s="42">
        <f>VLOOKUP(A125,'تكويد الأصناف'!A:F,4,1)</f>
        <v>0</v>
      </c>
      <c r="F125" s="43">
        <v>0</v>
      </c>
      <c r="G125" s="43">
        <f ca="1">SUMIF('الوارد والمرتجع'!B:F,A125,'الوارد والمرتجع'!E:E)</f>
        <v>0</v>
      </c>
      <c r="H125" s="58">
        <f>SUMIF(الجدول1[كود الصنف],A125,الجدول1[العدد])+SUMIF(الجدول2[كود الصنف],A125,الجدول2[العدد])+SUMIF(الجدول3[كود الصنف],A125,الجدول3[العدد])+SUMIF(الجدول4[كود الصنف],A125,الجدول4[العدد])+SUMIF(الجدول5[كود الصنف],A125,الجدول5[العدد])+SUMIF(الجدول6[كود الصنف],A125,الجدول6[العدد])+SUMIF(الجدول7[كود الصنف],A125,الجدول7[العدد])+SUMIF(الجدول8[كود الصنف],A125,الجدول8[العدد])+SUMIF(الجدول9[كود الصنف],A125,الجدول9[العدد])+SUMIF(الجدول10[كود الصنف],A125,الجدول10[العدد])+SUMIF(الجدول11[كود الصنف],A125,الجدول11[العدد])+SUMIF(الجدول12[كود الصنف],A125,الجدول12[العدد])+SUMIF(الجدول13[كود الصنف],A125,الجدول13[العدد])+SUMIF(الجدول14[كود الصنف],A125,الجدول14[العدد])+SUMIF(الجدول15[كود الصنف],A125,الجدول15[العدد])+SUMIF(الجدول16[كود الصنف],A125,الجدول16[العدد])+SUMIF(الجدول17[كود الصنف],A125,الجدول17[العدد])+SUMIF(الجدول18[كود الصنف],A125,الجدول18[العدد])+SUMIF(الجدول19[كود الصنف],A125,الجدول19[العدد])+SUMIF(الجدول20[كود الصنف],A125,الجدول20[العدد])+SUMIF(الجدول21[كود الصنف],A125,الجدول21[العدد])+SUMIF(الجدول22[كود الصنف],A125,الجدول22[العدد])+SUMIF(الجدول23[كود الصنف],A125,الجدول23[العدد])+SUMIF(الجدول24[كود الصنف],A125,الجدول24[العدد])+SUMIF(الجدول25[كود الصنف],A125,الجدول25[العدد])+SUMIF(الجدول26[كود الصنف],A125,الجدول26[العدد])+SUMIF(الجدول27[كود الصنف],A125,الجدول27[العدد])+SUMIF(الجدول28[كود الصنف],A125,الجدول28[العدد])+SUMIF(الجدول29[كود الصنف],A125,الجدول29[العدد])+SUMIF(الجدول30[كود الصنف],A125,الجدول30[العدد])+SUMIF(الجدول31[كود الصنف],A125,الجدول31[العدد])</f>
        <v>0</v>
      </c>
      <c r="I125" s="47">
        <f ca="1">SUMIF('تكويد الأصناف'!K:N,A125,'تكويد الأصناف'!M:M)</f>
        <v>0</v>
      </c>
      <c r="J125" s="47">
        <f ca="1">SUMIF('تكويد الأصناف'!K:N,A125,'تكويد الأصناف'!N:N)</f>
        <v>0</v>
      </c>
      <c r="K125" s="43">
        <f ca="1">SUMIF('الوارد والمرتجع'!J:M,A125,'الوارد والمرتجع'!M:M)</f>
        <v>0</v>
      </c>
      <c r="L125" s="43">
        <f t="shared" ca="1" si="1"/>
        <v>0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</row>
    <row r="126" spans="1:23" customFormat="1" ht="15" hidden="1" x14ac:dyDescent="0.2">
      <c r="A126" s="41">
        <v>3002</v>
      </c>
      <c r="B126" s="44">
        <f>VLOOKUP(A126,'تكويد الأصناف'!A:F,3,0)</f>
        <v>1</v>
      </c>
      <c r="C126" s="45">
        <f>VLOOKUP(A126,'تكويد الأصناف'!A:F,6,0)</f>
        <v>0</v>
      </c>
      <c r="D126" s="46">
        <f>VLOOKUP(A126,'تكويد الأصناف'!A:F,5,0)</f>
        <v>0</v>
      </c>
      <c r="E126" s="42">
        <f>VLOOKUP(A126,'تكويد الأصناف'!A:F,4,1)</f>
        <v>0</v>
      </c>
      <c r="F126" s="43">
        <v>0</v>
      </c>
      <c r="G126" s="43">
        <f ca="1">SUMIF('الوارد والمرتجع'!B:F,A126,'الوارد والمرتجع'!E:E)</f>
        <v>0</v>
      </c>
      <c r="H126" s="58">
        <f>SUMIF(الجدول1[كود الصنف],A126,الجدول1[العدد])+SUMIF(الجدول2[كود الصنف],A126,الجدول2[العدد])+SUMIF(الجدول3[كود الصنف],A126,الجدول3[العدد])+SUMIF(الجدول4[كود الصنف],A126,الجدول4[العدد])+SUMIF(الجدول5[كود الصنف],A126,الجدول5[العدد])+SUMIF(الجدول6[كود الصنف],A126,الجدول6[العدد])+SUMIF(الجدول7[كود الصنف],A126,الجدول7[العدد])+SUMIF(الجدول8[كود الصنف],A126,الجدول8[العدد])+SUMIF(الجدول9[كود الصنف],A126,الجدول9[العدد])+SUMIF(الجدول10[كود الصنف],A126,الجدول10[العدد])+SUMIF(الجدول11[كود الصنف],A126,الجدول11[العدد])+SUMIF(الجدول12[كود الصنف],A126,الجدول12[العدد])+SUMIF(الجدول13[كود الصنف],A126,الجدول13[العدد])+SUMIF(الجدول14[كود الصنف],A126,الجدول14[العدد])+SUMIF(الجدول15[كود الصنف],A126,الجدول15[العدد])+SUMIF(الجدول16[كود الصنف],A126,الجدول16[العدد])+SUMIF(الجدول17[كود الصنف],A126,الجدول17[العدد])+SUMIF(الجدول18[كود الصنف],A126,الجدول18[العدد])+SUMIF(الجدول19[كود الصنف],A126,الجدول19[العدد])+SUMIF(الجدول20[كود الصنف],A126,الجدول20[العدد])+SUMIF(الجدول21[كود الصنف],A126,الجدول21[العدد])+SUMIF(الجدول22[كود الصنف],A126,الجدول22[العدد])+SUMIF(الجدول23[كود الصنف],A126,الجدول23[العدد])+SUMIF(الجدول24[كود الصنف],A126,الجدول24[العدد])+SUMIF(الجدول25[كود الصنف],A126,الجدول25[العدد])+SUMIF(الجدول26[كود الصنف],A126,الجدول26[العدد])+SUMIF(الجدول27[كود الصنف],A126,الجدول27[العدد])+SUMIF(الجدول28[كود الصنف],A126,الجدول28[العدد])+SUMIF(الجدول29[كود الصنف],A126,الجدول29[العدد])+SUMIF(الجدول30[كود الصنف],A126,الجدول30[العدد])+SUMIF(الجدول31[كود الصنف],A126,الجدول31[العدد])</f>
        <v>0</v>
      </c>
      <c r="I126" s="47">
        <f ca="1">SUMIF('تكويد الأصناف'!K:N,A126,'تكويد الأصناف'!M:M)</f>
        <v>0</v>
      </c>
      <c r="J126" s="47">
        <f ca="1">SUMIF('تكويد الأصناف'!K:N,A126,'تكويد الأصناف'!N:N)</f>
        <v>0</v>
      </c>
      <c r="K126" s="43">
        <f ca="1">SUMIF('الوارد والمرتجع'!J:M,A126,'الوارد والمرتجع'!M:M)</f>
        <v>0</v>
      </c>
      <c r="L126" s="47">
        <f t="shared" ca="1" si="1"/>
        <v>0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</row>
    <row r="127" spans="1:23" customFormat="1" ht="15" hidden="1" x14ac:dyDescent="0.2">
      <c r="A127" s="41">
        <v>3003</v>
      </c>
      <c r="B127" s="44">
        <f>VLOOKUP(A127,'تكويد الأصناف'!A:F,3,0)</f>
        <v>1</v>
      </c>
      <c r="C127" s="45">
        <f>VLOOKUP(A127,'تكويد الأصناف'!A:F,6,0)</f>
        <v>0</v>
      </c>
      <c r="D127" s="46">
        <f>VLOOKUP(A127,'تكويد الأصناف'!A:F,5,0)</f>
        <v>0</v>
      </c>
      <c r="E127" s="42">
        <f>VLOOKUP(A127,'تكويد الأصناف'!A:F,4,1)</f>
        <v>0</v>
      </c>
      <c r="F127" s="43">
        <v>0</v>
      </c>
      <c r="G127" s="43">
        <f ca="1">SUMIF('الوارد والمرتجع'!B:F,A127,'الوارد والمرتجع'!E:E)</f>
        <v>0</v>
      </c>
      <c r="H127" s="58">
        <f>SUMIF(الجدول1[كود الصنف],A127,الجدول1[العدد])+SUMIF(الجدول2[كود الصنف],A127,الجدول2[العدد])+SUMIF(الجدول3[كود الصنف],A127,الجدول3[العدد])+SUMIF(الجدول4[كود الصنف],A127,الجدول4[العدد])+SUMIF(الجدول5[كود الصنف],A127,الجدول5[العدد])+SUMIF(الجدول6[كود الصنف],A127,الجدول6[العدد])+SUMIF(الجدول7[كود الصنف],A127,الجدول7[العدد])+SUMIF(الجدول8[كود الصنف],A127,الجدول8[العدد])+SUMIF(الجدول9[كود الصنف],A127,الجدول9[العدد])+SUMIF(الجدول10[كود الصنف],A127,الجدول10[العدد])+SUMIF(الجدول11[كود الصنف],A127,الجدول11[العدد])+SUMIF(الجدول12[كود الصنف],A127,الجدول12[العدد])+SUMIF(الجدول13[كود الصنف],A127,الجدول13[العدد])+SUMIF(الجدول14[كود الصنف],A127,الجدول14[العدد])+SUMIF(الجدول15[كود الصنف],A127,الجدول15[العدد])+SUMIF(الجدول16[كود الصنف],A127,الجدول16[العدد])+SUMIF(الجدول17[كود الصنف],A127,الجدول17[العدد])+SUMIF(الجدول18[كود الصنف],A127,الجدول18[العدد])+SUMIF(الجدول19[كود الصنف],A127,الجدول19[العدد])+SUMIF(الجدول20[كود الصنف],A127,الجدول20[العدد])+SUMIF(الجدول21[كود الصنف],A127,الجدول21[العدد])+SUMIF(الجدول22[كود الصنف],A127,الجدول22[العدد])+SUMIF(الجدول23[كود الصنف],A127,الجدول23[العدد])+SUMIF(الجدول24[كود الصنف],A127,الجدول24[العدد])+SUMIF(الجدول25[كود الصنف],A127,الجدول25[العدد])+SUMIF(الجدول26[كود الصنف],A127,الجدول26[العدد])+SUMIF(الجدول27[كود الصنف],A127,الجدول27[العدد])+SUMIF(الجدول28[كود الصنف],A127,الجدول28[العدد])+SUMIF(الجدول29[كود الصنف],A127,الجدول29[العدد])+SUMIF(الجدول30[كود الصنف],A127,الجدول30[العدد])+SUMIF(الجدول31[كود الصنف],A127,الجدول31[العدد])</f>
        <v>0</v>
      </c>
      <c r="I127" s="47">
        <f ca="1">SUMIF('تكويد الأصناف'!K:N,A127,'تكويد الأصناف'!M:M)</f>
        <v>0</v>
      </c>
      <c r="J127" s="47">
        <f ca="1">SUMIF('تكويد الأصناف'!K:N,A127,'تكويد الأصناف'!N:N)</f>
        <v>0</v>
      </c>
      <c r="K127" s="43">
        <f ca="1">SUMIF('الوارد والمرتجع'!J:M,A127,'الوارد والمرتجع'!M:M)</f>
        <v>0</v>
      </c>
      <c r="L127" s="47">
        <f t="shared" ca="1" si="1"/>
        <v>0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</row>
    <row r="128" spans="1:23" customFormat="1" ht="15" hidden="1" x14ac:dyDescent="0.2">
      <c r="A128" s="41">
        <v>3004</v>
      </c>
      <c r="B128" s="44">
        <f>VLOOKUP(A128,'تكويد الأصناف'!A:F,3,0)</f>
        <v>1</v>
      </c>
      <c r="C128" s="45">
        <f>VLOOKUP(A128,'تكويد الأصناف'!A:F,6,0)</f>
        <v>0</v>
      </c>
      <c r="D128" s="46">
        <f>VLOOKUP(A128,'تكويد الأصناف'!A:F,5,0)</f>
        <v>0</v>
      </c>
      <c r="E128" s="42">
        <f>VLOOKUP(A128,'تكويد الأصناف'!A:F,4,1)</f>
        <v>0</v>
      </c>
      <c r="F128" s="43">
        <v>0</v>
      </c>
      <c r="G128" s="43">
        <f ca="1">SUMIF('الوارد والمرتجع'!B:F,A128,'الوارد والمرتجع'!E:E)</f>
        <v>0</v>
      </c>
      <c r="H128" s="58">
        <f>SUMIF(الجدول1[كود الصنف],A128,الجدول1[العدد])+SUMIF(الجدول2[كود الصنف],A128,الجدول2[العدد])+SUMIF(الجدول3[كود الصنف],A128,الجدول3[العدد])+SUMIF(الجدول4[كود الصنف],A128,الجدول4[العدد])+SUMIF(الجدول5[كود الصنف],A128,الجدول5[العدد])+SUMIF(الجدول6[كود الصنف],A128,الجدول6[العدد])+SUMIF(الجدول7[كود الصنف],A128,الجدول7[العدد])+SUMIF(الجدول8[كود الصنف],A128,الجدول8[العدد])+SUMIF(الجدول9[كود الصنف],A128,الجدول9[العدد])+SUMIF(الجدول10[كود الصنف],A128,الجدول10[العدد])+SUMIF(الجدول11[كود الصنف],A128,الجدول11[العدد])+SUMIF(الجدول12[كود الصنف],A128,الجدول12[العدد])+SUMIF(الجدول13[كود الصنف],A128,الجدول13[العدد])+SUMIF(الجدول14[كود الصنف],A128,الجدول14[العدد])+SUMIF(الجدول15[كود الصنف],A128,الجدول15[العدد])+SUMIF(الجدول16[كود الصنف],A128,الجدول16[العدد])+SUMIF(الجدول17[كود الصنف],A128,الجدول17[العدد])+SUMIF(الجدول18[كود الصنف],A128,الجدول18[العدد])+SUMIF(الجدول19[كود الصنف],A128,الجدول19[العدد])+SUMIF(الجدول20[كود الصنف],A128,الجدول20[العدد])+SUMIF(الجدول21[كود الصنف],A128,الجدول21[العدد])+SUMIF(الجدول22[كود الصنف],A128,الجدول22[العدد])+SUMIF(الجدول23[كود الصنف],A128,الجدول23[العدد])+SUMIF(الجدول24[كود الصنف],A128,الجدول24[العدد])+SUMIF(الجدول25[كود الصنف],A128,الجدول25[العدد])+SUMIF(الجدول26[كود الصنف],A128,الجدول26[العدد])+SUMIF(الجدول27[كود الصنف],A128,الجدول27[العدد])+SUMIF(الجدول28[كود الصنف],A128,الجدول28[العدد])+SUMIF(الجدول29[كود الصنف],A128,الجدول29[العدد])+SUMIF(الجدول30[كود الصنف],A128,الجدول30[العدد])+SUMIF(الجدول31[كود الصنف],A128,الجدول31[العدد])</f>
        <v>0</v>
      </c>
      <c r="I128" s="47">
        <f ca="1">SUMIF('تكويد الأصناف'!K:N,A128,'تكويد الأصناف'!M:M)</f>
        <v>0</v>
      </c>
      <c r="J128" s="47">
        <f ca="1">SUMIF('تكويد الأصناف'!K:N,A128,'تكويد الأصناف'!N:N)</f>
        <v>0</v>
      </c>
      <c r="K128" s="43">
        <f ca="1">SUMIF('الوارد والمرتجع'!J:M,A128,'الوارد والمرتجع'!M:M)</f>
        <v>0</v>
      </c>
      <c r="L128" s="47">
        <f t="shared" ca="1" si="1"/>
        <v>0</v>
      </c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</row>
    <row r="129" spans="1:23" customFormat="1" ht="15" hidden="1" x14ac:dyDescent="0.2">
      <c r="A129" s="41">
        <v>3005</v>
      </c>
      <c r="B129" s="44">
        <f>VLOOKUP(A129,'تكويد الأصناف'!A:F,3,0)</f>
        <v>1</v>
      </c>
      <c r="C129" s="45">
        <f>VLOOKUP(A129,'تكويد الأصناف'!A:F,6,0)</f>
        <v>0</v>
      </c>
      <c r="D129" s="46">
        <f>VLOOKUP(A129,'تكويد الأصناف'!A:F,5,0)</f>
        <v>0</v>
      </c>
      <c r="E129" s="42">
        <f>VLOOKUP(A129,'تكويد الأصناف'!A:F,4,1)</f>
        <v>0</v>
      </c>
      <c r="F129" s="37">
        <v>0</v>
      </c>
      <c r="G129" s="43">
        <f ca="1">SUMIF('الوارد والمرتجع'!B:F,A129,'الوارد والمرتجع'!E:E)</f>
        <v>0</v>
      </c>
      <c r="H129" s="58">
        <f>SUMIF(الجدول1[كود الصنف],A129,الجدول1[العدد])+SUMIF(الجدول2[كود الصنف],A129,الجدول2[العدد])+SUMIF(الجدول3[كود الصنف],A129,الجدول3[العدد])+SUMIF(الجدول4[كود الصنف],A129,الجدول4[العدد])+SUMIF(الجدول5[كود الصنف],A129,الجدول5[العدد])+SUMIF(الجدول6[كود الصنف],A129,الجدول6[العدد])+SUMIF(الجدول7[كود الصنف],A129,الجدول7[العدد])+SUMIF(الجدول8[كود الصنف],A129,الجدول8[العدد])+SUMIF(الجدول9[كود الصنف],A129,الجدول9[العدد])+SUMIF(الجدول10[كود الصنف],A129,الجدول10[العدد])+SUMIF(الجدول11[كود الصنف],A129,الجدول11[العدد])+SUMIF(الجدول12[كود الصنف],A129,الجدول12[العدد])+SUMIF(الجدول13[كود الصنف],A129,الجدول13[العدد])+SUMIF(الجدول14[كود الصنف],A129,الجدول14[العدد])+SUMIF(الجدول15[كود الصنف],A129,الجدول15[العدد])+SUMIF(الجدول16[كود الصنف],A129,الجدول16[العدد])+SUMIF(الجدول17[كود الصنف],A129,الجدول17[العدد])+SUMIF(الجدول18[كود الصنف],A129,الجدول18[العدد])+SUMIF(الجدول19[كود الصنف],A129,الجدول19[العدد])+SUMIF(الجدول20[كود الصنف],A129,الجدول20[العدد])+SUMIF(الجدول21[كود الصنف],A129,الجدول21[العدد])+SUMIF(الجدول22[كود الصنف],A129,الجدول22[العدد])+SUMIF(الجدول23[كود الصنف],A129,الجدول23[العدد])+SUMIF(الجدول24[كود الصنف],A129,الجدول24[العدد])+SUMIF(الجدول25[كود الصنف],A129,الجدول25[العدد])+SUMIF(الجدول26[كود الصنف],A129,الجدول26[العدد])+SUMIF(الجدول27[كود الصنف],A129,الجدول27[العدد])+SUMIF(الجدول28[كود الصنف],A129,الجدول28[العدد])+SUMIF(الجدول29[كود الصنف],A129,الجدول29[العدد])+SUMIF(الجدول30[كود الصنف],A129,الجدول30[العدد])+SUMIF(الجدول31[كود الصنف],A129,الجدول31[العدد])</f>
        <v>0</v>
      </c>
      <c r="I129" s="47">
        <f ca="1">SUMIF('تكويد الأصناف'!K:N,A129,'تكويد الأصناف'!M:M)</f>
        <v>0</v>
      </c>
      <c r="J129" s="47">
        <f ca="1">SUMIF('تكويد الأصناف'!K:N,A129,'تكويد الأصناف'!N:N)</f>
        <v>0</v>
      </c>
      <c r="K129" s="43">
        <f ca="1">SUMIF('الوارد والمرتجع'!J:M,A129,'الوارد والمرتجع'!M:M)</f>
        <v>0</v>
      </c>
      <c r="L129" s="47">
        <f t="shared" ca="1" si="1"/>
        <v>0</v>
      </c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</row>
    <row r="130" spans="1:23" customFormat="1" ht="15" hidden="1" x14ac:dyDescent="0.2">
      <c r="A130" s="41">
        <v>3006</v>
      </c>
      <c r="B130" s="44">
        <f>VLOOKUP(A130,'تكويد الأصناف'!A:F,3,0)</f>
        <v>1</v>
      </c>
      <c r="C130" s="45">
        <f>VLOOKUP(A130,'تكويد الأصناف'!A:F,6,0)</f>
        <v>0</v>
      </c>
      <c r="D130" s="46">
        <f>VLOOKUP(A130,'تكويد الأصناف'!A:F,5,0)</f>
        <v>0</v>
      </c>
      <c r="E130" s="42">
        <f>VLOOKUP(A130,'تكويد الأصناف'!A:F,4,1)</f>
        <v>0</v>
      </c>
      <c r="F130" s="37">
        <v>0</v>
      </c>
      <c r="G130" s="43">
        <f ca="1">SUMIF('الوارد والمرتجع'!B:F,A130,'الوارد والمرتجع'!E:E)</f>
        <v>0</v>
      </c>
      <c r="H130" s="58">
        <f>SUMIF(الجدول1[كود الصنف],A130,الجدول1[العدد])+SUMIF(الجدول2[كود الصنف],A130,الجدول2[العدد])+SUMIF(الجدول3[كود الصنف],A130,الجدول3[العدد])+SUMIF(الجدول4[كود الصنف],A130,الجدول4[العدد])+SUMIF(الجدول5[كود الصنف],A130,الجدول5[العدد])+SUMIF(الجدول6[كود الصنف],A130,الجدول6[العدد])+SUMIF(الجدول7[كود الصنف],A130,الجدول7[العدد])+SUMIF(الجدول8[كود الصنف],A130,الجدول8[العدد])+SUMIF(الجدول9[كود الصنف],A130,الجدول9[العدد])+SUMIF(الجدول10[كود الصنف],A130,الجدول10[العدد])+SUMIF(الجدول11[كود الصنف],A130,الجدول11[العدد])+SUMIF(الجدول12[كود الصنف],A130,الجدول12[العدد])+SUMIF(الجدول13[كود الصنف],A130,الجدول13[العدد])+SUMIF(الجدول14[كود الصنف],A130,الجدول14[العدد])+SUMIF(الجدول15[كود الصنف],A130,الجدول15[العدد])+SUMIF(الجدول16[كود الصنف],A130,الجدول16[العدد])+SUMIF(الجدول17[كود الصنف],A130,الجدول17[العدد])+SUMIF(الجدول18[كود الصنف],A130,الجدول18[العدد])+SUMIF(الجدول19[كود الصنف],A130,الجدول19[العدد])+SUMIF(الجدول20[كود الصنف],A130,الجدول20[العدد])+SUMIF(الجدول21[كود الصنف],A130,الجدول21[العدد])+SUMIF(الجدول22[كود الصنف],A130,الجدول22[العدد])+SUMIF(الجدول23[كود الصنف],A130,الجدول23[العدد])+SUMIF(الجدول24[كود الصنف],A130,الجدول24[العدد])+SUMIF(الجدول25[كود الصنف],A130,الجدول25[العدد])+SUMIF(الجدول26[كود الصنف],A130,الجدول26[العدد])+SUMIF(الجدول27[كود الصنف],A130,الجدول27[العدد])+SUMIF(الجدول28[كود الصنف],A130,الجدول28[العدد])+SUMIF(الجدول29[كود الصنف],A130,الجدول29[العدد])+SUMIF(الجدول30[كود الصنف],A130,الجدول30[العدد])+SUMIF(الجدول31[كود الصنف],A130,الجدول31[العدد])</f>
        <v>0</v>
      </c>
      <c r="I130" s="47">
        <f ca="1">SUMIF('تكويد الأصناف'!K:N,A130,'تكويد الأصناف'!M:M)</f>
        <v>0</v>
      </c>
      <c r="J130" s="47">
        <f ca="1">SUMIF('تكويد الأصناف'!K:N,A130,'تكويد الأصناف'!N:N)</f>
        <v>0</v>
      </c>
      <c r="K130" s="43">
        <f ca="1">SUMIF('الوارد والمرتجع'!J:M,A130,'الوارد والمرتجع'!M:M)</f>
        <v>0</v>
      </c>
      <c r="L130" s="47">
        <f t="shared" ca="1" si="1"/>
        <v>0</v>
      </c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</row>
    <row r="131" spans="1:23" customFormat="1" ht="15" hidden="1" x14ac:dyDescent="0.2">
      <c r="A131" s="41">
        <v>3007</v>
      </c>
      <c r="B131" s="44">
        <f>VLOOKUP(A131,'تكويد الأصناف'!A:F,3,0)</f>
        <v>1</v>
      </c>
      <c r="C131" s="45">
        <f>VLOOKUP(A131,'تكويد الأصناف'!A:F,6,0)</f>
        <v>0</v>
      </c>
      <c r="D131" s="46">
        <f>VLOOKUP(A131,'تكويد الأصناف'!A:F,5,0)</f>
        <v>0</v>
      </c>
      <c r="E131" s="42">
        <f>VLOOKUP(A131,'تكويد الأصناف'!A:F,4,1)</f>
        <v>0</v>
      </c>
      <c r="F131" s="37">
        <v>0</v>
      </c>
      <c r="G131" s="43">
        <f ca="1">SUMIF('الوارد والمرتجع'!B:F,A131,'الوارد والمرتجع'!E:E)</f>
        <v>0</v>
      </c>
      <c r="H131" s="58">
        <f>SUMIF(الجدول1[كود الصنف],A131,الجدول1[العدد])+SUMIF(الجدول2[كود الصنف],A131,الجدول2[العدد])+SUMIF(الجدول3[كود الصنف],A131,الجدول3[العدد])+SUMIF(الجدول4[كود الصنف],A131,الجدول4[العدد])+SUMIF(الجدول5[كود الصنف],A131,الجدول5[العدد])+SUMIF(الجدول6[كود الصنف],A131,الجدول6[العدد])+SUMIF(الجدول7[كود الصنف],A131,الجدول7[العدد])+SUMIF(الجدول8[كود الصنف],A131,الجدول8[العدد])+SUMIF(الجدول9[كود الصنف],A131,الجدول9[العدد])+SUMIF(الجدول10[كود الصنف],A131,الجدول10[العدد])+SUMIF(الجدول11[كود الصنف],A131,الجدول11[العدد])+SUMIF(الجدول12[كود الصنف],A131,الجدول12[العدد])+SUMIF(الجدول13[كود الصنف],A131,الجدول13[العدد])+SUMIF(الجدول14[كود الصنف],A131,الجدول14[العدد])+SUMIF(الجدول15[كود الصنف],A131,الجدول15[العدد])+SUMIF(الجدول16[كود الصنف],A131,الجدول16[العدد])+SUMIF(الجدول17[كود الصنف],A131,الجدول17[العدد])+SUMIF(الجدول18[كود الصنف],A131,الجدول18[العدد])+SUMIF(الجدول19[كود الصنف],A131,الجدول19[العدد])+SUMIF(الجدول20[كود الصنف],A131,الجدول20[العدد])+SUMIF(الجدول21[كود الصنف],A131,الجدول21[العدد])+SUMIF(الجدول22[كود الصنف],A131,الجدول22[العدد])+SUMIF(الجدول23[كود الصنف],A131,الجدول23[العدد])+SUMIF(الجدول24[كود الصنف],A131,الجدول24[العدد])+SUMIF(الجدول25[كود الصنف],A131,الجدول25[العدد])+SUMIF(الجدول26[كود الصنف],A131,الجدول26[العدد])+SUMIF(الجدول27[كود الصنف],A131,الجدول27[العدد])+SUMIF(الجدول28[كود الصنف],A131,الجدول28[العدد])+SUMIF(الجدول29[كود الصنف],A131,الجدول29[العدد])+SUMIF(الجدول30[كود الصنف],A131,الجدول30[العدد])+SUMIF(الجدول31[كود الصنف],A131,الجدول31[العدد])</f>
        <v>0</v>
      </c>
      <c r="I131" s="47">
        <f ca="1">SUMIF('تكويد الأصناف'!K:N,A131,'تكويد الأصناف'!M:M)</f>
        <v>0</v>
      </c>
      <c r="J131" s="47">
        <f ca="1">SUMIF('تكويد الأصناف'!K:N,A131,'تكويد الأصناف'!N:N)</f>
        <v>0</v>
      </c>
      <c r="K131" s="43">
        <f ca="1">SUMIF('الوارد والمرتجع'!J:M,A131,'الوارد والمرتجع'!M:M)</f>
        <v>0</v>
      </c>
      <c r="L131" s="47">
        <f t="shared" ca="1" si="1"/>
        <v>0</v>
      </c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</row>
    <row r="132" spans="1:23" customFormat="1" ht="15" hidden="1" x14ac:dyDescent="0.2">
      <c r="A132" s="41">
        <v>3008</v>
      </c>
      <c r="B132" s="44">
        <f>VLOOKUP(A132,'تكويد الأصناف'!A:F,3,0)</f>
        <v>1</v>
      </c>
      <c r="C132" s="45">
        <f>VLOOKUP(A132,'تكويد الأصناف'!A:F,6,0)</f>
        <v>0</v>
      </c>
      <c r="D132" s="46">
        <f>VLOOKUP(A132,'تكويد الأصناف'!A:F,5,0)</f>
        <v>0</v>
      </c>
      <c r="E132" s="42">
        <f>VLOOKUP(A132,'تكويد الأصناف'!A:F,4,1)</f>
        <v>0</v>
      </c>
      <c r="F132" s="37">
        <v>0</v>
      </c>
      <c r="G132" s="43">
        <f ca="1">SUMIF('الوارد والمرتجع'!B:F,A132,'الوارد والمرتجع'!E:E)</f>
        <v>0</v>
      </c>
      <c r="H132" s="58">
        <f>SUMIF(الجدول1[كود الصنف],A132,الجدول1[العدد])+SUMIF(الجدول2[كود الصنف],A132,الجدول2[العدد])+SUMIF(الجدول3[كود الصنف],A132,الجدول3[العدد])+SUMIF(الجدول4[كود الصنف],A132,الجدول4[العدد])+SUMIF(الجدول5[كود الصنف],A132,الجدول5[العدد])+SUMIF(الجدول6[كود الصنف],A132,الجدول6[العدد])+SUMIF(الجدول7[كود الصنف],A132,الجدول7[العدد])+SUMIF(الجدول8[كود الصنف],A132,الجدول8[العدد])+SUMIF(الجدول9[كود الصنف],A132,الجدول9[العدد])+SUMIF(الجدول10[كود الصنف],A132,الجدول10[العدد])+SUMIF(الجدول11[كود الصنف],A132,الجدول11[العدد])+SUMIF(الجدول12[كود الصنف],A132,الجدول12[العدد])+SUMIF(الجدول13[كود الصنف],A132,الجدول13[العدد])+SUMIF(الجدول14[كود الصنف],A132,الجدول14[العدد])+SUMIF(الجدول15[كود الصنف],A132,الجدول15[العدد])+SUMIF(الجدول16[كود الصنف],A132,الجدول16[العدد])+SUMIF(الجدول17[كود الصنف],A132,الجدول17[العدد])+SUMIF(الجدول18[كود الصنف],A132,الجدول18[العدد])+SUMIF(الجدول19[كود الصنف],A132,الجدول19[العدد])+SUMIF(الجدول20[كود الصنف],A132,الجدول20[العدد])+SUMIF(الجدول21[كود الصنف],A132,الجدول21[العدد])+SUMIF(الجدول22[كود الصنف],A132,الجدول22[العدد])+SUMIF(الجدول23[كود الصنف],A132,الجدول23[العدد])+SUMIF(الجدول24[كود الصنف],A132,الجدول24[العدد])+SUMIF(الجدول25[كود الصنف],A132,الجدول25[العدد])+SUMIF(الجدول26[كود الصنف],A132,الجدول26[العدد])+SUMIF(الجدول27[كود الصنف],A132,الجدول27[العدد])+SUMIF(الجدول28[كود الصنف],A132,الجدول28[العدد])+SUMIF(الجدول29[كود الصنف],A132,الجدول29[العدد])+SUMIF(الجدول30[كود الصنف],A132,الجدول30[العدد])+SUMIF(الجدول31[كود الصنف],A132,الجدول31[العدد])</f>
        <v>0</v>
      </c>
      <c r="I132" s="47">
        <f ca="1">SUMIF('تكويد الأصناف'!K:N,A132,'تكويد الأصناف'!M:M)</f>
        <v>0</v>
      </c>
      <c r="J132" s="47">
        <f ca="1">SUMIF('تكويد الأصناف'!K:N,A132,'تكويد الأصناف'!N:N)</f>
        <v>0</v>
      </c>
      <c r="K132" s="43">
        <f ca="1">SUMIF('الوارد والمرتجع'!J:M,A132,'الوارد والمرتجع'!M:M)</f>
        <v>0</v>
      </c>
      <c r="L132" s="47">
        <f t="shared" ca="1" si="1"/>
        <v>0</v>
      </c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</row>
    <row r="133" spans="1:23" customFormat="1" ht="15" hidden="1" x14ac:dyDescent="0.2">
      <c r="A133" s="41">
        <v>3009</v>
      </c>
      <c r="B133" s="44">
        <f>VLOOKUP(A133,'تكويد الأصناف'!A:F,3,0)</f>
        <v>1</v>
      </c>
      <c r="C133" s="45">
        <f>VLOOKUP(A133,'تكويد الأصناف'!A:F,6,0)</f>
        <v>0</v>
      </c>
      <c r="D133" s="46">
        <f>VLOOKUP(A133,'تكويد الأصناف'!A:F,5,0)</f>
        <v>0</v>
      </c>
      <c r="E133" s="42">
        <f>VLOOKUP(A133,'تكويد الأصناف'!A:F,4,1)</f>
        <v>0</v>
      </c>
      <c r="F133" s="37">
        <v>0</v>
      </c>
      <c r="G133" s="43">
        <f ca="1">SUMIF('الوارد والمرتجع'!B:F,A133,'الوارد والمرتجع'!E:E)</f>
        <v>0</v>
      </c>
      <c r="H133" s="58">
        <f>SUMIF(الجدول1[كود الصنف],A133,الجدول1[العدد])+SUMIF(الجدول2[كود الصنف],A133,الجدول2[العدد])+SUMIF(الجدول3[كود الصنف],A133,الجدول3[العدد])+SUMIF(الجدول4[كود الصنف],A133,الجدول4[العدد])+SUMIF(الجدول5[كود الصنف],A133,الجدول5[العدد])+SUMIF(الجدول6[كود الصنف],A133,الجدول6[العدد])+SUMIF(الجدول7[كود الصنف],A133,الجدول7[العدد])+SUMIF(الجدول8[كود الصنف],A133,الجدول8[العدد])+SUMIF(الجدول9[كود الصنف],A133,الجدول9[العدد])+SUMIF(الجدول10[كود الصنف],A133,الجدول10[العدد])+SUMIF(الجدول11[كود الصنف],A133,الجدول11[العدد])+SUMIF(الجدول12[كود الصنف],A133,الجدول12[العدد])+SUMIF(الجدول13[كود الصنف],A133,الجدول13[العدد])+SUMIF(الجدول14[كود الصنف],A133,الجدول14[العدد])+SUMIF(الجدول15[كود الصنف],A133,الجدول15[العدد])+SUMIF(الجدول16[كود الصنف],A133,الجدول16[العدد])+SUMIF(الجدول17[كود الصنف],A133,الجدول17[العدد])+SUMIF(الجدول18[كود الصنف],A133,الجدول18[العدد])+SUMIF(الجدول19[كود الصنف],A133,الجدول19[العدد])+SUMIF(الجدول20[كود الصنف],A133,الجدول20[العدد])+SUMIF(الجدول21[كود الصنف],A133,الجدول21[العدد])+SUMIF(الجدول22[كود الصنف],A133,الجدول22[العدد])+SUMIF(الجدول23[كود الصنف],A133,الجدول23[العدد])+SUMIF(الجدول24[كود الصنف],A133,الجدول24[العدد])+SUMIF(الجدول25[كود الصنف],A133,الجدول25[العدد])+SUMIF(الجدول26[كود الصنف],A133,الجدول26[العدد])+SUMIF(الجدول27[كود الصنف],A133,الجدول27[العدد])+SUMIF(الجدول28[كود الصنف],A133,الجدول28[العدد])+SUMIF(الجدول29[كود الصنف],A133,الجدول29[العدد])+SUMIF(الجدول30[كود الصنف],A133,الجدول30[العدد])+SUMIF(الجدول31[كود الصنف],A133,الجدول31[العدد])</f>
        <v>0</v>
      </c>
      <c r="I133" s="47">
        <f ca="1">SUMIF('تكويد الأصناف'!K:N,A133,'تكويد الأصناف'!M:M)</f>
        <v>0</v>
      </c>
      <c r="J133" s="47">
        <f ca="1">SUMIF('تكويد الأصناف'!K:N,A133,'تكويد الأصناف'!N:N)</f>
        <v>0</v>
      </c>
      <c r="K133" s="43">
        <f ca="1">SUMIF('الوارد والمرتجع'!J:M,A133,'الوارد والمرتجع'!M:M)</f>
        <v>0</v>
      </c>
      <c r="L133" s="47">
        <f t="shared" ref="L133:L154" ca="1" si="2">F133+G133-H133-I133+J133-K133</f>
        <v>0</v>
      </c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</row>
    <row r="134" spans="1:23" customFormat="1" ht="15" hidden="1" x14ac:dyDescent="0.2">
      <c r="A134" s="41">
        <v>3010</v>
      </c>
      <c r="B134" s="44">
        <f>VLOOKUP(A134,'تكويد الأصناف'!A:F,3,0)</f>
        <v>1</v>
      </c>
      <c r="C134" s="45">
        <f>VLOOKUP(A134,'تكويد الأصناف'!A:F,6,0)</f>
        <v>0</v>
      </c>
      <c r="D134" s="46">
        <f>VLOOKUP(A134,'تكويد الأصناف'!A:F,5,0)</f>
        <v>0</v>
      </c>
      <c r="E134" s="42">
        <f>VLOOKUP(A134,'تكويد الأصناف'!A:F,4,1)</f>
        <v>0</v>
      </c>
      <c r="F134" s="37">
        <v>0</v>
      </c>
      <c r="G134" s="43">
        <f ca="1">SUMIF('الوارد والمرتجع'!B:F,A134,'الوارد والمرتجع'!E:E)</f>
        <v>0</v>
      </c>
      <c r="H134" s="58">
        <f>SUMIF(الجدول1[كود الصنف],A134,الجدول1[العدد])+SUMIF(الجدول2[كود الصنف],A134,الجدول2[العدد])+SUMIF(الجدول3[كود الصنف],A134,الجدول3[العدد])+SUMIF(الجدول4[كود الصنف],A134,الجدول4[العدد])+SUMIF(الجدول5[كود الصنف],A134,الجدول5[العدد])+SUMIF(الجدول6[كود الصنف],A134,الجدول6[العدد])+SUMIF(الجدول7[كود الصنف],A134,الجدول7[العدد])+SUMIF(الجدول8[كود الصنف],A134,الجدول8[العدد])+SUMIF(الجدول9[كود الصنف],A134,الجدول9[العدد])+SUMIF(الجدول10[كود الصنف],A134,الجدول10[العدد])+SUMIF(الجدول11[كود الصنف],A134,الجدول11[العدد])+SUMIF(الجدول12[كود الصنف],A134,الجدول12[العدد])+SUMIF(الجدول13[كود الصنف],A134,الجدول13[العدد])+SUMIF(الجدول14[كود الصنف],A134,الجدول14[العدد])+SUMIF(الجدول15[كود الصنف],A134,الجدول15[العدد])+SUMIF(الجدول16[كود الصنف],A134,الجدول16[العدد])+SUMIF(الجدول17[كود الصنف],A134,الجدول17[العدد])+SUMIF(الجدول18[كود الصنف],A134,الجدول18[العدد])+SUMIF(الجدول19[كود الصنف],A134,الجدول19[العدد])+SUMIF(الجدول20[كود الصنف],A134,الجدول20[العدد])+SUMIF(الجدول21[كود الصنف],A134,الجدول21[العدد])+SUMIF(الجدول22[كود الصنف],A134,الجدول22[العدد])+SUMIF(الجدول23[كود الصنف],A134,الجدول23[العدد])+SUMIF(الجدول24[كود الصنف],A134,الجدول24[العدد])+SUMIF(الجدول25[كود الصنف],A134,الجدول25[العدد])+SUMIF(الجدول26[كود الصنف],A134,الجدول26[العدد])+SUMIF(الجدول27[كود الصنف],A134,الجدول27[العدد])+SUMIF(الجدول28[كود الصنف],A134,الجدول28[العدد])+SUMIF(الجدول29[كود الصنف],A134,الجدول29[العدد])+SUMIF(الجدول30[كود الصنف],A134,الجدول30[العدد])+SUMIF(الجدول31[كود الصنف],A134,الجدول31[العدد])</f>
        <v>0</v>
      </c>
      <c r="I134" s="47">
        <f ca="1">SUMIF('تكويد الأصناف'!K:N,A134,'تكويد الأصناف'!M:M)</f>
        <v>0</v>
      </c>
      <c r="J134" s="47">
        <f ca="1">SUMIF('تكويد الأصناف'!K:N,A134,'تكويد الأصناف'!N:N)</f>
        <v>0</v>
      </c>
      <c r="K134" s="43">
        <f ca="1">SUMIF('الوارد والمرتجع'!J:M,A134,'الوارد والمرتجع'!M:M)</f>
        <v>0</v>
      </c>
      <c r="L134" s="47">
        <f t="shared" ca="1" si="2"/>
        <v>0</v>
      </c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</row>
    <row r="135" spans="1:23" customFormat="1" ht="15" hidden="1" x14ac:dyDescent="0.2">
      <c r="A135" s="41">
        <v>3011</v>
      </c>
      <c r="B135" s="44">
        <f>VLOOKUP(A135,'تكويد الأصناف'!A:F,3,0)</f>
        <v>1</v>
      </c>
      <c r="C135" s="45">
        <f>VLOOKUP(A135,'تكويد الأصناف'!A:F,6,0)</f>
        <v>0</v>
      </c>
      <c r="D135" s="46">
        <f>VLOOKUP(A135,'تكويد الأصناف'!A:F,5,0)</f>
        <v>0</v>
      </c>
      <c r="E135" s="42">
        <f>VLOOKUP(A135,'تكويد الأصناف'!A:F,4,1)</f>
        <v>0</v>
      </c>
      <c r="F135" s="37">
        <v>0</v>
      </c>
      <c r="G135" s="43">
        <f ca="1">SUMIF('الوارد والمرتجع'!B:F,A135,'الوارد والمرتجع'!E:E)</f>
        <v>0</v>
      </c>
      <c r="H135" s="58">
        <f>SUMIF(الجدول1[كود الصنف],A135,الجدول1[العدد])+SUMIF(الجدول2[كود الصنف],A135,الجدول2[العدد])+SUMIF(الجدول3[كود الصنف],A135,الجدول3[العدد])+SUMIF(الجدول4[كود الصنف],A135,الجدول4[العدد])+SUMIF(الجدول5[كود الصنف],A135,الجدول5[العدد])+SUMIF(الجدول6[كود الصنف],A135,الجدول6[العدد])+SUMIF(الجدول7[كود الصنف],A135,الجدول7[العدد])+SUMIF(الجدول8[كود الصنف],A135,الجدول8[العدد])+SUMIF(الجدول9[كود الصنف],A135,الجدول9[العدد])+SUMIF(الجدول10[كود الصنف],A135,الجدول10[العدد])+SUMIF(الجدول11[كود الصنف],A135,الجدول11[العدد])+SUMIF(الجدول12[كود الصنف],A135,الجدول12[العدد])+SUMIF(الجدول13[كود الصنف],A135,الجدول13[العدد])+SUMIF(الجدول14[كود الصنف],A135,الجدول14[العدد])+SUMIF(الجدول15[كود الصنف],A135,الجدول15[العدد])+SUMIF(الجدول16[كود الصنف],A135,الجدول16[العدد])+SUMIF(الجدول17[كود الصنف],A135,الجدول17[العدد])+SUMIF(الجدول18[كود الصنف],A135,الجدول18[العدد])+SUMIF(الجدول19[كود الصنف],A135,الجدول19[العدد])+SUMIF(الجدول20[كود الصنف],A135,الجدول20[العدد])+SUMIF(الجدول21[كود الصنف],A135,الجدول21[العدد])+SUMIF(الجدول22[كود الصنف],A135,الجدول22[العدد])+SUMIF(الجدول23[كود الصنف],A135,الجدول23[العدد])+SUMIF(الجدول24[كود الصنف],A135,الجدول24[العدد])+SUMIF(الجدول25[كود الصنف],A135,الجدول25[العدد])+SUMIF(الجدول26[كود الصنف],A135,الجدول26[العدد])+SUMIF(الجدول27[كود الصنف],A135,الجدول27[العدد])+SUMIF(الجدول28[كود الصنف],A135,الجدول28[العدد])+SUMIF(الجدول29[كود الصنف],A135,الجدول29[العدد])+SUMIF(الجدول30[كود الصنف],A135,الجدول30[العدد])+SUMIF(الجدول31[كود الصنف],A135,الجدول31[العدد])</f>
        <v>0</v>
      </c>
      <c r="I135" s="47">
        <f ca="1">SUMIF('تكويد الأصناف'!K:N,A135,'تكويد الأصناف'!M:M)</f>
        <v>0</v>
      </c>
      <c r="J135" s="47">
        <f ca="1">SUMIF('تكويد الأصناف'!K:N,A135,'تكويد الأصناف'!N:N)</f>
        <v>0</v>
      </c>
      <c r="K135" s="43">
        <f ca="1">SUMIF('الوارد والمرتجع'!J:M,A135,'الوارد والمرتجع'!M:M)</f>
        <v>0</v>
      </c>
      <c r="L135" s="47">
        <f t="shared" ca="1" si="2"/>
        <v>0</v>
      </c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</row>
    <row r="136" spans="1:23" customFormat="1" ht="15" hidden="1" x14ac:dyDescent="0.2">
      <c r="A136" s="41">
        <v>3012</v>
      </c>
      <c r="B136" s="44">
        <f>VLOOKUP(A136,'تكويد الأصناف'!A:F,3,0)</f>
        <v>1</v>
      </c>
      <c r="C136" s="45">
        <f>VLOOKUP(A136,'تكويد الأصناف'!A:F,6,0)</f>
        <v>0</v>
      </c>
      <c r="D136" s="46">
        <f>VLOOKUP(A136,'تكويد الأصناف'!A:F,5,0)</f>
        <v>0</v>
      </c>
      <c r="E136" s="42">
        <f>VLOOKUP(A136,'تكويد الأصناف'!A:F,4,1)</f>
        <v>0</v>
      </c>
      <c r="F136" s="37">
        <v>0</v>
      </c>
      <c r="G136" s="43">
        <f ca="1">SUMIF('الوارد والمرتجع'!B:F,A136,'الوارد والمرتجع'!E:E)</f>
        <v>0</v>
      </c>
      <c r="H136" s="58">
        <f>SUMIF(الجدول1[كود الصنف],A136,الجدول1[العدد])+SUMIF(الجدول2[كود الصنف],A136,الجدول2[العدد])+SUMIF(الجدول3[كود الصنف],A136,الجدول3[العدد])+SUMIF(الجدول4[كود الصنف],A136,الجدول4[العدد])+SUMIF(الجدول5[كود الصنف],A136,الجدول5[العدد])+SUMIF(الجدول6[كود الصنف],A136,الجدول6[العدد])+SUMIF(الجدول7[كود الصنف],A136,الجدول7[العدد])+SUMIF(الجدول8[كود الصنف],A136,الجدول8[العدد])+SUMIF(الجدول9[كود الصنف],A136,الجدول9[العدد])+SUMIF(الجدول10[كود الصنف],A136,الجدول10[العدد])+SUMIF(الجدول11[كود الصنف],A136,الجدول11[العدد])+SUMIF(الجدول12[كود الصنف],A136,الجدول12[العدد])+SUMIF(الجدول13[كود الصنف],A136,الجدول13[العدد])+SUMIF(الجدول14[كود الصنف],A136,الجدول14[العدد])+SUMIF(الجدول15[كود الصنف],A136,الجدول15[العدد])+SUMIF(الجدول16[كود الصنف],A136,الجدول16[العدد])+SUMIF(الجدول17[كود الصنف],A136,الجدول17[العدد])+SUMIF(الجدول18[كود الصنف],A136,الجدول18[العدد])+SUMIF(الجدول19[كود الصنف],A136,الجدول19[العدد])+SUMIF(الجدول20[كود الصنف],A136,الجدول20[العدد])+SUMIF(الجدول21[كود الصنف],A136,الجدول21[العدد])+SUMIF(الجدول22[كود الصنف],A136,الجدول22[العدد])+SUMIF(الجدول23[كود الصنف],A136,الجدول23[العدد])+SUMIF(الجدول24[كود الصنف],A136,الجدول24[العدد])+SUMIF(الجدول25[كود الصنف],A136,الجدول25[العدد])+SUMIF(الجدول26[كود الصنف],A136,الجدول26[العدد])+SUMIF(الجدول27[كود الصنف],A136,الجدول27[العدد])+SUMIF(الجدول28[كود الصنف],A136,الجدول28[العدد])+SUMIF(الجدول29[كود الصنف],A136,الجدول29[العدد])+SUMIF(الجدول30[كود الصنف],A136,الجدول30[العدد])+SUMIF(الجدول31[كود الصنف],A136,الجدول31[العدد])</f>
        <v>0</v>
      </c>
      <c r="I136" s="47">
        <f ca="1">SUMIF('تكويد الأصناف'!K:N,A136,'تكويد الأصناف'!M:M)</f>
        <v>0</v>
      </c>
      <c r="J136" s="47">
        <f ca="1">SUMIF('تكويد الأصناف'!K:N,A136,'تكويد الأصناف'!N:N)</f>
        <v>0</v>
      </c>
      <c r="K136" s="43">
        <f ca="1">SUMIF('الوارد والمرتجع'!J:M,A136,'الوارد والمرتجع'!M:M)</f>
        <v>0</v>
      </c>
      <c r="L136" s="47">
        <f t="shared" ca="1" si="2"/>
        <v>0</v>
      </c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</row>
    <row r="137" spans="1:23" customFormat="1" ht="15" hidden="1" x14ac:dyDescent="0.2">
      <c r="A137" s="41">
        <v>3013</v>
      </c>
      <c r="B137" s="44">
        <f>VLOOKUP(A137,'تكويد الأصناف'!A:F,3,0)</f>
        <v>1</v>
      </c>
      <c r="C137" s="45">
        <f>VLOOKUP(A137,'تكويد الأصناف'!A:F,6,0)</f>
        <v>0</v>
      </c>
      <c r="D137" s="46">
        <f>VLOOKUP(A137,'تكويد الأصناف'!A:F,5,0)</f>
        <v>0</v>
      </c>
      <c r="E137" s="42">
        <f>VLOOKUP(A137,'تكويد الأصناف'!A:F,4,1)</f>
        <v>0</v>
      </c>
      <c r="F137" s="37">
        <v>0</v>
      </c>
      <c r="G137" s="43">
        <f ca="1">SUMIF('الوارد والمرتجع'!B:F,A137,'الوارد والمرتجع'!E:E)</f>
        <v>0</v>
      </c>
      <c r="H137" s="58">
        <f>SUMIF(الجدول1[كود الصنف],A137,الجدول1[العدد])+SUMIF(الجدول2[كود الصنف],A137,الجدول2[العدد])+SUMIF(الجدول3[كود الصنف],A137,الجدول3[العدد])+SUMIF(الجدول4[كود الصنف],A137,الجدول4[العدد])+SUMIF(الجدول5[كود الصنف],A137,الجدول5[العدد])+SUMIF(الجدول6[كود الصنف],A137,الجدول6[العدد])+SUMIF(الجدول7[كود الصنف],A137,الجدول7[العدد])+SUMIF(الجدول8[كود الصنف],A137,الجدول8[العدد])+SUMIF(الجدول9[كود الصنف],A137,الجدول9[العدد])+SUMIF(الجدول10[كود الصنف],A137,الجدول10[العدد])+SUMIF(الجدول11[كود الصنف],A137,الجدول11[العدد])+SUMIF(الجدول12[كود الصنف],A137,الجدول12[العدد])+SUMIF(الجدول13[كود الصنف],A137,الجدول13[العدد])+SUMIF(الجدول14[كود الصنف],A137,الجدول14[العدد])+SUMIF(الجدول15[كود الصنف],A137,الجدول15[العدد])+SUMIF(الجدول16[كود الصنف],A137,الجدول16[العدد])+SUMIF(الجدول17[كود الصنف],A137,الجدول17[العدد])+SUMIF(الجدول18[كود الصنف],A137,الجدول18[العدد])+SUMIF(الجدول19[كود الصنف],A137,الجدول19[العدد])+SUMIF(الجدول20[كود الصنف],A137,الجدول20[العدد])+SUMIF(الجدول21[كود الصنف],A137,الجدول21[العدد])+SUMIF(الجدول22[كود الصنف],A137,الجدول22[العدد])+SUMIF(الجدول23[كود الصنف],A137,الجدول23[العدد])+SUMIF(الجدول24[كود الصنف],A137,الجدول24[العدد])+SUMIF(الجدول25[كود الصنف],A137,الجدول25[العدد])+SUMIF(الجدول26[كود الصنف],A137,الجدول26[العدد])+SUMIF(الجدول27[كود الصنف],A137,الجدول27[العدد])+SUMIF(الجدول28[كود الصنف],A137,الجدول28[العدد])+SUMIF(الجدول29[كود الصنف],A137,الجدول29[العدد])+SUMIF(الجدول30[كود الصنف],A137,الجدول30[العدد])+SUMIF(الجدول31[كود الصنف],A137,الجدول31[العدد])</f>
        <v>0</v>
      </c>
      <c r="I137" s="47">
        <f ca="1">SUMIF('تكويد الأصناف'!K:N,A137,'تكويد الأصناف'!M:M)</f>
        <v>0</v>
      </c>
      <c r="J137" s="47">
        <f ca="1">SUMIF('تكويد الأصناف'!K:N,A137,'تكويد الأصناف'!N:N)</f>
        <v>0</v>
      </c>
      <c r="K137" s="43">
        <f ca="1">SUMIF('الوارد والمرتجع'!J:M,A137,'الوارد والمرتجع'!M:M)</f>
        <v>0</v>
      </c>
      <c r="L137" s="47">
        <f t="shared" ca="1" si="2"/>
        <v>0</v>
      </c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</row>
    <row r="138" spans="1:23" customFormat="1" ht="15" hidden="1" x14ac:dyDescent="0.2">
      <c r="A138" s="41">
        <v>3014</v>
      </c>
      <c r="B138" s="44">
        <f>VLOOKUP(A138,'تكويد الأصناف'!A:F,3,0)</f>
        <v>1</v>
      </c>
      <c r="C138" s="45">
        <f>VLOOKUP(A138,'تكويد الأصناف'!A:F,6,0)</f>
        <v>0</v>
      </c>
      <c r="D138" s="46">
        <f>VLOOKUP(A138,'تكويد الأصناف'!A:F,5,0)</f>
        <v>0</v>
      </c>
      <c r="E138" s="42">
        <f>VLOOKUP(A138,'تكويد الأصناف'!A:F,4,1)</f>
        <v>0</v>
      </c>
      <c r="F138" s="37">
        <v>0</v>
      </c>
      <c r="G138" s="43">
        <f ca="1">SUMIF('الوارد والمرتجع'!B:F,A138,'الوارد والمرتجع'!E:E)</f>
        <v>0</v>
      </c>
      <c r="H138" s="58">
        <f>SUMIF(الجدول1[كود الصنف],A138,الجدول1[العدد])+SUMIF(الجدول2[كود الصنف],A138,الجدول2[العدد])+SUMIF(الجدول3[كود الصنف],A138,الجدول3[العدد])+SUMIF(الجدول4[كود الصنف],A138,الجدول4[العدد])+SUMIF(الجدول5[كود الصنف],A138,الجدول5[العدد])+SUMIF(الجدول6[كود الصنف],A138,الجدول6[العدد])+SUMIF(الجدول7[كود الصنف],A138,الجدول7[العدد])+SUMIF(الجدول8[كود الصنف],A138,الجدول8[العدد])+SUMIF(الجدول9[كود الصنف],A138,الجدول9[العدد])+SUMIF(الجدول10[كود الصنف],A138,الجدول10[العدد])+SUMIF(الجدول11[كود الصنف],A138,الجدول11[العدد])+SUMIF(الجدول12[كود الصنف],A138,الجدول12[العدد])+SUMIF(الجدول13[كود الصنف],A138,الجدول13[العدد])+SUMIF(الجدول14[كود الصنف],A138,الجدول14[العدد])+SUMIF(الجدول15[كود الصنف],A138,الجدول15[العدد])+SUMIF(الجدول16[كود الصنف],A138,الجدول16[العدد])+SUMIF(الجدول17[كود الصنف],A138,الجدول17[العدد])+SUMIF(الجدول18[كود الصنف],A138,الجدول18[العدد])+SUMIF(الجدول19[كود الصنف],A138,الجدول19[العدد])+SUMIF(الجدول20[كود الصنف],A138,الجدول20[العدد])+SUMIF(الجدول21[كود الصنف],A138,الجدول21[العدد])+SUMIF(الجدول22[كود الصنف],A138,الجدول22[العدد])+SUMIF(الجدول23[كود الصنف],A138,الجدول23[العدد])+SUMIF(الجدول24[كود الصنف],A138,الجدول24[العدد])+SUMIF(الجدول25[كود الصنف],A138,الجدول25[العدد])+SUMIF(الجدول26[كود الصنف],A138,الجدول26[العدد])+SUMIF(الجدول27[كود الصنف],A138,الجدول27[العدد])+SUMIF(الجدول28[كود الصنف],A138,الجدول28[العدد])+SUMIF(الجدول29[كود الصنف],A138,الجدول29[العدد])+SUMIF(الجدول30[كود الصنف],A138,الجدول30[العدد])+SUMIF(الجدول31[كود الصنف],A138,الجدول31[العدد])</f>
        <v>0</v>
      </c>
      <c r="I138" s="47">
        <f ca="1">SUMIF('تكويد الأصناف'!K:N,A138,'تكويد الأصناف'!M:M)</f>
        <v>0</v>
      </c>
      <c r="J138" s="47">
        <f ca="1">SUMIF('تكويد الأصناف'!K:N,A138,'تكويد الأصناف'!N:N)</f>
        <v>0</v>
      </c>
      <c r="K138" s="43">
        <f ca="1">SUMIF('الوارد والمرتجع'!J:M,A138,'الوارد والمرتجع'!M:M)</f>
        <v>0</v>
      </c>
      <c r="L138" s="47">
        <f t="shared" ca="1" si="2"/>
        <v>0</v>
      </c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</row>
    <row r="139" spans="1:23" customFormat="1" ht="15" hidden="1" x14ac:dyDescent="0.2">
      <c r="A139" s="41">
        <v>3015</v>
      </c>
      <c r="B139" s="44">
        <f>VLOOKUP(A139,'تكويد الأصناف'!A:F,3,0)</f>
        <v>1</v>
      </c>
      <c r="C139" s="45">
        <f>VLOOKUP(A139,'تكويد الأصناف'!A:F,6,0)</f>
        <v>0</v>
      </c>
      <c r="D139" s="46">
        <f>VLOOKUP(A139,'تكويد الأصناف'!A:F,5,0)</f>
        <v>0</v>
      </c>
      <c r="E139" s="42">
        <f>VLOOKUP(A139,'تكويد الأصناف'!A:F,4,1)</f>
        <v>0</v>
      </c>
      <c r="F139" s="37">
        <v>0</v>
      </c>
      <c r="G139" s="43">
        <f ca="1">SUMIF('الوارد والمرتجع'!B:F,A139,'الوارد والمرتجع'!E:E)</f>
        <v>0</v>
      </c>
      <c r="H139" s="58">
        <f>SUMIF(الجدول1[كود الصنف],A139,الجدول1[العدد])+SUMIF(الجدول2[كود الصنف],A139,الجدول2[العدد])+SUMIF(الجدول3[كود الصنف],A139,الجدول3[العدد])+SUMIF(الجدول4[كود الصنف],A139,الجدول4[العدد])+SUMIF(الجدول5[كود الصنف],A139,الجدول5[العدد])+SUMIF(الجدول6[كود الصنف],A139,الجدول6[العدد])+SUMIF(الجدول7[كود الصنف],A139,الجدول7[العدد])+SUMIF(الجدول8[كود الصنف],A139,الجدول8[العدد])+SUMIF(الجدول9[كود الصنف],A139,الجدول9[العدد])+SUMIF(الجدول10[كود الصنف],A139,الجدول10[العدد])+SUMIF(الجدول11[كود الصنف],A139,الجدول11[العدد])+SUMIF(الجدول12[كود الصنف],A139,الجدول12[العدد])+SUMIF(الجدول13[كود الصنف],A139,الجدول13[العدد])+SUMIF(الجدول14[كود الصنف],A139,الجدول14[العدد])+SUMIF(الجدول15[كود الصنف],A139,الجدول15[العدد])+SUMIF(الجدول16[كود الصنف],A139,الجدول16[العدد])+SUMIF(الجدول17[كود الصنف],A139,الجدول17[العدد])+SUMIF(الجدول18[كود الصنف],A139,الجدول18[العدد])+SUMIF(الجدول19[كود الصنف],A139,الجدول19[العدد])+SUMIF(الجدول20[كود الصنف],A139,الجدول20[العدد])+SUMIF(الجدول21[كود الصنف],A139,الجدول21[العدد])+SUMIF(الجدول22[كود الصنف],A139,الجدول22[العدد])+SUMIF(الجدول23[كود الصنف],A139,الجدول23[العدد])+SUMIF(الجدول24[كود الصنف],A139,الجدول24[العدد])+SUMIF(الجدول25[كود الصنف],A139,الجدول25[العدد])+SUMIF(الجدول26[كود الصنف],A139,الجدول26[العدد])+SUMIF(الجدول27[كود الصنف],A139,الجدول27[العدد])+SUMIF(الجدول28[كود الصنف],A139,الجدول28[العدد])+SUMIF(الجدول29[كود الصنف],A139,الجدول29[العدد])+SUMIF(الجدول30[كود الصنف],A139,الجدول30[العدد])+SUMIF(الجدول31[كود الصنف],A139,الجدول31[العدد])</f>
        <v>0</v>
      </c>
      <c r="I139" s="47">
        <f ca="1">SUMIF('تكويد الأصناف'!K:N,A139,'تكويد الأصناف'!M:M)</f>
        <v>0</v>
      </c>
      <c r="J139" s="47">
        <f ca="1">SUMIF('تكويد الأصناف'!K:N,A139,'تكويد الأصناف'!N:N)</f>
        <v>0</v>
      </c>
      <c r="K139" s="43">
        <f ca="1">SUMIF('الوارد والمرتجع'!J:M,A139,'الوارد والمرتجع'!M:M)</f>
        <v>0</v>
      </c>
      <c r="L139" s="47">
        <f t="shared" ca="1" si="2"/>
        <v>0</v>
      </c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</row>
    <row r="140" spans="1:23" customFormat="1" ht="15" hidden="1" x14ac:dyDescent="0.2">
      <c r="A140" s="41">
        <v>3016</v>
      </c>
      <c r="B140" s="44">
        <f>VLOOKUP(A140,'تكويد الأصناف'!A:F,3,0)</f>
        <v>1</v>
      </c>
      <c r="C140" s="45">
        <f>VLOOKUP(A140,'تكويد الأصناف'!A:F,6,0)</f>
        <v>0</v>
      </c>
      <c r="D140" s="46">
        <f>VLOOKUP(A140,'تكويد الأصناف'!A:F,5,0)</f>
        <v>0</v>
      </c>
      <c r="E140" s="42">
        <f>VLOOKUP(A140,'تكويد الأصناف'!A:F,4,1)</f>
        <v>0</v>
      </c>
      <c r="F140" s="37">
        <v>0</v>
      </c>
      <c r="G140" s="43">
        <f ca="1">SUMIF('الوارد والمرتجع'!B:F,A140,'الوارد والمرتجع'!E:E)</f>
        <v>0</v>
      </c>
      <c r="H140" s="58">
        <f>SUMIF(الجدول1[كود الصنف],A140,الجدول1[العدد])+SUMIF(الجدول2[كود الصنف],A140,الجدول2[العدد])+SUMIF(الجدول3[كود الصنف],A140,الجدول3[العدد])+SUMIF(الجدول4[كود الصنف],A140,الجدول4[العدد])+SUMIF(الجدول5[كود الصنف],A140,الجدول5[العدد])+SUMIF(الجدول6[كود الصنف],A140,الجدول6[العدد])+SUMIF(الجدول7[كود الصنف],A140,الجدول7[العدد])+SUMIF(الجدول8[كود الصنف],A140,الجدول8[العدد])+SUMIF(الجدول9[كود الصنف],A140,الجدول9[العدد])+SUMIF(الجدول10[كود الصنف],A140,الجدول10[العدد])+SUMIF(الجدول11[كود الصنف],A140,الجدول11[العدد])+SUMIF(الجدول12[كود الصنف],A140,الجدول12[العدد])+SUMIF(الجدول13[كود الصنف],A140,الجدول13[العدد])+SUMIF(الجدول14[كود الصنف],A140,الجدول14[العدد])+SUMIF(الجدول15[كود الصنف],A140,الجدول15[العدد])+SUMIF(الجدول16[كود الصنف],A140,الجدول16[العدد])+SUMIF(الجدول17[كود الصنف],A140,الجدول17[العدد])+SUMIF(الجدول18[كود الصنف],A140,الجدول18[العدد])+SUMIF(الجدول19[كود الصنف],A140,الجدول19[العدد])+SUMIF(الجدول20[كود الصنف],A140,الجدول20[العدد])+SUMIF(الجدول21[كود الصنف],A140,الجدول21[العدد])+SUMIF(الجدول22[كود الصنف],A140,الجدول22[العدد])+SUMIF(الجدول23[كود الصنف],A140,الجدول23[العدد])+SUMIF(الجدول24[كود الصنف],A140,الجدول24[العدد])+SUMIF(الجدول25[كود الصنف],A140,الجدول25[العدد])+SUMIF(الجدول26[كود الصنف],A140,الجدول26[العدد])+SUMIF(الجدول27[كود الصنف],A140,الجدول27[العدد])+SUMIF(الجدول28[كود الصنف],A140,الجدول28[العدد])+SUMIF(الجدول29[كود الصنف],A140,الجدول29[العدد])+SUMIF(الجدول30[كود الصنف],A140,الجدول30[العدد])+SUMIF(الجدول31[كود الصنف],A140,الجدول31[العدد])</f>
        <v>0</v>
      </c>
      <c r="I140" s="47">
        <f ca="1">SUMIF('تكويد الأصناف'!K:N,A140,'تكويد الأصناف'!M:M)</f>
        <v>0</v>
      </c>
      <c r="J140" s="47">
        <f ca="1">SUMIF('تكويد الأصناف'!K:N,A140,'تكويد الأصناف'!N:N)</f>
        <v>0</v>
      </c>
      <c r="K140" s="43">
        <f ca="1">SUMIF('الوارد والمرتجع'!J:M,A140,'الوارد والمرتجع'!M:M)</f>
        <v>0</v>
      </c>
      <c r="L140" s="47">
        <f t="shared" ca="1" si="2"/>
        <v>0</v>
      </c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</row>
    <row r="141" spans="1:23" customFormat="1" ht="15" hidden="1" x14ac:dyDescent="0.2">
      <c r="A141" s="41">
        <v>3017</v>
      </c>
      <c r="B141" s="44">
        <f>VLOOKUP(A141,'تكويد الأصناف'!A:F,3,0)</f>
        <v>1</v>
      </c>
      <c r="C141" s="45">
        <f>VLOOKUP(A141,'تكويد الأصناف'!A:F,6,0)</f>
        <v>0</v>
      </c>
      <c r="D141" s="46">
        <f>VLOOKUP(A141,'تكويد الأصناف'!A:F,5,0)</f>
        <v>0</v>
      </c>
      <c r="E141" s="42">
        <f>VLOOKUP(A141,'تكويد الأصناف'!A:F,4,1)</f>
        <v>0</v>
      </c>
      <c r="F141" s="37">
        <v>0</v>
      </c>
      <c r="G141" s="43">
        <f ca="1">SUMIF('الوارد والمرتجع'!B:F,A141,'الوارد والمرتجع'!E:E)</f>
        <v>0</v>
      </c>
      <c r="H141" s="58">
        <f>SUMIF(الجدول1[كود الصنف],A141,الجدول1[العدد])+SUMIF(الجدول2[كود الصنف],A141,الجدول2[العدد])+SUMIF(الجدول3[كود الصنف],A141,الجدول3[العدد])+SUMIF(الجدول4[كود الصنف],A141,الجدول4[العدد])+SUMIF(الجدول5[كود الصنف],A141,الجدول5[العدد])+SUMIF(الجدول6[كود الصنف],A141,الجدول6[العدد])+SUMIF(الجدول7[كود الصنف],A141,الجدول7[العدد])+SUMIF(الجدول8[كود الصنف],A141,الجدول8[العدد])+SUMIF(الجدول9[كود الصنف],A141,الجدول9[العدد])+SUMIF(الجدول10[كود الصنف],A141,الجدول10[العدد])+SUMIF(الجدول11[كود الصنف],A141,الجدول11[العدد])+SUMIF(الجدول12[كود الصنف],A141,الجدول12[العدد])+SUMIF(الجدول13[كود الصنف],A141,الجدول13[العدد])+SUMIF(الجدول14[كود الصنف],A141,الجدول14[العدد])+SUMIF(الجدول15[كود الصنف],A141,الجدول15[العدد])+SUMIF(الجدول16[كود الصنف],A141,الجدول16[العدد])+SUMIF(الجدول17[كود الصنف],A141,الجدول17[العدد])+SUMIF(الجدول18[كود الصنف],A141,الجدول18[العدد])+SUMIF(الجدول19[كود الصنف],A141,الجدول19[العدد])+SUMIF(الجدول20[كود الصنف],A141,الجدول20[العدد])+SUMIF(الجدول21[كود الصنف],A141,الجدول21[العدد])+SUMIF(الجدول22[كود الصنف],A141,الجدول22[العدد])+SUMIF(الجدول23[كود الصنف],A141,الجدول23[العدد])+SUMIF(الجدول24[كود الصنف],A141,الجدول24[العدد])+SUMIF(الجدول25[كود الصنف],A141,الجدول25[العدد])+SUMIF(الجدول26[كود الصنف],A141,الجدول26[العدد])+SUMIF(الجدول27[كود الصنف],A141,الجدول27[العدد])+SUMIF(الجدول28[كود الصنف],A141,الجدول28[العدد])+SUMIF(الجدول29[كود الصنف],A141,الجدول29[العدد])+SUMIF(الجدول30[كود الصنف],A141,الجدول30[العدد])+SUMIF(الجدول31[كود الصنف],A141,الجدول31[العدد])</f>
        <v>0</v>
      </c>
      <c r="I141" s="47">
        <f ca="1">SUMIF('تكويد الأصناف'!K:N,A141,'تكويد الأصناف'!M:M)</f>
        <v>0</v>
      </c>
      <c r="J141" s="47">
        <f ca="1">SUMIF('تكويد الأصناف'!K:N,A141,'تكويد الأصناف'!N:N)</f>
        <v>0</v>
      </c>
      <c r="K141" s="43">
        <f ca="1">SUMIF('الوارد والمرتجع'!J:M,A141,'الوارد والمرتجع'!M:M)</f>
        <v>0</v>
      </c>
      <c r="L141" s="47">
        <f t="shared" ca="1" si="2"/>
        <v>0</v>
      </c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</row>
    <row r="142" spans="1:23" customFormat="1" ht="15" hidden="1" x14ac:dyDescent="0.2">
      <c r="A142" s="41">
        <v>3018</v>
      </c>
      <c r="B142" s="44">
        <f>VLOOKUP(A142,'تكويد الأصناف'!A:F,3,0)</f>
        <v>1</v>
      </c>
      <c r="C142" s="45">
        <f>VLOOKUP(A142,'تكويد الأصناف'!A:F,6,0)</f>
        <v>0</v>
      </c>
      <c r="D142" s="46">
        <f>VLOOKUP(A142,'تكويد الأصناف'!A:F,5,0)</f>
        <v>0</v>
      </c>
      <c r="E142" s="42">
        <f>VLOOKUP(A142,'تكويد الأصناف'!A:F,4,1)</f>
        <v>0</v>
      </c>
      <c r="F142" s="37">
        <v>0</v>
      </c>
      <c r="G142" s="43">
        <f ca="1">SUMIF('الوارد والمرتجع'!B:F,A142,'الوارد والمرتجع'!E:E)</f>
        <v>0</v>
      </c>
      <c r="H142" s="58">
        <f>SUMIF(الجدول1[كود الصنف],A142,الجدول1[العدد])+SUMIF(الجدول2[كود الصنف],A142,الجدول2[العدد])+SUMIF(الجدول3[كود الصنف],A142,الجدول3[العدد])+SUMIF(الجدول4[كود الصنف],A142,الجدول4[العدد])+SUMIF(الجدول5[كود الصنف],A142,الجدول5[العدد])+SUMIF(الجدول6[كود الصنف],A142,الجدول6[العدد])+SUMIF(الجدول7[كود الصنف],A142,الجدول7[العدد])+SUMIF(الجدول8[كود الصنف],A142,الجدول8[العدد])+SUMIF(الجدول9[كود الصنف],A142,الجدول9[العدد])+SUMIF(الجدول10[كود الصنف],A142,الجدول10[العدد])+SUMIF(الجدول11[كود الصنف],A142,الجدول11[العدد])+SUMIF(الجدول12[كود الصنف],A142,الجدول12[العدد])+SUMIF(الجدول13[كود الصنف],A142,الجدول13[العدد])+SUMIF(الجدول14[كود الصنف],A142,الجدول14[العدد])+SUMIF(الجدول15[كود الصنف],A142,الجدول15[العدد])+SUMIF(الجدول16[كود الصنف],A142,الجدول16[العدد])+SUMIF(الجدول17[كود الصنف],A142,الجدول17[العدد])+SUMIF(الجدول18[كود الصنف],A142,الجدول18[العدد])+SUMIF(الجدول19[كود الصنف],A142,الجدول19[العدد])+SUMIF(الجدول20[كود الصنف],A142,الجدول20[العدد])+SUMIF(الجدول21[كود الصنف],A142,الجدول21[العدد])+SUMIF(الجدول22[كود الصنف],A142,الجدول22[العدد])+SUMIF(الجدول23[كود الصنف],A142,الجدول23[العدد])+SUMIF(الجدول24[كود الصنف],A142,الجدول24[العدد])+SUMIF(الجدول25[كود الصنف],A142,الجدول25[العدد])+SUMIF(الجدول26[كود الصنف],A142,الجدول26[العدد])+SUMIF(الجدول27[كود الصنف],A142,الجدول27[العدد])+SUMIF(الجدول28[كود الصنف],A142,الجدول28[العدد])+SUMIF(الجدول29[كود الصنف],A142,الجدول29[العدد])+SUMIF(الجدول30[كود الصنف],A142,الجدول30[العدد])+SUMIF(الجدول31[كود الصنف],A142,الجدول31[العدد])</f>
        <v>0</v>
      </c>
      <c r="I142" s="47">
        <f ca="1">SUMIF('تكويد الأصناف'!K:N,A142,'تكويد الأصناف'!M:M)</f>
        <v>0</v>
      </c>
      <c r="J142" s="47">
        <f ca="1">SUMIF('تكويد الأصناف'!K:N,A142,'تكويد الأصناف'!N:N)</f>
        <v>0</v>
      </c>
      <c r="K142" s="43">
        <f ca="1">SUMIF('الوارد والمرتجع'!J:M,A142,'الوارد والمرتجع'!M:M)</f>
        <v>0</v>
      </c>
      <c r="L142" s="47">
        <f t="shared" ca="1" si="2"/>
        <v>0</v>
      </c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</row>
    <row r="143" spans="1:23" customFormat="1" ht="15" hidden="1" x14ac:dyDescent="0.2">
      <c r="A143" s="41">
        <v>3019</v>
      </c>
      <c r="B143" s="44">
        <f>VLOOKUP(A143,'تكويد الأصناف'!A:F,3,0)</f>
        <v>1</v>
      </c>
      <c r="C143" s="45">
        <f>VLOOKUP(A143,'تكويد الأصناف'!A:F,6,0)</f>
        <v>0</v>
      </c>
      <c r="D143" s="46">
        <f>VLOOKUP(A143,'تكويد الأصناف'!A:F,5,0)</f>
        <v>0</v>
      </c>
      <c r="E143" s="42">
        <f>VLOOKUP(A143,'تكويد الأصناف'!A:F,4,1)</f>
        <v>0</v>
      </c>
      <c r="F143" s="37">
        <v>0</v>
      </c>
      <c r="G143" s="43">
        <f ca="1">SUMIF('الوارد والمرتجع'!B:F,A143,'الوارد والمرتجع'!E:E)</f>
        <v>0</v>
      </c>
      <c r="H143" s="58">
        <f>SUMIF(الجدول1[كود الصنف],A143,الجدول1[العدد])+SUMIF(الجدول2[كود الصنف],A143,الجدول2[العدد])+SUMIF(الجدول3[كود الصنف],A143,الجدول3[العدد])+SUMIF(الجدول4[كود الصنف],A143,الجدول4[العدد])+SUMIF(الجدول5[كود الصنف],A143,الجدول5[العدد])+SUMIF(الجدول6[كود الصنف],A143,الجدول6[العدد])+SUMIF(الجدول7[كود الصنف],A143,الجدول7[العدد])+SUMIF(الجدول8[كود الصنف],A143,الجدول8[العدد])+SUMIF(الجدول9[كود الصنف],A143,الجدول9[العدد])+SUMIF(الجدول10[كود الصنف],A143,الجدول10[العدد])+SUMIF(الجدول11[كود الصنف],A143,الجدول11[العدد])+SUMIF(الجدول12[كود الصنف],A143,الجدول12[العدد])+SUMIF(الجدول13[كود الصنف],A143,الجدول13[العدد])+SUMIF(الجدول14[كود الصنف],A143,الجدول14[العدد])+SUMIF(الجدول15[كود الصنف],A143,الجدول15[العدد])+SUMIF(الجدول16[كود الصنف],A143,الجدول16[العدد])+SUMIF(الجدول17[كود الصنف],A143,الجدول17[العدد])+SUMIF(الجدول18[كود الصنف],A143,الجدول18[العدد])+SUMIF(الجدول19[كود الصنف],A143,الجدول19[العدد])+SUMIF(الجدول20[كود الصنف],A143,الجدول20[العدد])+SUMIF(الجدول21[كود الصنف],A143,الجدول21[العدد])+SUMIF(الجدول22[كود الصنف],A143,الجدول22[العدد])+SUMIF(الجدول23[كود الصنف],A143,الجدول23[العدد])+SUMIF(الجدول24[كود الصنف],A143,الجدول24[العدد])+SUMIF(الجدول25[كود الصنف],A143,الجدول25[العدد])+SUMIF(الجدول26[كود الصنف],A143,الجدول26[العدد])+SUMIF(الجدول27[كود الصنف],A143,الجدول27[العدد])+SUMIF(الجدول28[كود الصنف],A143,الجدول28[العدد])+SUMIF(الجدول29[كود الصنف],A143,الجدول29[العدد])+SUMIF(الجدول30[كود الصنف],A143,الجدول30[العدد])+SUMIF(الجدول31[كود الصنف],A143,الجدول31[العدد])</f>
        <v>0</v>
      </c>
      <c r="I143" s="47">
        <f ca="1">SUMIF('تكويد الأصناف'!K:N,A143,'تكويد الأصناف'!M:M)</f>
        <v>0</v>
      </c>
      <c r="J143" s="47">
        <f ca="1">SUMIF('تكويد الأصناف'!K:N,A143,'تكويد الأصناف'!N:N)</f>
        <v>0</v>
      </c>
      <c r="K143" s="43">
        <f ca="1">SUMIF('الوارد والمرتجع'!J:M,A143,'الوارد والمرتجع'!M:M)</f>
        <v>0</v>
      </c>
      <c r="L143" s="47">
        <f t="shared" ca="1" si="2"/>
        <v>0</v>
      </c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</row>
    <row r="144" spans="1:23" customFormat="1" ht="15" hidden="1" x14ac:dyDescent="0.2">
      <c r="A144" s="41">
        <v>3020</v>
      </c>
      <c r="B144" s="44">
        <f>VLOOKUP(A144,'تكويد الأصناف'!A:F,3,0)</f>
        <v>1</v>
      </c>
      <c r="C144" s="45">
        <f>VLOOKUP(A144,'تكويد الأصناف'!A:F,6,0)</f>
        <v>0</v>
      </c>
      <c r="D144" s="46">
        <f>VLOOKUP(A144,'تكويد الأصناف'!A:F,5,0)</f>
        <v>0</v>
      </c>
      <c r="E144" s="42">
        <f>VLOOKUP(A144,'تكويد الأصناف'!A:F,4,1)</f>
        <v>0</v>
      </c>
      <c r="F144" s="37">
        <v>0</v>
      </c>
      <c r="G144" s="43">
        <f ca="1">SUMIF('الوارد والمرتجع'!B:F,A144,'الوارد والمرتجع'!E:E)</f>
        <v>0</v>
      </c>
      <c r="H144" s="58">
        <f>SUMIF(الجدول1[كود الصنف],A144,الجدول1[العدد])+SUMIF(الجدول2[كود الصنف],A144,الجدول2[العدد])+SUMIF(الجدول3[كود الصنف],A144,الجدول3[العدد])+SUMIF(الجدول4[كود الصنف],A144,الجدول4[العدد])+SUMIF(الجدول5[كود الصنف],A144,الجدول5[العدد])+SUMIF(الجدول6[كود الصنف],A144,الجدول6[العدد])+SUMIF(الجدول7[كود الصنف],A144,الجدول7[العدد])+SUMIF(الجدول8[كود الصنف],A144,الجدول8[العدد])+SUMIF(الجدول9[كود الصنف],A144,الجدول9[العدد])+SUMIF(الجدول10[كود الصنف],A144,الجدول10[العدد])+SUMIF(الجدول11[كود الصنف],A144,الجدول11[العدد])+SUMIF(الجدول12[كود الصنف],A144,الجدول12[العدد])+SUMIF(الجدول13[كود الصنف],A144,الجدول13[العدد])+SUMIF(الجدول14[كود الصنف],A144,الجدول14[العدد])+SUMIF(الجدول15[كود الصنف],A144,الجدول15[العدد])+SUMIF(الجدول16[كود الصنف],A144,الجدول16[العدد])+SUMIF(الجدول17[كود الصنف],A144,الجدول17[العدد])+SUMIF(الجدول18[كود الصنف],A144,الجدول18[العدد])+SUMIF(الجدول19[كود الصنف],A144,الجدول19[العدد])+SUMIF(الجدول20[كود الصنف],A144,الجدول20[العدد])+SUMIF(الجدول21[كود الصنف],A144,الجدول21[العدد])+SUMIF(الجدول22[كود الصنف],A144,الجدول22[العدد])+SUMIF(الجدول23[كود الصنف],A144,الجدول23[العدد])+SUMIF(الجدول24[كود الصنف],A144,الجدول24[العدد])+SUMIF(الجدول25[كود الصنف],A144,الجدول25[العدد])+SUMIF(الجدول26[كود الصنف],A144,الجدول26[العدد])+SUMIF(الجدول27[كود الصنف],A144,الجدول27[العدد])+SUMIF(الجدول28[كود الصنف],A144,الجدول28[العدد])+SUMIF(الجدول29[كود الصنف],A144,الجدول29[العدد])+SUMIF(الجدول30[كود الصنف],A144,الجدول30[العدد])+SUMIF(الجدول31[كود الصنف],A144,الجدول31[العدد])</f>
        <v>0</v>
      </c>
      <c r="I144" s="47">
        <f ca="1">SUMIF('تكويد الأصناف'!K:N,A144,'تكويد الأصناف'!M:M)</f>
        <v>0</v>
      </c>
      <c r="J144" s="47">
        <f ca="1">SUMIF('تكويد الأصناف'!K:N,A144,'تكويد الأصناف'!N:N)</f>
        <v>0</v>
      </c>
      <c r="K144" s="43">
        <f ca="1">SUMIF('الوارد والمرتجع'!J:M,A144,'الوارد والمرتجع'!M:M)</f>
        <v>0</v>
      </c>
      <c r="L144" s="47">
        <f t="shared" ca="1" si="2"/>
        <v>0</v>
      </c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</row>
    <row r="145" spans="1:23" customFormat="1" ht="15" hidden="1" x14ac:dyDescent="0.2">
      <c r="A145" s="41">
        <v>3021</v>
      </c>
      <c r="B145" s="44">
        <f>VLOOKUP(A145,'تكويد الأصناف'!A:F,3,0)</f>
        <v>1</v>
      </c>
      <c r="C145" s="45">
        <f>VLOOKUP(A145,'تكويد الأصناف'!A:F,6,0)</f>
        <v>0</v>
      </c>
      <c r="D145" s="46">
        <f>VLOOKUP(A145,'تكويد الأصناف'!A:F,5,0)</f>
        <v>0</v>
      </c>
      <c r="E145" s="42">
        <f>VLOOKUP(A145,'تكويد الأصناف'!A:F,4,1)</f>
        <v>0</v>
      </c>
      <c r="F145" s="37">
        <v>0</v>
      </c>
      <c r="G145" s="43">
        <f ca="1">SUMIF('الوارد والمرتجع'!B:F,A145,'الوارد والمرتجع'!E:E)</f>
        <v>0</v>
      </c>
      <c r="H145" s="58">
        <f>SUMIF(الجدول1[كود الصنف],A145,الجدول1[العدد])+SUMIF(الجدول2[كود الصنف],A145,الجدول2[العدد])+SUMIF(الجدول3[كود الصنف],A145,الجدول3[العدد])+SUMIF(الجدول4[كود الصنف],A145,الجدول4[العدد])+SUMIF(الجدول5[كود الصنف],A145,الجدول5[العدد])+SUMIF(الجدول6[كود الصنف],A145,الجدول6[العدد])+SUMIF(الجدول7[كود الصنف],A145,الجدول7[العدد])+SUMIF(الجدول8[كود الصنف],A145,الجدول8[العدد])+SUMIF(الجدول9[كود الصنف],A145,الجدول9[العدد])+SUMIF(الجدول10[كود الصنف],A145,الجدول10[العدد])+SUMIF(الجدول11[كود الصنف],A145,الجدول11[العدد])+SUMIF(الجدول12[كود الصنف],A145,الجدول12[العدد])+SUMIF(الجدول13[كود الصنف],A145,الجدول13[العدد])+SUMIF(الجدول14[كود الصنف],A145,الجدول14[العدد])+SUMIF(الجدول15[كود الصنف],A145,الجدول15[العدد])+SUMIF(الجدول16[كود الصنف],A145,الجدول16[العدد])+SUMIF(الجدول17[كود الصنف],A145,الجدول17[العدد])+SUMIF(الجدول18[كود الصنف],A145,الجدول18[العدد])+SUMIF(الجدول19[كود الصنف],A145,الجدول19[العدد])+SUMIF(الجدول20[كود الصنف],A145,الجدول20[العدد])+SUMIF(الجدول21[كود الصنف],A145,الجدول21[العدد])+SUMIF(الجدول22[كود الصنف],A145,الجدول22[العدد])+SUMIF(الجدول23[كود الصنف],A145,الجدول23[العدد])+SUMIF(الجدول24[كود الصنف],A145,الجدول24[العدد])+SUMIF(الجدول25[كود الصنف],A145,الجدول25[العدد])+SUMIF(الجدول26[كود الصنف],A145,الجدول26[العدد])+SUMIF(الجدول27[كود الصنف],A145,الجدول27[العدد])+SUMIF(الجدول28[كود الصنف],A145,الجدول28[العدد])+SUMIF(الجدول29[كود الصنف],A145,الجدول29[العدد])+SUMIF(الجدول30[كود الصنف],A145,الجدول30[العدد])+SUMIF(الجدول31[كود الصنف],A145,الجدول31[العدد])</f>
        <v>0</v>
      </c>
      <c r="I145" s="47">
        <f ca="1">SUMIF('تكويد الأصناف'!K:N,A145,'تكويد الأصناف'!M:M)</f>
        <v>0</v>
      </c>
      <c r="J145" s="47">
        <f ca="1">SUMIF('تكويد الأصناف'!K:N,A145,'تكويد الأصناف'!N:N)</f>
        <v>0</v>
      </c>
      <c r="K145" s="43">
        <f ca="1">SUMIF('الوارد والمرتجع'!J:M,A145,'الوارد والمرتجع'!M:M)</f>
        <v>0</v>
      </c>
      <c r="L145" s="47">
        <f t="shared" ca="1" si="2"/>
        <v>0</v>
      </c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</row>
    <row r="146" spans="1:23" customFormat="1" ht="15" hidden="1" x14ac:dyDescent="0.2">
      <c r="A146" s="41">
        <v>3022</v>
      </c>
      <c r="B146" s="44">
        <f>VLOOKUP(A146,'تكويد الأصناف'!A:F,3,0)</f>
        <v>1</v>
      </c>
      <c r="C146" s="45">
        <f>VLOOKUP(A146,'تكويد الأصناف'!A:F,6,0)</f>
        <v>0</v>
      </c>
      <c r="D146" s="46">
        <f>VLOOKUP(A146,'تكويد الأصناف'!A:F,5,0)</f>
        <v>0</v>
      </c>
      <c r="E146" s="42">
        <f>VLOOKUP(A146,'تكويد الأصناف'!A:F,4,1)</f>
        <v>0</v>
      </c>
      <c r="F146" s="37">
        <v>0</v>
      </c>
      <c r="G146" s="43">
        <f ca="1">SUMIF('الوارد والمرتجع'!B:F,A146,'الوارد والمرتجع'!E:E)</f>
        <v>0</v>
      </c>
      <c r="H146" s="58">
        <f>SUMIF(الجدول1[كود الصنف],A146,الجدول1[العدد])+SUMIF(الجدول2[كود الصنف],A146,الجدول2[العدد])+SUMIF(الجدول3[كود الصنف],A146,الجدول3[العدد])+SUMIF(الجدول4[كود الصنف],A146,الجدول4[العدد])+SUMIF(الجدول5[كود الصنف],A146,الجدول5[العدد])+SUMIF(الجدول6[كود الصنف],A146,الجدول6[العدد])+SUMIF(الجدول7[كود الصنف],A146,الجدول7[العدد])+SUMIF(الجدول8[كود الصنف],A146,الجدول8[العدد])+SUMIF(الجدول9[كود الصنف],A146,الجدول9[العدد])+SUMIF(الجدول10[كود الصنف],A146,الجدول10[العدد])+SUMIF(الجدول11[كود الصنف],A146,الجدول11[العدد])+SUMIF(الجدول12[كود الصنف],A146,الجدول12[العدد])+SUMIF(الجدول13[كود الصنف],A146,الجدول13[العدد])+SUMIF(الجدول14[كود الصنف],A146,الجدول14[العدد])+SUMIF(الجدول15[كود الصنف],A146,الجدول15[العدد])+SUMIF(الجدول16[كود الصنف],A146,الجدول16[العدد])+SUMIF(الجدول17[كود الصنف],A146,الجدول17[العدد])+SUMIF(الجدول18[كود الصنف],A146,الجدول18[العدد])+SUMIF(الجدول19[كود الصنف],A146,الجدول19[العدد])+SUMIF(الجدول20[كود الصنف],A146,الجدول20[العدد])+SUMIF(الجدول21[كود الصنف],A146,الجدول21[العدد])+SUMIF(الجدول22[كود الصنف],A146,الجدول22[العدد])+SUMIF(الجدول23[كود الصنف],A146,الجدول23[العدد])+SUMIF(الجدول24[كود الصنف],A146,الجدول24[العدد])+SUMIF(الجدول25[كود الصنف],A146,الجدول25[العدد])+SUMIF(الجدول26[كود الصنف],A146,الجدول26[العدد])+SUMIF(الجدول27[كود الصنف],A146,الجدول27[العدد])+SUMIF(الجدول28[كود الصنف],A146,الجدول28[العدد])+SUMIF(الجدول29[كود الصنف],A146,الجدول29[العدد])+SUMIF(الجدول30[كود الصنف],A146,الجدول30[العدد])+SUMIF(الجدول31[كود الصنف],A146,الجدول31[العدد])</f>
        <v>0</v>
      </c>
      <c r="I146" s="47">
        <f ca="1">SUMIF('تكويد الأصناف'!K:N,A146,'تكويد الأصناف'!M:M)</f>
        <v>0</v>
      </c>
      <c r="J146" s="47">
        <f ca="1">SUMIF('تكويد الأصناف'!K:N,A146,'تكويد الأصناف'!N:N)</f>
        <v>0</v>
      </c>
      <c r="K146" s="43">
        <f ca="1">SUMIF('الوارد والمرتجع'!J:M,A146,'الوارد والمرتجع'!M:M)</f>
        <v>0</v>
      </c>
      <c r="L146" s="47">
        <f t="shared" ca="1" si="2"/>
        <v>0</v>
      </c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</row>
    <row r="147" spans="1:23" customFormat="1" ht="15" hidden="1" x14ac:dyDescent="0.2">
      <c r="A147" s="41">
        <v>3023</v>
      </c>
      <c r="B147" s="44">
        <f>VLOOKUP(A147,'تكويد الأصناف'!A:F,3,0)</f>
        <v>1</v>
      </c>
      <c r="C147" s="45">
        <f>VLOOKUP(A147,'تكويد الأصناف'!A:F,6,0)</f>
        <v>0</v>
      </c>
      <c r="D147" s="46">
        <f>VLOOKUP(A147,'تكويد الأصناف'!A:F,5,0)</f>
        <v>0</v>
      </c>
      <c r="E147" s="42">
        <f>VLOOKUP(A147,'تكويد الأصناف'!A:F,4,1)</f>
        <v>0</v>
      </c>
      <c r="F147" s="37">
        <v>0</v>
      </c>
      <c r="G147" s="43">
        <f ca="1">SUMIF('الوارد والمرتجع'!B:F,A147,'الوارد والمرتجع'!E:E)</f>
        <v>0</v>
      </c>
      <c r="H147" s="58">
        <f>SUMIF(الجدول1[كود الصنف],A147,الجدول1[العدد])+SUMIF(الجدول2[كود الصنف],A147,الجدول2[العدد])+SUMIF(الجدول3[كود الصنف],A147,الجدول3[العدد])+SUMIF(الجدول4[كود الصنف],A147,الجدول4[العدد])+SUMIF(الجدول5[كود الصنف],A147,الجدول5[العدد])+SUMIF(الجدول6[كود الصنف],A147,الجدول6[العدد])+SUMIF(الجدول7[كود الصنف],A147,الجدول7[العدد])+SUMIF(الجدول8[كود الصنف],A147,الجدول8[العدد])+SUMIF(الجدول9[كود الصنف],A147,الجدول9[العدد])+SUMIF(الجدول10[كود الصنف],A147,الجدول10[العدد])+SUMIF(الجدول11[كود الصنف],A147,الجدول11[العدد])+SUMIF(الجدول12[كود الصنف],A147,الجدول12[العدد])+SUMIF(الجدول13[كود الصنف],A147,الجدول13[العدد])+SUMIF(الجدول14[كود الصنف],A147,الجدول14[العدد])+SUMIF(الجدول15[كود الصنف],A147,الجدول15[العدد])+SUMIF(الجدول16[كود الصنف],A147,الجدول16[العدد])+SUMIF(الجدول17[كود الصنف],A147,الجدول17[العدد])+SUMIF(الجدول18[كود الصنف],A147,الجدول18[العدد])+SUMIF(الجدول19[كود الصنف],A147,الجدول19[العدد])+SUMIF(الجدول20[كود الصنف],A147,الجدول20[العدد])+SUMIF(الجدول21[كود الصنف],A147,الجدول21[العدد])+SUMIF(الجدول22[كود الصنف],A147,الجدول22[العدد])+SUMIF(الجدول23[كود الصنف],A147,الجدول23[العدد])+SUMIF(الجدول24[كود الصنف],A147,الجدول24[العدد])+SUMIF(الجدول25[كود الصنف],A147,الجدول25[العدد])+SUMIF(الجدول26[كود الصنف],A147,الجدول26[العدد])+SUMIF(الجدول27[كود الصنف],A147,الجدول27[العدد])+SUMIF(الجدول28[كود الصنف],A147,الجدول28[العدد])+SUMIF(الجدول29[كود الصنف],A147,الجدول29[العدد])+SUMIF(الجدول30[كود الصنف],A147,الجدول30[العدد])+SUMIF(الجدول31[كود الصنف],A147,الجدول31[العدد])</f>
        <v>0</v>
      </c>
      <c r="I147" s="47">
        <f ca="1">SUMIF('تكويد الأصناف'!K:N,A147,'تكويد الأصناف'!M:M)</f>
        <v>0</v>
      </c>
      <c r="J147" s="47">
        <f ca="1">SUMIF('تكويد الأصناف'!K:N,A147,'تكويد الأصناف'!N:N)</f>
        <v>0</v>
      </c>
      <c r="K147" s="43">
        <f ca="1">SUMIF('الوارد والمرتجع'!J:M,A147,'الوارد والمرتجع'!M:M)</f>
        <v>0</v>
      </c>
      <c r="L147" s="47">
        <f t="shared" ca="1" si="2"/>
        <v>0</v>
      </c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</row>
    <row r="148" spans="1:23" customFormat="1" ht="15" hidden="1" x14ac:dyDescent="0.2">
      <c r="A148" s="41">
        <v>3024</v>
      </c>
      <c r="B148" s="44">
        <f>VLOOKUP(A148,'تكويد الأصناف'!A:F,3,0)</f>
        <v>1</v>
      </c>
      <c r="C148" s="45">
        <f>VLOOKUP(A148,'تكويد الأصناف'!A:F,6,0)</f>
        <v>0</v>
      </c>
      <c r="D148" s="46">
        <f>VLOOKUP(A148,'تكويد الأصناف'!A:F,5,0)</f>
        <v>0</v>
      </c>
      <c r="E148" s="42">
        <f>VLOOKUP(A148,'تكويد الأصناف'!A:F,4,1)</f>
        <v>0</v>
      </c>
      <c r="F148" s="37">
        <v>0</v>
      </c>
      <c r="G148" s="43">
        <f ca="1">SUMIF('الوارد والمرتجع'!B:F,A148,'الوارد والمرتجع'!E:E)</f>
        <v>0</v>
      </c>
      <c r="H148" s="58">
        <f>SUMIF(الجدول1[كود الصنف],A148,الجدول1[العدد])+SUMIF(الجدول2[كود الصنف],A148,الجدول2[العدد])+SUMIF(الجدول3[كود الصنف],A148,الجدول3[العدد])+SUMIF(الجدول4[كود الصنف],A148,الجدول4[العدد])+SUMIF(الجدول5[كود الصنف],A148,الجدول5[العدد])+SUMIF(الجدول6[كود الصنف],A148,الجدول6[العدد])+SUMIF(الجدول7[كود الصنف],A148,الجدول7[العدد])+SUMIF(الجدول8[كود الصنف],A148,الجدول8[العدد])+SUMIF(الجدول9[كود الصنف],A148,الجدول9[العدد])+SUMIF(الجدول10[كود الصنف],A148,الجدول10[العدد])+SUMIF(الجدول11[كود الصنف],A148,الجدول11[العدد])+SUMIF(الجدول12[كود الصنف],A148,الجدول12[العدد])+SUMIF(الجدول13[كود الصنف],A148,الجدول13[العدد])+SUMIF(الجدول14[كود الصنف],A148,الجدول14[العدد])+SUMIF(الجدول15[كود الصنف],A148,الجدول15[العدد])+SUMIF(الجدول16[كود الصنف],A148,الجدول16[العدد])+SUMIF(الجدول17[كود الصنف],A148,الجدول17[العدد])+SUMIF(الجدول18[كود الصنف],A148,الجدول18[العدد])+SUMIF(الجدول19[كود الصنف],A148,الجدول19[العدد])+SUMIF(الجدول20[كود الصنف],A148,الجدول20[العدد])+SUMIF(الجدول21[كود الصنف],A148,الجدول21[العدد])+SUMIF(الجدول22[كود الصنف],A148,الجدول22[العدد])+SUMIF(الجدول23[كود الصنف],A148,الجدول23[العدد])+SUMIF(الجدول24[كود الصنف],A148,الجدول24[العدد])+SUMIF(الجدول25[كود الصنف],A148,الجدول25[العدد])+SUMIF(الجدول26[كود الصنف],A148,الجدول26[العدد])+SUMIF(الجدول27[كود الصنف],A148,الجدول27[العدد])+SUMIF(الجدول28[كود الصنف],A148,الجدول28[العدد])+SUMIF(الجدول29[كود الصنف],A148,الجدول29[العدد])+SUMIF(الجدول30[كود الصنف],A148,الجدول30[العدد])+SUMIF(الجدول31[كود الصنف],A148,الجدول31[العدد])</f>
        <v>0</v>
      </c>
      <c r="I148" s="47">
        <f ca="1">SUMIF('تكويد الأصناف'!K:N,A148,'تكويد الأصناف'!M:M)</f>
        <v>0</v>
      </c>
      <c r="J148" s="47">
        <f ca="1">SUMIF('تكويد الأصناف'!K:N,A148,'تكويد الأصناف'!N:N)</f>
        <v>0</v>
      </c>
      <c r="K148" s="43">
        <f ca="1">SUMIF('الوارد والمرتجع'!J:M,A148,'الوارد والمرتجع'!M:M)</f>
        <v>0</v>
      </c>
      <c r="L148" s="47">
        <f t="shared" ca="1" si="2"/>
        <v>0</v>
      </c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</row>
    <row r="149" spans="1:23" customFormat="1" ht="15" hidden="1" x14ac:dyDescent="0.2">
      <c r="A149" s="41">
        <v>3025</v>
      </c>
      <c r="B149" s="44">
        <f>VLOOKUP(A149,'تكويد الأصناف'!A:F,3,0)</f>
        <v>1</v>
      </c>
      <c r="C149" s="45">
        <f>VLOOKUP(A149,'تكويد الأصناف'!A:F,6,0)</f>
        <v>0</v>
      </c>
      <c r="D149" s="46">
        <f>VLOOKUP(A149,'تكويد الأصناف'!A:F,5,0)</f>
        <v>0</v>
      </c>
      <c r="E149" s="42">
        <f>VLOOKUP(A149,'تكويد الأصناف'!A:F,4,1)</f>
        <v>0</v>
      </c>
      <c r="F149" s="37">
        <v>0</v>
      </c>
      <c r="G149" s="43">
        <f ca="1">SUMIF('الوارد والمرتجع'!B:F,A149,'الوارد والمرتجع'!E:E)</f>
        <v>0</v>
      </c>
      <c r="H149" s="58">
        <f>SUMIF(الجدول1[كود الصنف],A149,الجدول1[العدد])+SUMIF(الجدول2[كود الصنف],A149,الجدول2[العدد])+SUMIF(الجدول3[كود الصنف],A149,الجدول3[العدد])+SUMIF(الجدول4[كود الصنف],A149,الجدول4[العدد])+SUMIF(الجدول5[كود الصنف],A149,الجدول5[العدد])+SUMIF(الجدول6[كود الصنف],A149,الجدول6[العدد])+SUMIF(الجدول7[كود الصنف],A149,الجدول7[العدد])+SUMIF(الجدول8[كود الصنف],A149,الجدول8[العدد])+SUMIF(الجدول9[كود الصنف],A149,الجدول9[العدد])+SUMIF(الجدول10[كود الصنف],A149,الجدول10[العدد])+SUMIF(الجدول11[كود الصنف],A149,الجدول11[العدد])+SUMIF(الجدول12[كود الصنف],A149,الجدول12[العدد])+SUMIF(الجدول13[كود الصنف],A149,الجدول13[العدد])+SUMIF(الجدول14[كود الصنف],A149,الجدول14[العدد])+SUMIF(الجدول15[كود الصنف],A149,الجدول15[العدد])+SUMIF(الجدول16[كود الصنف],A149,الجدول16[العدد])+SUMIF(الجدول17[كود الصنف],A149,الجدول17[العدد])+SUMIF(الجدول18[كود الصنف],A149,الجدول18[العدد])+SUMIF(الجدول19[كود الصنف],A149,الجدول19[العدد])+SUMIF(الجدول20[كود الصنف],A149,الجدول20[العدد])+SUMIF(الجدول21[كود الصنف],A149,الجدول21[العدد])+SUMIF(الجدول22[كود الصنف],A149,الجدول22[العدد])+SUMIF(الجدول23[كود الصنف],A149,الجدول23[العدد])+SUMIF(الجدول24[كود الصنف],A149,الجدول24[العدد])+SUMIF(الجدول25[كود الصنف],A149,الجدول25[العدد])+SUMIF(الجدول26[كود الصنف],A149,الجدول26[العدد])+SUMIF(الجدول27[كود الصنف],A149,الجدول27[العدد])+SUMIF(الجدول28[كود الصنف],A149,الجدول28[العدد])+SUMIF(الجدول29[كود الصنف],A149,الجدول29[العدد])+SUMIF(الجدول30[كود الصنف],A149,الجدول30[العدد])+SUMIF(الجدول31[كود الصنف],A149,الجدول31[العدد])</f>
        <v>0</v>
      </c>
      <c r="I149" s="47">
        <f ca="1">SUMIF('تكويد الأصناف'!K:N,A149,'تكويد الأصناف'!M:M)</f>
        <v>0</v>
      </c>
      <c r="J149" s="47">
        <f ca="1">SUMIF('تكويد الأصناف'!K:N,A149,'تكويد الأصناف'!N:N)</f>
        <v>0</v>
      </c>
      <c r="K149" s="43">
        <f ca="1">SUMIF('الوارد والمرتجع'!J:M,A149,'الوارد والمرتجع'!M:M)</f>
        <v>0</v>
      </c>
      <c r="L149" s="47">
        <f t="shared" ca="1" si="2"/>
        <v>0</v>
      </c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</row>
    <row r="150" spans="1:23" customFormat="1" ht="15" hidden="1" x14ac:dyDescent="0.2">
      <c r="A150" s="41">
        <v>3026</v>
      </c>
      <c r="B150" s="44">
        <f>VLOOKUP(A150,'تكويد الأصناف'!A:F,3,0)</f>
        <v>1</v>
      </c>
      <c r="C150" s="45">
        <f>VLOOKUP(A150,'تكويد الأصناف'!A:F,6,0)</f>
        <v>0</v>
      </c>
      <c r="D150" s="46">
        <f>VLOOKUP(A150,'تكويد الأصناف'!A:F,5,0)</f>
        <v>0</v>
      </c>
      <c r="E150" s="42">
        <f>VLOOKUP(A150,'تكويد الأصناف'!A:F,4,1)</f>
        <v>0</v>
      </c>
      <c r="F150" s="37">
        <v>0</v>
      </c>
      <c r="G150" s="43">
        <f ca="1">SUMIF('الوارد والمرتجع'!B:F,A150,'الوارد والمرتجع'!E:E)</f>
        <v>0</v>
      </c>
      <c r="H150" s="58">
        <f>SUMIF(الجدول1[كود الصنف],A150,الجدول1[العدد])+SUMIF(الجدول2[كود الصنف],A150,الجدول2[العدد])+SUMIF(الجدول3[كود الصنف],A150,الجدول3[العدد])+SUMIF(الجدول4[كود الصنف],A150,الجدول4[العدد])+SUMIF(الجدول5[كود الصنف],A150,الجدول5[العدد])+SUMIF(الجدول6[كود الصنف],A150,الجدول6[العدد])+SUMIF(الجدول7[كود الصنف],A150,الجدول7[العدد])+SUMIF(الجدول8[كود الصنف],A150,الجدول8[العدد])+SUMIF(الجدول9[كود الصنف],A150,الجدول9[العدد])+SUMIF(الجدول10[كود الصنف],A150,الجدول10[العدد])+SUMIF(الجدول11[كود الصنف],A150,الجدول11[العدد])+SUMIF(الجدول12[كود الصنف],A150,الجدول12[العدد])+SUMIF(الجدول13[كود الصنف],A150,الجدول13[العدد])+SUMIF(الجدول14[كود الصنف],A150,الجدول14[العدد])+SUMIF(الجدول15[كود الصنف],A150,الجدول15[العدد])+SUMIF(الجدول16[كود الصنف],A150,الجدول16[العدد])+SUMIF(الجدول17[كود الصنف],A150,الجدول17[العدد])+SUMIF(الجدول18[كود الصنف],A150,الجدول18[العدد])+SUMIF(الجدول19[كود الصنف],A150,الجدول19[العدد])+SUMIF(الجدول20[كود الصنف],A150,الجدول20[العدد])+SUMIF(الجدول21[كود الصنف],A150,الجدول21[العدد])+SUMIF(الجدول22[كود الصنف],A150,الجدول22[العدد])+SUMIF(الجدول23[كود الصنف],A150,الجدول23[العدد])+SUMIF(الجدول24[كود الصنف],A150,الجدول24[العدد])+SUMIF(الجدول25[كود الصنف],A150,الجدول25[العدد])+SUMIF(الجدول26[كود الصنف],A150,الجدول26[العدد])+SUMIF(الجدول27[كود الصنف],A150,الجدول27[العدد])+SUMIF(الجدول28[كود الصنف],A150,الجدول28[العدد])+SUMIF(الجدول29[كود الصنف],A150,الجدول29[العدد])+SUMIF(الجدول30[كود الصنف],A150,الجدول30[العدد])+SUMIF(الجدول31[كود الصنف],A150,الجدول31[العدد])</f>
        <v>0</v>
      </c>
      <c r="I150" s="47">
        <f ca="1">SUMIF('تكويد الأصناف'!K:N,A150,'تكويد الأصناف'!M:M)</f>
        <v>0</v>
      </c>
      <c r="J150" s="47">
        <f ca="1">SUMIF('تكويد الأصناف'!K:N,A150,'تكويد الأصناف'!N:N)</f>
        <v>0</v>
      </c>
      <c r="K150" s="43">
        <f ca="1">SUMIF('الوارد والمرتجع'!J:M,A150,'الوارد والمرتجع'!M:M)</f>
        <v>0</v>
      </c>
      <c r="L150" s="47">
        <f t="shared" ca="1" si="2"/>
        <v>0</v>
      </c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</row>
    <row r="151" spans="1:23" customFormat="1" ht="15" hidden="1" x14ac:dyDescent="0.2">
      <c r="A151" s="41">
        <v>3027</v>
      </c>
      <c r="B151" s="44">
        <f>VLOOKUP(A151,'تكويد الأصناف'!A:F,3,0)</f>
        <v>1</v>
      </c>
      <c r="C151" s="45">
        <f>VLOOKUP(A151,'تكويد الأصناف'!A:F,6,0)</f>
        <v>0</v>
      </c>
      <c r="D151" s="46">
        <f>VLOOKUP(A151,'تكويد الأصناف'!A:F,5,0)</f>
        <v>0</v>
      </c>
      <c r="E151" s="42">
        <f>VLOOKUP(A151,'تكويد الأصناف'!A:F,4,1)</f>
        <v>0</v>
      </c>
      <c r="F151" s="37">
        <v>0</v>
      </c>
      <c r="G151" s="43">
        <f ca="1">SUMIF('الوارد والمرتجع'!B:F,A151,'الوارد والمرتجع'!E:E)</f>
        <v>0</v>
      </c>
      <c r="H151" s="58">
        <f>SUMIF(الجدول1[كود الصنف],A151,الجدول1[العدد])+SUMIF(الجدول2[كود الصنف],A151,الجدول2[العدد])+SUMIF(الجدول3[كود الصنف],A151,الجدول3[العدد])+SUMIF(الجدول4[كود الصنف],A151,الجدول4[العدد])+SUMIF(الجدول5[كود الصنف],A151,الجدول5[العدد])+SUMIF(الجدول6[كود الصنف],A151,الجدول6[العدد])+SUMIF(الجدول7[كود الصنف],A151,الجدول7[العدد])+SUMIF(الجدول8[كود الصنف],A151,الجدول8[العدد])+SUMIF(الجدول9[كود الصنف],A151,الجدول9[العدد])+SUMIF(الجدول10[كود الصنف],A151,الجدول10[العدد])+SUMIF(الجدول11[كود الصنف],A151,الجدول11[العدد])+SUMIF(الجدول12[كود الصنف],A151,الجدول12[العدد])+SUMIF(الجدول13[كود الصنف],A151,الجدول13[العدد])+SUMIF(الجدول14[كود الصنف],A151,الجدول14[العدد])+SUMIF(الجدول15[كود الصنف],A151,الجدول15[العدد])+SUMIF(الجدول16[كود الصنف],A151,الجدول16[العدد])+SUMIF(الجدول17[كود الصنف],A151,الجدول17[العدد])+SUMIF(الجدول18[كود الصنف],A151,الجدول18[العدد])+SUMIF(الجدول19[كود الصنف],A151,الجدول19[العدد])+SUMIF(الجدول20[كود الصنف],A151,الجدول20[العدد])+SUMIF(الجدول21[كود الصنف],A151,الجدول21[العدد])+SUMIF(الجدول22[كود الصنف],A151,الجدول22[العدد])+SUMIF(الجدول23[كود الصنف],A151,الجدول23[العدد])+SUMIF(الجدول24[كود الصنف],A151,الجدول24[العدد])+SUMIF(الجدول25[كود الصنف],A151,الجدول25[العدد])+SUMIF(الجدول26[كود الصنف],A151,الجدول26[العدد])+SUMIF(الجدول27[كود الصنف],A151,الجدول27[العدد])+SUMIF(الجدول28[كود الصنف],A151,الجدول28[العدد])+SUMIF(الجدول29[كود الصنف],A151,الجدول29[العدد])+SUMIF(الجدول30[كود الصنف],A151,الجدول30[العدد])+SUMIF(الجدول31[كود الصنف],A151,الجدول31[العدد])</f>
        <v>0</v>
      </c>
      <c r="I151" s="47">
        <f ca="1">SUMIF('تكويد الأصناف'!K:N,A151,'تكويد الأصناف'!M:M)</f>
        <v>0</v>
      </c>
      <c r="J151" s="47">
        <f ca="1">SUMIF('تكويد الأصناف'!K:N,A151,'تكويد الأصناف'!N:N)</f>
        <v>0</v>
      </c>
      <c r="K151" s="43">
        <f ca="1">SUMIF('الوارد والمرتجع'!J:M,A151,'الوارد والمرتجع'!M:M)</f>
        <v>0</v>
      </c>
      <c r="L151" s="47">
        <f t="shared" ca="1" si="2"/>
        <v>0</v>
      </c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</row>
    <row r="152" spans="1:23" customFormat="1" ht="15" hidden="1" x14ac:dyDescent="0.2">
      <c r="A152" s="41">
        <v>3028</v>
      </c>
      <c r="B152" s="44">
        <f>VLOOKUP(A152,'تكويد الأصناف'!A:F,3,0)</f>
        <v>1</v>
      </c>
      <c r="C152" s="45">
        <f>VLOOKUP(A152,'تكويد الأصناف'!A:F,6,0)</f>
        <v>0</v>
      </c>
      <c r="D152" s="46">
        <f>VLOOKUP(A152,'تكويد الأصناف'!A:F,5,0)</f>
        <v>0</v>
      </c>
      <c r="E152" s="42">
        <f>VLOOKUP(A152,'تكويد الأصناف'!A:F,4,1)</f>
        <v>0</v>
      </c>
      <c r="F152" s="37">
        <v>0</v>
      </c>
      <c r="G152" s="43">
        <f ca="1">SUMIF('الوارد والمرتجع'!B:F,A152,'الوارد والمرتجع'!E:E)</f>
        <v>0</v>
      </c>
      <c r="H152" s="58">
        <f>SUMIF(الجدول1[كود الصنف],A152,الجدول1[العدد])+SUMIF(الجدول2[كود الصنف],A152,الجدول2[العدد])+SUMIF(الجدول3[كود الصنف],A152,الجدول3[العدد])+SUMIF(الجدول4[كود الصنف],A152,الجدول4[العدد])+SUMIF(الجدول5[كود الصنف],A152,الجدول5[العدد])+SUMIF(الجدول6[كود الصنف],A152,الجدول6[العدد])+SUMIF(الجدول7[كود الصنف],A152,الجدول7[العدد])+SUMIF(الجدول8[كود الصنف],A152,الجدول8[العدد])+SUMIF(الجدول9[كود الصنف],A152,الجدول9[العدد])+SUMIF(الجدول10[كود الصنف],A152,الجدول10[العدد])+SUMIF(الجدول11[كود الصنف],A152,الجدول11[العدد])+SUMIF(الجدول12[كود الصنف],A152,الجدول12[العدد])+SUMIF(الجدول13[كود الصنف],A152,الجدول13[العدد])+SUMIF(الجدول14[كود الصنف],A152,الجدول14[العدد])+SUMIF(الجدول15[كود الصنف],A152,الجدول15[العدد])+SUMIF(الجدول16[كود الصنف],A152,الجدول16[العدد])+SUMIF(الجدول17[كود الصنف],A152,الجدول17[العدد])+SUMIF(الجدول18[كود الصنف],A152,الجدول18[العدد])+SUMIF(الجدول19[كود الصنف],A152,الجدول19[العدد])+SUMIF(الجدول20[كود الصنف],A152,الجدول20[العدد])+SUMIF(الجدول21[كود الصنف],A152,الجدول21[العدد])+SUMIF(الجدول22[كود الصنف],A152,الجدول22[العدد])+SUMIF(الجدول23[كود الصنف],A152,الجدول23[العدد])+SUMIF(الجدول24[كود الصنف],A152,الجدول24[العدد])+SUMIF(الجدول25[كود الصنف],A152,الجدول25[العدد])+SUMIF(الجدول26[كود الصنف],A152,الجدول26[العدد])+SUMIF(الجدول27[كود الصنف],A152,الجدول27[العدد])+SUMIF(الجدول28[كود الصنف],A152,الجدول28[العدد])+SUMIF(الجدول29[كود الصنف],A152,الجدول29[العدد])+SUMIF(الجدول30[كود الصنف],A152,الجدول30[العدد])+SUMIF(الجدول31[كود الصنف],A152,الجدول31[العدد])</f>
        <v>0</v>
      </c>
      <c r="I152" s="47">
        <f ca="1">SUMIF('تكويد الأصناف'!K:N,A152,'تكويد الأصناف'!M:M)</f>
        <v>0</v>
      </c>
      <c r="J152" s="47">
        <f ca="1">SUMIF('تكويد الأصناف'!K:N,A152,'تكويد الأصناف'!N:N)</f>
        <v>0</v>
      </c>
      <c r="K152" s="43">
        <f ca="1">SUMIF('الوارد والمرتجع'!J:M,A152,'الوارد والمرتجع'!M:M)</f>
        <v>0</v>
      </c>
      <c r="L152" s="47">
        <f t="shared" ca="1" si="2"/>
        <v>0</v>
      </c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</row>
    <row r="153" spans="1:23" customFormat="1" ht="15" hidden="1" x14ac:dyDescent="0.2">
      <c r="A153" s="41">
        <v>3029</v>
      </c>
      <c r="B153" s="44">
        <f>VLOOKUP(A153,'تكويد الأصناف'!A:F,3,0)</f>
        <v>1</v>
      </c>
      <c r="C153" s="45">
        <f>VLOOKUP(A153,'تكويد الأصناف'!A:F,6,0)</f>
        <v>0</v>
      </c>
      <c r="D153" s="46">
        <f>VLOOKUP(A153,'تكويد الأصناف'!A:F,5,0)</f>
        <v>0</v>
      </c>
      <c r="E153" s="42">
        <f>VLOOKUP(A153,'تكويد الأصناف'!A:F,4,1)</f>
        <v>0</v>
      </c>
      <c r="F153" s="37">
        <v>0</v>
      </c>
      <c r="G153" s="43">
        <f ca="1">SUMIF('الوارد والمرتجع'!B:F,A153,'الوارد والمرتجع'!E:E)</f>
        <v>0</v>
      </c>
      <c r="H153" s="58">
        <f>SUMIF(الجدول1[كود الصنف],A153,الجدول1[العدد])+SUMIF(الجدول2[كود الصنف],A153,الجدول2[العدد])+SUMIF(الجدول3[كود الصنف],A153,الجدول3[العدد])+SUMIF(الجدول4[كود الصنف],A153,الجدول4[العدد])+SUMIF(الجدول5[كود الصنف],A153,الجدول5[العدد])+SUMIF(الجدول6[كود الصنف],A153,الجدول6[العدد])+SUMIF(الجدول7[كود الصنف],A153,الجدول7[العدد])+SUMIF(الجدول8[كود الصنف],A153,الجدول8[العدد])+SUMIF(الجدول9[كود الصنف],A153,الجدول9[العدد])+SUMIF(الجدول10[كود الصنف],A153,الجدول10[العدد])+SUMIF(الجدول11[كود الصنف],A153,الجدول11[العدد])+SUMIF(الجدول12[كود الصنف],A153,الجدول12[العدد])+SUMIF(الجدول13[كود الصنف],A153,الجدول13[العدد])+SUMIF(الجدول14[كود الصنف],A153,الجدول14[العدد])+SUMIF(الجدول15[كود الصنف],A153,الجدول15[العدد])+SUMIF(الجدول16[كود الصنف],A153,الجدول16[العدد])+SUMIF(الجدول17[كود الصنف],A153,الجدول17[العدد])+SUMIF(الجدول18[كود الصنف],A153,الجدول18[العدد])+SUMIF(الجدول19[كود الصنف],A153,الجدول19[العدد])+SUMIF(الجدول20[كود الصنف],A153,الجدول20[العدد])+SUMIF(الجدول21[كود الصنف],A153,الجدول21[العدد])+SUMIF(الجدول22[كود الصنف],A153,الجدول22[العدد])+SUMIF(الجدول23[كود الصنف],A153,الجدول23[العدد])+SUMIF(الجدول24[كود الصنف],A153,الجدول24[العدد])+SUMIF(الجدول25[كود الصنف],A153,الجدول25[العدد])+SUMIF(الجدول26[كود الصنف],A153,الجدول26[العدد])+SUMIF(الجدول27[كود الصنف],A153,الجدول27[العدد])+SUMIF(الجدول28[كود الصنف],A153,الجدول28[العدد])+SUMIF(الجدول29[كود الصنف],A153,الجدول29[العدد])+SUMIF(الجدول30[كود الصنف],A153,الجدول30[العدد])+SUMIF(الجدول31[كود الصنف],A153,الجدول31[العدد])</f>
        <v>0</v>
      </c>
      <c r="I153" s="47">
        <f ca="1">SUMIF('تكويد الأصناف'!K:N,A153,'تكويد الأصناف'!M:M)</f>
        <v>0</v>
      </c>
      <c r="J153" s="47">
        <f ca="1">SUMIF('تكويد الأصناف'!K:N,A153,'تكويد الأصناف'!N:N)</f>
        <v>0</v>
      </c>
      <c r="K153" s="43">
        <f ca="1">SUMIF('الوارد والمرتجع'!J:M,A153,'الوارد والمرتجع'!M:M)</f>
        <v>0</v>
      </c>
      <c r="L153" s="47">
        <f t="shared" ca="1" si="2"/>
        <v>0</v>
      </c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</row>
    <row r="154" spans="1:23" customFormat="1" ht="15" hidden="1" x14ac:dyDescent="0.2">
      <c r="A154" s="48">
        <v>3030</v>
      </c>
      <c r="B154" s="49">
        <f>VLOOKUP(A154,'تكويد الأصناف'!A:F,3,0)</f>
        <v>1</v>
      </c>
      <c r="C154" s="50">
        <f>VLOOKUP(A154,'تكويد الأصناف'!A:F,6,0)</f>
        <v>0</v>
      </c>
      <c r="D154" s="51">
        <f>VLOOKUP(A154,'تكويد الأصناف'!A:F,5,0)</f>
        <v>0</v>
      </c>
      <c r="E154" s="52">
        <f>VLOOKUP(A154,'تكويد الأصناف'!A:F,4,1)</f>
        <v>0</v>
      </c>
      <c r="F154" s="53">
        <v>0</v>
      </c>
      <c r="G154" s="54">
        <f ca="1">SUMIF('الوارد والمرتجع'!B:F,A154,'الوارد والمرتجع'!E:E)</f>
        <v>0</v>
      </c>
      <c r="H154" s="59">
        <f>SUMIF(الجدول1[كود الصنف],A154,الجدول1[العدد])+SUMIF(الجدول2[كود الصنف],A154,الجدول2[العدد])+SUMIF(الجدول3[كود الصنف],A154,الجدول3[العدد])+SUMIF(الجدول4[كود الصنف],A154,الجدول4[العدد])+SUMIF(الجدول5[كود الصنف],A154,الجدول5[العدد])+SUMIF(الجدول6[كود الصنف],A154,الجدول6[العدد])+SUMIF(الجدول7[كود الصنف],A154,الجدول7[العدد])+SUMIF(الجدول8[كود الصنف],A154,الجدول8[العدد])+SUMIF(الجدول9[كود الصنف],A154,الجدول9[العدد])+SUMIF(الجدول10[كود الصنف],A154,الجدول10[العدد])+SUMIF(الجدول11[كود الصنف],A154,الجدول11[العدد])+SUMIF(الجدول12[كود الصنف],A154,الجدول12[العدد])+SUMIF(الجدول13[كود الصنف],A154,الجدول13[العدد])+SUMIF(الجدول14[كود الصنف],A154,الجدول14[العدد])+SUMIF(الجدول15[كود الصنف],A154,الجدول15[العدد])+SUMIF(الجدول16[كود الصنف],A154,الجدول16[العدد])+SUMIF(الجدول17[كود الصنف],A154,الجدول17[العدد])+SUMIF(الجدول18[كود الصنف],A154,الجدول18[العدد])+SUMIF(الجدول19[كود الصنف],A154,الجدول19[العدد])+SUMIF(الجدول20[كود الصنف],A154,الجدول20[العدد])+SUMIF(الجدول21[كود الصنف],A154,الجدول21[العدد])+SUMIF(الجدول22[كود الصنف],A154,الجدول22[العدد])+SUMIF(الجدول23[كود الصنف],A154,الجدول23[العدد])+SUMIF(الجدول24[كود الصنف],A154,الجدول24[العدد])+SUMIF(الجدول25[كود الصنف],A154,الجدول25[العدد])+SUMIF(الجدول26[كود الصنف],A154,الجدول26[العدد])+SUMIF(الجدول27[كود الصنف],A154,الجدول27[العدد])+SUMIF(الجدول28[كود الصنف],A154,الجدول28[العدد])+SUMIF(الجدول29[كود الصنف],A154,الجدول29[العدد])+SUMIF(الجدول30[كود الصنف],A154,الجدول30[العدد])+SUMIF(الجدول31[كود الصنف],A154,الجدول31[العدد])</f>
        <v>0</v>
      </c>
      <c r="I154" s="55">
        <f ca="1">SUMIF('تكويد الأصناف'!K:N,A154,'تكويد الأصناف'!M:M)</f>
        <v>0</v>
      </c>
      <c r="J154" s="55">
        <f ca="1">SUMIF('تكويد الأصناف'!K:N,A154,'تكويد الأصناف'!N:N)</f>
        <v>0</v>
      </c>
      <c r="K154" s="54">
        <f ca="1">SUMIF('الوارد والمرتجع'!J:M,A154,'الوارد والمرتجع'!M:M)</f>
        <v>0</v>
      </c>
      <c r="L154" s="55">
        <f t="shared" ca="1" si="2"/>
        <v>0</v>
      </c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</row>
    <row r="155" spans="1:23" ht="17.25" customHeight="1" x14ac:dyDescent="0.2">
      <c r="A155" s="57"/>
      <c r="B155" s="57"/>
      <c r="C155" s="57"/>
      <c r="D155" s="57"/>
      <c r="E155" s="109"/>
      <c r="F155" s="110">
        <f>SUBTOTAL(9,F5:F154)</f>
        <v>503</v>
      </c>
      <c r="G155" s="110">
        <f ca="1">SUBTOTAL(9,G5:G154)</f>
        <v>0</v>
      </c>
      <c r="H155" s="110">
        <f>SUM(H5:H154)</f>
        <v>35</v>
      </c>
      <c r="I155" s="110"/>
      <c r="J155" s="110"/>
      <c r="K155" s="110">
        <f ca="1">SUBTOTAL(9,K5:K154)</f>
        <v>0</v>
      </c>
      <c r="L155" s="110">
        <f ca="1">SUBTOTAL(9,L5:L154)</f>
        <v>468</v>
      </c>
    </row>
    <row r="160" spans="1:23" ht="17.25" customHeight="1" x14ac:dyDescent="0.2">
      <c r="H160" s="3" t="s">
        <v>35</v>
      </c>
    </row>
  </sheetData>
  <autoFilter ref="A3:L154" xr:uid="{29F8D89B-1FB0-42C7-8F81-86362BAE29CE}">
    <filterColumn colId="4">
      <filters blank="1">
        <filter val="جلباب سبور كتانات منوع"/>
        <filter val="جلباب سبور مورد"/>
        <filter val="جلباب شبك موديلين"/>
        <filter val="جلباب عروض"/>
        <filter val="عبايات عروض"/>
        <filter val="عبايات نخب"/>
        <filter val="عبايات نخب موديلات"/>
        <filter val="فستان +قفطان نخب مشكل"/>
        <filter val="قفاطين وسهرات متنوعة"/>
      </filters>
    </filterColumn>
    <filterColumn colId="8" showButton="0"/>
  </autoFilter>
  <mergeCells count="13">
    <mergeCell ref="K3:K4"/>
    <mergeCell ref="L3:L4"/>
    <mergeCell ref="C3:C4"/>
    <mergeCell ref="A1:J2"/>
    <mergeCell ref="K1:L2"/>
    <mergeCell ref="A3:A4"/>
    <mergeCell ref="B3:B4"/>
    <mergeCell ref="D3:D4"/>
    <mergeCell ref="E3:E4"/>
    <mergeCell ref="F3:F4"/>
    <mergeCell ref="G3:G4"/>
    <mergeCell ref="H3:H4"/>
    <mergeCell ref="I3:J3"/>
  </mergeCells>
  <conditionalFormatting sqref="H5:H154">
    <cfRule type="cellIs" dxfId="882" priority="8" operator="equal">
      <formula>0</formula>
    </cfRule>
  </conditionalFormatting>
  <conditionalFormatting sqref="I5:J154">
    <cfRule type="cellIs" dxfId="881" priority="7" operator="equal">
      <formula>0</formula>
    </cfRule>
  </conditionalFormatting>
  <conditionalFormatting sqref="L5:L154">
    <cfRule type="cellIs" dxfId="880" priority="3" operator="equal">
      <formula>0</formula>
    </cfRule>
    <cfRule type="cellIs" dxfId="879" priority="4" operator="equal">
      <formula>0</formula>
    </cfRule>
    <cfRule type="cellIs" dxfId="878" priority="6" operator="equal">
      <formula>0</formula>
    </cfRule>
  </conditionalFormatting>
  <conditionalFormatting sqref="K5:K154">
    <cfRule type="cellIs" dxfId="877" priority="5" operator="equal">
      <formula>0</formula>
    </cfRule>
  </conditionalFormatting>
  <conditionalFormatting sqref="G5:G154">
    <cfRule type="cellIs" dxfId="876" priority="2" operator="equal">
      <formula>0</formula>
    </cfRule>
  </conditionalFormatting>
  <conditionalFormatting sqref="F5:F154">
    <cfRule type="cellIs" dxfId="875" priority="1" operator="equal">
      <formula>0</formula>
    </cfRule>
  </conditionalFormatting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2677C-4335-4F4A-A6B6-515675A06BAA}">
  <sheetPr>
    <tabColor theme="9" tint="-0.249977111117893"/>
  </sheetPr>
  <dimension ref="A1:T44"/>
  <sheetViews>
    <sheetView rightToLeft="1" topLeftCell="A25" zoomScaleNormal="100" workbookViewId="0">
      <selection activeCell="V37" sqref="V37"/>
    </sheetView>
  </sheetViews>
  <sheetFormatPr defaultRowHeight="21.95" customHeight="1" x14ac:dyDescent="0.2"/>
  <cols>
    <col min="1" max="1" width="10" style="243" customWidth="1"/>
    <col min="2" max="2" width="10.375" style="243" customWidth="1"/>
    <col min="3" max="3" width="11.375" style="243" customWidth="1"/>
    <col min="4" max="4" width="10.375" style="243" customWidth="1"/>
    <col min="5" max="6" width="11" style="243" customWidth="1"/>
    <col min="7" max="10" width="8.375" style="243" customWidth="1"/>
    <col min="11" max="11" width="7.25" style="212" customWidth="1"/>
    <col min="12" max="12" width="10" style="257" customWidth="1"/>
    <col min="13" max="13" width="8.75" style="258" customWidth="1"/>
    <col min="14" max="14" width="11.375" style="258" customWidth="1"/>
    <col min="15" max="15" width="8.75" style="258" customWidth="1"/>
    <col min="16" max="16" width="11.375" style="258" customWidth="1"/>
    <col min="17" max="17" width="8.75" style="258" customWidth="1"/>
    <col min="18" max="18" width="11.375" style="258" customWidth="1"/>
    <col min="19" max="20" width="11.375" style="259" customWidth="1"/>
    <col min="21" max="16384" width="9" style="212"/>
  </cols>
  <sheetData>
    <row r="1" spans="1:20" ht="21.95" customHeight="1" x14ac:dyDescent="0.2">
      <c r="A1" s="208"/>
      <c r="B1" s="208"/>
      <c r="C1" s="208"/>
      <c r="D1" s="208"/>
      <c r="E1" s="208"/>
      <c r="F1" s="208"/>
      <c r="G1" s="208"/>
      <c r="H1" s="320" t="s">
        <v>75</v>
      </c>
      <c r="I1" s="321">
        <v>41790</v>
      </c>
      <c r="J1" s="321"/>
      <c r="K1" s="209"/>
      <c r="L1" s="210" t="s">
        <v>89</v>
      </c>
      <c r="M1" s="200">
        <v>4</v>
      </c>
      <c r="N1" s="211"/>
      <c r="O1" s="211"/>
      <c r="P1" s="211"/>
      <c r="Q1" s="211"/>
      <c r="R1" s="211"/>
      <c r="S1" s="211"/>
      <c r="T1" s="211"/>
    </row>
    <row r="2" spans="1:20" ht="21.95" customHeight="1" x14ac:dyDescent="0.2">
      <c r="A2" s="208"/>
      <c r="B2" s="208"/>
      <c r="C2" s="208"/>
      <c r="D2" s="208"/>
      <c r="E2" s="208"/>
      <c r="F2" s="208"/>
      <c r="G2" s="208"/>
      <c r="H2" s="320"/>
      <c r="I2" s="321"/>
      <c r="J2" s="321"/>
      <c r="K2" s="209"/>
      <c r="L2" s="213" t="s">
        <v>90</v>
      </c>
      <c r="M2" s="324" t="str">
        <f>VLOOKUP('الكشف الشهري'!M1,'الوارد والمرتجع'!Q:T,2,0)</f>
        <v>محمد العرقاوي</v>
      </c>
      <c r="N2" s="324"/>
      <c r="O2" s="324"/>
      <c r="P2" s="211"/>
      <c r="Q2" s="211"/>
      <c r="R2" s="211"/>
      <c r="S2" s="211"/>
      <c r="T2" s="211"/>
    </row>
    <row r="3" spans="1:20" ht="21.95" customHeight="1" x14ac:dyDescent="0.2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9"/>
      <c r="L3" s="213" t="s">
        <v>94</v>
      </c>
      <c r="M3" s="325">
        <v>41790</v>
      </c>
      <c r="N3" s="325"/>
      <c r="O3" s="211"/>
      <c r="P3" s="211"/>
      <c r="Q3" s="211"/>
      <c r="R3" s="211"/>
      <c r="S3" s="211"/>
      <c r="T3" s="211"/>
    </row>
    <row r="4" spans="1:20" ht="21.95" customHeight="1" x14ac:dyDescent="0.2">
      <c r="A4" s="214" t="s">
        <v>0</v>
      </c>
      <c r="B4" s="214" t="s">
        <v>32</v>
      </c>
      <c r="C4" s="215" t="s">
        <v>76</v>
      </c>
      <c r="D4" s="216" t="s">
        <v>77</v>
      </c>
      <c r="E4" s="215" t="s">
        <v>78</v>
      </c>
      <c r="F4" s="215" t="s">
        <v>79</v>
      </c>
      <c r="G4" s="215" t="s">
        <v>80</v>
      </c>
      <c r="H4" s="215" t="s">
        <v>53</v>
      </c>
      <c r="I4" s="215" t="s">
        <v>81</v>
      </c>
      <c r="J4" s="215" t="s">
        <v>82</v>
      </c>
      <c r="L4" s="329" t="s">
        <v>0</v>
      </c>
      <c r="M4" s="328" t="s">
        <v>29</v>
      </c>
      <c r="N4" s="328"/>
      <c r="O4" s="328" t="s">
        <v>87</v>
      </c>
      <c r="P4" s="328"/>
      <c r="Q4" s="328" t="s">
        <v>88</v>
      </c>
      <c r="R4" s="328"/>
      <c r="S4" s="322" t="s">
        <v>92</v>
      </c>
      <c r="T4" s="322" t="s">
        <v>93</v>
      </c>
    </row>
    <row r="5" spans="1:20" ht="21.95" customHeight="1" x14ac:dyDescent="0.2">
      <c r="A5" s="217">
        <f>I1</f>
        <v>41790</v>
      </c>
      <c r="B5" s="218">
        <v>0</v>
      </c>
      <c r="C5" s="218">
        <f>'1'!D14</f>
        <v>0</v>
      </c>
      <c r="D5" s="219">
        <f t="shared" ref="D5:D35" si="0">B5+C5</f>
        <v>0</v>
      </c>
      <c r="E5" s="218">
        <v>0</v>
      </c>
      <c r="F5" s="218">
        <v>0</v>
      </c>
      <c r="G5" s="218">
        <v>0</v>
      </c>
      <c r="H5" s="218">
        <v>0</v>
      </c>
      <c r="I5" s="218">
        <v>0</v>
      </c>
      <c r="J5" s="218">
        <v>0</v>
      </c>
      <c r="L5" s="330"/>
      <c r="M5" s="220" t="s">
        <v>85</v>
      </c>
      <c r="N5" s="220" t="s">
        <v>86</v>
      </c>
      <c r="O5" s="220" t="s">
        <v>85</v>
      </c>
      <c r="P5" s="220" t="s">
        <v>86</v>
      </c>
      <c r="Q5" s="220" t="s">
        <v>85</v>
      </c>
      <c r="R5" s="220" t="s">
        <v>86</v>
      </c>
      <c r="S5" s="323"/>
      <c r="T5" s="323"/>
    </row>
    <row r="6" spans="1:20" ht="21.95" customHeight="1" x14ac:dyDescent="0.2">
      <c r="A6" s="221">
        <f t="shared" ref="A6:A35" si="1">A5+1</f>
        <v>41791</v>
      </c>
      <c r="B6" s="222">
        <f t="shared" ref="B6:B36" si="2">B5+C5-E5-F5-G5-H5-I5-J5</f>
        <v>0</v>
      </c>
      <c r="C6" s="222">
        <f>'2'!D14</f>
        <v>0</v>
      </c>
      <c r="D6" s="223">
        <f t="shared" si="0"/>
        <v>0</v>
      </c>
      <c r="E6" s="222">
        <v>0</v>
      </c>
      <c r="F6" s="222">
        <v>0</v>
      </c>
      <c r="G6" s="222">
        <v>0</v>
      </c>
      <c r="H6" s="222">
        <v>0</v>
      </c>
      <c r="I6" s="222">
        <v>0</v>
      </c>
      <c r="J6" s="222">
        <v>0</v>
      </c>
      <c r="L6" s="197" t="s">
        <v>95</v>
      </c>
      <c r="M6" s="224">
        <f>SUMIFS('حركة الأصناف'!F:F,'حركة الأصناف'!B:B,M1)</f>
        <v>502</v>
      </c>
      <c r="N6" s="225">
        <v>0</v>
      </c>
      <c r="O6" s="224">
        <v>0</v>
      </c>
      <c r="P6" s="225">
        <v>0</v>
      </c>
      <c r="Q6" s="224">
        <v>0</v>
      </c>
      <c r="R6" s="225">
        <v>0</v>
      </c>
      <c r="S6" s="226">
        <v>0</v>
      </c>
      <c r="T6" s="226">
        <v>0</v>
      </c>
    </row>
    <row r="7" spans="1:20" ht="21.95" customHeight="1" x14ac:dyDescent="0.2">
      <c r="A7" s="221">
        <f t="shared" si="1"/>
        <v>41792</v>
      </c>
      <c r="B7" s="222">
        <f t="shared" si="2"/>
        <v>0</v>
      </c>
      <c r="C7" s="222">
        <f>'3'!D14</f>
        <v>31</v>
      </c>
      <c r="D7" s="223">
        <f t="shared" si="0"/>
        <v>31</v>
      </c>
      <c r="E7" s="222">
        <v>0</v>
      </c>
      <c r="F7" s="222">
        <v>0</v>
      </c>
      <c r="G7" s="222">
        <v>0</v>
      </c>
      <c r="H7" s="222">
        <v>0</v>
      </c>
      <c r="I7" s="222">
        <v>0</v>
      </c>
      <c r="J7" s="222">
        <v>0</v>
      </c>
      <c r="L7" s="198">
        <f>M3</f>
        <v>41790</v>
      </c>
      <c r="M7" s="227">
        <f>SUMIFS(الوارد[العدد],الوارد[المورد],M1,الوارد[اليوم والتاريخ],L7)</f>
        <v>0</v>
      </c>
      <c r="N7" s="228">
        <f>SUMIFS(الوارد[الاجمالي],الوارد[المورد],$M$1,الوارد[اليوم والتاريخ],L7)</f>
        <v>0</v>
      </c>
      <c r="O7" s="227">
        <f>SUMIFS(المرتجع[العدد],المرتجع[المورد],$M$1,المرتجع[اليوم والتاريخ],L7)</f>
        <v>0</v>
      </c>
      <c r="P7" s="229">
        <f>SUMIFS(المرتجع[الاجمالي],المرتجع[المورد],$M$1,المرتجع[اليوم والتاريخ],L7)</f>
        <v>0</v>
      </c>
      <c r="Q7" s="227">
        <f>SUMIF('1'!$B:$B,$M$1,'1'!$F:$F)</f>
        <v>0</v>
      </c>
      <c r="R7" s="228">
        <f>SUMIF('1'!B:B,$M$1,'1'!H:H)</f>
        <v>0</v>
      </c>
      <c r="S7" s="230">
        <f>SUMIF('1'!B:B,$M$1,'1'!G:G)</f>
        <v>0</v>
      </c>
      <c r="T7" s="231">
        <f>S7-R7</f>
        <v>0</v>
      </c>
    </row>
    <row r="8" spans="1:20" ht="21.95" customHeight="1" x14ac:dyDescent="0.2">
      <c r="A8" s="221">
        <f t="shared" si="1"/>
        <v>41793</v>
      </c>
      <c r="B8" s="222">
        <f t="shared" si="2"/>
        <v>31</v>
      </c>
      <c r="C8" s="222">
        <f>'4'!D14</f>
        <v>30</v>
      </c>
      <c r="D8" s="223">
        <f t="shared" si="0"/>
        <v>61</v>
      </c>
      <c r="E8" s="222">
        <v>0</v>
      </c>
      <c r="F8" s="222">
        <v>0</v>
      </c>
      <c r="G8" s="222">
        <v>0</v>
      </c>
      <c r="H8" s="222">
        <v>0</v>
      </c>
      <c r="I8" s="222">
        <v>0</v>
      </c>
      <c r="J8" s="222">
        <v>0</v>
      </c>
      <c r="L8" s="198">
        <f>L7+1</f>
        <v>41791</v>
      </c>
      <c r="M8" s="227">
        <f>SUMIFS(الوارد[العدد],الوارد[المورد],$M$1,الوارد[اليوم والتاريخ],L8)</f>
        <v>0</v>
      </c>
      <c r="N8" s="228">
        <f>SUMIFS(الوارد[الاجمالي],الوارد[المورد],$M$1,الوارد[اليوم والتاريخ],L8)</f>
        <v>0</v>
      </c>
      <c r="O8" s="227">
        <f>SUMIFS(المرتجع[العدد],المرتجع[المورد],$M$1,المرتجع[اليوم والتاريخ],L8)</f>
        <v>0</v>
      </c>
      <c r="P8" s="229">
        <f>SUMIFS(المرتجع[الاجمالي],المرتجع[المورد],$M$1,المرتجع[اليوم والتاريخ],L8)</f>
        <v>0</v>
      </c>
      <c r="Q8" s="227">
        <f>SUMIF('2'!$B:$B,$M$1,'2'!$F:$F)</f>
        <v>0</v>
      </c>
      <c r="R8" s="228">
        <f>SUMIF('2'!B:B,$M$1,'2'!H:H)</f>
        <v>0</v>
      </c>
      <c r="S8" s="230">
        <f>SUMIF('2'!B:B,$M$1,'2'!G:G)</f>
        <v>0</v>
      </c>
      <c r="T8" s="231">
        <f t="shared" ref="T8:T37" si="3">S8-R8</f>
        <v>0</v>
      </c>
    </row>
    <row r="9" spans="1:20" ht="21.95" customHeight="1" x14ac:dyDescent="0.2">
      <c r="A9" s="221">
        <f t="shared" si="1"/>
        <v>41794</v>
      </c>
      <c r="B9" s="222">
        <f t="shared" si="2"/>
        <v>61</v>
      </c>
      <c r="C9" s="222">
        <f>'5'!D17</f>
        <v>88</v>
      </c>
      <c r="D9" s="223">
        <f t="shared" si="0"/>
        <v>149</v>
      </c>
      <c r="E9" s="222">
        <v>0</v>
      </c>
      <c r="F9" s="222">
        <v>0</v>
      </c>
      <c r="G9" s="222">
        <v>0</v>
      </c>
      <c r="H9" s="222">
        <v>0</v>
      </c>
      <c r="I9" s="222">
        <v>0</v>
      </c>
      <c r="J9" s="222">
        <v>0</v>
      </c>
      <c r="L9" s="198">
        <f t="shared" ref="L9:L37" si="4">L8+1</f>
        <v>41792</v>
      </c>
      <c r="M9" s="227">
        <f>SUMIFS(الوارد[العدد],الوارد[المورد],$M$1,الوارد[اليوم والتاريخ],L9)</f>
        <v>0</v>
      </c>
      <c r="N9" s="228">
        <f>SUMIFS(الوارد[الاجمالي],الوارد[المورد],$M$1,الوارد[اليوم والتاريخ],L9)</f>
        <v>0</v>
      </c>
      <c r="O9" s="227">
        <f>SUMIFS(المرتجع[العدد],المرتجع[المورد],$M$1,المرتجع[اليوم والتاريخ],L9)</f>
        <v>0</v>
      </c>
      <c r="P9" s="229">
        <f>SUMIFS(المرتجع[الاجمالي],المرتجع[المورد],$M$1,المرتجع[اليوم والتاريخ],L9)</f>
        <v>0</v>
      </c>
      <c r="Q9" s="227">
        <f>SUMIF('3'!$B:$B,$M$1,'3'!$F:$F)</f>
        <v>2</v>
      </c>
      <c r="R9" s="228">
        <f>SUMIF('3'!B:B,$M$1,'3'!H:H)</f>
        <v>20</v>
      </c>
      <c r="S9" s="230">
        <f>SUMIF('3'!B:B,$M$1,'3'!G:G)</f>
        <v>31</v>
      </c>
      <c r="T9" s="231">
        <f t="shared" si="3"/>
        <v>11</v>
      </c>
    </row>
    <row r="10" spans="1:20" ht="21.95" customHeight="1" x14ac:dyDescent="0.2">
      <c r="A10" s="221">
        <f t="shared" si="1"/>
        <v>41795</v>
      </c>
      <c r="B10" s="222">
        <f t="shared" si="2"/>
        <v>149</v>
      </c>
      <c r="C10" s="222">
        <f>'6'!D17</f>
        <v>68</v>
      </c>
      <c r="D10" s="223">
        <f t="shared" si="0"/>
        <v>217</v>
      </c>
      <c r="E10" s="222">
        <v>0</v>
      </c>
      <c r="F10" s="222">
        <v>0</v>
      </c>
      <c r="G10" s="222">
        <v>0</v>
      </c>
      <c r="H10" s="222">
        <v>0</v>
      </c>
      <c r="I10" s="222">
        <v>0</v>
      </c>
      <c r="J10" s="222">
        <v>0</v>
      </c>
      <c r="L10" s="198">
        <f t="shared" si="4"/>
        <v>41793</v>
      </c>
      <c r="M10" s="227">
        <f>SUMIFS(الوارد[العدد],الوارد[المورد],$M$1,الوارد[اليوم والتاريخ],L10)</f>
        <v>0</v>
      </c>
      <c r="N10" s="228">
        <f>SUMIFS(الوارد[الاجمالي],الوارد[المورد],$M$1,الوارد[اليوم والتاريخ],L10)</f>
        <v>0</v>
      </c>
      <c r="O10" s="227">
        <f>SUMIFS(المرتجع[العدد],المرتجع[المورد],$M$1,المرتجع[اليوم والتاريخ],L10)</f>
        <v>0</v>
      </c>
      <c r="P10" s="229">
        <f>SUMIFS(المرتجع[الاجمالي],المرتجع[المورد],$M$1,المرتجع[اليوم والتاريخ],L10)</f>
        <v>0</v>
      </c>
      <c r="Q10" s="227">
        <f>SUMIF('4'!$B:$B,$M$1,'4'!$F:$F)</f>
        <v>1</v>
      </c>
      <c r="R10" s="228">
        <f>SUMIF('4'!B:B,$M$1,'4'!H:H)</f>
        <v>10</v>
      </c>
      <c r="S10" s="230">
        <f>SUMIF('4'!B:B,$M$1,'4'!G:G)</f>
        <v>15</v>
      </c>
      <c r="T10" s="231">
        <f t="shared" si="3"/>
        <v>5</v>
      </c>
    </row>
    <row r="11" spans="1:20" ht="21.95" customHeight="1" x14ac:dyDescent="0.2">
      <c r="A11" s="232">
        <f t="shared" si="1"/>
        <v>41796</v>
      </c>
      <c r="B11" s="233">
        <f t="shared" si="2"/>
        <v>217</v>
      </c>
      <c r="C11" s="233">
        <f>'7'!D18</f>
        <v>63</v>
      </c>
      <c r="D11" s="223">
        <f t="shared" si="0"/>
        <v>280</v>
      </c>
      <c r="E11" s="233">
        <v>0</v>
      </c>
      <c r="F11" s="233">
        <v>0</v>
      </c>
      <c r="G11" s="233">
        <v>0</v>
      </c>
      <c r="H11" s="233">
        <v>0</v>
      </c>
      <c r="I11" s="233">
        <v>0</v>
      </c>
      <c r="J11" s="233">
        <v>0</v>
      </c>
      <c r="L11" s="198">
        <f t="shared" si="4"/>
        <v>41794</v>
      </c>
      <c r="M11" s="227">
        <f>SUMIFS(الوارد[العدد],الوارد[المورد],$M$1,الوارد[اليوم والتاريخ],L11)</f>
        <v>0</v>
      </c>
      <c r="N11" s="228">
        <f>SUMIFS(الوارد[الاجمالي],الوارد[المورد],$M$1,الوارد[اليوم والتاريخ],L11)</f>
        <v>0</v>
      </c>
      <c r="O11" s="227">
        <f>SUMIFS(المرتجع[العدد],المرتجع[المورد],$M$1,المرتجع[اليوم والتاريخ],L11)</f>
        <v>0</v>
      </c>
      <c r="P11" s="229">
        <f>SUMIFS(المرتجع[الاجمالي],المرتجع[المورد],$M$1,المرتجع[اليوم والتاريخ],L11)</f>
        <v>0</v>
      </c>
      <c r="Q11" s="227">
        <f>SUMIF('5'!$B:$B,$M$1,'5'!$F:$F)</f>
        <v>4</v>
      </c>
      <c r="R11" s="228">
        <f>SUMIF('5'!B:B,$M$1,'5'!H:H)</f>
        <v>38</v>
      </c>
      <c r="S11" s="230">
        <f>SUMIF('5'!B:B,$M$1,'5'!G:G)</f>
        <v>53</v>
      </c>
      <c r="T11" s="231">
        <f t="shared" si="3"/>
        <v>15</v>
      </c>
    </row>
    <row r="12" spans="1:20" ht="21.95" customHeight="1" x14ac:dyDescent="0.2">
      <c r="A12" s="232">
        <f t="shared" si="1"/>
        <v>41797</v>
      </c>
      <c r="B12" s="233">
        <f t="shared" si="2"/>
        <v>280</v>
      </c>
      <c r="C12" s="233">
        <f>'8'!D14</f>
        <v>0</v>
      </c>
      <c r="D12" s="223">
        <f t="shared" si="0"/>
        <v>280</v>
      </c>
      <c r="E12" s="233">
        <v>0</v>
      </c>
      <c r="F12" s="233">
        <v>0</v>
      </c>
      <c r="G12" s="233">
        <v>0</v>
      </c>
      <c r="H12" s="233">
        <v>0</v>
      </c>
      <c r="I12" s="233">
        <v>0</v>
      </c>
      <c r="J12" s="233">
        <v>0</v>
      </c>
      <c r="L12" s="198">
        <f t="shared" si="4"/>
        <v>41795</v>
      </c>
      <c r="M12" s="227">
        <f>SUMIFS(الوارد[العدد],الوارد[المورد],$M$1,الوارد[اليوم والتاريخ],L12)</f>
        <v>0</v>
      </c>
      <c r="N12" s="228">
        <f>SUMIFS(الوارد[الاجمالي],الوارد[المورد],$M$1,الوارد[اليوم والتاريخ],L12)</f>
        <v>0</v>
      </c>
      <c r="O12" s="227">
        <f>SUMIFS(المرتجع[العدد],المرتجع[المورد],$M$1,المرتجع[اليوم والتاريخ],L12)</f>
        <v>0</v>
      </c>
      <c r="P12" s="229">
        <f>SUMIFS(المرتجع[الاجمالي],المرتجع[المورد],$M$1,المرتجع[اليوم والتاريخ],L12)</f>
        <v>0</v>
      </c>
      <c r="Q12" s="227">
        <f>SUMIF('6'!$B:$B,$M$1,'6'!$F:$F)</f>
        <v>4</v>
      </c>
      <c r="R12" s="228">
        <f>SUMIF('6'!B:B,$M$1,'6'!H:H)</f>
        <v>40</v>
      </c>
      <c r="S12" s="230">
        <f>SUMIF('6'!B:B,$M$1,'6'!G:G)</f>
        <v>53</v>
      </c>
      <c r="T12" s="231">
        <f t="shared" si="3"/>
        <v>13</v>
      </c>
    </row>
    <row r="13" spans="1:20" ht="21.95" customHeight="1" x14ac:dyDescent="0.2">
      <c r="A13" s="232">
        <f t="shared" si="1"/>
        <v>41798</v>
      </c>
      <c r="B13" s="233">
        <f t="shared" si="2"/>
        <v>280</v>
      </c>
      <c r="C13" s="233">
        <f>'9'!D14</f>
        <v>45</v>
      </c>
      <c r="D13" s="223">
        <f t="shared" si="0"/>
        <v>325</v>
      </c>
      <c r="E13" s="233">
        <v>0</v>
      </c>
      <c r="F13" s="233">
        <v>0</v>
      </c>
      <c r="G13" s="233">
        <v>0</v>
      </c>
      <c r="H13" s="233">
        <v>0</v>
      </c>
      <c r="I13" s="233">
        <v>0</v>
      </c>
      <c r="J13" s="233">
        <v>0</v>
      </c>
      <c r="L13" s="198">
        <f t="shared" si="4"/>
        <v>41796</v>
      </c>
      <c r="M13" s="227">
        <f>SUMIFS(الوارد[العدد],الوارد[المورد],$M$1,الوارد[اليوم والتاريخ],L13)</f>
        <v>0</v>
      </c>
      <c r="N13" s="228">
        <f>SUMIFS(الوارد[الاجمالي],الوارد[المورد],$M$1,الوارد[اليوم والتاريخ],L13)</f>
        <v>0</v>
      </c>
      <c r="O13" s="227">
        <f>SUMIFS(المرتجع[العدد],المرتجع[المورد],$M$1,المرتجع[اليوم والتاريخ],L13)</f>
        <v>0</v>
      </c>
      <c r="P13" s="229">
        <f>SUMIFS(المرتجع[الاجمالي],المرتجع[المورد],$M$1,المرتجع[اليوم والتاريخ],L13)</f>
        <v>0</v>
      </c>
      <c r="Q13" s="227">
        <f>SUMIF('7'!$B:$B,$M$1,'7'!$F:$F)</f>
        <v>3</v>
      </c>
      <c r="R13" s="228">
        <f>SUMIF('7'!B:B,$M$1,'7'!H:H)</f>
        <v>30</v>
      </c>
      <c r="S13" s="230">
        <f>SUMIF('7'!B:B,$M$1,'7'!G:G)</f>
        <v>43</v>
      </c>
      <c r="T13" s="231">
        <f t="shared" si="3"/>
        <v>13</v>
      </c>
    </row>
    <row r="14" spans="1:20" ht="21.95" customHeight="1" x14ac:dyDescent="0.2">
      <c r="A14" s="232">
        <f t="shared" si="1"/>
        <v>41799</v>
      </c>
      <c r="B14" s="233">
        <f t="shared" si="2"/>
        <v>325</v>
      </c>
      <c r="C14" s="233">
        <f>'10'!D16</f>
        <v>76.25</v>
      </c>
      <c r="D14" s="223">
        <f t="shared" si="0"/>
        <v>401.25</v>
      </c>
      <c r="E14" s="233">
        <v>0</v>
      </c>
      <c r="F14" s="233">
        <v>0</v>
      </c>
      <c r="G14" s="233">
        <v>0</v>
      </c>
      <c r="H14" s="233">
        <v>0</v>
      </c>
      <c r="I14" s="233">
        <v>0</v>
      </c>
      <c r="J14" s="233">
        <v>0</v>
      </c>
      <c r="L14" s="198">
        <f t="shared" si="4"/>
        <v>41797</v>
      </c>
      <c r="M14" s="227">
        <f>SUMIFS(الوارد[العدد],الوارد[المورد],$M$1,الوارد[اليوم والتاريخ],L14)</f>
        <v>0</v>
      </c>
      <c r="N14" s="228">
        <f>SUMIFS(الوارد[الاجمالي],الوارد[المورد],$M$1,الوارد[اليوم والتاريخ],L14)</f>
        <v>0</v>
      </c>
      <c r="O14" s="227">
        <f>SUMIFS(المرتجع[العدد],المرتجع[المورد],$M$1,المرتجع[اليوم والتاريخ],L14)</f>
        <v>0</v>
      </c>
      <c r="P14" s="229">
        <f>SUMIFS(المرتجع[الاجمالي],المرتجع[المورد],$M$1,المرتجع[اليوم والتاريخ],L14)</f>
        <v>0</v>
      </c>
      <c r="Q14" s="227">
        <f>SUMIF('8'!$B:$B,$M$1,'8'!$F:$F)</f>
        <v>0</v>
      </c>
      <c r="R14" s="228">
        <f>SUMIF('8'!B:B,$M$1,'8'!H:H)</f>
        <v>0</v>
      </c>
      <c r="S14" s="230">
        <f>SUMIF('8'!B:B,$M$1,'8'!G:G)</f>
        <v>0</v>
      </c>
      <c r="T14" s="231">
        <f t="shared" si="3"/>
        <v>0</v>
      </c>
    </row>
    <row r="15" spans="1:20" ht="21.95" customHeight="1" x14ac:dyDescent="0.2">
      <c r="A15" s="221">
        <f t="shared" si="1"/>
        <v>41800</v>
      </c>
      <c r="B15" s="222">
        <f t="shared" si="2"/>
        <v>401.25</v>
      </c>
      <c r="C15" s="222">
        <f>'11'!D17</f>
        <v>81</v>
      </c>
      <c r="D15" s="223">
        <f t="shared" si="0"/>
        <v>482.25</v>
      </c>
      <c r="E15" s="222">
        <v>0</v>
      </c>
      <c r="F15" s="222">
        <v>0</v>
      </c>
      <c r="G15" s="222">
        <v>0</v>
      </c>
      <c r="H15" s="222">
        <v>0</v>
      </c>
      <c r="I15" s="222">
        <v>0</v>
      </c>
      <c r="J15" s="222">
        <v>0</v>
      </c>
      <c r="L15" s="198">
        <f t="shared" si="4"/>
        <v>41798</v>
      </c>
      <c r="M15" s="227">
        <f>SUMIFS(الوارد[العدد],الوارد[المورد],$M$1,الوارد[اليوم والتاريخ],L15)</f>
        <v>0</v>
      </c>
      <c r="N15" s="228">
        <f>SUMIFS(الوارد[الاجمالي],الوارد[المورد],$M$1,الوارد[اليوم والتاريخ],L15)</f>
        <v>0</v>
      </c>
      <c r="O15" s="227">
        <f>SUMIFS(المرتجع[العدد],المرتجع[المورد],$M$1,المرتجع[اليوم والتاريخ],L15)</f>
        <v>0</v>
      </c>
      <c r="P15" s="229">
        <f>SUMIFS(المرتجع[الاجمالي],المرتجع[المورد],$M$1,المرتجع[اليوم والتاريخ],L15)</f>
        <v>0</v>
      </c>
      <c r="Q15" s="227">
        <f>SUMIF('9'!$B:$B,$M$1,'9'!$F:$F)</f>
        <v>2</v>
      </c>
      <c r="R15" s="228">
        <f>SUMIF('9'!B:B,$M$1,'9'!H:H)</f>
        <v>18</v>
      </c>
      <c r="S15" s="230">
        <f>SUMIF('9'!B:B,$M$1,'9'!G:G)</f>
        <v>25</v>
      </c>
      <c r="T15" s="231">
        <f t="shared" si="3"/>
        <v>7</v>
      </c>
    </row>
    <row r="16" spans="1:20" ht="21.95" customHeight="1" x14ac:dyDescent="0.2">
      <c r="A16" s="221">
        <f t="shared" si="1"/>
        <v>41801</v>
      </c>
      <c r="B16" s="222">
        <f t="shared" si="2"/>
        <v>482.25</v>
      </c>
      <c r="C16" s="222">
        <f>'12'!D16</f>
        <v>110</v>
      </c>
      <c r="D16" s="223">
        <f t="shared" si="0"/>
        <v>592.25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0</v>
      </c>
      <c r="L16" s="198">
        <f t="shared" si="4"/>
        <v>41799</v>
      </c>
      <c r="M16" s="227">
        <f>SUMIFS(الوارد[العدد],الوارد[المورد],$M$1,الوارد[اليوم والتاريخ],L16)</f>
        <v>0</v>
      </c>
      <c r="N16" s="234">
        <f>SUMIFS(الوارد[الاجمالي],الوارد[المورد],$M$1,الوارد[اليوم والتاريخ],L16)</f>
        <v>0</v>
      </c>
      <c r="O16" s="227">
        <f>SUMIFS(المرتجع[العدد],المرتجع[المورد],$M$1,المرتجع[اليوم والتاريخ],L16)</f>
        <v>0</v>
      </c>
      <c r="P16" s="229">
        <f>SUMIFS(المرتجع[الاجمالي],المرتجع[المورد],$M$1,المرتجع[اليوم والتاريخ],L16)</f>
        <v>0</v>
      </c>
      <c r="Q16" s="227">
        <f>SUMIF('10'!$B:$B,$M$1,'10'!$F:$F)</f>
        <v>3</v>
      </c>
      <c r="R16" s="228">
        <f>SUMIF('10'!B:B,$M$1,'10'!H:H)</f>
        <v>30</v>
      </c>
      <c r="S16" s="230">
        <f>SUMIF('10'!B:B,$M$1,'10'!G:G)</f>
        <v>47</v>
      </c>
      <c r="T16" s="231">
        <f t="shared" si="3"/>
        <v>17</v>
      </c>
    </row>
    <row r="17" spans="1:20" ht="21.95" customHeight="1" x14ac:dyDescent="0.2">
      <c r="A17" s="221">
        <f t="shared" si="1"/>
        <v>41802</v>
      </c>
      <c r="B17" s="222">
        <f t="shared" si="2"/>
        <v>592.25</v>
      </c>
      <c r="C17" s="222">
        <f>'13'!D18</f>
        <v>57</v>
      </c>
      <c r="D17" s="223">
        <f t="shared" si="0"/>
        <v>649.25</v>
      </c>
      <c r="E17" s="222">
        <v>0</v>
      </c>
      <c r="F17" s="222">
        <v>0</v>
      </c>
      <c r="G17" s="222">
        <v>0</v>
      </c>
      <c r="H17" s="222">
        <v>0</v>
      </c>
      <c r="I17" s="222">
        <v>0</v>
      </c>
      <c r="J17" s="222">
        <v>0</v>
      </c>
      <c r="L17" s="198">
        <f t="shared" si="4"/>
        <v>41800</v>
      </c>
      <c r="M17" s="227">
        <f>SUMIFS(الوارد[العدد],الوارد[المورد],$M$1,الوارد[اليوم والتاريخ],L17)</f>
        <v>0</v>
      </c>
      <c r="N17" s="228">
        <f>SUMIFS(الوارد[الاجمالي],الوارد[المورد],$M$1,الوارد[اليوم والتاريخ],L17)</f>
        <v>0</v>
      </c>
      <c r="O17" s="227">
        <f>SUMIFS(المرتجع[العدد],المرتجع[المورد],$M$1,المرتجع[اليوم والتاريخ],L17)</f>
        <v>0</v>
      </c>
      <c r="P17" s="229">
        <f>SUMIFS(المرتجع[الاجمالي],المرتجع[المورد],$M$1,المرتجع[اليوم والتاريخ],L17)</f>
        <v>0</v>
      </c>
      <c r="Q17" s="227">
        <f>SUMIF('11'!$B:$B,$M$1,'11'!$F:$F)</f>
        <v>1</v>
      </c>
      <c r="R17" s="228">
        <f>SUMIF('11'!B:B,$M$1,'11'!H:H)</f>
        <v>10</v>
      </c>
      <c r="S17" s="230">
        <f>SUMIF('11'!B:B,$M$1,'11'!G:G)</f>
        <v>16</v>
      </c>
      <c r="T17" s="231">
        <f t="shared" si="3"/>
        <v>6</v>
      </c>
    </row>
    <row r="18" spans="1:20" ht="21.95" customHeight="1" x14ac:dyDescent="0.2">
      <c r="A18" s="221">
        <f t="shared" si="1"/>
        <v>41803</v>
      </c>
      <c r="B18" s="222">
        <f t="shared" si="2"/>
        <v>649.25</v>
      </c>
      <c r="C18" s="222">
        <f>'14'!D14</f>
        <v>59</v>
      </c>
      <c r="D18" s="223">
        <f t="shared" si="0"/>
        <v>708.25</v>
      </c>
      <c r="E18" s="222">
        <v>0</v>
      </c>
      <c r="F18" s="222">
        <v>0</v>
      </c>
      <c r="G18" s="222">
        <v>0</v>
      </c>
      <c r="H18" s="222">
        <v>0</v>
      </c>
      <c r="I18" s="222">
        <v>0</v>
      </c>
      <c r="J18" s="222">
        <v>0</v>
      </c>
      <c r="L18" s="198">
        <f t="shared" si="4"/>
        <v>41801</v>
      </c>
      <c r="M18" s="227">
        <f>SUMIFS(الوارد[العدد],الوارد[المورد],$M$1,الوارد[اليوم والتاريخ],L18)</f>
        <v>0</v>
      </c>
      <c r="N18" s="228">
        <f>SUMIFS(الوارد[الاجمالي],الوارد[المورد],$M$1,الوارد[اليوم والتاريخ],L18)</f>
        <v>0</v>
      </c>
      <c r="O18" s="227">
        <f>SUMIFS(المرتجع[العدد],المرتجع[المورد],$M$1,المرتجع[اليوم والتاريخ],L18)</f>
        <v>0</v>
      </c>
      <c r="P18" s="229">
        <f>SUMIFS(المرتجع[الاجمالي],المرتجع[المورد],$M$1,المرتجع[اليوم والتاريخ],L18)</f>
        <v>0</v>
      </c>
      <c r="Q18" s="227">
        <f>SUMIF('12'!$B:$B,$M$1,'12'!$F:$F)</f>
        <v>3</v>
      </c>
      <c r="R18" s="228">
        <f>SUMIF('12'!B:B,$M$1,'12'!H:H)</f>
        <v>30</v>
      </c>
      <c r="S18" s="230">
        <f>SUMIF('12'!B:B,$M$1,'12'!G:G)</f>
        <v>45</v>
      </c>
      <c r="T18" s="231">
        <f t="shared" si="3"/>
        <v>15</v>
      </c>
    </row>
    <row r="19" spans="1:20" ht="21.95" customHeight="1" x14ac:dyDescent="0.2">
      <c r="A19" s="221">
        <f t="shared" si="1"/>
        <v>41804</v>
      </c>
      <c r="B19" s="222">
        <f t="shared" si="2"/>
        <v>708.25</v>
      </c>
      <c r="C19" s="222">
        <f>'15'!D14</f>
        <v>0</v>
      </c>
      <c r="D19" s="223">
        <f t="shared" si="0"/>
        <v>708.25</v>
      </c>
      <c r="E19" s="222">
        <v>0</v>
      </c>
      <c r="F19" s="222">
        <v>0</v>
      </c>
      <c r="G19" s="222">
        <v>0</v>
      </c>
      <c r="H19" s="222">
        <v>0</v>
      </c>
      <c r="I19" s="222">
        <v>0</v>
      </c>
      <c r="J19" s="222">
        <v>0</v>
      </c>
      <c r="L19" s="198">
        <f t="shared" si="4"/>
        <v>41802</v>
      </c>
      <c r="M19" s="227">
        <f>SUMIFS(الوارد[العدد],الوارد[المورد],$M$1,الوارد[اليوم والتاريخ],L19)</f>
        <v>0</v>
      </c>
      <c r="N19" s="228">
        <f>SUMIFS(الوارد[الاجمالي],الوارد[المورد],$M$1,الوارد[اليوم والتاريخ],L19)</f>
        <v>0</v>
      </c>
      <c r="O19" s="227">
        <f>SUMIFS(المرتجع[العدد],المرتجع[المورد],$M$1,المرتجع[اليوم والتاريخ],L19)</f>
        <v>0</v>
      </c>
      <c r="P19" s="229">
        <f>SUMIFS(المرتجع[الاجمالي],المرتجع[المورد],$M$1,المرتجع[اليوم والتاريخ],L19)</f>
        <v>0</v>
      </c>
      <c r="Q19" s="227">
        <f>SUMIF('13'!$B:$B,$M$1,'13'!$F:$F)</f>
        <v>4</v>
      </c>
      <c r="R19" s="228">
        <f>SUMIF('13'!B:B,$M$1,'13'!H:H)</f>
        <v>32</v>
      </c>
      <c r="S19" s="230">
        <f>SUMIF('13'!B:B,$M$1,'13'!G:G)</f>
        <v>47</v>
      </c>
      <c r="T19" s="231">
        <f t="shared" si="3"/>
        <v>15</v>
      </c>
    </row>
    <row r="20" spans="1:20" ht="21.95" customHeight="1" x14ac:dyDescent="0.2">
      <c r="A20" s="221">
        <f t="shared" si="1"/>
        <v>41805</v>
      </c>
      <c r="B20" s="222">
        <f t="shared" si="2"/>
        <v>708.25</v>
      </c>
      <c r="C20" s="222">
        <f>'16'!D14</f>
        <v>38</v>
      </c>
      <c r="D20" s="223">
        <f t="shared" si="0"/>
        <v>746.25</v>
      </c>
      <c r="E20" s="222">
        <v>0</v>
      </c>
      <c r="F20" s="222">
        <v>0</v>
      </c>
      <c r="G20" s="222">
        <v>0</v>
      </c>
      <c r="H20" s="222">
        <v>0</v>
      </c>
      <c r="I20" s="222">
        <v>0</v>
      </c>
      <c r="J20" s="222">
        <v>0</v>
      </c>
      <c r="L20" s="198">
        <f t="shared" si="4"/>
        <v>41803</v>
      </c>
      <c r="M20" s="227">
        <f>SUMIFS(الوارد[العدد],الوارد[المورد],$M$1,الوارد[اليوم والتاريخ],L20)</f>
        <v>0</v>
      </c>
      <c r="N20" s="228">
        <f>SUMIFS(الوارد[الاجمالي],الوارد[المورد],$M$1,الوارد[اليوم والتاريخ],L20)</f>
        <v>0</v>
      </c>
      <c r="O20" s="227">
        <f>SUMIFS(المرتجع[العدد],المرتجع[المورد],$M$1,المرتجع[اليوم والتاريخ],L20)</f>
        <v>0</v>
      </c>
      <c r="P20" s="229">
        <f>SUMIFS(المرتجع[الاجمالي],المرتجع[المورد],$M$1,المرتجع[اليوم والتاريخ],L20)</f>
        <v>0</v>
      </c>
      <c r="Q20" s="227">
        <f>SUMIF('14'!$B:$B,$M$1,'14'!$F:$F)</f>
        <v>4</v>
      </c>
      <c r="R20" s="228">
        <f>SUMIF('14'!B:B,$M$1,'14'!H:H)</f>
        <v>40</v>
      </c>
      <c r="S20" s="230">
        <f>SUMIF('14'!B:B,$M$1,'14'!G:G)</f>
        <v>59</v>
      </c>
      <c r="T20" s="231">
        <f t="shared" si="3"/>
        <v>19</v>
      </c>
    </row>
    <row r="21" spans="1:20" ht="21.95" customHeight="1" x14ac:dyDescent="0.2">
      <c r="A21" s="221">
        <f t="shared" si="1"/>
        <v>41806</v>
      </c>
      <c r="B21" s="222">
        <f t="shared" si="2"/>
        <v>746.25</v>
      </c>
      <c r="C21" s="222">
        <f>'17'!D14</f>
        <v>0</v>
      </c>
      <c r="D21" s="223">
        <f t="shared" si="0"/>
        <v>746.25</v>
      </c>
      <c r="E21" s="222">
        <v>0</v>
      </c>
      <c r="F21" s="222">
        <v>0</v>
      </c>
      <c r="G21" s="222">
        <v>0</v>
      </c>
      <c r="H21" s="222">
        <v>0</v>
      </c>
      <c r="I21" s="222">
        <v>0</v>
      </c>
      <c r="J21" s="222">
        <v>0</v>
      </c>
      <c r="L21" s="198">
        <f t="shared" si="4"/>
        <v>41804</v>
      </c>
      <c r="M21" s="227">
        <f>SUMIFS(الوارد[العدد],الوارد[المورد],$M$1,الوارد[اليوم والتاريخ],L21)</f>
        <v>0</v>
      </c>
      <c r="N21" s="228">
        <f>SUMIFS(الوارد[الاجمالي],الوارد[المورد],$M$1,الوارد[اليوم والتاريخ],L21)</f>
        <v>0</v>
      </c>
      <c r="O21" s="227">
        <f>SUMIFS(المرتجع[العدد],المرتجع[المورد],$M$1,المرتجع[اليوم والتاريخ],L21)</f>
        <v>0</v>
      </c>
      <c r="P21" s="229">
        <f>SUMIFS(المرتجع[الاجمالي],المرتجع[المورد],$M$1,المرتجع[اليوم والتاريخ],L21)</f>
        <v>0</v>
      </c>
      <c r="Q21" s="227">
        <f>SUMIF('15'!$B:$B,$M$1,'15'!$F:$F)</f>
        <v>0</v>
      </c>
      <c r="R21" s="228">
        <f>SUMIF('15'!B:B,$M$1,'15'!H:H)</f>
        <v>0</v>
      </c>
      <c r="S21" s="230">
        <f>SUMIF('15'!B:B,$M$1,'15'!G:G)</f>
        <v>0</v>
      </c>
      <c r="T21" s="231">
        <f t="shared" si="3"/>
        <v>0</v>
      </c>
    </row>
    <row r="22" spans="1:20" ht="21.95" customHeight="1" x14ac:dyDescent="0.2">
      <c r="A22" s="221">
        <f t="shared" si="1"/>
        <v>41807</v>
      </c>
      <c r="B22" s="222">
        <f t="shared" si="2"/>
        <v>746.25</v>
      </c>
      <c r="C22" s="222">
        <f>'18'!D14</f>
        <v>0</v>
      </c>
      <c r="D22" s="223">
        <f t="shared" si="0"/>
        <v>746.25</v>
      </c>
      <c r="E22" s="222">
        <v>0</v>
      </c>
      <c r="F22" s="222">
        <v>0</v>
      </c>
      <c r="G22" s="222">
        <v>0</v>
      </c>
      <c r="H22" s="222">
        <v>0</v>
      </c>
      <c r="I22" s="222">
        <v>0</v>
      </c>
      <c r="J22" s="222">
        <v>0</v>
      </c>
      <c r="L22" s="198">
        <f t="shared" si="4"/>
        <v>41805</v>
      </c>
      <c r="M22" s="227">
        <f>SUMIFS(الوارد[العدد],الوارد[المورد],$M$1,الوارد[اليوم والتاريخ],L22)</f>
        <v>0</v>
      </c>
      <c r="N22" s="228">
        <f>SUMIFS(الوارد[الاجمالي],الوارد[المورد],$M$1,الوارد[اليوم والتاريخ],L22)</f>
        <v>0</v>
      </c>
      <c r="O22" s="227">
        <f>SUMIFS(المرتجع[العدد],المرتجع[المورد],$M$1,المرتجع[اليوم والتاريخ],L22)</f>
        <v>0</v>
      </c>
      <c r="P22" s="229">
        <f>SUMIFS(المرتجع[الاجمالي],المرتجع[المورد],$M$1,المرتجع[اليوم والتاريخ],L22)</f>
        <v>0</v>
      </c>
      <c r="Q22" s="227">
        <f>SUMIF('16'!$B:$B,$M$1,'16'!$F:$F)</f>
        <v>2</v>
      </c>
      <c r="R22" s="228">
        <f>SUMIF('16'!B:B,$M$1,'16'!H:H)</f>
        <v>20</v>
      </c>
      <c r="S22" s="230">
        <f>SUMIF('16'!B:B,$M$1,'16'!G:G)</f>
        <v>38</v>
      </c>
      <c r="T22" s="231">
        <f t="shared" si="3"/>
        <v>18</v>
      </c>
    </row>
    <row r="23" spans="1:20" ht="21.95" customHeight="1" x14ac:dyDescent="0.2">
      <c r="A23" s="221">
        <f t="shared" si="1"/>
        <v>41808</v>
      </c>
      <c r="B23" s="222">
        <f t="shared" si="2"/>
        <v>746.25</v>
      </c>
      <c r="C23" s="222">
        <f>'19'!D14</f>
        <v>0</v>
      </c>
      <c r="D23" s="223">
        <f t="shared" si="0"/>
        <v>746.25</v>
      </c>
      <c r="E23" s="222">
        <v>0</v>
      </c>
      <c r="F23" s="222">
        <v>0</v>
      </c>
      <c r="G23" s="222">
        <v>0</v>
      </c>
      <c r="H23" s="222">
        <v>0</v>
      </c>
      <c r="I23" s="222">
        <v>0</v>
      </c>
      <c r="J23" s="222">
        <v>0</v>
      </c>
      <c r="L23" s="198">
        <f t="shared" si="4"/>
        <v>41806</v>
      </c>
      <c r="M23" s="227">
        <f>SUMIFS(الوارد[العدد],الوارد[المورد],$M$1,الوارد[اليوم والتاريخ],L23)</f>
        <v>0</v>
      </c>
      <c r="N23" s="228">
        <f>SUMIFS(الوارد[الاجمالي],الوارد[المورد],$M$1,الوارد[اليوم والتاريخ],L23)</f>
        <v>0</v>
      </c>
      <c r="O23" s="227">
        <f>SUMIFS(المرتجع[العدد],المرتجع[المورد],$M$1,المرتجع[اليوم والتاريخ],L23)</f>
        <v>0</v>
      </c>
      <c r="P23" s="229">
        <f>SUMIFS(المرتجع[الاجمالي],المرتجع[المورد],$M$1,المرتجع[اليوم والتاريخ],L23)</f>
        <v>0</v>
      </c>
      <c r="Q23" s="227">
        <f>SUMIF('17'!$B:$B,$M$1,'17'!$F:$F)</f>
        <v>0</v>
      </c>
      <c r="R23" s="228">
        <f>SUMIF('17'!B:B,$M$1,'17'!H:H)</f>
        <v>0</v>
      </c>
      <c r="S23" s="230">
        <f>SUMIF('17'!B:B,$M$1,'17'!G:G)</f>
        <v>0</v>
      </c>
      <c r="T23" s="231">
        <f t="shared" si="3"/>
        <v>0</v>
      </c>
    </row>
    <row r="24" spans="1:20" ht="21.95" customHeight="1" x14ac:dyDescent="0.2">
      <c r="A24" s="221">
        <f t="shared" si="1"/>
        <v>41809</v>
      </c>
      <c r="B24" s="222">
        <f t="shared" si="2"/>
        <v>746.25</v>
      </c>
      <c r="C24" s="222">
        <f>'20'!D14</f>
        <v>0</v>
      </c>
      <c r="D24" s="223">
        <f t="shared" si="0"/>
        <v>746.25</v>
      </c>
      <c r="E24" s="222">
        <v>0</v>
      </c>
      <c r="F24" s="222">
        <v>0</v>
      </c>
      <c r="G24" s="222">
        <v>0</v>
      </c>
      <c r="H24" s="222">
        <v>0</v>
      </c>
      <c r="I24" s="222">
        <v>0</v>
      </c>
      <c r="J24" s="222">
        <v>0</v>
      </c>
      <c r="L24" s="198">
        <f t="shared" si="4"/>
        <v>41807</v>
      </c>
      <c r="M24" s="227">
        <f>SUMIFS(الوارد[العدد],الوارد[المورد],$M$1,الوارد[اليوم والتاريخ],L24)</f>
        <v>0</v>
      </c>
      <c r="N24" s="228">
        <f>SUMIFS(الوارد[الاجمالي],الوارد[المورد],$M$1,الوارد[اليوم والتاريخ],L24)</f>
        <v>0</v>
      </c>
      <c r="O24" s="227">
        <f>SUMIFS(المرتجع[العدد],المرتجع[المورد],$M$1,المرتجع[اليوم والتاريخ],L24)</f>
        <v>0</v>
      </c>
      <c r="P24" s="229">
        <f>SUMIFS(المرتجع[الاجمالي],المرتجع[المورد],$M$1,المرتجع[اليوم والتاريخ],L24)</f>
        <v>0</v>
      </c>
      <c r="Q24" s="227">
        <f>SUMIF('18'!$B:$B,$M$1,'18'!$F:$F)</f>
        <v>0</v>
      </c>
      <c r="R24" s="228">
        <f>SUMIF('18'!B:B,$M$1,'18'!H:H)</f>
        <v>0</v>
      </c>
      <c r="S24" s="230">
        <f>SUMIF('18'!B:B,$M$1,'18'!G:G)</f>
        <v>0</v>
      </c>
      <c r="T24" s="231">
        <f t="shared" si="3"/>
        <v>0</v>
      </c>
    </row>
    <row r="25" spans="1:20" ht="21.95" customHeight="1" x14ac:dyDescent="0.2">
      <c r="A25" s="221">
        <f t="shared" si="1"/>
        <v>41810</v>
      </c>
      <c r="B25" s="222">
        <f t="shared" si="2"/>
        <v>746.25</v>
      </c>
      <c r="C25" s="222">
        <f>'21'!D14</f>
        <v>0</v>
      </c>
      <c r="D25" s="223">
        <f t="shared" si="0"/>
        <v>746.25</v>
      </c>
      <c r="E25" s="222">
        <v>0</v>
      </c>
      <c r="F25" s="222">
        <v>0</v>
      </c>
      <c r="G25" s="222">
        <v>0</v>
      </c>
      <c r="H25" s="222">
        <v>0</v>
      </c>
      <c r="I25" s="222">
        <v>0</v>
      </c>
      <c r="J25" s="222">
        <v>0</v>
      </c>
      <c r="L25" s="198">
        <f t="shared" si="4"/>
        <v>41808</v>
      </c>
      <c r="M25" s="227">
        <f>SUMIFS(الوارد[العدد],الوارد[المورد],$M$1,الوارد[اليوم والتاريخ],L25)</f>
        <v>0</v>
      </c>
      <c r="N25" s="228">
        <f>SUMIFS(الوارد[الاجمالي],الوارد[المورد],$M$1,الوارد[اليوم والتاريخ],L25)</f>
        <v>0</v>
      </c>
      <c r="O25" s="227">
        <f>SUMIFS(المرتجع[العدد],المرتجع[المورد],$M$1,المرتجع[اليوم والتاريخ],L25)</f>
        <v>0</v>
      </c>
      <c r="P25" s="229">
        <f>SUMIFS(المرتجع[الاجمالي],المرتجع[المورد],$M$1,المرتجع[اليوم والتاريخ],L25)</f>
        <v>0</v>
      </c>
      <c r="Q25" s="227">
        <f>SUMIF('19'!$B:$B,$M$1,'19'!$F:$F)</f>
        <v>0</v>
      </c>
      <c r="R25" s="228">
        <f>SUMIF('19'!B:B,$M$1,'19'!H:H)</f>
        <v>0</v>
      </c>
      <c r="S25" s="230">
        <f>SUMIF('19'!B:B,$M$1,'19'!G:G)</f>
        <v>0</v>
      </c>
      <c r="T25" s="231">
        <f t="shared" si="3"/>
        <v>0</v>
      </c>
    </row>
    <row r="26" spans="1:20" ht="21.95" customHeight="1" x14ac:dyDescent="0.2">
      <c r="A26" s="221">
        <f t="shared" si="1"/>
        <v>41811</v>
      </c>
      <c r="B26" s="222">
        <f t="shared" si="2"/>
        <v>746.25</v>
      </c>
      <c r="C26" s="222">
        <f>'22'!D14</f>
        <v>0</v>
      </c>
      <c r="D26" s="223">
        <f t="shared" si="0"/>
        <v>746.25</v>
      </c>
      <c r="E26" s="222">
        <v>0</v>
      </c>
      <c r="F26" s="222">
        <v>0</v>
      </c>
      <c r="G26" s="222">
        <v>0</v>
      </c>
      <c r="H26" s="222">
        <v>0</v>
      </c>
      <c r="I26" s="222">
        <v>0</v>
      </c>
      <c r="J26" s="222">
        <v>0</v>
      </c>
      <c r="L26" s="198">
        <f t="shared" si="4"/>
        <v>41809</v>
      </c>
      <c r="M26" s="227">
        <f>SUMIFS(الوارد[العدد],الوارد[المورد],$M$1,الوارد[اليوم والتاريخ],L26)</f>
        <v>0</v>
      </c>
      <c r="N26" s="228">
        <f>SUMIFS(الوارد[الاجمالي],الوارد[المورد],$M$1,الوارد[اليوم والتاريخ],L26)</f>
        <v>0</v>
      </c>
      <c r="O26" s="227">
        <f>SUMIFS(المرتجع[العدد],المرتجع[المورد],$M$1,المرتجع[اليوم والتاريخ],L26)</f>
        <v>0</v>
      </c>
      <c r="P26" s="229">
        <f>SUMIFS(المرتجع[الاجمالي],المرتجع[المورد],$M$1,المرتجع[اليوم والتاريخ],L26)</f>
        <v>0</v>
      </c>
      <c r="Q26" s="227">
        <f>SUMIF('20'!$B:$B,$M$1,'20'!$F:$F)</f>
        <v>0</v>
      </c>
      <c r="R26" s="228">
        <f>SUMIF('20'!B:B,$M$1,'20'!H:H)</f>
        <v>0</v>
      </c>
      <c r="S26" s="230">
        <f>SUMIF('20'!B:B,$M$1,'20'!G:G)</f>
        <v>0</v>
      </c>
      <c r="T26" s="231">
        <f t="shared" si="3"/>
        <v>0</v>
      </c>
    </row>
    <row r="27" spans="1:20" ht="21.95" customHeight="1" x14ac:dyDescent="0.2">
      <c r="A27" s="221">
        <f t="shared" si="1"/>
        <v>41812</v>
      </c>
      <c r="B27" s="222">
        <f t="shared" si="2"/>
        <v>746.25</v>
      </c>
      <c r="C27" s="222">
        <f>'23'!D14</f>
        <v>0</v>
      </c>
      <c r="D27" s="223">
        <f t="shared" si="0"/>
        <v>746.25</v>
      </c>
      <c r="E27" s="222">
        <v>0</v>
      </c>
      <c r="F27" s="222">
        <v>0</v>
      </c>
      <c r="G27" s="222">
        <v>0</v>
      </c>
      <c r="H27" s="222">
        <v>0</v>
      </c>
      <c r="I27" s="222">
        <v>0</v>
      </c>
      <c r="J27" s="222">
        <v>0</v>
      </c>
      <c r="L27" s="198">
        <f t="shared" si="4"/>
        <v>41810</v>
      </c>
      <c r="M27" s="227">
        <f>SUMIFS(الوارد[العدد],الوارد[المورد],$M$1,الوارد[اليوم والتاريخ],L27)</f>
        <v>0</v>
      </c>
      <c r="N27" s="228">
        <f>SUMIFS(الوارد[الاجمالي],الوارد[المورد],$M$1,الوارد[اليوم والتاريخ],L27)</f>
        <v>0</v>
      </c>
      <c r="O27" s="227">
        <f>SUMIFS(المرتجع[العدد],المرتجع[المورد],$M$1,المرتجع[اليوم والتاريخ],L27)</f>
        <v>0</v>
      </c>
      <c r="P27" s="229">
        <f>SUMIFS(المرتجع[الاجمالي],المرتجع[المورد],$M$1,المرتجع[اليوم والتاريخ],L27)</f>
        <v>0</v>
      </c>
      <c r="Q27" s="227">
        <f>SUMIF('21'!$B:$B,$M$1,'21'!$F:$F)</f>
        <v>0</v>
      </c>
      <c r="R27" s="228">
        <f>SUMIF('21'!B:B,$M$1,'21'!H:H)</f>
        <v>0</v>
      </c>
      <c r="S27" s="230">
        <f>SUMIF('21'!B:B,$M$1,'21'!G:G)</f>
        <v>0</v>
      </c>
      <c r="T27" s="231">
        <f t="shared" si="3"/>
        <v>0</v>
      </c>
    </row>
    <row r="28" spans="1:20" ht="21.95" customHeight="1" x14ac:dyDescent="0.2">
      <c r="A28" s="221">
        <f t="shared" si="1"/>
        <v>41813</v>
      </c>
      <c r="B28" s="222">
        <f t="shared" si="2"/>
        <v>746.25</v>
      </c>
      <c r="C28" s="222">
        <f>'24'!D14</f>
        <v>0</v>
      </c>
      <c r="D28" s="223">
        <f t="shared" si="0"/>
        <v>746.25</v>
      </c>
      <c r="E28" s="222">
        <v>0</v>
      </c>
      <c r="F28" s="222">
        <v>0</v>
      </c>
      <c r="G28" s="222">
        <v>0</v>
      </c>
      <c r="H28" s="222">
        <v>0</v>
      </c>
      <c r="I28" s="222">
        <v>0</v>
      </c>
      <c r="J28" s="222">
        <v>0</v>
      </c>
      <c r="L28" s="198">
        <f t="shared" si="4"/>
        <v>41811</v>
      </c>
      <c r="M28" s="227">
        <f>SUMIFS(الوارد[العدد],الوارد[المورد],$M$1,الوارد[اليوم والتاريخ],L28)</f>
        <v>0</v>
      </c>
      <c r="N28" s="228">
        <f>SUMIFS(الوارد[الاجمالي],الوارد[المورد],$M$1,الوارد[اليوم والتاريخ],L28)</f>
        <v>0</v>
      </c>
      <c r="O28" s="227">
        <f>SUMIFS(المرتجع[العدد],المرتجع[المورد],$M$1,المرتجع[اليوم والتاريخ],L28)</f>
        <v>0</v>
      </c>
      <c r="P28" s="229">
        <f>SUMIFS(المرتجع[الاجمالي],المرتجع[المورد],$M$1,المرتجع[اليوم والتاريخ],L28)</f>
        <v>0</v>
      </c>
      <c r="Q28" s="227">
        <f>SUMIF('22'!$B:$B,$M$1,'22'!$F:$F)</f>
        <v>0</v>
      </c>
      <c r="R28" s="228">
        <f>SUMIF('22'!B:B,$M$1,'22'!H:H)</f>
        <v>0</v>
      </c>
      <c r="S28" s="230">
        <f>SUMIF('22'!B:B,$M$1,'22'!G:G)</f>
        <v>0</v>
      </c>
      <c r="T28" s="231">
        <f t="shared" si="3"/>
        <v>0</v>
      </c>
    </row>
    <row r="29" spans="1:20" ht="21.95" customHeight="1" x14ac:dyDescent="0.2">
      <c r="A29" s="221">
        <f t="shared" si="1"/>
        <v>41814</v>
      </c>
      <c r="B29" s="222">
        <f t="shared" si="2"/>
        <v>746.25</v>
      </c>
      <c r="C29" s="222">
        <f>'25'!D14</f>
        <v>0</v>
      </c>
      <c r="D29" s="223">
        <f t="shared" si="0"/>
        <v>746.25</v>
      </c>
      <c r="E29" s="222">
        <v>0</v>
      </c>
      <c r="F29" s="222">
        <v>0</v>
      </c>
      <c r="G29" s="222">
        <v>0</v>
      </c>
      <c r="H29" s="222">
        <v>0</v>
      </c>
      <c r="I29" s="222">
        <v>0</v>
      </c>
      <c r="J29" s="222">
        <v>0</v>
      </c>
      <c r="L29" s="198">
        <f t="shared" si="4"/>
        <v>41812</v>
      </c>
      <c r="M29" s="227">
        <f>SUMIFS(الوارد[العدد],الوارد[المورد],$M$1,الوارد[اليوم والتاريخ],L29)</f>
        <v>0</v>
      </c>
      <c r="N29" s="228">
        <f>SUMIFS(الوارد[الاجمالي],الوارد[المورد],$M$1,الوارد[اليوم والتاريخ],L29)</f>
        <v>0</v>
      </c>
      <c r="O29" s="227">
        <f>SUMIFS(المرتجع[العدد],المرتجع[المورد],$M$1,المرتجع[اليوم والتاريخ],L29)</f>
        <v>0</v>
      </c>
      <c r="P29" s="229">
        <f>SUMIFS(المرتجع[الاجمالي],المرتجع[المورد],$M$1,المرتجع[اليوم والتاريخ],L29)</f>
        <v>0</v>
      </c>
      <c r="Q29" s="227">
        <f>SUMIF('23'!$B:$B,$M$1,'23'!$F:$F)</f>
        <v>0</v>
      </c>
      <c r="R29" s="228">
        <f>SUMIF('23'!B:B,$M$1,'23'!H:H)</f>
        <v>0</v>
      </c>
      <c r="S29" s="230">
        <f>SUMIF('23'!B:B,$M$1,'23'!G:G)</f>
        <v>0</v>
      </c>
      <c r="T29" s="231">
        <f t="shared" si="3"/>
        <v>0</v>
      </c>
    </row>
    <row r="30" spans="1:20" ht="21.95" customHeight="1" x14ac:dyDescent="0.2">
      <c r="A30" s="221">
        <f t="shared" si="1"/>
        <v>41815</v>
      </c>
      <c r="B30" s="222">
        <f t="shared" si="2"/>
        <v>746.25</v>
      </c>
      <c r="C30" s="222">
        <f>'26'!D14</f>
        <v>0</v>
      </c>
      <c r="D30" s="223">
        <f t="shared" si="0"/>
        <v>746.25</v>
      </c>
      <c r="E30" s="222">
        <v>0</v>
      </c>
      <c r="F30" s="222">
        <v>0</v>
      </c>
      <c r="G30" s="222">
        <v>0</v>
      </c>
      <c r="H30" s="222">
        <v>0</v>
      </c>
      <c r="I30" s="222">
        <v>0</v>
      </c>
      <c r="J30" s="222">
        <v>0</v>
      </c>
      <c r="L30" s="198">
        <f>L29+1</f>
        <v>41813</v>
      </c>
      <c r="M30" s="227">
        <f>SUMIFS(الوارد[العدد],الوارد[المورد],$M$1,الوارد[اليوم والتاريخ],L30)</f>
        <v>0</v>
      </c>
      <c r="N30" s="228">
        <f>SUMIFS(الوارد[الاجمالي],الوارد[المورد],$M$1,الوارد[اليوم والتاريخ],L30)</f>
        <v>0</v>
      </c>
      <c r="O30" s="227">
        <f>SUMIFS(المرتجع[العدد],المرتجع[المورد],$M$1,المرتجع[اليوم والتاريخ],L30)</f>
        <v>0</v>
      </c>
      <c r="P30" s="229">
        <f>SUMIFS(المرتجع[الاجمالي],المرتجع[المورد],$M$1,المرتجع[اليوم والتاريخ],L30)</f>
        <v>0</v>
      </c>
      <c r="Q30" s="227">
        <f>SUMIF('24'!$B:$B,$M$1,'24'!$F:$F)</f>
        <v>0</v>
      </c>
      <c r="R30" s="228">
        <f>SUMIF('24'!B:B,$M$1,'24'!H:H)</f>
        <v>0</v>
      </c>
      <c r="S30" s="230">
        <f>SUMIF('24'!B:B,$M$1,'24'!G:G)</f>
        <v>0</v>
      </c>
      <c r="T30" s="231">
        <f t="shared" si="3"/>
        <v>0</v>
      </c>
    </row>
    <row r="31" spans="1:20" ht="21.95" customHeight="1" x14ac:dyDescent="0.2">
      <c r="A31" s="221">
        <f t="shared" si="1"/>
        <v>41816</v>
      </c>
      <c r="B31" s="222">
        <f t="shared" si="2"/>
        <v>746.25</v>
      </c>
      <c r="C31" s="222">
        <f>'27'!D14</f>
        <v>0</v>
      </c>
      <c r="D31" s="223">
        <f t="shared" si="0"/>
        <v>746.25</v>
      </c>
      <c r="E31" s="222">
        <v>0</v>
      </c>
      <c r="F31" s="222">
        <v>0</v>
      </c>
      <c r="G31" s="222">
        <v>0</v>
      </c>
      <c r="H31" s="222">
        <v>0</v>
      </c>
      <c r="I31" s="222">
        <v>0</v>
      </c>
      <c r="J31" s="222">
        <v>0</v>
      </c>
      <c r="L31" s="198">
        <f t="shared" si="4"/>
        <v>41814</v>
      </c>
      <c r="M31" s="227">
        <f>SUMIFS(الوارد[العدد],الوارد[المورد],$M$1,الوارد[اليوم والتاريخ],L31)</f>
        <v>0</v>
      </c>
      <c r="N31" s="228">
        <f>SUMIFS(الوارد[الاجمالي],الوارد[المورد],$M$1,الوارد[اليوم والتاريخ],L31)</f>
        <v>0</v>
      </c>
      <c r="O31" s="227">
        <f>SUMIFS(المرتجع[العدد],المرتجع[المورد],$M$1,المرتجع[اليوم والتاريخ],L31)</f>
        <v>0</v>
      </c>
      <c r="P31" s="229">
        <f>SUMIFS(المرتجع[الاجمالي],المرتجع[المورد],$M$1,المرتجع[اليوم والتاريخ],L31)</f>
        <v>0</v>
      </c>
      <c r="Q31" s="227">
        <f>SUMIF('25'!$B:$B,$M$1,'25'!$F:$F)</f>
        <v>0</v>
      </c>
      <c r="R31" s="228">
        <f>SUMIF('25'!B:B,$M$1,'25'!H:H)</f>
        <v>0</v>
      </c>
      <c r="S31" s="230">
        <f>SUMIF('25'!B:B,$M$1,'25'!G:G)</f>
        <v>0</v>
      </c>
      <c r="T31" s="231">
        <f t="shared" si="3"/>
        <v>0</v>
      </c>
    </row>
    <row r="32" spans="1:20" ht="21.95" customHeight="1" x14ac:dyDescent="0.2">
      <c r="A32" s="221">
        <f t="shared" si="1"/>
        <v>41817</v>
      </c>
      <c r="B32" s="222">
        <f t="shared" si="2"/>
        <v>746.25</v>
      </c>
      <c r="C32" s="222">
        <f>'28'!D14</f>
        <v>0</v>
      </c>
      <c r="D32" s="223">
        <f t="shared" si="0"/>
        <v>746.25</v>
      </c>
      <c r="E32" s="222">
        <v>0</v>
      </c>
      <c r="F32" s="222">
        <v>0</v>
      </c>
      <c r="G32" s="222">
        <v>0</v>
      </c>
      <c r="H32" s="222">
        <v>0</v>
      </c>
      <c r="I32" s="222">
        <v>0</v>
      </c>
      <c r="J32" s="222">
        <v>0</v>
      </c>
      <c r="L32" s="198">
        <f t="shared" si="4"/>
        <v>41815</v>
      </c>
      <c r="M32" s="227">
        <f>SUMIFS(الوارد[العدد],الوارد[المورد],$M$1,الوارد[اليوم والتاريخ],L32)</f>
        <v>0</v>
      </c>
      <c r="N32" s="228">
        <f>SUMIFS(الوارد[الاجمالي],الوارد[المورد],$M$1,الوارد[اليوم والتاريخ],L32)</f>
        <v>0</v>
      </c>
      <c r="O32" s="227">
        <f>SUMIFS(المرتجع[العدد],المرتجع[المورد],$M$1,المرتجع[اليوم والتاريخ],L32)</f>
        <v>0</v>
      </c>
      <c r="P32" s="229">
        <f>SUMIFS(المرتجع[الاجمالي],المرتجع[المورد],$M$1,المرتجع[اليوم والتاريخ],L32)</f>
        <v>0</v>
      </c>
      <c r="Q32" s="227">
        <f>SUMIF('26'!$B:$B,$M$1,'26'!$F:$F)</f>
        <v>0</v>
      </c>
      <c r="R32" s="228">
        <f>SUMIF('26'!B:B,$M$1,'26'!H:H)</f>
        <v>0</v>
      </c>
      <c r="S32" s="230">
        <f>SUMIF('26'!B:B,$M$1,'26'!G:G)</f>
        <v>0</v>
      </c>
      <c r="T32" s="231">
        <f t="shared" si="3"/>
        <v>0</v>
      </c>
    </row>
    <row r="33" spans="1:20" ht="21.95" customHeight="1" x14ac:dyDescent="0.2">
      <c r="A33" s="221">
        <f t="shared" si="1"/>
        <v>41818</v>
      </c>
      <c r="B33" s="222">
        <f t="shared" si="2"/>
        <v>746.25</v>
      </c>
      <c r="C33" s="222">
        <f>'29'!D14</f>
        <v>0</v>
      </c>
      <c r="D33" s="223">
        <f t="shared" si="0"/>
        <v>746.25</v>
      </c>
      <c r="E33" s="222">
        <v>0</v>
      </c>
      <c r="F33" s="222">
        <v>0</v>
      </c>
      <c r="G33" s="222">
        <v>0</v>
      </c>
      <c r="H33" s="222">
        <v>0</v>
      </c>
      <c r="I33" s="222">
        <v>0</v>
      </c>
      <c r="J33" s="222">
        <v>0</v>
      </c>
      <c r="L33" s="198">
        <f t="shared" si="4"/>
        <v>41816</v>
      </c>
      <c r="M33" s="227">
        <f>SUMIFS(الوارد[العدد],الوارد[المورد],$M$1,الوارد[اليوم والتاريخ],L33)</f>
        <v>0</v>
      </c>
      <c r="N33" s="228">
        <f>SUMIFS(الوارد[الاجمالي],الوارد[المورد],$M$1,الوارد[اليوم والتاريخ],L33)</f>
        <v>0</v>
      </c>
      <c r="O33" s="227">
        <f>SUMIFS(المرتجع[العدد],المرتجع[المورد],$M$1,المرتجع[اليوم والتاريخ],L33)</f>
        <v>0</v>
      </c>
      <c r="P33" s="229">
        <f>SUMIFS(المرتجع[الاجمالي],المرتجع[المورد],$M$1,المرتجع[اليوم والتاريخ],L33)</f>
        <v>0</v>
      </c>
      <c r="Q33" s="227">
        <f>SUMIF('27'!$B:$B,$M$1,'27'!$F:$F)</f>
        <v>0</v>
      </c>
      <c r="R33" s="228">
        <f>SUMIF('27'!B:B,$M$1,'27'!H:H)</f>
        <v>0</v>
      </c>
      <c r="S33" s="230">
        <f>SUMIF('27'!B:B,$M$1,'27'!G:G)</f>
        <v>0</v>
      </c>
      <c r="T33" s="231">
        <f t="shared" si="3"/>
        <v>0</v>
      </c>
    </row>
    <row r="34" spans="1:20" ht="21.95" customHeight="1" x14ac:dyDescent="0.2">
      <c r="A34" s="221">
        <f t="shared" si="1"/>
        <v>41819</v>
      </c>
      <c r="B34" s="222">
        <f t="shared" si="2"/>
        <v>746.25</v>
      </c>
      <c r="C34" s="222">
        <f>'30'!D14</f>
        <v>0</v>
      </c>
      <c r="D34" s="223">
        <f t="shared" si="0"/>
        <v>746.25</v>
      </c>
      <c r="E34" s="222">
        <v>0</v>
      </c>
      <c r="F34" s="222">
        <v>0</v>
      </c>
      <c r="G34" s="222">
        <v>0</v>
      </c>
      <c r="H34" s="222">
        <v>0</v>
      </c>
      <c r="I34" s="222">
        <v>0</v>
      </c>
      <c r="J34" s="222">
        <v>0</v>
      </c>
      <c r="L34" s="198">
        <f t="shared" si="4"/>
        <v>41817</v>
      </c>
      <c r="M34" s="227">
        <f>SUMIFS(الوارد[العدد],الوارد[المورد],$M$1,الوارد[اليوم والتاريخ],L34)</f>
        <v>0</v>
      </c>
      <c r="N34" s="228">
        <f>SUMIFS(الوارد[الاجمالي],الوارد[المورد],$M$1,الوارد[اليوم والتاريخ],L34)</f>
        <v>0</v>
      </c>
      <c r="O34" s="227">
        <f>SUMIFS(المرتجع[العدد],المرتجع[المورد],$M$1,المرتجع[اليوم والتاريخ],L34)</f>
        <v>0</v>
      </c>
      <c r="P34" s="229">
        <f>SUMIFS(المرتجع[الاجمالي],المرتجع[المورد],$M$1,المرتجع[اليوم والتاريخ],L34)</f>
        <v>0</v>
      </c>
      <c r="Q34" s="227">
        <f>SUMIF('28'!$B:$B,$M$1,'28'!$F:$F)</f>
        <v>0</v>
      </c>
      <c r="R34" s="228">
        <f>SUMIF('28'!B:B,$M$1,'28'!H:H)</f>
        <v>0</v>
      </c>
      <c r="S34" s="230">
        <f>SUMIF('28'!B:B,$M$1,'28'!G:G)</f>
        <v>0</v>
      </c>
      <c r="T34" s="231">
        <f t="shared" si="3"/>
        <v>0</v>
      </c>
    </row>
    <row r="35" spans="1:20" ht="21.95" customHeight="1" x14ac:dyDescent="0.2">
      <c r="A35" s="235">
        <f t="shared" si="1"/>
        <v>41820</v>
      </c>
      <c r="B35" s="236">
        <f t="shared" si="2"/>
        <v>746.25</v>
      </c>
      <c r="C35" s="237">
        <f>'31'!D15</f>
        <v>0</v>
      </c>
      <c r="D35" s="238">
        <f t="shared" si="0"/>
        <v>746.25</v>
      </c>
      <c r="E35" s="237">
        <v>0</v>
      </c>
      <c r="F35" s="237">
        <v>0</v>
      </c>
      <c r="G35" s="237">
        <v>0</v>
      </c>
      <c r="H35" s="237">
        <v>0</v>
      </c>
      <c r="I35" s="237">
        <v>0</v>
      </c>
      <c r="J35" s="237">
        <v>0</v>
      </c>
      <c r="L35" s="198">
        <f t="shared" si="4"/>
        <v>41818</v>
      </c>
      <c r="M35" s="227">
        <f>SUMIFS(الوارد[العدد],الوارد[المورد],$M$1,الوارد[اليوم والتاريخ],L35)</f>
        <v>0</v>
      </c>
      <c r="N35" s="228">
        <f>SUMIFS(الوارد[الاجمالي],الوارد[المورد],$M$1,الوارد[اليوم والتاريخ],L35)</f>
        <v>0</v>
      </c>
      <c r="O35" s="227">
        <f>SUMIFS(المرتجع[العدد],المرتجع[المورد],$M$1,المرتجع[اليوم والتاريخ],L35)</f>
        <v>0</v>
      </c>
      <c r="P35" s="229">
        <f>SUMIFS(المرتجع[الاجمالي],المرتجع[المورد],$M$1,المرتجع[اليوم والتاريخ],L35)</f>
        <v>0</v>
      </c>
      <c r="Q35" s="227">
        <f>SUMIF('29'!$B:$B,$M$1,'29'!$F:$F)</f>
        <v>0</v>
      </c>
      <c r="R35" s="228">
        <f>SUMIF('29'!B:B,$M$1,'29'!H:H)</f>
        <v>0</v>
      </c>
      <c r="S35" s="230">
        <f>SUMIF('29'!B:B,$M$1,'29'!G:G)</f>
        <v>0</v>
      </c>
      <c r="T35" s="231">
        <f t="shared" si="3"/>
        <v>0</v>
      </c>
    </row>
    <row r="36" spans="1:20" ht="21.95" customHeight="1" x14ac:dyDescent="0.2">
      <c r="A36" s="239"/>
      <c r="B36" s="240">
        <f t="shared" si="2"/>
        <v>746.25</v>
      </c>
      <c r="C36" s="241">
        <f>SUM(C5:C35)</f>
        <v>746.25</v>
      </c>
      <c r="D36" s="240"/>
      <c r="E36" s="241">
        <f t="shared" ref="E36:J36" si="5">SUM(E5:E35)</f>
        <v>0</v>
      </c>
      <c r="F36" s="241">
        <f t="shared" si="5"/>
        <v>0</v>
      </c>
      <c r="G36" s="241">
        <f t="shared" si="5"/>
        <v>0</v>
      </c>
      <c r="H36" s="241">
        <f t="shared" si="5"/>
        <v>0</v>
      </c>
      <c r="I36" s="241">
        <f t="shared" si="5"/>
        <v>0</v>
      </c>
      <c r="J36" s="241">
        <f t="shared" si="5"/>
        <v>0</v>
      </c>
      <c r="L36" s="198">
        <f t="shared" si="4"/>
        <v>41819</v>
      </c>
      <c r="M36" s="227">
        <f>SUMIFS(الوارد[العدد],الوارد[المورد],$M$1,الوارد[اليوم والتاريخ],L36)</f>
        <v>0</v>
      </c>
      <c r="N36" s="228">
        <f>SUMIFS(الوارد[الاجمالي],الوارد[المورد],$M$1,الوارد[اليوم والتاريخ],L36)</f>
        <v>0</v>
      </c>
      <c r="O36" s="227">
        <f>SUMIFS(المرتجع[العدد],المرتجع[المورد],$M$1,المرتجع[اليوم والتاريخ],L36)</f>
        <v>0</v>
      </c>
      <c r="P36" s="229">
        <f>SUMIFS(المرتجع[الاجمالي],المرتجع[المورد],$M$1,المرتجع[اليوم والتاريخ],L36)</f>
        <v>0</v>
      </c>
      <c r="Q36" s="227">
        <f>SUMIF('30'!$B:$B,$M$1,'30'!$F:$F)</f>
        <v>0</v>
      </c>
      <c r="R36" s="228">
        <f>SUMIF('30'!B:B,$M$1,'30'!H:H)</f>
        <v>0</v>
      </c>
      <c r="S36" s="230">
        <f>SUMIF('30'!B:B,$M$1,'30'!G:G)</f>
        <v>0</v>
      </c>
      <c r="T36" s="231">
        <f t="shared" si="3"/>
        <v>0</v>
      </c>
    </row>
    <row r="37" spans="1:20" ht="21.95" customHeight="1" thickBot="1" x14ac:dyDescent="0.25">
      <c r="A37" s="242"/>
      <c r="B37" s="242"/>
      <c r="L37" s="199">
        <f t="shared" si="4"/>
        <v>41820</v>
      </c>
      <c r="M37" s="244">
        <f>SUMIFS(الوارد[العدد],الوارد[المورد],$M$1,الوارد[اليوم والتاريخ],L37)</f>
        <v>0</v>
      </c>
      <c r="N37" s="245">
        <f>SUMIFS(الوارد[الاجمالي],الوارد[المورد],$M$1,الوارد[اليوم والتاريخ],L37)</f>
        <v>0</v>
      </c>
      <c r="O37" s="244">
        <f>SUMIFS(المرتجع[العدد],المرتجع[المورد],$M$1,المرتجع[اليوم والتاريخ],L37)</f>
        <v>0</v>
      </c>
      <c r="P37" s="246">
        <f>SUMIFS(المرتجع[الاجمالي],المرتجع[المورد],$M$1,المرتجع[اليوم والتاريخ],L37)</f>
        <v>0</v>
      </c>
      <c r="Q37" s="244">
        <f>SUMIF('31'!$B:$B,$M$1,'31'!$F:$F)</f>
        <v>0</v>
      </c>
      <c r="R37" s="245">
        <f>SUMIF('31'!B:B,$M$1,'31'!H:H)</f>
        <v>0</v>
      </c>
      <c r="S37" s="247">
        <f>SUMIF('31'!B:B,$M$1,'31'!G:G)</f>
        <v>0</v>
      </c>
      <c r="T37" s="248">
        <f t="shared" si="3"/>
        <v>0</v>
      </c>
    </row>
    <row r="38" spans="1:20" ht="21.95" customHeight="1" thickBot="1" x14ac:dyDescent="0.25">
      <c r="A38" s="326" t="s">
        <v>83</v>
      </c>
      <c r="B38" s="326"/>
      <c r="C38" s="243">
        <v>0</v>
      </c>
      <c r="G38" s="249"/>
      <c r="L38" s="250"/>
      <c r="M38" s="251">
        <f>SUM(M6:M37)</f>
        <v>502</v>
      </c>
      <c r="N38" s="252">
        <f>SUM(N6:N37)</f>
        <v>0</v>
      </c>
      <c r="O38" s="251">
        <f t="shared" ref="O38:T38" si="6">SUM(O7:O37)</f>
        <v>0</v>
      </c>
      <c r="P38" s="253">
        <f t="shared" si="6"/>
        <v>0</v>
      </c>
      <c r="Q38" s="251">
        <f t="shared" si="6"/>
        <v>33</v>
      </c>
      <c r="R38" s="252">
        <f t="shared" si="6"/>
        <v>318</v>
      </c>
      <c r="S38" s="254">
        <f t="shared" si="6"/>
        <v>472</v>
      </c>
      <c r="T38" s="255">
        <f t="shared" si="6"/>
        <v>154</v>
      </c>
    </row>
    <row r="39" spans="1:20" ht="21.95" customHeight="1" x14ac:dyDescent="0.2">
      <c r="A39" s="327" t="s">
        <v>84</v>
      </c>
      <c r="B39" s="327"/>
      <c r="C39" s="256" t="str">
        <f>IFERROR(C36/C38,"")</f>
        <v/>
      </c>
      <c r="D39" s="256"/>
      <c r="F39" s="249"/>
      <c r="H39" s="249"/>
      <c r="T39" s="260">
        <f>T38/3</f>
        <v>51.333333333333336</v>
      </c>
    </row>
    <row r="40" spans="1:20" ht="21.95" customHeight="1" x14ac:dyDescent="0.2">
      <c r="D40" s="249"/>
    </row>
    <row r="41" spans="1:20" ht="21.95" customHeight="1" x14ac:dyDescent="0.2">
      <c r="F41" s="249"/>
      <c r="T41" s="260">
        <f>T39+R38</f>
        <v>369.33333333333331</v>
      </c>
    </row>
    <row r="44" spans="1:20" ht="21.95" customHeight="1" x14ac:dyDescent="0.2">
      <c r="F44" s="249"/>
    </row>
  </sheetData>
  <mergeCells count="12">
    <mergeCell ref="A38:B38"/>
    <mergeCell ref="A39:B39"/>
    <mergeCell ref="M4:N4"/>
    <mergeCell ref="O4:P4"/>
    <mergeCell ref="Q4:R4"/>
    <mergeCell ref="L4:L5"/>
    <mergeCell ref="H1:H2"/>
    <mergeCell ref="I1:J2"/>
    <mergeCell ref="S4:S5"/>
    <mergeCell ref="T4:T5"/>
    <mergeCell ref="M2:O2"/>
    <mergeCell ref="M3:N3"/>
  </mergeCells>
  <conditionalFormatting sqref="B5:J35">
    <cfRule type="cellIs" dxfId="874" priority="7" operator="equal">
      <formula>0</formula>
    </cfRule>
  </conditionalFormatting>
  <conditionalFormatting sqref="M7:N37">
    <cfRule type="cellIs" dxfId="873" priority="6" operator="equal">
      <formula>0</formula>
    </cfRule>
  </conditionalFormatting>
  <conditionalFormatting sqref="O7:P37">
    <cfRule type="cellIs" dxfId="872" priority="4" operator="equal">
      <formula>0</formula>
    </cfRule>
    <cfRule type="cellIs" dxfId="871" priority="5" operator="equal">
      <formula>0</formula>
    </cfRule>
  </conditionalFormatting>
  <conditionalFormatting sqref="Q7:Q37">
    <cfRule type="cellIs" dxfId="870" priority="3" operator="equal">
      <formula>0</formula>
    </cfRule>
  </conditionalFormatting>
  <conditionalFormatting sqref="R7:R37">
    <cfRule type="cellIs" dxfId="869" priority="2" operator="equal">
      <formula>0</formula>
    </cfRule>
  </conditionalFormatting>
  <conditionalFormatting sqref="S7:T37">
    <cfRule type="cellIs" dxfId="868" priority="1" operator="equal">
      <formula>0</formula>
    </cfRule>
  </conditionalFormatting>
  <printOptions horizontalCentered="1"/>
  <pageMargins left="0.11811023622047245" right="0.31496062992125984" top="0.15748031496062992" bottom="0.15748031496062992" header="0.31496062992125984" footer="0.31496062992125984"/>
  <pageSetup paperSize="9" scale="91" orientation="portrait" horizontalDpi="203" verticalDpi="203" r:id="rId1"/>
  <ignoredErrors>
    <ignoredError sqref="R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24848-4C48-4383-97C9-FF0D931FB99B}">
  <sheetPr codeName="ورقة4">
    <tabColor rgb="FFFF0000"/>
  </sheetPr>
  <dimension ref="A1:N19"/>
  <sheetViews>
    <sheetView rightToLeft="1" zoomScaleNormal="100" workbookViewId="0">
      <selection activeCell="G30" sqref="G30"/>
    </sheetView>
  </sheetViews>
  <sheetFormatPr defaultColWidth="9" defaultRowHeight="14.25" x14ac:dyDescent="0.2"/>
  <cols>
    <col min="1" max="1" width="5.5" customWidth="1"/>
    <col min="2" max="2" width="5.125" customWidth="1"/>
    <col min="3" max="3" width="7.875" customWidth="1"/>
    <col min="4" max="4" width="29.625" customWidth="1"/>
    <col min="5" max="5" width="7.125" customWidth="1"/>
    <col min="6" max="6" width="8.375" customWidth="1"/>
    <col min="7" max="7" width="10.125" customWidth="1"/>
    <col min="8" max="9" width="7.625" customWidth="1"/>
    <col min="10" max="16383" width="9" customWidth="1"/>
  </cols>
  <sheetData>
    <row r="1" spans="1:14" x14ac:dyDescent="0.2">
      <c r="A1" s="3"/>
      <c r="B1" s="3"/>
      <c r="C1" s="3"/>
      <c r="D1" s="3"/>
      <c r="E1" s="3"/>
      <c r="F1" s="3"/>
      <c r="G1" s="4" t="s">
        <v>0</v>
      </c>
      <c r="H1" s="339">
        <v>41790</v>
      </c>
      <c r="I1" s="339"/>
    </row>
    <row r="2" spans="1:14" ht="15" x14ac:dyDescent="0.2">
      <c r="A2" s="3"/>
      <c r="B2" s="3"/>
      <c r="C2" s="3"/>
      <c r="D2" s="3"/>
      <c r="E2" s="5"/>
      <c r="F2" s="6"/>
      <c r="G2" s="7"/>
      <c r="H2" s="340">
        <f>H1</f>
        <v>41790</v>
      </c>
      <c r="I2" s="340"/>
    </row>
    <row r="3" spans="1:14" x14ac:dyDescent="0.2">
      <c r="A3" s="3"/>
      <c r="B3" s="3"/>
      <c r="C3" s="3"/>
      <c r="D3" s="3"/>
      <c r="E3" s="5"/>
      <c r="F3" s="5"/>
      <c r="G3" s="5"/>
      <c r="H3" s="5"/>
      <c r="I3" s="5"/>
    </row>
    <row r="4" spans="1:14" ht="30" customHeight="1" x14ac:dyDescent="0.2">
      <c r="A4" s="38" t="s">
        <v>49</v>
      </c>
      <c r="B4" s="38" t="s">
        <v>70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4" x14ac:dyDescent="0.2">
      <c r="A5" s="36" t="str">
        <f>IFERROR(VLOOKUP(الجدول1[[#This Row],[كود الصنف]],'تكويد الأصناف'!A:F,6,0),"")</f>
        <v/>
      </c>
      <c r="B5" s="36" t="str">
        <f>IFERROR(VLOOKUP(الجدول1[[#This Row],[كود الصنف]],'تكويد الأصناف'!A:F,3,0)," ")</f>
        <v xml:space="preserve"> </v>
      </c>
      <c r="C5" s="25"/>
      <c r="D5" s="10" t="str">
        <f>IFERROR(VLOOKUP(الجدول1[[#This Row],[كود الصنف]],'تكويد الأصناف'!A:F,4,0),"")</f>
        <v/>
      </c>
      <c r="E5" s="21" t="str">
        <f>IFERROR(VLOOKUP(الجدول1[[#This Row],[كود الصنف]],'تكويد الأصناف'!A:F,5,0),"")</f>
        <v/>
      </c>
      <c r="F5" s="22"/>
      <c r="G5" s="23"/>
      <c r="H5" s="195" t="str">
        <f>IFERROR(الجدول1[[#This Row],[فئة التكلفة]]*الجدول1[[#This Row],[العدد]]," ")</f>
        <v xml:space="preserve"> </v>
      </c>
      <c r="I5" s="20" t="str">
        <f>IFERROR(الجدول1[[#This Row],[سعر البيع]]-الجدول1[[#This Row],[فئة التكلفة]]*الجدول1[[#This Row],[العدد]],"")</f>
        <v/>
      </c>
      <c r="L5" s="1" t="s">
        <v>50</v>
      </c>
      <c r="M5" s="6"/>
      <c r="N5" s="6"/>
    </row>
    <row r="6" spans="1:14" x14ac:dyDescent="0.2">
      <c r="A6" s="36" t="str">
        <f>IFERROR(VLOOKUP(الجدول1[[#This Row],[كود الصنف]],'تكويد الأصناف'!A:F,6,0),"")</f>
        <v/>
      </c>
      <c r="B6" s="36" t="str">
        <f>IFERROR(VLOOKUP(الجدول1[[#This Row],[كود الصنف]],'تكويد الأصناف'!A:F,3,0)," ")</f>
        <v xml:space="preserve"> </v>
      </c>
      <c r="C6" s="25"/>
      <c r="D6" s="10" t="str">
        <f>IFERROR(VLOOKUP(الجدول1[[#This Row],[كود الصنف]],'تكويد الأصناف'!A:F,4,0),"")</f>
        <v/>
      </c>
      <c r="E6" s="21" t="str">
        <f>IFERROR(VLOOKUP(الجدول1[[#This Row],[كود الصنف]],'تكويد الأصناف'!A:F,5,0),"")</f>
        <v/>
      </c>
      <c r="F6" s="22"/>
      <c r="G6" s="23"/>
      <c r="H6" s="195" t="str">
        <f>IFERROR(الجدول1[[#This Row],[فئة التكلفة]]*الجدول1[[#This Row],[العدد]]," ")</f>
        <v xml:space="preserve"> </v>
      </c>
      <c r="I6" s="20" t="str">
        <f>IFERROR(الجدول1[[#This Row],[سعر البيع]]-الجدول1[[#This Row],[فئة التكلفة]]*الجدول1[[#This Row],[العدد]],"")</f>
        <v/>
      </c>
      <c r="L6" s="1" t="s">
        <v>51</v>
      </c>
      <c r="M6" s="6"/>
      <c r="N6" s="6"/>
    </row>
    <row r="7" spans="1:14" x14ac:dyDescent="0.2">
      <c r="A7" s="36" t="str">
        <f>IFERROR(VLOOKUP(الجدول1[[#This Row],[كود الصنف]],'تكويد الأصناف'!A:F,6,0),"")</f>
        <v/>
      </c>
      <c r="B7" s="36" t="str">
        <f>IFERROR(VLOOKUP(الجدول1[[#This Row],[كود الصنف]],'تكويد الأصناف'!A:F,3,0)," ")</f>
        <v xml:space="preserve"> </v>
      </c>
      <c r="C7" s="25"/>
      <c r="D7" s="10" t="str">
        <f>IFERROR(VLOOKUP(الجدول1[[#This Row],[كود الصنف]],'تكويد الأصناف'!A:F,4,0),"")</f>
        <v/>
      </c>
      <c r="E7" s="21" t="str">
        <f>IFERROR(VLOOKUP(الجدول1[[#This Row],[كود الصنف]],'تكويد الأصناف'!A:F,5,0),"")</f>
        <v/>
      </c>
      <c r="F7" s="22"/>
      <c r="G7" s="23"/>
      <c r="H7" s="195" t="str">
        <f>IFERROR(الجدول1[[#This Row],[فئة التكلفة]]*الجدول1[[#This Row],[العدد]]," ")</f>
        <v xml:space="preserve"> </v>
      </c>
      <c r="I7" s="20" t="str">
        <f>IFERROR(الجدول1[[#This Row],[سعر البيع]]-الجدول1[[#This Row],[فئة التكلفة]]*الجدول1[[#This Row],[العدد]],"")</f>
        <v/>
      </c>
      <c r="L7" s="1" t="s">
        <v>52</v>
      </c>
      <c r="M7" s="6"/>
      <c r="N7" s="6"/>
    </row>
    <row r="8" spans="1:14" x14ac:dyDescent="0.2">
      <c r="A8" s="36" t="str">
        <f>IFERROR(VLOOKUP(الجدول1[[#This Row],[كود الصنف]],'تكويد الأصناف'!A:F,6,0),"")</f>
        <v/>
      </c>
      <c r="B8" s="36" t="str">
        <f>IFERROR(VLOOKUP(الجدول1[[#This Row],[كود الصنف]],'تكويد الأصناف'!A:F,3,0)," ")</f>
        <v xml:space="preserve"> </v>
      </c>
      <c r="C8" s="25"/>
      <c r="D8" s="10" t="str">
        <f>IFERROR(VLOOKUP(الجدول1[[#This Row],[كود الصنف]],'تكويد الأصناف'!A:F,4,0),"")</f>
        <v/>
      </c>
      <c r="E8" s="21" t="str">
        <f>IFERROR(VLOOKUP(الجدول1[[#This Row],[كود الصنف]],'تكويد الأصناف'!A:F,5,0),"")</f>
        <v/>
      </c>
      <c r="F8" s="22"/>
      <c r="G8" s="23"/>
      <c r="H8" s="196" t="str">
        <f>IFERROR(الجدول1[[#This Row],[فئة التكلفة]]*الجدول1[[#This Row],[العدد]]," ")</f>
        <v xml:space="preserve"> </v>
      </c>
      <c r="I8" s="20" t="str">
        <f>IFERROR(الجدول1[[#This Row],[سعر البيع]]-الجدول1[[#This Row],[فئة التكلفة]]*الجدول1[[#This Row],[العدد]],"")</f>
        <v/>
      </c>
      <c r="L8" s="1" t="s">
        <v>53</v>
      </c>
      <c r="M8" s="6"/>
      <c r="N8" s="6"/>
    </row>
    <row r="9" spans="1:14" x14ac:dyDescent="0.2">
      <c r="A9" s="29"/>
      <c r="B9" s="29"/>
      <c r="C9" s="26"/>
      <c r="D9" s="27"/>
      <c r="E9" s="28"/>
      <c r="F9" s="29">
        <f>SUBTOTAL(109,الجدول1[العدد])</f>
        <v>0</v>
      </c>
      <c r="G9" s="24">
        <f>SUBTOTAL(109,الجدول1[سعر البيع])</f>
        <v>0</v>
      </c>
      <c r="H9" s="19"/>
      <c r="I9" s="24">
        <f>SUBTOTAL(109,الجدول1[±])</f>
        <v>0</v>
      </c>
      <c r="L9" s="1" t="s">
        <v>54</v>
      </c>
      <c r="M9" s="6"/>
      <c r="N9" s="6"/>
    </row>
    <row r="10" spans="1:14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  <c r="M10" s="6"/>
      <c r="N10" s="6"/>
    </row>
    <row r="11" spans="1:14" x14ac:dyDescent="0.2">
      <c r="A11" s="11"/>
      <c r="B11" s="165"/>
      <c r="C11" s="5"/>
      <c r="D11" s="5"/>
      <c r="E11" s="333"/>
      <c r="F11" s="333"/>
      <c r="G11" s="12"/>
      <c r="H11" s="333"/>
      <c r="I11" s="344"/>
      <c r="L11" s="1" t="s">
        <v>56</v>
      </c>
      <c r="M11" s="6"/>
      <c r="N11" s="6"/>
    </row>
    <row r="12" spans="1:14" x14ac:dyDescent="0.2">
      <c r="A12" s="336" t="s">
        <v>42</v>
      </c>
      <c r="B12" s="337"/>
      <c r="C12" s="337"/>
      <c r="D12" s="30">
        <v>0</v>
      </c>
      <c r="E12" s="333"/>
      <c r="F12" s="333"/>
      <c r="G12" s="30"/>
      <c r="H12" s="334"/>
      <c r="I12" s="335"/>
      <c r="L12" s="39" t="s">
        <v>57</v>
      </c>
      <c r="M12" s="56"/>
      <c r="N12" s="56"/>
    </row>
    <row r="13" spans="1:14" x14ac:dyDescent="0.2">
      <c r="A13" s="11"/>
      <c r="B13" s="165"/>
      <c r="C13" s="5"/>
      <c r="D13" s="31"/>
      <c r="E13" s="333"/>
      <c r="F13" s="333"/>
      <c r="G13" s="30"/>
      <c r="H13" s="334"/>
      <c r="I13" s="335"/>
      <c r="L13" s="1">
        <v>9</v>
      </c>
      <c r="M13" s="6"/>
      <c r="N13" s="6"/>
    </row>
    <row r="14" spans="1:14" x14ac:dyDescent="0.2">
      <c r="A14" s="336" t="s">
        <v>43</v>
      </c>
      <c r="B14" s="337"/>
      <c r="C14" s="337"/>
      <c r="D14" s="35">
        <f>الجدول1[[#Totals],[سعر البيع]]</f>
        <v>0</v>
      </c>
      <c r="E14" s="333"/>
      <c r="F14" s="333"/>
      <c r="G14" s="30"/>
      <c r="H14" s="334"/>
      <c r="I14" s="335"/>
      <c r="L14" s="1">
        <v>10</v>
      </c>
      <c r="M14" s="6"/>
      <c r="N14" s="6"/>
    </row>
    <row r="15" spans="1:14" x14ac:dyDescent="0.2">
      <c r="A15" s="338"/>
      <c r="B15" s="333"/>
      <c r="C15" s="333"/>
      <c r="D15" s="32">
        <f>SUM(D12:D14)</f>
        <v>0</v>
      </c>
      <c r="E15" s="333"/>
      <c r="F15" s="333"/>
      <c r="G15" s="30"/>
      <c r="H15" s="331"/>
      <c r="I15" s="332"/>
      <c r="L15" s="1">
        <v>11</v>
      </c>
      <c r="M15" s="6"/>
      <c r="N15" s="6"/>
    </row>
    <row r="16" spans="1:14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0</v>
      </c>
      <c r="H16" s="331"/>
      <c r="I16" s="332"/>
      <c r="L16" s="1">
        <v>13</v>
      </c>
      <c r="M16" s="6"/>
      <c r="N16" s="6"/>
    </row>
    <row r="17" spans="1:14" x14ac:dyDescent="0.2">
      <c r="A17" s="11"/>
      <c r="B17" s="165"/>
      <c r="C17" s="5"/>
      <c r="D17" s="31"/>
      <c r="E17" s="331"/>
      <c r="F17" s="331"/>
      <c r="G17" s="30">
        <f>SUM(G11:G16)</f>
        <v>0</v>
      </c>
      <c r="H17" s="331"/>
      <c r="I17" s="332"/>
      <c r="L17" s="1">
        <v>14</v>
      </c>
      <c r="M17" s="6"/>
      <c r="N17" s="6"/>
    </row>
    <row r="18" spans="1:14" ht="15" x14ac:dyDescent="0.2">
      <c r="A18" s="11"/>
      <c r="B18" s="165"/>
      <c r="C18" s="5"/>
      <c r="D18" s="5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  <c r="M18" s="6"/>
      <c r="N18" s="6"/>
    </row>
    <row r="19" spans="1:14" x14ac:dyDescent="0.2">
      <c r="A19" s="15"/>
      <c r="B19" s="16"/>
      <c r="C19" s="2">
        <f>الجدول1[[#Totals],[±]]</f>
        <v>0</v>
      </c>
      <c r="D19" s="16"/>
      <c r="E19" s="2">
        <v>0</v>
      </c>
      <c r="F19" s="2">
        <f>الجدول1[[#Totals],[العدد]]</f>
        <v>0</v>
      </c>
      <c r="G19" s="2"/>
      <c r="H19" s="2"/>
      <c r="I19" s="2">
        <f>E19-F19+G19-H19</f>
        <v>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867" priority="7" operator="equal">
      <formula>0</formula>
    </cfRule>
    <cfRule type="cellIs" dxfId="866" priority="8" operator="equal">
      <formula>0</formula>
    </cfRule>
    <cfRule type="cellIs" dxfId="865" priority="9" operator="lessThan">
      <formula>0</formula>
    </cfRule>
    <cfRule type="cellIs" dxfId="864" priority="10" operator="equal">
      <formula>0</formula>
    </cfRule>
  </conditionalFormatting>
  <dataValidations disablePrompts="1" count="2">
    <dataValidation type="list" allowBlank="1" showInputMessage="1" showErrorMessage="1" sqref="E17:F17" xr:uid="{EFA0C480-1A7B-4CB2-A029-BFB89E65AA64}">
      <formula1>$J$5:$J$16</formula1>
    </dataValidation>
    <dataValidation type="list" allowBlank="1" showInputMessage="1" showErrorMessage="1" sqref="E11:F15" xr:uid="{CD03B48A-C994-49FF-B3EE-732EE55E0E33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20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9C69-516A-45E3-AADE-90C8A41FED55}">
  <sheetPr codeName="ورقة5">
    <tabColor rgb="FFFF0000"/>
  </sheetPr>
  <dimension ref="A1:L19"/>
  <sheetViews>
    <sheetView rightToLeft="1" workbookViewId="0">
      <selection activeCell="H1" sqref="H1:I1"/>
    </sheetView>
  </sheetViews>
  <sheetFormatPr defaultColWidth="9" defaultRowHeight="14.25" x14ac:dyDescent="0.2"/>
  <cols>
    <col min="1" max="1" width="5.5" customWidth="1"/>
    <col min="2" max="2" width="5.125" customWidth="1"/>
    <col min="3" max="3" width="7.5" customWidth="1"/>
    <col min="4" max="4" width="29.625" customWidth="1"/>
    <col min="5" max="5" width="7.125" customWidth="1"/>
    <col min="6" max="6" width="8.375" customWidth="1"/>
    <col min="7" max="7" width="10.125" customWidth="1"/>
    <col min="8" max="9" width="7.625" customWidth="1"/>
    <col min="10" max="16383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'1'!H1:I1+1</f>
        <v>41791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41791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 t="str">
        <f>IFERROR(VLOOKUP(الجدول2[[#This Row],[كود الصنف]],'تكويد الأصناف'!A:F,6,0),"")</f>
        <v/>
      </c>
      <c r="B5" s="36" t="str">
        <f>IFERROR(VLOOKUP(الجدول2[[#This Row],[كود الصنف]],'تكويد الأصناف'!A:F,3,0)," ")</f>
        <v xml:space="preserve"> </v>
      </c>
      <c r="C5" s="25"/>
      <c r="D5" s="10" t="str">
        <f>IFERROR(VLOOKUP(الجدول2[[#This Row],[كود الصنف]],'تكويد الأصناف'!A:F,4,0),"")</f>
        <v/>
      </c>
      <c r="E5" s="21" t="str">
        <f>IFERROR(VLOOKUP(الجدول2[[#This Row],[كود الصنف]],'تكويد الأصناف'!A:F,5,0),"")</f>
        <v/>
      </c>
      <c r="F5" s="22"/>
      <c r="G5" s="23"/>
      <c r="H5" s="195" t="str">
        <f>IFERROR(الجدول2[[#This Row],[فئة التكلفة]]*الجدول2[[#This Row],[العدد]]," ")</f>
        <v xml:space="preserve"> </v>
      </c>
      <c r="I5" s="20" t="str">
        <f>IFERROR(الجدول2[[#This Row],[سعر البيع]]-الجدول2[[#This Row],[فئة التكلفة]]*الجدول2[[#This Row],[العدد]],"")</f>
        <v/>
      </c>
      <c r="L5" s="1" t="s">
        <v>50</v>
      </c>
    </row>
    <row r="6" spans="1:12" x14ac:dyDescent="0.2">
      <c r="A6" s="36" t="str">
        <f>IFERROR(VLOOKUP(الجدول2[[#This Row],[كود الصنف]],'تكويد الأصناف'!A:F,6,0),"")</f>
        <v/>
      </c>
      <c r="B6" s="36" t="str">
        <f>IFERROR(VLOOKUP(الجدول2[[#This Row],[كود الصنف]],'تكويد الأصناف'!A:F,3,0)," ")</f>
        <v xml:space="preserve"> </v>
      </c>
      <c r="C6" s="25"/>
      <c r="D6" s="10" t="str">
        <f>IFERROR(VLOOKUP(الجدول2[[#This Row],[كود الصنف]],'تكويد الأصناف'!A:F,4,0),"")</f>
        <v/>
      </c>
      <c r="E6" s="21" t="str">
        <f>IFERROR(VLOOKUP(الجدول2[[#This Row],[كود الصنف]],'تكويد الأصناف'!A:F,5,0),"")</f>
        <v/>
      </c>
      <c r="F6" s="22"/>
      <c r="G6" s="23"/>
      <c r="H6" s="167" t="str">
        <f>IFERROR(الجدول2[[#This Row],[فئة التكلفة]]*الجدول2[[#This Row],[العدد]]," ")</f>
        <v xml:space="preserve"> </v>
      </c>
      <c r="I6" s="20" t="str">
        <f>IFERROR(الجدول2[[#This Row],[سعر البيع]]-الجدول2[[#This Row],[فئة التكلفة]]*الجدول2[[#This Row],[العدد]],"")</f>
        <v/>
      </c>
      <c r="L6" s="1" t="s">
        <v>51</v>
      </c>
    </row>
    <row r="7" spans="1:12" x14ac:dyDescent="0.2">
      <c r="A7" s="36" t="str">
        <f>IFERROR(VLOOKUP(الجدول2[[#This Row],[كود الصنف]],'تكويد الأصناف'!A:F,6,0),"")</f>
        <v/>
      </c>
      <c r="B7" s="36" t="str">
        <f>IFERROR(VLOOKUP(الجدول2[[#This Row],[كود الصنف]],'تكويد الأصناف'!A:F,3,0)," ")</f>
        <v xml:space="preserve"> </v>
      </c>
      <c r="C7" s="25"/>
      <c r="D7" s="10" t="str">
        <f>IFERROR(VLOOKUP(الجدول2[[#This Row],[كود الصنف]],'تكويد الأصناف'!A:F,4,0),"")</f>
        <v/>
      </c>
      <c r="E7" s="21" t="str">
        <f>IFERROR(VLOOKUP(الجدول2[[#This Row],[كود الصنف]],'تكويد الأصناف'!A:F,5,0),"")</f>
        <v/>
      </c>
      <c r="F7" s="22"/>
      <c r="G7" s="23"/>
      <c r="H7" s="167" t="str">
        <f>IFERROR(الجدول2[[#This Row],[فئة التكلفة]]*الجدول2[[#This Row],[العدد]]," ")</f>
        <v xml:space="preserve"> </v>
      </c>
      <c r="I7" s="20" t="str">
        <f>IFERROR(الجدول2[[#This Row],[سعر البيع]]-الجدول2[[#This Row],[فئة التكلفة]]*الجدول2[[#This Row],[العدد]],"")</f>
        <v/>
      </c>
      <c r="L7" s="1" t="s">
        <v>52</v>
      </c>
    </row>
    <row r="8" spans="1:12" x14ac:dyDescent="0.2">
      <c r="A8" s="36" t="str">
        <f>IFERROR(VLOOKUP(الجدول2[[#This Row],[كود الصنف]],'تكويد الأصناف'!A:F,6,0),"")</f>
        <v/>
      </c>
      <c r="B8" s="36" t="str">
        <f>IFERROR(VLOOKUP(الجدول2[[#This Row],[كود الصنف]],'تكويد الأصناف'!A:F,3,0)," ")</f>
        <v xml:space="preserve"> </v>
      </c>
      <c r="C8" s="25"/>
      <c r="D8" s="10" t="str">
        <f>IFERROR(VLOOKUP(الجدول2[[#This Row],[كود الصنف]],'تكويد الأصناف'!A:F,4,0),"")</f>
        <v/>
      </c>
      <c r="E8" s="21" t="str">
        <f>IFERROR(VLOOKUP(الجدول2[[#This Row],[كود الصنف]],'تكويد الأصناف'!A:F,5,0),"")</f>
        <v/>
      </c>
      <c r="F8" s="22"/>
      <c r="G8" s="23"/>
      <c r="H8" s="167" t="str">
        <f>IFERROR(الجدول2[[#This Row],[فئة التكلفة]]*الجدول2[[#This Row],[العدد]]," ")</f>
        <v xml:space="preserve"> </v>
      </c>
      <c r="I8" s="20" t="str">
        <f>IFERROR(الجدول2[[#This Row],[سعر البيع]]-الجدول2[[#This Row],[فئة التكلفة]]*الجدول2[[#This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SUBTOTAL(109,الجدول2[العدد])</f>
        <v>0</v>
      </c>
      <c r="G9" s="24">
        <f>SUBTOTAL(109,الجدول2[سعر البيع])</f>
        <v>0</v>
      </c>
      <c r="H9" s="19"/>
      <c r="I9" s="24">
        <f>SUBTOTAL(109,الجدول2[±])</f>
        <v>0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66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'1'!G16</f>
        <v>0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66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الجدول2[[#Totals],[سعر البيع]]</f>
        <v>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0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0</v>
      </c>
      <c r="H16" s="331"/>
      <c r="I16" s="332"/>
      <c r="L16" s="1">
        <v>13</v>
      </c>
    </row>
    <row r="17" spans="1:12" x14ac:dyDescent="0.2">
      <c r="A17" s="18"/>
      <c r="B17" s="166"/>
      <c r="C17" s="17"/>
      <c r="D17" s="31"/>
      <c r="E17" s="331"/>
      <c r="F17" s="331"/>
      <c r="G17" s="30">
        <f>SUM(G11:G16)</f>
        <v>0</v>
      </c>
      <c r="H17" s="331"/>
      <c r="I17" s="332"/>
      <c r="L17" s="1">
        <v>14</v>
      </c>
    </row>
    <row r="18" spans="1:12" ht="15" x14ac:dyDescent="0.2">
      <c r="A18" s="18"/>
      <c r="B18" s="166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الجدول2[[#Totals],[±]]</f>
        <v>0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839" priority="1" operator="equal">
      <formula>0</formula>
    </cfRule>
    <cfRule type="cellIs" dxfId="838" priority="2" operator="equal">
      <formula>0</formula>
    </cfRule>
    <cfRule type="cellIs" dxfId="837" priority="3" operator="lessThan">
      <formula>0</formula>
    </cfRule>
    <cfRule type="cellIs" dxfId="836" priority="4" operator="equal">
      <formula>0</formula>
    </cfRule>
  </conditionalFormatting>
  <dataValidations disablePrompts="1" count="2">
    <dataValidation type="list" allowBlank="1" showInputMessage="1" showErrorMessage="1" sqref="E11:F15" xr:uid="{DFE9CEB8-EBB2-49C5-ADD1-340FFF742968}">
      <formula1>$L$5:$L$18</formula1>
    </dataValidation>
    <dataValidation type="list" allowBlank="1" showInputMessage="1" showErrorMessage="1" sqref="E17:F17" xr:uid="{4111F155-69F4-40B8-8A6C-6CD36C95055B}">
      <formula1>$J$5:$J$16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203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9449-3F8B-4C32-8D84-CCB99508ED7A}">
  <sheetPr codeName="ورقة6">
    <tabColor rgb="FFFF0000"/>
  </sheetPr>
  <dimension ref="A1:L26"/>
  <sheetViews>
    <sheetView rightToLeft="1" workbookViewId="0">
      <selection activeCell="G36" sqref="G36"/>
    </sheetView>
  </sheetViews>
  <sheetFormatPr defaultColWidth="9" defaultRowHeight="14.25" x14ac:dyDescent="0.2"/>
  <cols>
    <col min="1" max="1" width="5.5" customWidth="1"/>
    <col min="2" max="2" width="5.125" customWidth="1"/>
    <col min="3" max="3" width="8.875" customWidth="1"/>
    <col min="4" max="4" width="29.625" customWidth="1"/>
    <col min="5" max="5" width="7.125" customWidth="1"/>
    <col min="6" max="6" width="8.375" customWidth="1"/>
    <col min="7" max="7" width="11.375" customWidth="1"/>
    <col min="8" max="9" width="7.625" customWidth="1"/>
    <col min="10" max="16383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'2'!H1:I1+1</f>
        <v>41792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41792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>
        <f>IFERROR(VLOOKUP(الجدول3[[#This Row],[كود الصنف]],'تكويد الأصناف'!A:F,6,0),"")</f>
        <v>10</v>
      </c>
      <c r="B5" s="36">
        <f>IFERROR(VLOOKUP(الجدول3[[#This Row],[كود الصنف]],'تكويد الأصناف'!A:F,3,0)," ")</f>
        <v>4</v>
      </c>
      <c r="C5" s="25">
        <v>1005</v>
      </c>
      <c r="D5" s="10" t="str">
        <f>IFERROR(VLOOKUP(الجدول3[[#This Row],[كود الصنف]],'تكويد الأصناف'!A:F,4,0),"")</f>
        <v>جلباب سبور كتانات منوع</v>
      </c>
      <c r="E5" s="21">
        <f>IFERROR(VLOOKUP(الجدول3[[#This Row],[كود الصنف]],'تكويد الأصناف'!A:F,5,0),"")</f>
        <v>15</v>
      </c>
      <c r="F5" s="22">
        <v>1</v>
      </c>
      <c r="G5" s="23">
        <v>16</v>
      </c>
      <c r="H5" s="195">
        <f>IFERROR(الجدول3[[#This Row],[فئة التكلفة]]*الجدول3[[#This Row],[العدد]]," ")</f>
        <v>10</v>
      </c>
      <c r="I5" s="20">
        <f>IFERROR(الجدول3[[#This Row],[سعر البيع]]-الجدول3[[#This Row],[فئة التكلفة]]*الجدول3[[#This Row],[العدد]],"")</f>
        <v>6</v>
      </c>
      <c r="L5" s="1" t="s">
        <v>50</v>
      </c>
    </row>
    <row r="6" spans="1:12" x14ac:dyDescent="0.2">
      <c r="A6" s="36">
        <f>IFERROR(VLOOKUP(الجدول3[[#This Row],[كود الصنف]],'تكويد الأصناف'!A:F,6,0),"")</f>
        <v>10</v>
      </c>
      <c r="B6" s="36">
        <f>IFERROR(VLOOKUP(الجدول3[[#This Row],[كود الصنف]],'تكويد الأصناف'!A:F,3,0)," ")</f>
        <v>4</v>
      </c>
      <c r="C6" s="25">
        <v>1005</v>
      </c>
      <c r="D6" s="10" t="str">
        <f>IFERROR(VLOOKUP(الجدول3[[#This Row],[كود الصنف]],'تكويد الأصناف'!A:F,4,0),"")</f>
        <v>جلباب سبور كتانات منوع</v>
      </c>
      <c r="E6" s="21">
        <f>IFERROR(VLOOKUP(الجدول3[[#This Row],[كود الصنف]],'تكويد الأصناف'!A:F,5,0),"")</f>
        <v>15</v>
      </c>
      <c r="F6" s="22">
        <v>1</v>
      </c>
      <c r="G6" s="23">
        <v>15</v>
      </c>
      <c r="H6" s="167">
        <f>IFERROR(الجدول3[[#This Row],[فئة التكلفة]]*الجدول3[[#This Row],[العدد]]," ")</f>
        <v>10</v>
      </c>
      <c r="I6" s="20">
        <f>IFERROR(الجدول3[[#This Row],[سعر البيع]]-الجدول3[[#This Row],[فئة التكلفة]]*الجدول3[[#This Row],[العدد]],"")</f>
        <v>5</v>
      </c>
      <c r="L6" s="1" t="s">
        <v>51</v>
      </c>
    </row>
    <row r="7" spans="1:12" x14ac:dyDescent="0.2">
      <c r="A7" s="36" t="str">
        <f>IFERROR(VLOOKUP(الجدول3[[#This Row],[كود الصنف]],'تكويد الأصناف'!A:F,6,0),"")</f>
        <v/>
      </c>
      <c r="B7" s="36" t="str">
        <f>IFERROR(VLOOKUP(الجدول3[[#This Row],[كود الصنف]],'تكويد الأصناف'!A:F,3,0)," ")</f>
        <v xml:space="preserve"> </v>
      </c>
      <c r="C7" s="25"/>
      <c r="D7" s="10" t="str">
        <f>IFERROR(VLOOKUP(الجدول3[[#This Row],[كود الصنف]],'تكويد الأصناف'!A:F,4,0),"")</f>
        <v/>
      </c>
      <c r="E7" s="21" t="str">
        <f>IFERROR(VLOOKUP(الجدول3[[#This Row],[كود الصنف]],'تكويد الأصناف'!A:F,5,0),"")</f>
        <v/>
      </c>
      <c r="F7" s="22"/>
      <c r="G7" s="23"/>
      <c r="H7" s="167" t="str">
        <f>IFERROR(الجدول3[[#This Row],[فئة التكلفة]]*الجدول3[[#This Row],[العدد]]," ")</f>
        <v xml:space="preserve"> </v>
      </c>
      <c r="I7" s="20" t="str">
        <f>IFERROR(الجدول3[[#This Row],[سعر البيع]]-الجدول3[[#This Row],[فئة التكلفة]]*الجدول3[[#This Row],[العدد]],"")</f>
        <v/>
      </c>
      <c r="L7" s="1" t="s">
        <v>52</v>
      </c>
    </row>
    <row r="8" spans="1:12" x14ac:dyDescent="0.2">
      <c r="A8" s="36" t="str">
        <f>IFERROR(VLOOKUP(الجدول3[[#This Row],[كود الصنف]],'تكويد الأصناف'!A:F,6,0),"")</f>
        <v/>
      </c>
      <c r="B8" s="36" t="str">
        <f>IFERROR(VLOOKUP(الجدول3[[#This Row],[كود الصنف]],'تكويد الأصناف'!A:F,3,0)," ")</f>
        <v xml:space="preserve"> </v>
      </c>
      <c r="C8" s="25"/>
      <c r="D8" s="10" t="str">
        <f>IFERROR(VLOOKUP(الجدول3[[#This Row],[كود الصنف]],'تكويد الأصناف'!A:F,4,0),"")</f>
        <v/>
      </c>
      <c r="E8" s="21" t="str">
        <f>IFERROR(VLOOKUP(الجدول3[[#This Row],[كود الصنف]],'تكويد الأصناف'!A:F,5,0),"")</f>
        <v/>
      </c>
      <c r="F8" s="22"/>
      <c r="G8" s="23"/>
      <c r="H8" s="167" t="str">
        <f>IFERROR(الجدول3[[#This Row],[فئة التكلفة]]*الجدول3[[#This Row],[العدد]]," ")</f>
        <v xml:space="preserve"> </v>
      </c>
      <c r="I8" s="20" t="str">
        <f>IFERROR(الجدول3[[#This Row],[سعر البيع]]-الجدول3[[#This Row],[فئة التكلفة]]*الجدول3[[#This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SUBTOTAL(109,الجدول3[العدد])</f>
        <v>2</v>
      </c>
      <c r="G9" s="24">
        <f>SUBTOTAL(109,الجدول3[سعر البيع])</f>
        <v>31</v>
      </c>
      <c r="H9" s="19"/>
      <c r="I9" s="24">
        <f>SUBTOTAL(109,الجدول3[±])</f>
        <v>11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66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'2'!G16</f>
        <v>0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66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الجدول3[[#Totals],[سعر البيع]]</f>
        <v>31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31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31</v>
      </c>
      <c r="H16" s="331"/>
      <c r="I16" s="332"/>
      <c r="L16" s="1">
        <v>13</v>
      </c>
    </row>
    <row r="17" spans="1:12" x14ac:dyDescent="0.2">
      <c r="A17" s="18"/>
      <c r="B17" s="166"/>
      <c r="C17" s="17"/>
      <c r="D17" s="31"/>
      <c r="E17" s="331"/>
      <c r="F17" s="331"/>
      <c r="G17" s="30">
        <f>SUM(G11:G16)</f>
        <v>31</v>
      </c>
      <c r="H17" s="331"/>
      <c r="I17" s="332"/>
      <c r="L17" s="1">
        <v>14</v>
      </c>
    </row>
    <row r="18" spans="1:12" ht="15" x14ac:dyDescent="0.2">
      <c r="A18" s="18"/>
      <c r="B18" s="166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الجدول3[[#Totals],[±]]</f>
        <v>11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  <row r="26" spans="1:12" x14ac:dyDescent="0.2">
      <c r="D26" s="207"/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811" priority="1" operator="equal">
      <formula>0</formula>
    </cfRule>
    <cfRule type="cellIs" dxfId="810" priority="2" operator="equal">
      <formula>0</formula>
    </cfRule>
    <cfRule type="cellIs" dxfId="809" priority="3" operator="lessThan">
      <formula>0</formula>
    </cfRule>
    <cfRule type="cellIs" dxfId="808" priority="4" operator="equal">
      <formula>0</formula>
    </cfRule>
  </conditionalFormatting>
  <dataValidations count="2">
    <dataValidation type="list" allowBlank="1" showInputMessage="1" showErrorMessage="1" sqref="E17:F17" xr:uid="{4F211CA6-C361-4B2F-BA95-4300EBF59394}">
      <formula1>$J$5:$J$16</formula1>
    </dataValidation>
    <dataValidation type="list" allowBlank="1" showInputMessage="1" showErrorMessage="1" sqref="E11:F15" xr:uid="{D0A88AF2-2F51-4308-A0E7-41874AF3B6A9}">
      <formula1>$L$5:$L$18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203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7A09F-75FA-4971-A4AB-6402C8EA69B4}">
  <sheetPr codeName="ورقة7">
    <tabColor rgb="FFFF0000"/>
  </sheetPr>
  <dimension ref="A1:L19"/>
  <sheetViews>
    <sheetView rightToLeft="1" workbookViewId="0">
      <selection activeCell="G26" sqref="G26"/>
    </sheetView>
  </sheetViews>
  <sheetFormatPr defaultColWidth="9" defaultRowHeight="14.25" x14ac:dyDescent="0.2"/>
  <cols>
    <col min="1" max="2" width="5.25" customWidth="1"/>
    <col min="3" max="3" width="8.875" customWidth="1"/>
    <col min="4" max="4" width="30" customWidth="1"/>
    <col min="5" max="5" width="6.75" customWidth="1"/>
    <col min="6" max="6" width="8" customWidth="1"/>
    <col min="7" max="7" width="11.375" customWidth="1"/>
    <col min="8" max="8" width="9.375" customWidth="1"/>
    <col min="9" max="9" width="9.875" customWidth="1"/>
    <col min="10" max="16383" width="9" customWidth="1"/>
  </cols>
  <sheetData>
    <row r="1" spans="1:12" x14ac:dyDescent="0.2">
      <c r="A1" s="3"/>
      <c r="B1" s="3"/>
      <c r="C1" s="3"/>
      <c r="D1" s="3"/>
      <c r="E1" s="3"/>
      <c r="F1" s="3"/>
      <c r="G1" s="4" t="s">
        <v>0</v>
      </c>
      <c r="H1" s="339">
        <f>'3'!H1:I1+1</f>
        <v>41793</v>
      </c>
      <c r="I1" s="339"/>
    </row>
    <row r="2" spans="1:12" ht="15" x14ac:dyDescent="0.2">
      <c r="A2" s="3"/>
      <c r="B2" s="3"/>
      <c r="C2" s="3"/>
      <c r="D2" s="3"/>
      <c r="E2" s="17"/>
      <c r="F2" s="6"/>
      <c r="G2" s="7"/>
      <c r="H2" s="340">
        <f>H1</f>
        <v>41793</v>
      </c>
      <c r="I2" s="340"/>
    </row>
    <row r="3" spans="1:12" x14ac:dyDescent="0.2">
      <c r="A3" s="3"/>
      <c r="B3" s="3"/>
      <c r="C3" s="3"/>
      <c r="D3" s="3"/>
      <c r="E3" s="17"/>
      <c r="F3" s="17"/>
      <c r="G3" s="17"/>
      <c r="H3" s="17"/>
      <c r="I3" s="17"/>
    </row>
    <row r="4" spans="1:12" ht="30" customHeight="1" x14ac:dyDescent="0.2">
      <c r="A4" s="38" t="s">
        <v>49</v>
      </c>
      <c r="B4" s="38" t="s">
        <v>7</v>
      </c>
      <c r="C4" s="8" t="s">
        <v>1</v>
      </c>
      <c r="D4" s="8" t="s">
        <v>38</v>
      </c>
      <c r="E4" s="8" t="s">
        <v>39</v>
      </c>
      <c r="F4" s="8" t="s">
        <v>3</v>
      </c>
      <c r="G4" s="8" t="s">
        <v>18</v>
      </c>
      <c r="H4" s="8" t="s">
        <v>40</v>
      </c>
      <c r="I4" s="9" t="s">
        <v>41</v>
      </c>
    </row>
    <row r="5" spans="1:12" x14ac:dyDescent="0.2">
      <c r="A5" s="36">
        <f>IFERROR(VLOOKUP(الجدول4[[#This Row],[كود الصنف]],'تكويد الأصناف'!A:F,6,0),"")</f>
        <v>13</v>
      </c>
      <c r="B5" s="36">
        <f>IFERROR(VLOOKUP(الجدول4[[#This Row],[كود الصنف]],'تكويد الأصناف'!A:F,3,0)," ")</f>
        <v>1</v>
      </c>
      <c r="C5" s="25">
        <v>1008</v>
      </c>
      <c r="D5" s="10" t="str">
        <f>IFERROR(VLOOKUP(الجدول4[[#This Row],[كود الصنف]],'تكويد الأصناف'!A:F,4,0),"")</f>
        <v>عبايات نخب موديلات</v>
      </c>
      <c r="E5" s="21">
        <f>IFERROR(VLOOKUP(الجدول4[[#This Row],[كود الصنف]],'تكويد الأصناف'!A:F,5,0),"")</f>
        <v>20</v>
      </c>
      <c r="F5" s="22">
        <v>1</v>
      </c>
      <c r="G5" s="23">
        <v>15</v>
      </c>
      <c r="H5" s="195">
        <f>IFERROR(الجدول4[[#This Row],[فئة التكلفة]]*الجدول4[[#This Row],[العدد]]," ")</f>
        <v>13</v>
      </c>
      <c r="I5" s="20">
        <f>IFERROR(الجدول4[[#This Row],[سعر البيع]]-الجدول4[[#This Row],[فئة التكلفة]]*الجدول4[[#This Row],[العدد]],"")</f>
        <v>2</v>
      </c>
      <c r="L5" s="1" t="s">
        <v>50</v>
      </c>
    </row>
    <row r="6" spans="1:12" x14ac:dyDescent="0.2">
      <c r="A6" s="36">
        <f>IFERROR(VLOOKUP(الجدول4[[#This Row],[كود الصنف]],'تكويد الأصناف'!A:F,6,0),"")</f>
        <v>10</v>
      </c>
      <c r="B6" s="36">
        <f>IFERROR(VLOOKUP(الجدول4[[#This Row],[كود الصنف]],'تكويد الأصناف'!A:F,3,0)," ")</f>
        <v>4</v>
      </c>
      <c r="C6" s="25">
        <v>1005</v>
      </c>
      <c r="D6" s="10" t="str">
        <f>IFERROR(VLOOKUP(الجدول4[[#This Row],[كود الصنف]],'تكويد الأصناف'!A:F,4,0),"")</f>
        <v>جلباب سبور كتانات منوع</v>
      </c>
      <c r="E6" s="21">
        <f>IFERROR(VLOOKUP(الجدول4[[#This Row],[كود الصنف]],'تكويد الأصناف'!A:F,5,0),"")</f>
        <v>15</v>
      </c>
      <c r="F6" s="22">
        <v>1</v>
      </c>
      <c r="G6" s="23">
        <v>15</v>
      </c>
      <c r="H6" s="167">
        <f>IFERROR(الجدول4[[#This Row],[فئة التكلفة]]*الجدول4[[#This Row],[العدد]]," ")</f>
        <v>10</v>
      </c>
      <c r="I6" s="20">
        <f>IFERROR(الجدول4[[#This Row],[سعر البيع]]-الجدول4[[#This Row],[فئة التكلفة]]*الجدول4[[#This Row],[العدد]],"")</f>
        <v>5</v>
      </c>
      <c r="L6" s="1" t="s">
        <v>51</v>
      </c>
    </row>
    <row r="7" spans="1:12" x14ac:dyDescent="0.2">
      <c r="A7" s="36" t="str">
        <f>IFERROR(VLOOKUP(الجدول4[[#This Row],[كود الصنف]],'تكويد الأصناف'!A:F,6,0),"")</f>
        <v/>
      </c>
      <c r="B7" s="36" t="str">
        <f>IFERROR(VLOOKUP(الجدول4[[#This Row],[كود الصنف]],'تكويد الأصناف'!A:F,3,0)," ")</f>
        <v xml:space="preserve"> </v>
      </c>
      <c r="C7" s="25"/>
      <c r="D7" s="10" t="str">
        <f>IFERROR(VLOOKUP(الجدول4[[#This Row],[كود الصنف]],'تكويد الأصناف'!A:F,4,0),"")</f>
        <v/>
      </c>
      <c r="E7" s="21" t="str">
        <f>IFERROR(VLOOKUP(الجدول4[[#This Row],[كود الصنف]],'تكويد الأصناف'!A:F,5,0),"")</f>
        <v/>
      </c>
      <c r="F7" s="22"/>
      <c r="G7" s="23"/>
      <c r="H7" s="167" t="str">
        <f>IFERROR(الجدول4[[#This Row],[فئة التكلفة]]*الجدول4[[#This Row],[العدد]]," ")</f>
        <v xml:space="preserve"> </v>
      </c>
      <c r="I7" s="20" t="str">
        <f>IFERROR(الجدول4[[#This Row],[سعر البيع]]-الجدول4[[#This Row],[فئة التكلفة]]*الجدول4[[#This Row],[العدد]],"")</f>
        <v/>
      </c>
      <c r="L7" s="1" t="s">
        <v>52</v>
      </c>
    </row>
    <row r="8" spans="1:12" x14ac:dyDescent="0.2">
      <c r="A8" s="36" t="str">
        <f>IFERROR(VLOOKUP(الجدول4[[#This Row],[كود الصنف]],'تكويد الأصناف'!A:F,6,0),"")</f>
        <v/>
      </c>
      <c r="B8" s="36" t="str">
        <f>IFERROR(VLOOKUP(الجدول4[[#This Row],[كود الصنف]],'تكويد الأصناف'!A:F,3,0)," ")</f>
        <v xml:space="preserve"> </v>
      </c>
      <c r="C8" s="25"/>
      <c r="D8" s="10" t="str">
        <f>IFERROR(VLOOKUP(الجدول4[[#This Row],[كود الصنف]],'تكويد الأصناف'!A:F,4,0),"")</f>
        <v/>
      </c>
      <c r="E8" s="21" t="str">
        <f>IFERROR(VLOOKUP(الجدول4[[#This Row],[كود الصنف]],'تكويد الأصناف'!A:F,5,0),"")</f>
        <v/>
      </c>
      <c r="F8" s="22"/>
      <c r="G8" s="23"/>
      <c r="H8" s="167" t="str">
        <f>IFERROR(الجدول4[[#This Row],[فئة التكلفة]]*الجدول4[[#This Row],[العدد]]," ")</f>
        <v xml:space="preserve"> </v>
      </c>
      <c r="I8" s="20" t="str">
        <f>IFERROR(الجدول4[[#This Row],[سعر البيع]]-الجدول4[[#This Row],[فئة التكلفة]]*الجدول4[[#This Row],[العدد]],"")</f>
        <v/>
      </c>
      <c r="L8" s="1" t="s">
        <v>53</v>
      </c>
    </row>
    <row r="9" spans="1:12" x14ac:dyDescent="0.2">
      <c r="A9" s="29"/>
      <c r="B9" s="29"/>
      <c r="C9" s="26"/>
      <c r="D9" s="27"/>
      <c r="E9" s="28"/>
      <c r="F9" s="29">
        <f>SUBTOTAL(109,الجدول4[العدد])</f>
        <v>2</v>
      </c>
      <c r="G9" s="24">
        <f>SUBTOTAL(109,الجدول4[سعر البيع])</f>
        <v>30</v>
      </c>
      <c r="H9" s="19"/>
      <c r="I9" s="24">
        <f>SUBTOTAL(109,الجدول4[±])</f>
        <v>7</v>
      </c>
      <c r="L9" s="1" t="s">
        <v>54</v>
      </c>
    </row>
    <row r="10" spans="1:12" x14ac:dyDescent="0.2">
      <c r="A10" s="341"/>
      <c r="B10" s="342"/>
      <c r="C10" s="342"/>
      <c r="D10" s="342"/>
      <c r="E10" s="342"/>
      <c r="F10" s="342"/>
      <c r="G10" s="342"/>
      <c r="H10" s="342"/>
      <c r="I10" s="343"/>
      <c r="L10" s="1" t="s">
        <v>55</v>
      </c>
    </row>
    <row r="11" spans="1:12" x14ac:dyDescent="0.2">
      <c r="A11" s="18"/>
      <c r="B11" s="166"/>
      <c r="C11" s="17"/>
      <c r="D11" s="17"/>
      <c r="E11" s="333"/>
      <c r="F11" s="333"/>
      <c r="G11" s="12"/>
      <c r="H11" s="333"/>
      <c r="I11" s="344"/>
      <c r="L11" s="1" t="s">
        <v>56</v>
      </c>
    </row>
    <row r="12" spans="1:12" x14ac:dyDescent="0.2">
      <c r="A12" s="336" t="s">
        <v>42</v>
      </c>
      <c r="B12" s="337"/>
      <c r="C12" s="337"/>
      <c r="D12" s="30">
        <f>'3'!G16</f>
        <v>31</v>
      </c>
      <c r="E12" s="333"/>
      <c r="F12" s="333"/>
      <c r="G12" s="30"/>
      <c r="H12" s="334"/>
      <c r="I12" s="335"/>
      <c r="L12" s="39" t="s">
        <v>57</v>
      </c>
    </row>
    <row r="13" spans="1:12" x14ac:dyDescent="0.2">
      <c r="A13" s="18"/>
      <c r="B13" s="166"/>
      <c r="C13" s="17"/>
      <c r="D13" s="31"/>
      <c r="E13" s="333"/>
      <c r="F13" s="333"/>
      <c r="G13" s="30"/>
      <c r="H13" s="334"/>
      <c r="I13" s="335"/>
      <c r="L13" s="1">
        <v>9</v>
      </c>
    </row>
    <row r="14" spans="1:12" x14ac:dyDescent="0.2">
      <c r="A14" s="336" t="s">
        <v>43</v>
      </c>
      <c r="B14" s="337"/>
      <c r="C14" s="337"/>
      <c r="D14" s="35">
        <f>الجدول4[[#Totals],[سعر البيع]]</f>
        <v>30</v>
      </c>
      <c r="E14" s="333"/>
      <c r="F14" s="333"/>
      <c r="G14" s="30"/>
      <c r="H14" s="334"/>
      <c r="I14" s="335"/>
      <c r="L14" s="1">
        <v>10</v>
      </c>
    </row>
    <row r="15" spans="1:12" x14ac:dyDescent="0.2">
      <c r="A15" s="338"/>
      <c r="B15" s="333"/>
      <c r="C15" s="333"/>
      <c r="D15" s="32">
        <f>SUM(D12:D14)</f>
        <v>61</v>
      </c>
      <c r="E15" s="333"/>
      <c r="F15" s="333"/>
      <c r="G15" s="30"/>
      <c r="H15" s="331"/>
      <c r="I15" s="332"/>
      <c r="L15" s="1">
        <v>11</v>
      </c>
    </row>
    <row r="16" spans="1:12" x14ac:dyDescent="0.2">
      <c r="A16" s="338"/>
      <c r="B16" s="333"/>
      <c r="C16" s="333"/>
      <c r="D16" s="33"/>
      <c r="E16" s="331" t="s">
        <v>32</v>
      </c>
      <c r="F16" s="331"/>
      <c r="G16" s="34">
        <f>D15-G11-G12-G13-G14-G15</f>
        <v>61</v>
      </c>
      <c r="H16" s="331"/>
      <c r="I16" s="332"/>
      <c r="L16" s="1">
        <v>13</v>
      </c>
    </row>
    <row r="17" spans="1:12" x14ac:dyDescent="0.2">
      <c r="A17" s="18"/>
      <c r="B17" s="166"/>
      <c r="C17" s="17"/>
      <c r="D17" s="31"/>
      <c r="E17" s="331"/>
      <c r="F17" s="331"/>
      <c r="G17" s="30">
        <f>SUM(G11:G16)</f>
        <v>61</v>
      </c>
      <c r="H17" s="331"/>
      <c r="I17" s="332"/>
      <c r="L17" s="1">
        <v>14</v>
      </c>
    </row>
    <row r="18" spans="1:12" ht="15" x14ac:dyDescent="0.2">
      <c r="A18" s="18"/>
      <c r="B18" s="166"/>
      <c r="C18" s="17"/>
      <c r="D18" s="17"/>
      <c r="E18" s="2" t="s">
        <v>44</v>
      </c>
      <c r="F18" s="1" t="s">
        <v>45</v>
      </c>
      <c r="G18" s="13" t="s">
        <v>46</v>
      </c>
      <c r="H18" s="14" t="s">
        <v>47</v>
      </c>
      <c r="I18" s="1" t="s">
        <v>48</v>
      </c>
      <c r="L18" s="1">
        <v>15</v>
      </c>
    </row>
    <row r="19" spans="1:12" x14ac:dyDescent="0.2">
      <c r="A19" s="15"/>
      <c r="B19" s="187"/>
      <c r="C19" s="2">
        <f>الجدول4[[#Totals],[±]]</f>
        <v>7</v>
      </c>
      <c r="D19" s="16"/>
      <c r="E19" s="2">
        <v>450</v>
      </c>
      <c r="F19" s="2">
        <f>J19-J21-J23</f>
        <v>0</v>
      </c>
      <c r="G19" s="2"/>
      <c r="H19" s="2"/>
      <c r="I19" s="2">
        <f>E19-F19+G19-H19</f>
        <v>450</v>
      </c>
    </row>
  </sheetData>
  <mergeCells count="20">
    <mergeCell ref="A12:C12"/>
    <mergeCell ref="E12:F12"/>
    <mergeCell ref="H12:I12"/>
    <mergeCell ref="H1:I1"/>
    <mergeCell ref="H2:I2"/>
    <mergeCell ref="A10:I10"/>
    <mergeCell ref="E11:F11"/>
    <mergeCell ref="H11:I11"/>
    <mergeCell ref="E17:F17"/>
    <mergeCell ref="H17:I17"/>
    <mergeCell ref="E13:F13"/>
    <mergeCell ref="H13:I13"/>
    <mergeCell ref="A14:C14"/>
    <mergeCell ref="E14:F14"/>
    <mergeCell ref="H14:I14"/>
    <mergeCell ref="A15:C16"/>
    <mergeCell ref="E15:F15"/>
    <mergeCell ref="H15:I15"/>
    <mergeCell ref="E16:F16"/>
    <mergeCell ref="H16:I16"/>
  </mergeCells>
  <conditionalFormatting sqref="I5:I8">
    <cfRule type="cellIs" dxfId="783" priority="1" operator="equal">
      <formula>0</formula>
    </cfRule>
    <cfRule type="cellIs" dxfId="782" priority="2" operator="equal">
      <formula>0</formula>
    </cfRule>
    <cfRule type="cellIs" dxfId="781" priority="3" operator="lessThan">
      <formula>0</formula>
    </cfRule>
    <cfRule type="cellIs" dxfId="780" priority="4" operator="equal">
      <formula>0</formula>
    </cfRule>
  </conditionalFormatting>
  <dataValidations count="2">
    <dataValidation type="list" allowBlank="1" showInputMessage="1" showErrorMessage="1" sqref="E11:F15" xr:uid="{5332D83F-B7EE-4BCF-BD23-6734DC56A470}">
      <formula1>$L$5:$L$18</formula1>
    </dataValidation>
    <dataValidation type="list" allowBlank="1" showInputMessage="1" showErrorMessage="1" sqref="E17:F17" xr:uid="{E034F4D3-244F-4487-A2DA-1B33F779CAC1}">
      <formula1>$J$5:$J$16</formula1>
    </dataValidation>
  </dataValidations>
  <printOptions horizontalCentered="1"/>
  <pageMargins left="0.11811023622047245" right="0.31496062992125984" top="0.35433070866141736" bottom="0.35433070866141736" header="0.31496062992125984" footer="0.31496062992125984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36</vt:i4>
      </vt:variant>
      <vt:variant>
        <vt:lpstr>النطاقات المسماة</vt:lpstr>
      </vt:variant>
      <vt:variant>
        <vt:i4>35</vt:i4>
      </vt:variant>
    </vt:vector>
  </HeadingPairs>
  <TitlesOfParts>
    <vt:vector size="71" baseType="lpstr">
      <vt:lpstr>barcode</vt:lpstr>
      <vt:lpstr>تكويد الأصناف</vt:lpstr>
      <vt:lpstr>الوارد والمرتجع</vt:lpstr>
      <vt:lpstr>حركة الأصناف</vt:lpstr>
      <vt:lpstr>الكشف الشهري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27</vt:lpstr>
      <vt:lpstr>26</vt:lpstr>
      <vt:lpstr>28</vt:lpstr>
      <vt:lpstr>29</vt:lpstr>
      <vt:lpstr>30</vt:lpstr>
      <vt:lpstr>31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barcode!Print_Area</vt:lpstr>
      <vt:lpstr>'الوارد والمرتجع'!Print_Area</vt:lpstr>
      <vt:lpstr>'تكويد الأصناف'!Print_Area</vt:lpstr>
      <vt:lpstr>'حركة الأصناف'!Print_Area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2018-06-16T11:01:13Z</dcterms:modified>
</cp:coreProperties>
</file>