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محمد\Desktop\"/>
    </mc:Choice>
  </mc:AlternateContent>
  <bookViews>
    <workbookView xWindow="0" yWindow="0" windowWidth="15360" windowHeight="8250" firstSheet="3" activeTab="3"/>
  </bookViews>
  <sheets>
    <sheet name="بيانات تسوية" sheetId="7" r:id="rId1"/>
    <sheet name="ورقة1" sheetId="8" r:id="rId2"/>
    <sheet name="ورقة عمل تسوية" sheetId="6" r:id="rId3"/>
    <sheet name="شامل" sheetId="5" r:id="rId4"/>
    <sheet name="تفصيلي المرتب يناير 2018" sheetId="2" r:id="rId5"/>
    <sheet name="تفصيلي مرتب يوليو 2018" sheetId="3" r:id="rId6"/>
  </sheets>
  <externalReferences>
    <externalReference r:id="rId7"/>
    <externalReference r:id="rId8"/>
    <externalReference r:id="rId9"/>
  </externalReferences>
  <definedNames>
    <definedName name="aly">INDEX('[1]البيانات بالصور'!$AD$3:$AD$104,MATCH('[1]الرئيسية '!$J$17,'[1]البيانات بالصور'!$A$3:$A$104,0))</definedName>
    <definedName name="hager">INDEX('تفصيلي المرتب يناير 2018'!$B$4:$B$88,MATCH('ورقة عمل تسوية'!$C$1,'تفصيلي المرتب يناير 2018'!$A$4:$A$88,0))</definedName>
    <definedName name="ma">INDEX('[1]يناير 2016'!$AI$3:$AI$14,MATCH('[1]رعاية الطفل 2018 بطاقات الاجور '!$C$52,'[1]يناير 2016'!$A$3:$A$14,0))</definedName>
    <definedName name="mah">INDEX('[1]يناير 2016'!$AI$3:$AI$14,MATCH('[1]رعاية الطفل 2018 بطاقات الاجور '!$F$27,'[1]يناير 2016'!$A$3:$A$14,0))</definedName>
    <definedName name="mahm" localSheetId="0">INDEX('[1]البيانات بالصور'!$AD$3:$AD$104,MATCH(#REF!,'[1]البيانات بالصور'!$A$3:$A$104,0))</definedName>
    <definedName name="mahm" localSheetId="2">INDEX('[1]البيانات بالصور'!$AD$3:$AD$104,MATCH(#REF!,'[1]البيانات بالصور'!$A$3:$A$104,0))</definedName>
    <definedName name="mahm">INDEX('[1]البيانات بالصور'!$AD$3:$AD$104,MATCH(#REF!,'[1]البيانات بالصور'!$A$3:$A$104,0))</definedName>
    <definedName name="mahmed">INDEX('[1]البيانات بالصور'!$AD$3:$AD$104,MATCH([1]التسوية!$C$2,'[1]البيانات بالصور'!$A$3:$A$104,0))</definedName>
    <definedName name="mahmoud">INDEX('[1]البيانات بالصور'!$AD$3:$AD$104,MATCH('[1]الرئيسية '!$C$2,'[1]البيانات بالصور'!$A$3:$A$104,0))</definedName>
    <definedName name="osma">INDEX('[1]البيانات بالصور'!X1048563:$AD$104,MATCH('[1]الرئيسية '!$J$17,'[1]البيانات بالصور'!$A$3:$A$104,0))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8" l="1"/>
  <c r="A23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19" i="8"/>
  <c r="F15" i="8"/>
  <c r="E15" i="8"/>
  <c r="D15" i="8"/>
  <c r="C15" i="8"/>
  <c r="B15" i="8"/>
  <c r="A15" i="8"/>
  <c r="Z11" i="8"/>
  <c r="Y11" i="8"/>
  <c r="X11" i="8"/>
  <c r="W11" i="8"/>
  <c r="V11" i="8"/>
  <c r="U11" i="8"/>
  <c r="T11" i="8"/>
  <c r="S11" i="8"/>
  <c r="R11" i="8"/>
  <c r="AA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11" i="8"/>
  <c r="C7" i="8" l="1"/>
  <c r="C3" i="8"/>
  <c r="B3" i="6" l="1"/>
  <c r="A4" i="6"/>
  <c r="V486" i="7" l="1"/>
  <c r="O486" i="7"/>
  <c r="V485" i="7"/>
  <c r="O485" i="7"/>
  <c r="V484" i="7"/>
  <c r="O484" i="7"/>
  <c r="V483" i="7"/>
  <c r="O483" i="7"/>
  <c r="V482" i="7"/>
  <c r="O482" i="7"/>
  <c r="V481" i="7"/>
  <c r="O481" i="7"/>
  <c r="V480" i="7"/>
  <c r="O480" i="7"/>
  <c r="V479" i="7"/>
  <c r="O479" i="7"/>
  <c r="V478" i="7"/>
  <c r="O478" i="7"/>
  <c r="V477" i="7"/>
  <c r="O477" i="7"/>
  <c r="V476" i="7"/>
  <c r="O476" i="7"/>
  <c r="V475" i="7"/>
  <c r="O475" i="7"/>
  <c r="V474" i="7"/>
  <c r="O474" i="7"/>
  <c r="V473" i="7"/>
  <c r="O473" i="7"/>
  <c r="V472" i="7"/>
  <c r="O472" i="7"/>
  <c r="V471" i="7"/>
  <c r="O471" i="7"/>
  <c r="V470" i="7"/>
  <c r="O470" i="7"/>
  <c r="V469" i="7"/>
  <c r="O469" i="7"/>
  <c r="V468" i="7"/>
  <c r="O468" i="7"/>
  <c r="V467" i="7"/>
  <c r="O467" i="7"/>
  <c r="V466" i="7"/>
  <c r="O466" i="7"/>
  <c r="V465" i="7"/>
  <c r="O465" i="7"/>
  <c r="V464" i="7"/>
  <c r="O464" i="7"/>
  <c r="V463" i="7"/>
  <c r="O463" i="7"/>
  <c r="V462" i="7"/>
  <c r="O462" i="7"/>
  <c r="V461" i="7"/>
  <c r="O461" i="7"/>
  <c r="V460" i="7"/>
  <c r="O460" i="7"/>
  <c r="V459" i="7"/>
  <c r="O459" i="7"/>
  <c r="V458" i="7"/>
  <c r="O458" i="7"/>
  <c r="V457" i="7"/>
  <c r="O457" i="7"/>
  <c r="V456" i="7"/>
  <c r="O456" i="7"/>
  <c r="V455" i="7"/>
  <c r="O455" i="7"/>
  <c r="V454" i="7"/>
  <c r="O454" i="7"/>
  <c r="V453" i="7"/>
  <c r="O453" i="7"/>
  <c r="V452" i="7"/>
  <c r="O452" i="7"/>
  <c r="V451" i="7"/>
  <c r="O451" i="7"/>
  <c r="V450" i="7"/>
  <c r="O450" i="7"/>
  <c r="V449" i="7"/>
  <c r="O449" i="7"/>
  <c r="V448" i="7"/>
  <c r="O448" i="7"/>
  <c r="V447" i="7"/>
  <c r="O447" i="7"/>
  <c r="V446" i="7"/>
  <c r="O446" i="7"/>
  <c r="V445" i="7"/>
  <c r="O445" i="7"/>
  <c r="V444" i="7"/>
  <c r="O444" i="7"/>
  <c r="V443" i="7"/>
  <c r="O443" i="7"/>
  <c r="V442" i="7"/>
  <c r="O442" i="7"/>
  <c r="V441" i="7"/>
  <c r="O441" i="7"/>
  <c r="V440" i="7"/>
  <c r="O440" i="7"/>
  <c r="V439" i="7"/>
  <c r="O439" i="7"/>
  <c r="V438" i="7"/>
  <c r="O438" i="7"/>
  <c r="V437" i="7"/>
  <c r="O437" i="7"/>
  <c r="V436" i="7"/>
  <c r="O436" i="7"/>
  <c r="V435" i="7"/>
  <c r="O435" i="7"/>
  <c r="V434" i="7"/>
  <c r="O434" i="7"/>
  <c r="V433" i="7"/>
  <c r="O433" i="7"/>
  <c r="V432" i="7"/>
  <c r="O432" i="7"/>
  <c r="V431" i="7"/>
  <c r="O431" i="7"/>
  <c r="V430" i="7"/>
  <c r="O430" i="7"/>
  <c r="V429" i="7"/>
  <c r="O429" i="7"/>
  <c r="V428" i="7"/>
  <c r="O428" i="7"/>
  <c r="V427" i="7"/>
  <c r="O427" i="7"/>
  <c r="V426" i="7"/>
  <c r="O426" i="7"/>
  <c r="V425" i="7"/>
  <c r="O425" i="7"/>
  <c r="V424" i="7"/>
  <c r="O424" i="7"/>
  <c r="V423" i="7"/>
  <c r="O423" i="7"/>
  <c r="V422" i="7"/>
  <c r="O422" i="7"/>
  <c r="V421" i="7"/>
  <c r="O421" i="7"/>
  <c r="V420" i="7"/>
  <c r="O420" i="7"/>
  <c r="V419" i="7"/>
  <c r="O419" i="7"/>
  <c r="V418" i="7"/>
  <c r="O418" i="7"/>
  <c r="V417" i="7"/>
  <c r="O417" i="7"/>
  <c r="V416" i="7"/>
  <c r="O416" i="7"/>
  <c r="V415" i="7"/>
  <c r="O415" i="7"/>
  <c r="V414" i="7"/>
  <c r="O414" i="7"/>
  <c r="V413" i="7"/>
  <c r="O413" i="7"/>
  <c r="V412" i="7"/>
  <c r="O412" i="7"/>
  <c r="V411" i="7"/>
  <c r="O411" i="7"/>
  <c r="V410" i="7"/>
  <c r="O410" i="7"/>
  <c r="V409" i="7"/>
  <c r="O409" i="7"/>
  <c r="V408" i="7"/>
  <c r="O408" i="7"/>
  <c r="V407" i="7"/>
  <c r="O407" i="7"/>
  <c r="V406" i="7"/>
  <c r="O406" i="7"/>
  <c r="V405" i="7"/>
  <c r="O405" i="7"/>
  <c r="V404" i="7"/>
  <c r="O404" i="7"/>
  <c r="V403" i="7"/>
  <c r="O403" i="7"/>
  <c r="V402" i="7"/>
  <c r="O402" i="7"/>
  <c r="V401" i="7"/>
  <c r="O401" i="7"/>
  <c r="V400" i="7"/>
  <c r="O400" i="7"/>
  <c r="V399" i="7"/>
  <c r="O399" i="7"/>
  <c r="V398" i="7"/>
  <c r="O398" i="7"/>
  <c r="V397" i="7"/>
  <c r="O397" i="7"/>
  <c r="V396" i="7"/>
  <c r="O396" i="7"/>
  <c r="V395" i="7"/>
  <c r="O395" i="7"/>
  <c r="V394" i="7"/>
  <c r="O394" i="7"/>
  <c r="V393" i="7"/>
  <c r="O393" i="7"/>
  <c r="V392" i="7"/>
  <c r="O392" i="7"/>
  <c r="V391" i="7"/>
  <c r="O391" i="7"/>
  <c r="V390" i="7"/>
  <c r="O390" i="7"/>
  <c r="V389" i="7"/>
  <c r="O389" i="7"/>
  <c r="V388" i="7"/>
  <c r="O388" i="7"/>
  <c r="V387" i="7"/>
  <c r="O387" i="7"/>
  <c r="V386" i="7"/>
  <c r="O386" i="7"/>
  <c r="V385" i="7"/>
  <c r="O385" i="7"/>
  <c r="V384" i="7"/>
  <c r="O384" i="7"/>
  <c r="V383" i="7"/>
  <c r="O383" i="7"/>
  <c r="V382" i="7"/>
  <c r="O382" i="7"/>
  <c r="V381" i="7"/>
  <c r="O381" i="7"/>
  <c r="V380" i="7"/>
  <c r="O380" i="7"/>
  <c r="V379" i="7"/>
  <c r="O379" i="7"/>
  <c r="V378" i="7"/>
  <c r="O378" i="7"/>
  <c r="V377" i="7"/>
  <c r="O377" i="7"/>
  <c r="V376" i="7"/>
  <c r="O376" i="7"/>
  <c r="V375" i="7"/>
  <c r="O375" i="7"/>
  <c r="V374" i="7"/>
  <c r="O374" i="7"/>
  <c r="V373" i="7"/>
  <c r="O373" i="7"/>
  <c r="V372" i="7"/>
  <c r="O372" i="7"/>
  <c r="V371" i="7"/>
  <c r="O371" i="7"/>
  <c r="V370" i="7"/>
  <c r="O370" i="7"/>
  <c r="V369" i="7"/>
  <c r="O369" i="7"/>
  <c r="V368" i="7"/>
  <c r="O368" i="7"/>
  <c r="V367" i="7"/>
  <c r="O367" i="7"/>
  <c r="V366" i="7"/>
  <c r="O366" i="7"/>
  <c r="V365" i="7"/>
  <c r="O365" i="7"/>
  <c r="V364" i="7"/>
  <c r="O364" i="7"/>
  <c r="V363" i="7"/>
  <c r="O363" i="7"/>
  <c r="V362" i="7"/>
  <c r="O362" i="7"/>
  <c r="V361" i="7"/>
  <c r="O361" i="7"/>
  <c r="V360" i="7"/>
  <c r="O360" i="7"/>
  <c r="V359" i="7"/>
  <c r="O359" i="7"/>
  <c r="V358" i="7"/>
  <c r="O358" i="7"/>
  <c r="V357" i="7"/>
  <c r="O357" i="7"/>
  <c r="V356" i="7"/>
  <c r="O356" i="7"/>
  <c r="V355" i="7"/>
  <c r="O355" i="7"/>
  <c r="V354" i="7"/>
  <c r="O354" i="7"/>
  <c r="V353" i="7"/>
  <c r="O353" i="7"/>
  <c r="V352" i="7"/>
  <c r="O352" i="7"/>
  <c r="V351" i="7"/>
  <c r="O351" i="7"/>
  <c r="V350" i="7"/>
  <c r="O350" i="7"/>
  <c r="V349" i="7"/>
  <c r="O349" i="7"/>
  <c r="V348" i="7"/>
  <c r="O348" i="7"/>
  <c r="V347" i="7"/>
  <c r="O347" i="7"/>
  <c r="V346" i="7"/>
  <c r="O346" i="7"/>
  <c r="V345" i="7"/>
  <c r="O345" i="7"/>
  <c r="V344" i="7"/>
  <c r="O344" i="7"/>
  <c r="V343" i="7"/>
  <c r="O343" i="7"/>
  <c r="V342" i="7"/>
  <c r="O342" i="7"/>
  <c r="V341" i="7"/>
  <c r="O341" i="7"/>
  <c r="V340" i="7"/>
  <c r="O340" i="7"/>
  <c r="V339" i="7"/>
  <c r="O339" i="7"/>
  <c r="V338" i="7"/>
  <c r="O338" i="7"/>
  <c r="V337" i="7"/>
  <c r="O337" i="7"/>
  <c r="V336" i="7"/>
  <c r="O336" i="7"/>
  <c r="V335" i="7"/>
  <c r="O335" i="7"/>
  <c r="V334" i="7"/>
  <c r="O334" i="7"/>
  <c r="V333" i="7"/>
  <c r="O333" i="7"/>
  <c r="V332" i="7"/>
  <c r="O332" i="7"/>
  <c r="V331" i="7"/>
  <c r="O331" i="7"/>
  <c r="V330" i="7"/>
  <c r="O330" i="7"/>
  <c r="V329" i="7"/>
  <c r="O329" i="7"/>
  <c r="V328" i="7"/>
  <c r="O328" i="7"/>
  <c r="V327" i="7"/>
  <c r="O327" i="7"/>
  <c r="V326" i="7"/>
  <c r="O326" i="7"/>
  <c r="V325" i="7"/>
  <c r="O325" i="7"/>
  <c r="V324" i="7"/>
  <c r="O324" i="7"/>
  <c r="V323" i="7"/>
  <c r="O323" i="7"/>
  <c r="V322" i="7"/>
  <c r="O322" i="7"/>
  <c r="V321" i="7"/>
  <c r="O321" i="7"/>
  <c r="V320" i="7"/>
  <c r="O320" i="7"/>
  <c r="V319" i="7"/>
  <c r="O319" i="7"/>
  <c r="V318" i="7"/>
  <c r="O318" i="7"/>
  <c r="V317" i="7"/>
  <c r="O317" i="7"/>
  <c r="V316" i="7"/>
  <c r="O316" i="7"/>
  <c r="V315" i="7"/>
  <c r="O315" i="7"/>
  <c r="V314" i="7"/>
  <c r="O314" i="7"/>
  <c r="V313" i="7"/>
  <c r="O313" i="7"/>
  <c r="V312" i="7"/>
  <c r="O312" i="7"/>
  <c r="V311" i="7"/>
  <c r="O311" i="7"/>
  <c r="V310" i="7"/>
  <c r="O310" i="7"/>
  <c r="V309" i="7"/>
  <c r="O309" i="7"/>
  <c r="V308" i="7"/>
  <c r="O308" i="7"/>
  <c r="V307" i="7"/>
  <c r="O307" i="7"/>
  <c r="V306" i="7"/>
  <c r="O306" i="7"/>
  <c r="V305" i="7"/>
  <c r="O305" i="7"/>
  <c r="V304" i="7"/>
  <c r="O304" i="7"/>
  <c r="V303" i="7"/>
  <c r="O303" i="7"/>
  <c r="V302" i="7"/>
  <c r="O302" i="7"/>
  <c r="V301" i="7"/>
  <c r="O301" i="7"/>
  <c r="V300" i="7"/>
  <c r="O300" i="7"/>
  <c r="V299" i="7"/>
  <c r="O299" i="7"/>
  <c r="V298" i="7"/>
  <c r="O298" i="7"/>
  <c r="V297" i="7"/>
  <c r="O297" i="7"/>
  <c r="V296" i="7"/>
  <c r="O296" i="7"/>
  <c r="V295" i="7"/>
  <c r="O295" i="7"/>
  <c r="V294" i="7"/>
  <c r="O294" i="7"/>
  <c r="V293" i="7"/>
  <c r="O293" i="7"/>
  <c r="V292" i="7"/>
  <c r="O292" i="7"/>
  <c r="V291" i="7"/>
  <c r="O291" i="7"/>
  <c r="V290" i="7"/>
  <c r="O290" i="7"/>
  <c r="V289" i="7"/>
  <c r="O289" i="7"/>
  <c r="V288" i="7"/>
  <c r="O288" i="7"/>
  <c r="V287" i="7"/>
  <c r="O287" i="7"/>
  <c r="V285" i="7"/>
  <c r="O285" i="7"/>
  <c r="V284" i="7"/>
  <c r="O284" i="7"/>
  <c r="V283" i="7"/>
  <c r="O283" i="7"/>
  <c r="V282" i="7"/>
  <c r="O282" i="7"/>
  <c r="V281" i="7"/>
  <c r="O281" i="7"/>
  <c r="V280" i="7"/>
  <c r="O280" i="7"/>
  <c r="V279" i="7"/>
  <c r="O279" i="7"/>
  <c r="V278" i="7"/>
  <c r="O278" i="7"/>
  <c r="V277" i="7"/>
  <c r="O277" i="7"/>
  <c r="V276" i="7"/>
  <c r="O276" i="7"/>
  <c r="V275" i="7"/>
  <c r="O275" i="7"/>
  <c r="V274" i="7"/>
  <c r="O274" i="7"/>
  <c r="V273" i="7"/>
  <c r="O273" i="7"/>
  <c r="V272" i="7"/>
  <c r="O272" i="7"/>
  <c r="V271" i="7"/>
  <c r="O271" i="7"/>
  <c r="V270" i="7"/>
  <c r="O270" i="7"/>
  <c r="V269" i="7"/>
  <c r="O269" i="7"/>
  <c r="V268" i="7"/>
  <c r="O268" i="7"/>
  <c r="V267" i="7"/>
  <c r="O267" i="7"/>
  <c r="V266" i="7"/>
  <c r="O266" i="7"/>
  <c r="V265" i="7"/>
  <c r="O265" i="7"/>
  <c r="V264" i="7"/>
  <c r="O264" i="7"/>
  <c r="V263" i="7"/>
  <c r="O263" i="7"/>
  <c r="V262" i="7"/>
  <c r="O262" i="7"/>
  <c r="V261" i="7"/>
  <c r="O261" i="7"/>
  <c r="V260" i="7"/>
  <c r="O260" i="7"/>
  <c r="V259" i="7"/>
  <c r="O259" i="7"/>
  <c r="V258" i="7"/>
  <c r="O258" i="7"/>
  <c r="V257" i="7"/>
  <c r="O257" i="7"/>
  <c r="V256" i="7"/>
  <c r="O256" i="7"/>
  <c r="V255" i="7"/>
  <c r="O255" i="7"/>
  <c r="V254" i="7"/>
  <c r="O254" i="7"/>
  <c r="V253" i="7"/>
  <c r="O253" i="7"/>
  <c r="V252" i="7"/>
  <c r="O252" i="7"/>
  <c r="V251" i="7"/>
  <c r="O251" i="7"/>
  <c r="V250" i="7"/>
  <c r="O250" i="7"/>
  <c r="V249" i="7"/>
  <c r="O249" i="7"/>
  <c r="V248" i="7"/>
  <c r="O248" i="7"/>
  <c r="V247" i="7"/>
  <c r="O247" i="7"/>
  <c r="V246" i="7"/>
  <c r="O246" i="7"/>
  <c r="V245" i="7"/>
  <c r="O245" i="7"/>
  <c r="V244" i="7"/>
  <c r="O244" i="7"/>
  <c r="V243" i="7"/>
  <c r="O243" i="7"/>
  <c r="V242" i="7"/>
  <c r="O242" i="7"/>
  <c r="V241" i="7"/>
  <c r="O241" i="7"/>
  <c r="V240" i="7"/>
  <c r="O240" i="7"/>
  <c r="V239" i="7"/>
  <c r="O239" i="7"/>
  <c r="V238" i="7"/>
  <c r="O238" i="7"/>
  <c r="V237" i="7"/>
  <c r="O237" i="7"/>
  <c r="V236" i="7"/>
  <c r="O236" i="7"/>
  <c r="V235" i="7"/>
  <c r="O235" i="7"/>
  <c r="V234" i="7"/>
  <c r="O234" i="7"/>
  <c r="V233" i="7"/>
  <c r="O233" i="7"/>
  <c r="V232" i="7"/>
  <c r="O232" i="7"/>
  <c r="V231" i="7"/>
  <c r="O231" i="7"/>
  <c r="V230" i="7"/>
  <c r="O230" i="7"/>
  <c r="V229" i="7"/>
  <c r="O229" i="7"/>
  <c r="V228" i="7"/>
  <c r="O228" i="7"/>
  <c r="V227" i="7"/>
  <c r="O227" i="7"/>
  <c r="V226" i="7"/>
  <c r="O226" i="7"/>
  <c r="V225" i="7"/>
  <c r="O225" i="7"/>
  <c r="V224" i="7"/>
  <c r="O224" i="7"/>
  <c r="V223" i="7"/>
  <c r="O223" i="7"/>
  <c r="V222" i="7"/>
  <c r="O222" i="7"/>
  <c r="V221" i="7"/>
  <c r="O221" i="7"/>
  <c r="V220" i="7"/>
  <c r="O220" i="7"/>
  <c r="V219" i="7"/>
  <c r="O219" i="7"/>
  <c r="V218" i="7"/>
  <c r="O218" i="7"/>
  <c r="V217" i="7"/>
  <c r="O217" i="7"/>
  <c r="V216" i="7"/>
  <c r="O216" i="7"/>
  <c r="V215" i="7"/>
  <c r="O215" i="7"/>
  <c r="V214" i="7"/>
  <c r="O214" i="7"/>
  <c r="V213" i="7"/>
  <c r="O213" i="7"/>
  <c r="V212" i="7"/>
  <c r="O212" i="7"/>
  <c r="V211" i="7"/>
  <c r="O211" i="7"/>
  <c r="V210" i="7"/>
  <c r="O210" i="7"/>
  <c r="V209" i="7"/>
  <c r="O209" i="7"/>
  <c r="V208" i="7"/>
  <c r="O208" i="7"/>
  <c r="V207" i="7"/>
  <c r="O207" i="7"/>
  <c r="V206" i="7"/>
  <c r="O206" i="7"/>
  <c r="V205" i="7"/>
  <c r="O205" i="7"/>
  <c r="V204" i="7"/>
  <c r="O204" i="7"/>
  <c r="V203" i="7"/>
  <c r="O203" i="7"/>
  <c r="V202" i="7"/>
  <c r="O202" i="7"/>
  <c r="V201" i="7"/>
  <c r="O201" i="7"/>
  <c r="V200" i="7"/>
  <c r="O200" i="7"/>
  <c r="V199" i="7"/>
  <c r="O199" i="7"/>
  <c r="V198" i="7"/>
  <c r="O198" i="7"/>
  <c r="V197" i="7"/>
  <c r="O197" i="7"/>
  <c r="V196" i="7"/>
  <c r="O196" i="7"/>
  <c r="V195" i="7"/>
  <c r="O195" i="7"/>
  <c r="V194" i="7"/>
  <c r="O194" i="7"/>
  <c r="V193" i="7"/>
  <c r="O193" i="7"/>
  <c r="V192" i="7"/>
  <c r="O192" i="7"/>
  <c r="V191" i="7"/>
  <c r="O191" i="7"/>
  <c r="V190" i="7"/>
  <c r="O190" i="7"/>
  <c r="V189" i="7"/>
  <c r="O189" i="7"/>
  <c r="V188" i="7"/>
  <c r="O188" i="7"/>
  <c r="V187" i="7"/>
  <c r="O187" i="7"/>
  <c r="V186" i="7"/>
  <c r="O186" i="7"/>
  <c r="V185" i="7"/>
  <c r="O185" i="7"/>
  <c r="V184" i="7"/>
  <c r="O184" i="7"/>
  <c r="V183" i="7"/>
  <c r="O183" i="7"/>
  <c r="V182" i="7"/>
  <c r="O182" i="7"/>
  <c r="V181" i="7"/>
  <c r="O181" i="7"/>
  <c r="V180" i="7"/>
  <c r="O180" i="7"/>
  <c r="V179" i="7"/>
  <c r="O179" i="7"/>
  <c r="AB178" i="7"/>
  <c r="Y178" i="7"/>
  <c r="V178" i="7"/>
  <c r="P178" i="7"/>
  <c r="O178" i="7"/>
  <c r="AB177" i="7"/>
  <c r="Y177" i="7"/>
  <c r="V177" i="7"/>
  <c r="O177" i="7"/>
  <c r="AB176" i="7"/>
  <c r="Y176" i="7"/>
  <c r="V176" i="7"/>
  <c r="O176" i="7"/>
  <c r="AB175" i="7"/>
  <c r="Y175" i="7"/>
  <c r="V175" i="7"/>
  <c r="O175" i="7"/>
  <c r="AB174" i="7"/>
  <c r="Y174" i="7"/>
  <c r="V174" i="7"/>
  <c r="O174" i="7"/>
  <c r="AB173" i="7"/>
  <c r="Y173" i="7"/>
  <c r="V173" i="7"/>
  <c r="P173" i="7"/>
  <c r="O173" i="7"/>
  <c r="AB172" i="7"/>
  <c r="Y172" i="7"/>
  <c r="V172" i="7"/>
  <c r="P172" i="7"/>
  <c r="O172" i="7"/>
  <c r="AB171" i="7"/>
  <c r="Y171" i="7"/>
  <c r="V171" i="7"/>
  <c r="P171" i="7"/>
  <c r="O171" i="7"/>
  <c r="AB170" i="7"/>
  <c r="Y170" i="7"/>
  <c r="V170" i="7"/>
  <c r="P170" i="7"/>
  <c r="O170" i="7"/>
  <c r="AB169" i="7"/>
  <c r="Y169" i="7"/>
  <c r="V169" i="7"/>
  <c r="P169" i="7"/>
  <c r="AB168" i="7"/>
  <c r="Y168" i="7"/>
  <c r="V168" i="7"/>
  <c r="P168" i="7"/>
  <c r="O168" i="7"/>
  <c r="AB167" i="7"/>
  <c r="Y167" i="7"/>
  <c r="V167" i="7"/>
  <c r="P167" i="7"/>
  <c r="O167" i="7"/>
  <c r="AB166" i="7"/>
  <c r="Y166" i="7"/>
  <c r="V166" i="7"/>
  <c r="O166" i="7"/>
  <c r="AB165" i="7"/>
  <c r="Y165" i="7"/>
  <c r="V165" i="7"/>
  <c r="P165" i="7"/>
  <c r="O165" i="7"/>
  <c r="AB164" i="7"/>
  <c r="Y164" i="7"/>
  <c r="V164" i="7"/>
  <c r="P164" i="7"/>
  <c r="O164" i="7"/>
  <c r="AB163" i="7"/>
  <c r="Y163" i="7"/>
  <c r="V163" i="7"/>
  <c r="O163" i="7"/>
  <c r="AB162" i="7"/>
  <c r="Y162" i="7"/>
  <c r="V162" i="7"/>
  <c r="P162" i="7"/>
  <c r="O162" i="7"/>
  <c r="AB161" i="7"/>
  <c r="Y161" i="7"/>
  <c r="V161" i="7"/>
  <c r="P161" i="7"/>
  <c r="O161" i="7"/>
  <c r="AB160" i="7"/>
  <c r="Y160" i="7"/>
  <c r="V160" i="7"/>
  <c r="P160" i="7"/>
  <c r="O160" i="7"/>
  <c r="AB159" i="7"/>
  <c r="Y159" i="7"/>
  <c r="V159" i="7"/>
  <c r="P159" i="7"/>
  <c r="O159" i="7"/>
  <c r="AB158" i="7"/>
  <c r="Y158" i="7"/>
  <c r="V158" i="7"/>
  <c r="P158" i="7"/>
  <c r="O158" i="7"/>
  <c r="AB157" i="7"/>
  <c r="Y157" i="7"/>
  <c r="V157" i="7"/>
  <c r="P157" i="7"/>
  <c r="O157" i="7"/>
  <c r="AB156" i="7"/>
  <c r="Y156" i="7"/>
  <c r="V156" i="7"/>
  <c r="P156" i="7"/>
  <c r="O156" i="7"/>
  <c r="AB155" i="7"/>
  <c r="Y155" i="7"/>
  <c r="V155" i="7"/>
  <c r="P155" i="7"/>
  <c r="O155" i="7"/>
  <c r="AB154" i="7"/>
  <c r="Y154" i="7"/>
  <c r="V154" i="7"/>
  <c r="P154" i="7"/>
  <c r="O154" i="7"/>
  <c r="AB153" i="7"/>
  <c r="Y153" i="7"/>
  <c r="V153" i="7"/>
  <c r="P153" i="7"/>
  <c r="O153" i="7"/>
  <c r="AB152" i="7"/>
  <c r="Y152" i="7"/>
  <c r="V152" i="7"/>
  <c r="O152" i="7"/>
  <c r="AB151" i="7"/>
  <c r="Y151" i="7"/>
  <c r="V151" i="7"/>
  <c r="O151" i="7"/>
  <c r="AB150" i="7"/>
  <c r="Y150" i="7"/>
  <c r="V150" i="7"/>
  <c r="P150" i="7"/>
  <c r="O150" i="7"/>
  <c r="AB149" i="7"/>
  <c r="Y149" i="7"/>
  <c r="V149" i="7"/>
  <c r="P149" i="7"/>
  <c r="O149" i="7"/>
  <c r="AB148" i="7"/>
  <c r="Y148" i="7"/>
  <c r="V148" i="7"/>
  <c r="O148" i="7"/>
  <c r="AB147" i="7"/>
  <c r="Y147" i="7"/>
  <c r="V147" i="7"/>
  <c r="O147" i="7"/>
  <c r="AB146" i="7"/>
  <c r="Y146" i="7"/>
  <c r="V146" i="7"/>
  <c r="O146" i="7"/>
  <c r="AB145" i="7"/>
  <c r="Y145" i="7"/>
  <c r="V145" i="7"/>
  <c r="O145" i="7"/>
  <c r="AB144" i="7"/>
  <c r="Y144" i="7"/>
  <c r="V144" i="7"/>
  <c r="P144" i="7"/>
  <c r="O144" i="7"/>
  <c r="AB143" i="7"/>
  <c r="Y143" i="7"/>
  <c r="V143" i="7"/>
  <c r="P143" i="7"/>
  <c r="O143" i="7"/>
  <c r="AB142" i="7"/>
  <c r="Y142" i="7"/>
  <c r="V142" i="7"/>
  <c r="O142" i="7"/>
  <c r="AB141" i="7"/>
  <c r="Y141" i="7"/>
  <c r="V141" i="7"/>
  <c r="P141" i="7"/>
  <c r="O141" i="7"/>
  <c r="AB140" i="7"/>
  <c r="Y140" i="7"/>
  <c r="V140" i="7"/>
  <c r="P140" i="7"/>
  <c r="O140" i="7"/>
  <c r="AB139" i="7"/>
  <c r="Y139" i="7"/>
  <c r="V139" i="7"/>
  <c r="O139" i="7"/>
  <c r="AB138" i="7"/>
  <c r="Y138" i="7"/>
  <c r="V138" i="7"/>
  <c r="P138" i="7"/>
  <c r="O138" i="7"/>
  <c r="AB137" i="7"/>
  <c r="Y137" i="7"/>
  <c r="V137" i="7"/>
  <c r="P137" i="7"/>
  <c r="O137" i="7"/>
  <c r="AB136" i="7"/>
  <c r="Y136" i="7"/>
  <c r="V136" i="7"/>
  <c r="P136" i="7"/>
  <c r="O136" i="7"/>
  <c r="AB135" i="7"/>
  <c r="Y135" i="7"/>
  <c r="V135" i="7"/>
  <c r="P135" i="7"/>
  <c r="O135" i="7"/>
  <c r="AB134" i="7"/>
  <c r="Y134" i="7"/>
  <c r="V134" i="7"/>
  <c r="O134" i="7"/>
  <c r="AB133" i="7"/>
  <c r="Y133" i="7"/>
  <c r="V133" i="7"/>
  <c r="O133" i="7"/>
  <c r="AB132" i="7"/>
  <c r="Y132" i="7"/>
  <c r="V132" i="7"/>
  <c r="P132" i="7"/>
  <c r="O132" i="7"/>
  <c r="AB131" i="7"/>
  <c r="Y131" i="7"/>
  <c r="V131" i="7"/>
  <c r="O131" i="7"/>
  <c r="AB130" i="7"/>
  <c r="Y130" i="7"/>
  <c r="V130" i="7"/>
  <c r="P130" i="7"/>
  <c r="O130" i="7"/>
  <c r="AB129" i="7"/>
  <c r="Y129" i="7"/>
  <c r="V129" i="7"/>
  <c r="P129" i="7"/>
  <c r="O129" i="7"/>
  <c r="AB128" i="7"/>
  <c r="Y128" i="7"/>
  <c r="V128" i="7"/>
  <c r="P128" i="7"/>
  <c r="O128" i="7"/>
  <c r="AB127" i="7"/>
  <c r="Y127" i="7"/>
  <c r="V127" i="7"/>
  <c r="P127" i="7"/>
  <c r="O127" i="7"/>
  <c r="AB126" i="7"/>
  <c r="Y126" i="7"/>
  <c r="V126" i="7"/>
  <c r="P126" i="7"/>
  <c r="O126" i="7"/>
  <c r="AB125" i="7"/>
  <c r="Y125" i="7"/>
  <c r="V125" i="7"/>
  <c r="P125" i="7"/>
  <c r="O125" i="7"/>
  <c r="AB124" i="7"/>
  <c r="Y124" i="7"/>
  <c r="V124" i="7"/>
  <c r="P124" i="7"/>
  <c r="O124" i="7"/>
  <c r="AB123" i="7"/>
  <c r="Y123" i="7"/>
  <c r="V123" i="7"/>
  <c r="P123" i="7"/>
  <c r="O123" i="7"/>
  <c r="AB122" i="7"/>
  <c r="Y122" i="7"/>
  <c r="V122" i="7"/>
  <c r="O122" i="7"/>
  <c r="AB121" i="7"/>
  <c r="Y121" i="7"/>
  <c r="V121" i="7"/>
  <c r="P121" i="7"/>
  <c r="O121" i="7"/>
  <c r="AB120" i="7"/>
  <c r="Y120" i="7"/>
  <c r="V120" i="7"/>
  <c r="AB119" i="7"/>
  <c r="Y119" i="7"/>
  <c r="V119" i="7"/>
  <c r="P119" i="7"/>
  <c r="O119" i="7"/>
  <c r="AB118" i="7"/>
  <c r="Y118" i="7"/>
  <c r="V118" i="7"/>
  <c r="P118" i="7"/>
  <c r="O118" i="7"/>
  <c r="AB117" i="7"/>
  <c r="Y117" i="7"/>
  <c r="V117" i="7"/>
  <c r="AB116" i="7"/>
  <c r="Y116" i="7"/>
  <c r="V116" i="7"/>
  <c r="O116" i="7"/>
  <c r="AB115" i="7"/>
  <c r="Y115" i="7"/>
  <c r="V115" i="7"/>
  <c r="O115" i="7"/>
  <c r="AB114" i="7"/>
  <c r="Y114" i="7"/>
  <c r="V114" i="7"/>
  <c r="P114" i="7"/>
  <c r="O114" i="7"/>
  <c r="AB113" i="7"/>
  <c r="Y113" i="7"/>
  <c r="V113" i="7"/>
  <c r="P113" i="7"/>
  <c r="O113" i="7"/>
  <c r="AB112" i="7"/>
  <c r="Y112" i="7"/>
  <c r="V112" i="7"/>
  <c r="P112" i="7"/>
  <c r="O112" i="7"/>
  <c r="AB111" i="7"/>
  <c r="Y111" i="7"/>
  <c r="V111" i="7"/>
  <c r="P111" i="7"/>
  <c r="O111" i="7"/>
  <c r="AB110" i="7"/>
  <c r="Y110" i="7"/>
  <c r="V110" i="7"/>
  <c r="P110" i="7"/>
  <c r="O110" i="7"/>
  <c r="AB109" i="7"/>
  <c r="Y109" i="7"/>
  <c r="V109" i="7"/>
  <c r="P109" i="7"/>
  <c r="O109" i="7"/>
  <c r="AB108" i="7"/>
  <c r="Y108" i="7"/>
  <c r="V108" i="7"/>
  <c r="O108" i="7"/>
  <c r="AB107" i="7"/>
  <c r="Y107" i="7"/>
  <c r="V107" i="7"/>
  <c r="P107" i="7"/>
  <c r="O107" i="7"/>
  <c r="AB106" i="7"/>
  <c r="Y106" i="7"/>
  <c r="V106" i="7"/>
  <c r="O106" i="7"/>
  <c r="AB105" i="7"/>
  <c r="Y105" i="7"/>
  <c r="V105" i="7"/>
  <c r="O105" i="7"/>
  <c r="AB104" i="7"/>
  <c r="Y104" i="7"/>
  <c r="V104" i="7"/>
  <c r="P104" i="7"/>
  <c r="O104" i="7"/>
  <c r="AB103" i="7"/>
  <c r="Y103" i="7"/>
  <c r="V103" i="7"/>
  <c r="P103" i="7"/>
  <c r="O103" i="7"/>
  <c r="AB102" i="7"/>
  <c r="Y102" i="7"/>
  <c r="V102" i="7"/>
  <c r="P102" i="7"/>
  <c r="O102" i="7"/>
  <c r="AB101" i="7"/>
  <c r="Y101" i="7"/>
  <c r="V101" i="7"/>
  <c r="O101" i="7"/>
  <c r="AB100" i="7"/>
  <c r="Y100" i="7"/>
  <c r="V100" i="7"/>
  <c r="P100" i="7"/>
  <c r="O100" i="7"/>
  <c r="AB99" i="7"/>
  <c r="Y99" i="7"/>
  <c r="V99" i="7"/>
  <c r="O99" i="7"/>
  <c r="AB98" i="7"/>
  <c r="Y98" i="7"/>
  <c r="V98" i="7"/>
  <c r="P98" i="7"/>
  <c r="O98" i="7"/>
  <c r="AB97" i="7"/>
  <c r="Y97" i="7"/>
  <c r="V97" i="7"/>
  <c r="P97" i="7"/>
  <c r="O97" i="7"/>
  <c r="AB96" i="7"/>
  <c r="Y96" i="7"/>
  <c r="V96" i="7"/>
  <c r="P96" i="7"/>
  <c r="O96" i="7"/>
  <c r="AB95" i="7"/>
  <c r="Y95" i="7"/>
  <c r="V95" i="7"/>
  <c r="O95" i="7"/>
  <c r="AB94" i="7"/>
  <c r="Y94" i="7"/>
  <c r="V94" i="7"/>
  <c r="P94" i="7"/>
  <c r="O94" i="7"/>
  <c r="AB93" i="7"/>
  <c r="Y93" i="7"/>
  <c r="V93" i="7"/>
  <c r="P93" i="7"/>
  <c r="O93" i="7"/>
  <c r="AB92" i="7"/>
  <c r="Y92" i="7"/>
  <c r="V92" i="7"/>
  <c r="P92" i="7"/>
  <c r="O92" i="7"/>
  <c r="AB91" i="7"/>
  <c r="Y91" i="7"/>
  <c r="V91" i="7"/>
  <c r="P91" i="7"/>
  <c r="O91" i="7"/>
  <c r="AB90" i="7"/>
  <c r="Y90" i="7"/>
  <c r="V90" i="7"/>
  <c r="P90" i="7"/>
  <c r="O90" i="7"/>
  <c r="AB89" i="7"/>
  <c r="Y89" i="7"/>
  <c r="V89" i="7"/>
  <c r="P89" i="7"/>
  <c r="O89" i="7"/>
  <c r="AB88" i="7"/>
  <c r="Y88" i="7"/>
  <c r="V88" i="7"/>
  <c r="P88" i="7"/>
  <c r="O88" i="7"/>
  <c r="AB87" i="7"/>
  <c r="Y87" i="7"/>
  <c r="V87" i="7"/>
  <c r="P87" i="7"/>
  <c r="O87" i="7"/>
  <c r="AB86" i="7"/>
  <c r="Y86" i="7"/>
  <c r="V86" i="7"/>
  <c r="P86" i="7"/>
  <c r="O86" i="7"/>
  <c r="AB85" i="7"/>
  <c r="Y85" i="7"/>
  <c r="V85" i="7"/>
  <c r="P85" i="7"/>
  <c r="O85" i="7"/>
  <c r="AB84" i="7"/>
  <c r="Y84" i="7"/>
  <c r="V84" i="7"/>
  <c r="P84" i="7"/>
  <c r="O84" i="7"/>
  <c r="AB83" i="7"/>
  <c r="Y83" i="7"/>
  <c r="V83" i="7"/>
  <c r="P83" i="7"/>
  <c r="O83" i="7"/>
  <c r="AB82" i="7"/>
  <c r="Y82" i="7"/>
  <c r="V82" i="7"/>
  <c r="P82" i="7"/>
  <c r="O82" i="7"/>
  <c r="AB81" i="7"/>
  <c r="Y81" i="7"/>
  <c r="V81" i="7"/>
  <c r="P81" i="7"/>
  <c r="O81" i="7"/>
  <c r="AB80" i="7"/>
  <c r="Y80" i="7"/>
  <c r="V80" i="7"/>
  <c r="O80" i="7"/>
  <c r="AB79" i="7"/>
  <c r="Y79" i="7"/>
  <c r="V79" i="7"/>
  <c r="P79" i="7"/>
  <c r="O79" i="7"/>
  <c r="AB78" i="7"/>
  <c r="Y78" i="7"/>
  <c r="V78" i="7"/>
  <c r="P78" i="7"/>
  <c r="O78" i="7"/>
  <c r="AB77" i="7"/>
  <c r="Y77" i="7"/>
  <c r="V77" i="7"/>
  <c r="O77" i="7"/>
  <c r="AB76" i="7"/>
  <c r="Y76" i="7"/>
  <c r="V76" i="7"/>
  <c r="P76" i="7"/>
  <c r="O76" i="7"/>
  <c r="AB75" i="7"/>
  <c r="Y75" i="7"/>
  <c r="V75" i="7"/>
  <c r="O75" i="7"/>
  <c r="AB74" i="7"/>
  <c r="Y74" i="7"/>
  <c r="V74" i="7"/>
  <c r="O74" i="7"/>
  <c r="AB73" i="7"/>
  <c r="Y73" i="7"/>
  <c r="V73" i="7"/>
  <c r="P73" i="7"/>
  <c r="O73" i="7"/>
  <c r="AB72" i="7"/>
  <c r="Y72" i="7"/>
  <c r="V72" i="7"/>
  <c r="O72" i="7"/>
  <c r="AB71" i="7"/>
  <c r="Y71" i="7"/>
  <c r="V71" i="7"/>
  <c r="O71" i="7"/>
  <c r="AB70" i="7"/>
  <c r="Y70" i="7"/>
  <c r="V70" i="7"/>
  <c r="P70" i="7"/>
  <c r="O70" i="7"/>
  <c r="AB69" i="7"/>
  <c r="Y69" i="7"/>
  <c r="V69" i="7"/>
  <c r="P69" i="7"/>
  <c r="O69" i="7"/>
  <c r="AB68" i="7"/>
  <c r="Y68" i="7"/>
  <c r="V68" i="7"/>
  <c r="P68" i="7"/>
  <c r="O68" i="7"/>
  <c r="AB67" i="7"/>
  <c r="Y67" i="7"/>
  <c r="V67" i="7"/>
  <c r="O67" i="7"/>
  <c r="AB66" i="7"/>
  <c r="Y66" i="7"/>
  <c r="V66" i="7"/>
  <c r="P66" i="7"/>
  <c r="O66" i="7"/>
  <c r="AB65" i="7"/>
  <c r="Y65" i="7"/>
  <c r="V65" i="7"/>
  <c r="P65" i="7"/>
  <c r="O65" i="7"/>
  <c r="AB64" i="7"/>
  <c r="Y64" i="7"/>
  <c r="V64" i="7"/>
  <c r="P64" i="7"/>
  <c r="O64" i="7"/>
  <c r="V63" i="7"/>
  <c r="O63" i="7"/>
  <c r="AB62" i="7"/>
  <c r="Y62" i="7"/>
  <c r="V62" i="7"/>
  <c r="P62" i="7"/>
  <c r="O62" i="7"/>
  <c r="V61" i="7"/>
  <c r="O61" i="7"/>
  <c r="V60" i="7"/>
  <c r="O60" i="7"/>
  <c r="AB59" i="7"/>
  <c r="Y59" i="7"/>
  <c r="V59" i="7"/>
  <c r="P59" i="7"/>
  <c r="O59" i="7"/>
  <c r="AB58" i="7"/>
  <c r="Y58" i="7"/>
  <c r="V58" i="7"/>
  <c r="P58" i="7"/>
  <c r="O58" i="7"/>
  <c r="AB57" i="7"/>
  <c r="Y57" i="7"/>
  <c r="V57" i="7"/>
  <c r="P57" i="7"/>
  <c r="O57" i="7"/>
  <c r="AB56" i="7"/>
  <c r="Y56" i="7"/>
  <c r="V56" i="7"/>
  <c r="P56" i="7"/>
  <c r="O56" i="7"/>
  <c r="V55" i="7"/>
  <c r="O55" i="7"/>
  <c r="V54" i="7"/>
  <c r="O54" i="7"/>
  <c r="V53" i="7"/>
  <c r="O53" i="7"/>
  <c r="V52" i="7"/>
  <c r="O52" i="7"/>
  <c r="V51" i="7"/>
  <c r="O51" i="7"/>
  <c r="V50" i="7"/>
  <c r="O50" i="7"/>
  <c r="V49" i="7"/>
  <c r="O49" i="7"/>
  <c r="V48" i="7"/>
  <c r="O48" i="7"/>
  <c r="V47" i="7"/>
  <c r="O47" i="7"/>
  <c r="V46" i="7"/>
  <c r="O46" i="7"/>
  <c r="V45" i="7"/>
  <c r="O45" i="7"/>
  <c r="V44" i="7"/>
  <c r="O44" i="7"/>
  <c r="V43" i="7"/>
  <c r="O43" i="7"/>
  <c r="V42" i="7"/>
  <c r="O42" i="7"/>
  <c r="V41" i="7"/>
  <c r="O41" i="7"/>
  <c r="V40" i="7"/>
  <c r="O40" i="7"/>
  <c r="V39" i="7"/>
  <c r="O39" i="7"/>
  <c r="V38" i="7"/>
  <c r="O38" i="7"/>
  <c r="V37" i="7"/>
  <c r="O37" i="7"/>
  <c r="V36" i="7"/>
  <c r="O36" i="7"/>
  <c r="V35" i="7"/>
  <c r="O35" i="7"/>
  <c r="V34" i="7"/>
  <c r="O34" i="7"/>
  <c r="V33" i="7"/>
  <c r="O33" i="7"/>
  <c r="V32" i="7"/>
  <c r="O32" i="7"/>
  <c r="V31" i="7"/>
  <c r="O31" i="7"/>
  <c r="V30" i="7"/>
  <c r="O30" i="7"/>
  <c r="V29" i="7"/>
  <c r="O29" i="7"/>
  <c r="V28" i="7"/>
  <c r="O28" i="7"/>
  <c r="V27" i="7"/>
  <c r="O27" i="7"/>
  <c r="V26" i="7"/>
  <c r="O26" i="7"/>
  <c r="V25" i="7"/>
  <c r="O25" i="7"/>
  <c r="V24" i="7"/>
  <c r="O24" i="7"/>
  <c r="V23" i="7"/>
  <c r="O23" i="7"/>
  <c r="V22" i="7"/>
  <c r="O22" i="7"/>
  <c r="AB21" i="7"/>
  <c r="Y21" i="7"/>
  <c r="V21" i="7"/>
  <c r="P21" i="7"/>
  <c r="O21" i="7"/>
  <c r="V20" i="7"/>
  <c r="O20" i="7"/>
  <c r="V19" i="7"/>
  <c r="O19" i="7"/>
  <c r="V18" i="7"/>
  <c r="O18" i="7"/>
  <c r="V17" i="7"/>
  <c r="O17" i="7"/>
  <c r="V16" i="7"/>
  <c r="O16" i="7"/>
  <c r="V15" i="7"/>
  <c r="O15" i="7"/>
  <c r="V14" i="7"/>
  <c r="O14" i="7"/>
  <c r="V13" i="7"/>
  <c r="O13" i="7"/>
  <c r="V12" i="7"/>
  <c r="O12" i="7"/>
  <c r="V11" i="7"/>
  <c r="O11" i="7"/>
  <c r="V10" i="7"/>
  <c r="O10" i="7"/>
  <c r="AB9" i="7"/>
  <c r="Y9" i="7"/>
  <c r="V9" i="7"/>
  <c r="P9" i="7"/>
  <c r="O9" i="7"/>
  <c r="V8" i="7"/>
  <c r="O8" i="7"/>
  <c r="V7" i="7"/>
  <c r="O7" i="7"/>
  <c r="V6" i="7"/>
  <c r="O6" i="7"/>
  <c r="V5" i="7"/>
  <c r="O5" i="7"/>
  <c r="V4" i="7"/>
  <c r="O4" i="7"/>
  <c r="V3" i="7"/>
  <c r="O3" i="7"/>
  <c r="C45" i="6"/>
  <c r="C43" i="6"/>
  <c r="C42" i="6"/>
  <c r="C41" i="6"/>
  <c r="C30" i="6"/>
  <c r="D30" i="6" s="1"/>
  <c r="D29" i="6"/>
  <c r="C28" i="6"/>
  <c r="D28" i="6" s="1"/>
  <c r="C27" i="6"/>
  <c r="D27" i="6" s="1"/>
  <c r="D31" i="6" s="1"/>
  <c r="C25" i="6"/>
  <c r="C24" i="6"/>
  <c r="D24" i="6" s="1"/>
  <c r="C23" i="6"/>
  <c r="D23" i="6" s="1"/>
  <c r="C22" i="6"/>
  <c r="D22" i="6" s="1"/>
  <c r="C20" i="6"/>
  <c r="C19" i="6"/>
  <c r="D19" i="6" s="1"/>
  <c r="E17" i="6"/>
  <c r="C17" i="6"/>
  <c r="C18" i="6" s="1"/>
  <c r="D18" i="6" s="1"/>
  <c r="C16" i="6"/>
  <c r="C15" i="6"/>
  <c r="G26" i="6" s="1"/>
  <c r="C14" i="6"/>
  <c r="E13" i="6"/>
  <c r="D12" i="6"/>
  <c r="D20" i="6" s="1"/>
  <c r="C12" i="6"/>
  <c r="E12" i="6" s="1"/>
  <c r="D10" i="6"/>
  <c r="D11" i="6" s="1"/>
  <c r="C10" i="6"/>
  <c r="E10" i="6" s="1"/>
  <c r="D8" i="6"/>
  <c r="C8" i="6"/>
  <c r="C11" i="6" s="1"/>
  <c r="E11" i="6" s="1"/>
  <c r="D7" i="6"/>
  <c r="C7" i="6"/>
  <c r="E7" i="6" s="1"/>
  <c r="C6" i="6"/>
  <c r="C9" i="6" s="1"/>
  <c r="E9" i="6" s="1"/>
  <c r="F4" i="6"/>
  <c r="D4" i="6"/>
  <c r="G27" i="6" l="1"/>
  <c r="E6" i="6"/>
  <c r="E14" i="6"/>
  <c r="C44" i="6"/>
  <c r="E24" i="6"/>
  <c r="E8" i="6"/>
  <c r="G28" i="6"/>
  <c r="G29" i="6" s="1"/>
  <c r="D17" i="6"/>
  <c r="E20" i="6" s="1"/>
  <c r="E15" i="6" l="1"/>
  <c r="E21" i="6" s="1"/>
  <c r="G21" i="6" s="1"/>
  <c r="E29" i="6" s="1"/>
  <c r="E31" i="6" s="1"/>
  <c r="C37" i="6" l="1"/>
  <c r="E35" i="6"/>
  <c r="D35" i="6" s="1"/>
  <c r="E34" i="6"/>
  <c r="D34" i="6" s="1"/>
  <c r="E33" i="6"/>
  <c r="D33" i="6" s="1"/>
  <c r="D36" i="6" l="1"/>
  <c r="D37" i="6" l="1"/>
  <c r="D38" i="6" s="1"/>
  <c r="C38" i="6" s="1"/>
  <c r="V104" i="5" l="1"/>
  <c r="T104" i="5"/>
  <c r="S104" i="5"/>
  <c r="W104" i="5" s="1"/>
  <c r="X104" i="5" s="1"/>
  <c r="Y104" i="5" s="1"/>
  <c r="R104" i="5"/>
  <c r="Q104" i="5"/>
  <c r="P104" i="5"/>
  <c r="O104" i="5"/>
  <c r="M104" i="5"/>
  <c r="V103" i="5"/>
  <c r="T103" i="5"/>
  <c r="S103" i="5"/>
  <c r="W103" i="5" s="1"/>
  <c r="X103" i="5" s="1"/>
  <c r="Y103" i="5" s="1"/>
  <c r="R103" i="5"/>
  <c r="Q103" i="5"/>
  <c r="P103" i="5"/>
  <c r="M103" i="5"/>
  <c r="O103" i="5" s="1"/>
  <c r="V102" i="5"/>
  <c r="T102" i="5"/>
  <c r="S102" i="5"/>
  <c r="W102" i="5" s="1"/>
  <c r="X102" i="5" s="1"/>
  <c r="Y102" i="5" s="1"/>
  <c r="R102" i="5"/>
  <c r="Q102" i="5"/>
  <c r="P102" i="5"/>
  <c r="M102" i="5"/>
  <c r="O102" i="5" s="1"/>
  <c r="V101" i="5"/>
  <c r="T101" i="5"/>
  <c r="S101" i="5"/>
  <c r="W101" i="5" s="1"/>
  <c r="X101" i="5" s="1"/>
  <c r="Y101" i="5" s="1"/>
  <c r="R101" i="5"/>
  <c r="Q101" i="5"/>
  <c r="P101" i="5"/>
  <c r="M101" i="5"/>
  <c r="O101" i="5" s="1"/>
  <c r="V100" i="5"/>
  <c r="T100" i="5"/>
  <c r="S100" i="5"/>
  <c r="W100" i="5" s="1"/>
  <c r="X100" i="5" s="1"/>
  <c r="Y100" i="5" s="1"/>
  <c r="R100" i="5"/>
  <c r="Q100" i="5"/>
  <c r="P100" i="5"/>
  <c r="O100" i="5"/>
  <c r="M100" i="5"/>
  <c r="V99" i="5"/>
  <c r="T99" i="5"/>
  <c r="S99" i="5"/>
  <c r="W99" i="5" s="1"/>
  <c r="X99" i="5" s="1"/>
  <c r="Y99" i="5" s="1"/>
  <c r="R99" i="5"/>
  <c r="Q99" i="5"/>
  <c r="P99" i="5"/>
  <c r="M99" i="5"/>
  <c r="O99" i="5" s="1"/>
  <c r="V98" i="5"/>
  <c r="T98" i="5"/>
  <c r="S98" i="5"/>
  <c r="W98" i="5" s="1"/>
  <c r="X98" i="5" s="1"/>
  <c r="Y98" i="5" s="1"/>
  <c r="R98" i="5"/>
  <c r="Q98" i="5"/>
  <c r="P98" i="5"/>
  <c r="M98" i="5"/>
  <c r="O98" i="5" s="1"/>
  <c r="V97" i="5"/>
  <c r="T97" i="5"/>
  <c r="S97" i="5"/>
  <c r="W97" i="5" s="1"/>
  <c r="X97" i="5" s="1"/>
  <c r="Y97" i="5" s="1"/>
  <c r="R97" i="5"/>
  <c r="Q97" i="5"/>
  <c r="P97" i="5"/>
  <c r="M97" i="5"/>
  <c r="O97" i="5" s="1"/>
  <c r="V96" i="5"/>
  <c r="T96" i="5"/>
  <c r="S96" i="5"/>
  <c r="W96" i="5" s="1"/>
  <c r="X96" i="5" s="1"/>
  <c r="Y96" i="5" s="1"/>
  <c r="R96" i="5"/>
  <c r="Q96" i="5"/>
  <c r="P96" i="5"/>
  <c r="O96" i="5"/>
  <c r="M96" i="5"/>
  <c r="V95" i="5"/>
  <c r="T95" i="5"/>
  <c r="S95" i="5"/>
  <c r="W95" i="5" s="1"/>
  <c r="X95" i="5" s="1"/>
  <c r="Y95" i="5" s="1"/>
  <c r="R95" i="5"/>
  <c r="Q95" i="5"/>
  <c r="P95" i="5"/>
  <c r="M95" i="5"/>
  <c r="O95" i="5" s="1"/>
  <c r="V94" i="5"/>
  <c r="T94" i="5"/>
  <c r="S94" i="5"/>
  <c r="W94" i="5" s="1"/>
  <c r="X94" i="5" s="1"/>
  <c r="Y94" i="5" s="1"/>
  <c r="R94" i="5"/>
  <c r="Q94" i="5"/>
  <c r="P94" i="5"/>
  <c r="M94" i="5"/>
  <c r="O94" i="5" s="1"/>
  <c r="V93" i="5"/>
  <c r="T93" i="5"/>
  <c r="S93" i="5"/>
  <c r="W93" i="5" s="1"/>
  <c r="X93" i="5" s="1"/>
  <c r="Y93" i="5" s="1"/>
  <c r="R93" i="5"/>
  <c r="Q93" i="5"/>
  <c r="P93" i="5"/>
  <c r="M93" i="5"/>
  <c r="O93" i="5" s="1"/>
  <c r="V92" i="5"/>
  <c r="T92" i="5"/>
  <c r="S92" i="5"/>
  <c r="W92" i="5" s="1"/>
  <c r="X92" i="5" s="1"/>
  <c r="Y92" i="5" s="1"/>
  <c r="R92" i="5"/>
  <c r="Q92" i="5"/>
  <c r="P92" i="5"/>
  <c r="O92" i="5"/>
  <c r="M92" i="5"/>
  <c r="V91" i="5"/>
  <c r="T91" i="5"/>
  <c r="S91" i="5"/>
  <c r="W91" i="5" s="1"/>
  <c r="X91" i="5" s="1"/>
  <c r="Y91" i="5" s="1"/>
  <c r="R91" i="5"/>
  <c r="Q91" i="5"/>
  <c r="P91" i="5"/>
  <c r="M91" i="5"/>
  <c r="O91" i="5" s="1"/>
  <c r="V90" i="5"/>
  <c r="T90" i="5"/>
  <c r="S90" i="5"/>
  <c r="W90" i="5" s="1"/>
  <c r="X90" i="5" s="1"/>
  <c r="Y90" i="5" s="1"/>
  <c r="R90" i="5"/>
  <c r="Q90" i="5"/>
  <c r="P90" i="5"/>
  <c r="M90" i="5"/>
  <c r="O90" i="5" s="1"/>
  <c r="W89" i="5"/>
  <c r="X89" i="5" s="1"/>
  <c r="Y89" i="5" s="1"/>
  <c r="V89" i="5"/>
  <c r="T89" i="5"/>
  <c r="S89" i="5"/>
  <c r="R89" i="5"/>
  <c r="Q89" i="5"/>
  <c r="P89" i="5"/>
  <c r="M89" i="5"/>
  <c r="O89" i="5" s="1"/>
  <c r="V88" i="5"/>
  <c r="T88" i="5"/>
  <c r="S88" i="5"/>
  <c r="W88" i="5" s="1"/>
  <c r="X88" i="5" s="1"/>
  <c r="Y88" i="5" s="1"/>
  <c r="R88" i="5"/>
  <c r="Q88" i="5"/>
  <c r="P88" i="5"/>
  <c r="O88" i="5"/>
  <c r="M88" i="5"/>
  <c r="V87" i="5"/>
  <c r="T87" i="5"/>
  <c r="S87" i="5"/>
  <c r="W87" i="5" s="1"/>
  <c r="X87" i="5" s="1"/>
  <c r="Y87" i="5" s="1"/>
  <c r="R87" i="5"/>
  <c r="Q87" i="5"/>
  <c r="P87" i="5"/>
  <c r="M87" i="5"/>
  <c r="O87" i="5" s="1"/>
  <c r="V86" i="5"/>
  <c r="T86" i="5"/>
  <c r="S86" i="5"/>
  <c r="W86" i="5" s="1"/>
  <c r="X86" i="5" s="1"/>
  <c r="Y86" i="5" s="1"/>
  <c r="R86" i="5"/>
  <c r="Q86" i="5"/>
  <c r="P86" i="5"/>
  <c r="M86" i="5"/>
  <c r="O86" i="5" s="1"/>
  <c r="V85" i="5"/>
  <c r="T85" i="5"/>
  <c r="S85" i="5"/>
  <c r="W85" i="5" s="1"/>
  <c r="X85" i="5" s="1"/>
  <c r="Y85" i="5" s="1"/>
  <c r="R85" i="5"/>
  <c r="Q85" i="5"/>
  <c r="P85" i="5"/>
  <c r="M85" i="5"/>
  <c r="O85" i="5" s="1"/>
  <c r="V84" i="5"/>
  <c r="T84" i="5"/>
  <c r="S84" i="5"/>
  <c r="W84" i="5" s="1"/>
  <c r="X84" i="5" s="1"/>
  <c r="Y84" i="5" s="1"/>
  <c r="R84" i="5"/>
  <c r="Q84" i="5"/>
  <c r="P84" i="5"/>
  <c r="O84" i="5"/>
  <c r="M84" i="5"/>
  <c r="V83" i="5"/>
  <c r="T83" i="5"/>
  <c r="S83" i="5"/>
  <c r="W83" i="5" s="1"/>
  <c r="X83" i="5" s="1"/>
  <c r="Y83" i="5" s="1"/>
  <c r="R83" i="5"/>
  <c r="Q83" i="5"/>
  <c r="P83" i="5"/>
  <c r="M83" i="5"/>
  <c r="O83" i="5" s="1"/>
  <c r="V82" i="5"/>
  <c r="T82" i="5"/>
  <c r="S82" i="5"/>
  <c r="W82" i="5" s="1"/>
  <c r="X82" i="5" s="1"/>
  <c r="Y82" i="5" s="1"/>
  <c r="R82" i="5"/>
  <c r="Q82" i="5"/>
  <c r="P82" i="5"/>
  <c r="M82" i="5"/>
  <c r="O82" i="5" s="1"/>
  <c r="V81" i="5"/>
  <c r="T81" i="5"/>
  <c r="S81" i="5"/>
  <c r="W81" i="5" s="1"/>
  <c r="X81" i="5" s="1"/>
  <c r="Y81" i="5" s="1"/>
  <c r="R81" i="5"/>
  <c r="Q81" i="5"/>
  <c r="P81" i="5"/>
  <c r="M81" i="5"/>
  <c r="O81" i="5" s="1"/>
  <c r="V80" i="5"/>
  <c r="T80" i="5"/>
  <c r="S80" i="5"/>
  <c r="W80" i="5" s="1"/>
  <c r="X80" i="5" s="1"/>
  <c r="Y80" i="5" s="1"/>
  <c r="R80" i="5"/>
  <c r="Q80" i="5"/>
  <c r="P80" i="5"/>
  <c r="O80" i="5"/>
  <c r="M80" i="5"/>
  <c r="V79" i="5"/>
  <c r="T79" i="5"/>
  <c r="S79" i="5"/>
  <c r="W79" i="5" s="1"/>
  <c r="X79" i="5" s="1"/>
  <c r="Y79" i="5" s="1"/>
  <c r="R79" i="5"/>
  <c r="Q79" i="5"/>
  <c r="P79" i="5"/>
  <c r="M79" i="5"/>
  <c r="O79" i="5" s="1"/>
  <c r="V78" i="5"/>
  <c r="T78" i="5"/>
  <c r="S78" i="5"/>
  <c r="W78" i="5" s="1"/>
  <c r="X78" i="5" s="1"/>
  <c r="Y78" i="5" s="1"/>
  <c r="R78" i="5"/>
  <c r="Q78" i="5"/>
  <c r="P78" i="5"/>
  <c r="M78" i="5"/>
  <c r="O78" i="5" s="1"/>
  <c r="V77" i="5"/>
  <c r="T77" i="5"/>
  <c r="S77" i="5"/>
  <c r="W77" i="5" s="1"/>
  <c r="X77" i="5" s="1"/>
  <c r="Y77" i="5" s="1"/>
  <c r="R77" i="5"/>
  <c r="Q77" i="5"/>
  <c r="P77" i="5"/>
  <c r="M77" i="5"/>
  <c r="O77" i="5" s="1"/>
  <c r="V76" i="5"/>
  <c r="T76" i="5"/>
  <c r="S76" i="5"/>
  <c r="W76" i="5" s="1"/>
  <c r="X76" i="5" s="1"/>
  <c r="Y76" i="5" s="1"/>
  <c r="R76" i="5"/>
  <c r="Q76" i="5"/>
  <c r="P76" i="5"/>
  <c r="O76" i="5"/>
  <c r="M76" i="5"/>
  <c r="V75" i="5"/>
  <c r="T75" i="5"/>
  <c r="S75" i="5"/>
  <c r="W75" i="5" s="1"/>
  <c r="X75" i="5" s="1"/>
  <c r="Y75" i="5" s="1"/>
  <c r="R75" i="5"/>
  <c r="Q75" i="5"/>
  <c r="P75" i="5"/>
  <c r="M75" i="5"/>
  <c r="O75" i="5" s="1"/>
  <c r="V74" i="5"/>
  <c r="T74" i="5"/>
  <c r="S74" i="5"/>
  <c r="W74" i="5" s="1"/>
  <c r="X74" i="5" s="1"/>
  <c r="Y74" i="5" s="1"/>
  <c r="R74" i="5"/>
  <c r="Q74" i="5"/>
  <c r="P74" i="5"/>
  <c r="M74" i="5"/>
  <c r="O74" i="5" s="1"/>
  <c r="V73" i="5"/>
  <c r="T73" i="5"/>
  <c r="S73" i="5"/>
  <c r="W73" i="5" s="1"/>
  <c r="X73" i="5" s="1"/>
  <c r="Y73" i="5" s="1"/>
  <c r="R73" i="5"/>
  <c r="Q73" i="5"/>
  <c r="P73" i="5"/>
  <c r="M73" i="5"/>
  <c r="O73" i="5" s="1"/>
  <c r="V72" i="5"/>
  <c r="T72" i="5"/>
  <c r="S72" i="5"/>
  <c r="W72" i="5" s="1"/>
  <c r="X72" i="5" s="1"/>
  <c r="Y72" i="5" s="1"/>
  <c r="R72" i="5"/>
  <c r="Q72" i="5"/>
  <c r="P72" i="5"/>
  <c r="O72" i="5"/>
  <c r="M72" i="5"/>
  <c r="V71" i="5"/>
  <c r="T71" i="5"/>
  <c r="S71" i="5"/>
  <c r="W71" i="5" s="1"/>
  <c r="X71" i="5" s="1"/>
  <c r="Y71" i="5" s="1"/>
  <c r="R71" i="5"/>
  <c r="Q71" i="5"/>
  <c r="P71" i="5"/>
  <c r="M71" i="5"/>
  <c r="O71" i="5" s="1"/>
  <c r="V70" i="5"/>
  <c r="T70" i="5"/>
  <c r="S70" i="5"/>
  <c r="W70" i="5" s="1"/>
  <c r="X70" i="5" s="1"/>
  <c r="Y70" i="5" s="1"/>
  <c r="R70" i="5"/>
  <c r="Q70" i="5"/>
  <c r="P70" i="5"/>
  <c r="M70" i="5"/>
  <c r="O70" i="5" s="1"/>
  <c r="W69" i="5"/>
  <c r="X69" i="5" s="1"/>
  <c r="Y69" i="5" s="1"/>
  <c r="V69" i="5"/>
  <c r="T69" i="5"/>
  <c r="S69" i="5"/>
  <c r="R69" i="5"/>
  <c r="Q69" i="5"/>
  <c r="P69" i="5"/>
  <c r="M69" i="5"/>
  <c r="O69" i="5" s="1"/>
  <c r="V68" i="5"/>
  <c r="T68" i="5"/>
  <c r="S68" i="5"/>
  <c r="W68" i="5" s="1"/>
  <c r="X68" i="5" s="1"/>
  <c r="Y68" i="5" s="1"/>
  <c r="R68" i="5"/>
  <c r="Q68" i="5"/>
  <c r="P68" i="5"/>
  <c r="O68" i="5"/>
  <c r="M68" i="5"/>
  <c r="V67" i="5"/>
  <c r="T67" i="5"/>
  <c r="S67" i="5"/>
  <c r="W67" i="5" s="1"/>
  <c r="X67" i="5" s="1"/>
  <c r="Y67" i="5" s="1"/>
  <c r="R67" i="5"/>
  <c r="Q67" i="5"/>
  <c r="P67" i="5"/>
  <c r="M67" i="5"/>
  <c r="O67" i="5" s="1"/>
  <c r="V66" i="5"/>
  <c r="T66" i="5"/>
  <c r="S66" i="5"/>
  <c r="W66" i="5" s="1"/>
  <c r="X66" i="5" s="1"/>
  <c r="Y66" i="5" s="1"/>
  <c r="R66" i="5"/>
  <c r="Q66" i="5"/>
  <c r="P66" i="5"/>
  <c r="M66" i="5"/>
  <c r="O66" i="5" s="1"/>
  <c r="W65" i="5"/>
  <c r="X65" i="5" s="1"/>
  <c r="Y65" i="5" s="1"/>
  <c r="V65" i="5"/>
  <c r="T65" i="5"/>
  <c r="S65" i="5"/>
  <c r="R65" i="5"/>
  <c r="Q65" i="5"/>
  <c r="P65" i="5"/>
  <c r="M65" i="5"/>
  <c r="O65" i="5" s="1"/>
  <c r="V64" i="5"/>
  <c r="T64" i="5"/>
  <c r="S64" i="5"/>
  <c r="W64" i="5" s="1"/>
  <c r="X64" i="5" s="1"/>
  <c r="Y64" i="5" s="1"/>
  <c r="R64" i="5"/>
  <c r="Q64" i="5"/>
  <c r="P64" i="5"/>
  <c r="O64" i="5"/>
  <c r="M64" i="5"/>
  <c r="V63" i="5"/>
  <c r="T63" i="5"/>
  <c r="S63" i="5"/>
  <c r="W63" i="5" s="1"/>
  <c r="X63" i="5" s="1"/>
  <c r="Y63" i="5" s="1"/>
  <c r="R63" i="5"/>
  <c r="Q63" i="5"/>
  <c r="P63" i="5"/>
  <c r="M63" i="5"/>
  <c r="O63" i="5" s="1"/>
  <c r="V62" i="5"/>
  <c r="T62" i="5"/>
  <c r="S62" i="5"/>
  <c r="W62" i="5" s="1"/>
  <c r="X62" i="5" s="1"/>
  <c r="Y62" i="5" s="1"/>
  <c r="R62" i="5"/>
  <c r="Q62" i="5"/>
  <c r="P62" i="5"/>
  <c r="M62" i="5"/>
  <c r="O62" i="5" s="1"/>
  <c r="V61" i="5"/>
  <c r="T61" i="5"/>
  <c r="S61" i="5"/>
  <c r="W61" i="5" s="1"/>
  <c r="X61" i="5" s="1"/>
  <c r="Y61" i="5" s="1"/>
  <c r="R61" i="5"/>
  <c r="Q61" i="5"/>
  <c r="P61" i="5"/>
  <c r="M61" i="5"/>
  <c r="O61" i="5" s="1"/>
  <c r="V60" i="5"/>
  <c r="T60" i="5"/>
  <c r="S60" i="5"/>
  <c r="W60" i="5" s="1"/>
  <c r="X60" i="5" s="1"/>
  <c r="Y60" i="5" s="1"/>
  <c r="R60" i="5"/>
  <c r="Q60" i="5"/>
  <c r="P60" i="5"/>
  <c r="M60" i="5"/>
  <c r="O60" i="5" s="1"/>
  <c r="V59" i="5"/>
  <c r="T59" i="5"/>
  <c r="S59" i="5"/>
  <c r="W59" i="5" s="1"/>
  <c r="X59" i="5" s="1"/>
  <c r="Y59" i="5" s="1"/>
  <c r="R59" i="5"/>
  <c r="Q59" i="5"/>
  <c r="P59" i="5"/>
  <c r="M59" i="5"/>
  <c r="O59" i="5" s="1"/>
  <c r="V58" i="5"/>
  <c r="T58" i="5"/>
  <c r="S58" i="5"/>
  <c r="W58" i="5" s="1"/>
  <c r="X58" i="5" s="1"/>
  <c r="Y58" i="5" s="1"/>
  <c r="R58" i="5"/>
  <c r="Q58" i="5"/>
  <c r="P58" i="5"/>
  <c r="M58" i="5"/>
  <c r="O58" i="5" s="1"/>
  <c r="V57" i="5"/>
  <c r="T57" i="5"/>
  <c r="S57" i="5"/>
  <c r="W57" i="5" s="1"/>
  <c r="X57" i="5" s="1"/>
  <c r="Y57" i="5" s="1"/>
  <c r="R57" i="5"/>
  <c r="Q57" i="5"/>
  <c r="P57" i="5"/>
  <c r="M57" i="5"/>
  <c r="O57" i="5" s="1"/>
  <c r="V56" i="5"/>
  <c r="T56" i="5"/>
  <c r="S56" i="5"/>
  <c r="W56" i="5" s="1"/>
  <c r="X56" i="5" s="1"/>
  <c r="Y56" i="5" s="1"/>
  <c r="R56" i="5"/>
  <c r="Q56" i="5"/>
  <c r="P56" i="5"/>
  <c r="M56" i="5"/>
  <c r="O56" i="5" s="1"/>
  <c r="V55" i="5"/>
  <c r="T55" i="5"/>
  <c r="S55" i="5"/>
  <c r="W55" i="5" s="1"/>
  <c r="X55" i="5" s="1"/>
  <c r="Y55" i="5" s="1"/>
  <c r="R55" i="5"/>
  <c r="Q55" i="5"/>
  <c r="P55" i="5"/>
  <c r="M55" i="5"/>
  <c r="O55" i="5" s="1"/>
  <c r="V54" i="5"/>
  <c r="T54" i="5"/>
  <c r="S54" i="5"/>
  <c r="W54" i="5" s="1"/>
  <c r="X54" i="5" s="1"/>
  <c r="Y54" i="5" s="1"/>
  <c r="R54" i="5"/>
  <c r="Q54" i="5"/>
  <c r="P54" i="5"/>
  <c r="M54" i="5"/>
  <c r="O54" i="5" s="1"/>
  <c r="V53" i="5"/>
  <c r="T53" i="5"/>
  <c r="S53" i="5"/>
  <c r="W53" i="5" s="1"/>
  <c r="X53" i="5" s="1"/>
  <c r="Y53" i="5" s="1"/>
  <c r="R53" i="5"/>
  <c r="Q53" i="5"/>
  <c r="P53" i="5"/>
  <c r="O53" i="5"/>
  <c r="M53" i="5"/>
  <c r="W52" i="5"/>
  <c r="X52" i="5" s="1"/>
  <c r="Y52" i="5" s="1"/>
  <c r="V52" i="5"/>
  <c r="T52" i="5"/>
  <c r="S52" i="5"/>
  <c r="R52" i="5"/>
  <c r="Q52" i="5"/>
  <c r="P52" i="5"/>
  <c r="M52" i="5"/>
  <c r="O52" i="5" s="1"/>
  <c r="V51" i="5"/>
  <c r="T51" i="5"/>
  <c r="S51" i="5"/>
  <c r="W51" i="5" s="1"/>
  <c r="X51" i="5" s="1"/>
  <c r="Y51" i="5" s="1"/>
  <c r="R51" i="5"/>
  <c r="Q51" i="5"/>
  <c r="P51" i="5"/>
  <c r="O51" i="5"/>
  <c r="M51" i="5"/>
  <c r="W50" i="5"/>
  <c r="X50" i="5" s="1"/>
  <c r="Y50" i="5" s="1"/>
  <c r="V50" i="5"/>
  <c r="T50" i="5"/>
  <c r="S50" i="5"/>
  <c r="R50" i="5"/>
  <c r="Q50" i="5"/>
  <c r="P50" i="5"/>
  <c r="M50" i="5"/>
  <c r="O50" i="5" s="1"/>
  <c r="V49" i="5"/>
  <c r="T49" i="5"/>
  <c r="S49" i="5"/>
  <c r="W49" i="5" s="1"/>
  <c r="X49" i="5" s="1"/>
  <c r="Y49" i="5" s="1"/>
  <c r="R49" i="5"/>
  <c r="Q49" i="5"/>
  <c r="P49" i="5"/>
  <c r="O49" i="5"/>
  <c r="M49" i="5"/>
  <c r="W48" i="5"/>
  <c r="X48" i="5" s="1"/>
  <c r="Y48" i="5" s="1"/>
  <c r="V48" i="5"/>
  <c r="T48" i="5"/>
  <c r="S48" i="5"/>
  <c r="R48" i="5"/>
  <c r="Q48" i="5"/>
  <c r="P48" i="5"/>
  <c r="M48" i="5"/>
  <c r="O48" i="5" s="1"/>
  <c r="V47" i="5"/>
  <c r="T47" i="5"/>
  <c r="S47" i="5"/>
  <c r="W47" i="5" s="1"/>
  <c r="X47" i="5" s="1"/>
  <c r="Y47" i="5" s="1"/>
  <c r="R47" i="5"/>
  <c r="Q47" i="5"/>
  <c r="P47" i="5"/>
  <c r="O47" i="5"/>
  <c r="M47" i="5"/>
  <c r="W46" i="5"/>
  <c r="X46" i="5" s="1"/>
  <c r="Y46" i="5" s="1"/>
  <c r="V46" i="5"/>
  <c r="T46" i="5"/>
  <c r="S46" i="5"/>
  <c r="R46" i="5"/>
  <c r="Q46" i="5"/>
  <c r="P46" i="5"/>
  <c r="M46" i="5"/>
  <c r="O46" i="5" s="1"/>
  <c r="V45" i="5"/>
  <c r="T45" i="5"/>
  <c r="S45" i="5"/>
  <c r="W45" i="5" s="1"/>
  <c r="X45" i="5" s="1"/>
  <c r="Y45" i="5" s="1"/>
  <c r="R45" i="5"/>
  <c r="Q45" i="5"/>
  <c r="P45" i="5"/>
  <c r="O45" i="5"/>
  <c r="M45" i="5"/>
  <c r="W44" i="5"/>
  <c r="X44" i="5" s="1"/>
  <c r="Y44" i="5" s="1"/>
  <c r="V44" i="5"/>
  <c r="T44" i="5"/>
  <c r="S44" i="5"/>
  <c r="R44" i="5"/>
  <c r="Q44" i="5"/>
  <c r="P44" i="5"/>
  <c r="M44" i="5"/>
  <c r="O44" i="5" s="1"/>
  <c r="V43" i="5"/>
  <c r="T43" i="5"/>
  <c r="S43" i="5"/>
  <c r="W43" i="5" s="1"/>
  <c r="X43" i="5" s="1"/>
  <c r="Y43" i="5" s="1"/>
  <c r="R43" i="5"/>
  <c r="Q43" i="5"/>
  <c r="P43" i="5"/>
  <c r="O43" i="5"/>
  <c r="M43" i="5"/>
  <c r="W42" i="5"/>
  <c r="X42" i="5" s="1"/>
  <c r="Y42" i="5" s="1"/>
  <c r="V42" i="5"/>
  <c r="T42" i="5"/>
  <c r="S42" i="5"/>
  <c r="R42" i="5"/>
  <c r="Q42" i="5"/>
  <c r="P42" i="5"/>
  <c r="M42" i="5"/>
  <c r="O42" i="5" s="1"/>
  <c r="V41" i="5"/>
  <c r="T41" i="5"/>
  <c r="S41" i="5"/>
  <c r="W41" i="5" s="1"/>
  <c r="X41" i="5" s="1"/>
  <c r="Y41" i="5" s="1"/>
  <c r="R41" i="5"/>
  <c r="Q41" i="5"/>
  <c r="P41" i="5"/>
  <c r="O41" i="5"/>
  <c r="M41" i="5"/>
  <c r="W40" i="5"/>
  <c r="X40" i="5" s="1"/>
  <c r="Y40" i="5" s="1"/>
  <c r="V40" i="5"/>
  <c r="T40" i="5"/>
  <c r="S40" i="5"/>
  <c r="R40" i="5"/>
  <c r="Q40" i="5"/>
  <c r="P40" i="5"/>
  <c r="M40" i="5"/>
  <c r="O40" i="5" s="1"/>
  <c r="V39" i="5"/>
  <c r="T39" i="5"/>
  <c r="S39" i="5"/>
  <c r="W39" i="5" s="1"/>
  <c r="X39" i="5" s="1"/>
  <c r="Y39" i="5" s="1"/>
  <c r="R39" i="5"/>
  <c r="Q39" i="5"/>
  <c r="P39" i="5"/>
  <c r="O39" i="5"/>
  <c r="M39" i="5"/>
  <c r="W38" i="5"/>
  <c r="X38" i="5" s="1"/>
  <c r="Y38" i="5" s="1"/>
  <c r="V38" i="5"/>
  <c r="T38" i="5"/>
  <c r="S38" i="5"/>
  <c r="R38" i="5"/>
  <c r="Q38" i="5"/>
  <c r="P38" i="5"/>
  <c r="M38" i="5"/>
  <c r="O38" i="5" s="1"/>
  <c r="V37" i="5"/>
  <c r="T37" i="5"/>
  <c r="S37" i="5"/>
  <c r="W37" i="5" s="1"/>
  <c r="X37" i="5" s="1"/>
  <c r="Y37" i="5" s="1"/>
  <c r="R37" i="5"/>
  <c r="Q37" i="5"/>
  <c r="P37" i="5"/>
  <c r="O37" i="5"/>
  <c r="M37" i="5"/>
  <c r="W36" i="5"/>
  <c r="X36" i="5" s="1"/>
  <c r="Y36" i="5" s="1"/>
  <c r="V36" i="5"/>
  <c r="T36" i="5"/>
  <c r="S36" i="5"/>
  <c r="R36" i="5"/>
  <c r="Q36" i="5"/>
  <c r="P36" i="5"/>
  <c r="M36" i="5"/>
  <c r="O36" i="5" s="1"/>
  <c r="V35" i="5"/>
  <c r="T35" i="5"/>
  <c r="S35" i="5"/>
  <c r="W35" i="5" s="1"/>
  <c r="X35" i="5" s="1"/>
  <c r="Y35" i="5" s="1"/>
  <c r="R35" i="5"/>
  <c r="Q35" i="5"/>
  <c r="P35" i="5"/>
  <c r="O35" i="5"/>
  <c r="M35" i="5"/>
  <c r="W34" i="5"/>
  <c r="X34" i="5" s="1"/>
  <c r="Y34" i="5" s="1"/>
  <c r="V34" i="5"/>
  <c r="T34" i="5"/>
  <c r="S34" i="5"/>
  <c r="R34" i="5"/>
  <c r="Q34" i="5"/>
  <c r="P34" i="5"/>
  <c r="M34" i="5"/>
  <c r="O34" i="5" s="1"/>
  <c r="V33" i="5"/>
  <c r="T33" i="5"/>
  <c r="S33" i="5"/>
  <c r="W33" i="5" s="1"/>
  <c r="X33" i="5" s="1"/>
  <c r="Y33" i="5" s="1"/>
  <c r="R33" i="5"/>
  <c r="Q33" i="5"/>
  <c r="P33" i="5"/>
  <c r="O33" i="5"/>
  <c r="M33" i="5"/>
  <c r="V32" i="5"/>
  <c r="T32" i="5"/>
  <c r="S32" i="5"/>
  <c r="W32" i="5" s="1"/>
  <c r="X32" i="5" s="1"/>
  <c r="Y32" i="5" s="1"/>
  <c r="R32" i="5"/>
  <c r="Q32" i="5"/>
  <c r="P32" i="5"/>
  <c r="M32" i="5"/>
  <c r="O32" i="5" s="1"/>
  <c r="V31" i="5"/>
  <c r="T31" i="5"/>
  <c r="S31" i="5"/>
  <c r="W31" i="5" s="1"/>
  <c r="X31" i="5" s="1"/>
  <c r="Y31" i="5" s="1"/>
  <c r="R31" i="5"/>
  <c r="Q31" i="5"/>
  <c r="P31" i="5"/>
  <c r="M31" i="5"/>
  <c r="O31" i="5" s="1"/>
  <c r="W30" i="5"/>
  <c r="X30" i="5" s="1"/>
  <c r="Y30" i="5" s="1"/>
  <c r="V30" i="5"/>
  <c r="T30" i="5"/>
  <c r="S30" i="5"/>
  <c r="R30" i="5"/>
  <c r="Q30" i="5"/>
  <c r="P30" i="5"/>
  <c r="M30" i="5"/>
  <c r="O30" i="5" s="1"/>
  <c r="V29" i="5"/>
  <c r="T29" i="5"/>
  <c r="S29" i="5"/>
  <c r="W29" i="5" s="1"/>
  <c r="X29" i="5" s="1"/>
  <c r="Y29" i="5" s="1"/>
  <c r="R29" i="5"/>
  <c r="Q29" i="5"/>
  <c r="P29" i="5"/>
  <c r="O29" i="5"/>
  <c r="M29" i="5"/>
  <c r="V28" i="5"/>
  <c r="T28" i="5"/>
  <c r="S28" i="5"/>
  <c r="W28" i="5" s="1"/>
  <c r="X28" i="5" s="1"/>
  <c r="Y28" i="5" s="1"/>
  <c r="R28" i="5"/>
  <c r="Q28" i="5"/>
  <c r="P28" i="5"/>
  <c r="M28" i="5"/>
  <c r="O28" i="5" s="1"/>
  <c r="V27" i="5"/>
  <c r="T27" i="5"/>
  <c r="S27" i="5"/>
  <c r="W27" i="5" s="1"/>
  <c r="X27" i="5" s="1"/>
  <c r="Y27" i="5" s="1"/>
  <c r="R27" i="5"/>
  <c r="Q27" i="5"/>
  <c r="P27" i="5"/>
  <c r="M27" i="5"/>
  <c r="O27" i="5" s="1"/>
  <c r="W26" i="5"/>
  <c r="X26" i="5" s="1"/>
  <c r="Y26" i="5" s="1"/>
  <c r="V26" i="5"/>
  <c r="T26" i="5"/>
  <c r="S26" i="5"/>
  <c r="R26" i="5"/>
  <c r="Q26" i="5"/>
  <c r="P26" i="5"/>
  <c r="M26" i="5"/>
  <c r="O26" i="5" s="1"/>
  <c r="V25" i="5"/>
  <c r="T25" i="5"/>
  <c r="S25" i="5"/>
  <c r="W25" i="5" s="1"/>
  <c r="X25" i="5" s="1"/>
  <c r="Y25" i="5" s="1"/>
  <c r="R25" i="5"/>
  <c r="Q25" i="5"/>
  <c r="P25" i="5"/>
  <c r="O25" i="5"/>
  <c r="M25" i="5"/>
  <c r="V24" i="5"/>
  <c r="T24" i="5"/>
  <c r="S24" i="5"/>
  <c r="W24" i="5" s="1"/>
  <c r="X24" i="5" s="1"/>
  <c r="Y24" i="5" s="1"/>
  <c r="R24" i="5"/>
  <c r="Q24" i="5"/>
  <c r="P24" i="5"/>
  <c r="M24" i="5"/>
  <c r="O24" i="5" s="1"/>
  <c r="V23" i="5"/>
  <c r="T23" i="5"/>
  <c r="S23" i="5"/>
  <c r="W23" i="5" s="1"/>
  <c r="X23" i="5" s="1"/>
  <c r="Y23" i="5" s="1"/>
  <c r="R23" i="5"/>
  <c r="Q23" i="5"/>
  <c r="P23" i="5"/>
  <c r="M23" i="5"/>
  <c r="O23" i="5" s="1"/>
  <c r="W22" i="5"/>
  <c r="X22" i="5" s="1"/>
  <c r="Y22" i="5" s="1"/>
  <c r="V22" i="5"/>
  <c r="T22" i="5"/>
  <c r="S22" i="5"/>
  <c r="R22" i="5"/>
  <c r="Q22" i="5"/>
  <c r="P22" i="5"/>
  <c r="M22" i="5"/>
  <c r="O22" i="5" s="1"/>
  <c r="V21" i="5"/>
  <c r="T21" i="5"/>
  <c r="S21" i="5"/>
  <c r="W21" i="5" s="1"/>
  <c r="X21" i="5" s="1"/>
  <c r="Y21" i="5" s="1"/>
  <c r="R21" i="5"/>
  <c r="Q21" i="5"/>
  <c r="P21" i="5"/>
  <c r="O21" i="5"/>
  <c r="M21" i="5"/>
  <c r="V20" i="5"/>
  <c r="T20" i="5"/>
  <c r="S20" i="5"/>
  <c r="W20" i="5" s="1"/>
  <c r="X20" i="5" s="1"/>
  <c r="Y20" i="5" s="1"/>
  <c r="R20" i="5"/>
  <c r="Q20" i="5"/>
  <c r="P20" i="5"/>
  <c r="M20" i="5"/>
  <c r="O20" i="5" s="1"/>
  <c r="V19" i="5"/>
  <c r="T19" i="5"/>
  <c r="S19" i="5"/>
  <c r="W19" i="5" s="1"/>
  <c r="X19" i="5" s="1"/>
  <c r="Y19" i="5" s="1"/>
  <c r="R19" i="5"/>
  <c r="Q19" i="5"/>
  <c r="P19" i="5"/>
  <c r="M19" i="5"/>
  <c r="O19" i="5" s="1"/>
  <c r="W18" i="5"/>
  <c r="X18" i="5" s="1"/>
  <c r="Y18" i="5" s="1"/>
  <c r="V18" i="5"/>
  <c r="T18" i="5"/>
  <c r="S18" i="5"/>
  <c r="R18" i="5"/>
  <c r="Q18" i="5"/>
  <c r="P18" i="5"/>
  <c r="M18" i="5"/>
  <c r="O18" i="5" s="1"/>
  <c r="V17" i="5"/>
  <c r="T17" i="5"/>
  <c r="S17" i="5"/>
  <c r="W17" i="5" s="1"/>
  <c r="X17" i="5" s="1"/>
  <c r="Y17" i="5" s="1"/>
  <c r="R17" i="5"/>
  <c r="Q17" i="5"/>
  <c r="P17" i="5"/>
  <c r="O17" i="5"/>
  <c r="M17" i="5"/>
  <c r="V16" i="5"/>
  <c r="T16" i="5"/>
  <c r="S16" i="5"/>
  <c r="W16" i="5" s="1"/>
  <c r="X16" i="5" s="1"/>
  <c r="Y16" i="5" s="1"/>
  <c r="R16" i="5"/>
  <c r="Q16" i="5"/>
  <c r="P16" i="5"/>
  <c r="M16" i="5"/>
  <c r="O16" i="5" s="1"/>
  <c r="V15" i="5"/>
  <c r="T15" i="5"/>
  <c r="S15" i="5"/>
  <c r="W15" i="5" s="1"/>
  <c r="X15" i="5" s="1"/>
  <c r="Y15" i="5" s="1"/>
  <c r="R15" i="5"/>
  <c r="Q15" i="5"/>
  <c r="P15" i="5"/>
  <c r="M15" i="5"/>
  <c r="O15" i="5" s="1"/>
  <c r="W14" i="5"/>
  <c r="X14" i="5" s="1"/>
  <c r="Y14" i="5" s="1"/>
  <c r="V14" i="5"/>
  <c r="T14" i="5"/>
  <c r="S14" i="5"/>
  <c r="R14" i="5"/>
  <c r="Q14" i="5"/>
  <c r="P14" i="5"/>
  <c r="M14" i="5"/>
  <c r="O14" i="5" s="1"/>
  <c r="V13" i="5"/>
  <c r="T13" i="5"/>
  <c r="S13" i="5"/>
  <c r="W13" i="5" s="1"/>
  <c r="X13" i="5" s="1"/>
  <c r="Y13" i="5" s="1"/>
  <c r="R13" i="5"/>
  <c r="Q13" i="5"/>
  <c r="P13" i="5"/>
  <c r="O13" i="5"/>
  <c r="M13" i="5"/>
  <c r="V12" i="5"/>
  <c r="T12" i="5"/>
  <c r="S12" i="5"/>
  <c r="W12" i="5" s="1"/>
  <c r="X12" i="5" s="1"/>
  <c r="Y12" i="5" s="1"/>
  <c r="R12" i="5"/>
  <c r="Q12" i="5"/>
  <c r="P12" i="5"/>
  <c r="M12" i="5"/>
  <c r="O12" i="5" s="1"/>
  <c r="V11" i="5"/>
  <c r="T11" i="5"/>
  <c r="S11" i="5"/>
  <c r="W11" i="5" s="1"/>
  <c r="X11" i="5" s="1"/>
  <c r="Y11" i="5" s="1"/>
  <c r="R11" i="5"/>
  <c r="Q11" i="5"/>
  <c r="P11" i="5"/>
  <c r="M11" i="5"/>
  <c r="O11" i="5" s="1"/>
  <c r="W10" i="5"/>
  <c r="X10" i="5" s="1"/>
  <c r="Y10" i="5" s="1"/>
  <c r="V10" i="5"/>
  <c r="T10" i="5"/>
  <c r="S10" i="5"/>
  <c r="R10" i="5"/>
  <c r="Q10" i="5"/>
  <c r="P10" i="5"/>
  <c r="M10" i="5"/>
  <c r="O10" i="5" s="1"/>
  <c r="V9" i="5"/>
  <c r="T9" i="5"/>
  <c r="S9" i="5"/>
  <c r="W9" i="5" s="1"/>
  <c r="X9" i="5" s="1"/>
  <c r="Y9" i="5" s="1"/>
  <c r="R9" i="5"/>
  <c r="Q9" i="5"/>
  <c r="P9" i="5"/>
  <c r="O9" i="5"/>
  <c r="M9" i="5"/>
  <c r="V8" i="5"/>
  <c r="T8" i="5"/>
  <c r="S8" i="5"/>
  <c r="W8" i="5" s="1"/>
  <c r="X8" i="5" s="1"/>
  <c r="Y8" i="5" s="1"/>
  <c r="R8" i="5"/>
  <c r="Q8" i="5"/>
  <c r="P8" i="5"/>
  <c r="M8" i="5"/>
  <c r="O8" i="5" s="1"/>
  <c r="V7" i="5"/>
  <c r="T7" i="5"/>
  <c r="S7" i="5"/>
  <c r="W7" i="5" s="1"/>
  <c r="X7" i="5" s="1"/>
  <c r="Y7" i="5" s="1"/>
  <c r="R7" i="5"/>
  <c r="Q7" i="5"/>
  <c r="P7" i="5"/>
  <c r="M7" i="5"/>
  <c r="O7" i="5" s="1"/>
  <c r="W6" i="5"/>
  <c r="X6" i="5" s="1"/>
  <c r="Y6" i="5" s="1"/>
  <c r="V6" i="5"/>
  <c r="T6" i="5"/>
  <c r="S6" i="5"/>
  <c r="R6" i="5"/>
  <c r="Q6" i="5"/>
  <c r="P6" i="5"/>
  <c r="M6" i="5"/>
  <c r="O6" i="5" s="1"/>
  <c r="V5" i="5"/>
  <c r="T5" i="5"/>
  <c r="S5" i="5"/>
  <c r="W5" i="5" s="1"/>
  <c r="X5" i="5" s="1"/>
  <c r="Y5" i="5" s="1"/>
  <c r="R5" i="5"/>
  <c r="Q5" i="5"/>
  <c r="P5" i="5"/>
  <c r="O5" i="5"/>
  <c r="M5" i="5"/>
  <c r="V4" i="5"/>
  <c r="T4" i="5"/>
  <c r="S4" i="5"/>
  <c r="W4" i="5" s="1"/>
  <c r="X4" i="5" s="1"/>
  <c r="Y4" i="5" s="1"/>
  <c r="R4" i="5"/>
  <c r="Q4" i="5"/>
  <c r="P4" i="5"/>
  <c r="M4" i="5"/>
  <c r="O4" i="5" s="1"/>
  <c r="V3" i="5"/>
  <c r="T3" i="5"/>
  <c r="S3" i="5"/>
  <c r="W3" i="5" s="1"/>
  <c r="X3" i="5" s="1"/>
  <c r="Y3" i="5" s="1"/>
  <c r="R3" i="5"/>
  <c r="Q3" i="5"/>
  <c r="P3" i="5"/>
  <c r="M3" i="5"/>
  <c r="O3" i="5" s="1"/>
</calcChain>
</file>

<file path=xl/comments1.xml><?xml version="1.0" encoding="utf-8"?>
<comments xmlns="http://schemas.openxmlformats.org/spreadsheetml/2006/main">
  <authors>
    <author>FATIMA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</rPr>
          <t>FATIMA: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mahmoud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mahmoud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mahmoud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<sst xmlns="http://schemas.openxmlformats.org/spreadsheetml/2006/main" count="1926" uniqueCount="712">
  <si>
    <t xml:space="preserve">الاسم / </t>
  </si>
  <si>
    <t>عبد الحميد حسنين محمد حسنين</t>
  </si>
  <si>
    <t>التسوية الضريبية عن عام  2017م</t>
  </si>
  <si>
    <t>الدرجة</t>
  </si>
  <si>
    <t>الثانية</t>
  </si>
  <si>
    <t>بيانات اساسية</t>
  </si>
  <si>
    <t>كلى</t>
  </si>
  <si>
    <t>بيــــــــــــــــــــان</t>
  </si>
  <si>
    <t>جزئى</t>
  </si>
  <si>
    <t>النصف
الاول</t>
  </si>
  <si>
    <t>اجمالي وظيفي</t>
  </si>
  <si>
    <t>اجمالي الاجر الوظيفي 1/1</t>
  </si>
  <si>
    <t>اجر مكمل</t>
  </si>
  <si>
    <t>الاجر المكمل 1/1</t>
  </si>
  <si>
    <t>حافز تعويضي</t>
  </si>
  <si>
    <t>الحافز التعويضي 1/1</t>
  </si>
  <si>
    <t>النصف
 الثاني</t>
  </si>
  <si>
    <t>اجمالي الاجر الوظيفي 7/1</t>
  </si>
  <si>
    <t>الاجر المكمل 7/1</t>
  </si>
  <si>
    <t>الحافز التعويضي  7/1</t>
  </si>
  <si>
    <t>بدلات</t>
  </si>
  <si>
    <t xml:space="preserve">بدلات متنوعة </t>
  </si>
  <si>
    <t>كبير 9 مدير عام 10  غير ذلك   0</t>
  </si>
  <si>
    <t xml:space="preserve">مناصب قياديه  </t>
  </si>
  <si>
    <t>جملة مكافأت</t>
  </si>
  <si>
    <t>جملة المكافآت + قسط التكافل</t>
  </si>
  <si>
    <t>قسط التكافل</t>
  </si>
  <si>
    <t>اجمالى الايراد</t>
  </si>
  <si>
    <t>اساسي 2015/6/30</t>
  </si>
  <si>
    <t xml:space="preserve">ؤ </t>
  </si>
  <si>
    <t>تسويات خصم من الايراد  او اضافة اليه</t>
  </si>
  <si>
    <t>اساسى تأمينات 1/1</t>
  </si>
  <si>
    <t>الاعفاء الشخصى (م 13 بند 1 )</t>
  </si>
  <si>
    <t>اساسى تأمينات 7/1</t>
  </si>
  <si>
    <t>معاشات متغير</t>
  </si>
  <si>
    <t>اقساط معاشات خاصة</t>
  </si>
  <si>
    <t>جملة المعاشات  (م 13 بند 2 )</t>
  </si>
  <si>
    <t>الدمغة العادية</t>
  </si>
  <si>
    <t>صافى الايراد المؤقت               الـ 15%</t>
  </si>
  <si>
    <t>دمغة المرتب
الشهري</t>
  </si>
  <si>
    <t>1/1</t>
  </si>
  <si>
    <t>7/1</t>
  </si>
  <si>
    <t>دمغة مكافآت</t>
  </si>
  <si>
    <t>جملة الدمغات</t>
  </si>
  <si>
    <t>قسط تأمين على الحياه</t>
  </si>
  <si>
    <t>يخصم الآتى :ـ</t>
  </si>
  <si>
    <t>جزء شهر</t>
  </si>
  <si>
    <t>الضريبة المخصومة</t>
  </si>
  <si>
    <t>صناديق تأمين خاصة ( م 13 بند 3 )</t>
  </si>
  <si>
    <t>تأمين على الحياه       ( م 13 بند 4 )</t>
  </si>
  <si>
    <t>تأمين صحي</t>
  </si>
  <si>
    <t>قرق ضريبة جزء شهر</t>
  </si>
  <si>
    <t>جملة بنود التأمين السابقة</t>
  </si>
  <si>
    <t>ضريبة المكافآت</t>
  </si>
  <si>
    <t>جملة ضريبة مخصومة</t>
  </si>
  <si>
    <t>صافى الايراد الخاضع للضريبة</t>
  </si>
  <si>
    <t>شريحة 1</t>
  </si>
  <si>
    <t>الشريحة الاولى المعفاه ( م 8 من القانون )</t>
  </si>
  <si>
    <t>شريحة 2</t>
  </si>
  <si>
    <t>الشريحة االثانية اكثر من 7200 حتى مبلغ 30000.ج بنسبة 10%</t>
  </si>
  <si>
    <t>شريحة 3</t>
  </si>
  <si>
    <t>الشريحة الثالثة اكثر من 30000 حتى مبلغ 45000.ج بنسبة 15%</t>
  </si>
  <si>
    <t>الشريحة الرابعة اكثر من 45000 حتى مبلغ 200000ج بنسبة 20%</t>
  </si>
  <si>
    <t>جملة ضريبة مستحقة</t>
  </si>
  <si>
    <t>مراجع                                             مدير</t>
  </si>
  <si>
    <t>الخصم من 2017/7/1</t>
  </si>
  <si>
    <t>صافى التسوية</t>
  </si>
  <si>
    <t>المختص</t>
  </si>
  <si>
    <t>م</t>
  </si>
  <si>
    <t>الإسم</t>
  </si>
  <si>
    <t>المستحق</t>
  </si>
  <si>
    <t>إجمالى المتغير</t>
  </si>
  <si>
    <t>إجمالى المتغير الخاضع</t>
  </si>
  <si>
    <t>إصابة عمل ١.٠ %متغير</t>
  </si>
  <si>
    <t>حصة الحكومة ١٥.٠ %متغير</t>
  </si>
  <si>
    <t>حصة الحكومة فى التأمين ٣.٠ %متغير</t>
  </si>
  <si>
    <t>إجمالى المستحق</t>
  </si>
  <si>
    <t>المستقطع</t>
  </si>
  <si>
    <t>إجمالى المستقطع</t>
  </si>
  <si>
    <t>الصافى</t>
  </si>
  <si>
    <t>التوقيع</t>
  </si>
  <si>
    <t>الرقم القومى</t>
  </si>
  <si>
    <t>أساسى المرتب فى ٣٠-٦</t>
  </si>
  <si>
    <t>فروق تسوية الأجر المكمل</t>
  </si>
  <si>
    <t>حافز التميز ماجيستير</t>
  </si>
  <si>
    <t>حافز التميز دكتوراه</t>
  </si>
  <si>
    <t>أساسى التأمينات (أساسى ٣٠-٦ * ١.٠٩)</t>
  </si>
  <si>
    <t>إصابة عمل ١.٠ %</t>
  </si>
  <si>
    <t>نهاية خدمة ٢.٠ %</t>
  </si>
  <si>
    <t>حصة الحكومة ١٥.٠ %</t>
  </si>
  <si>
    <t>حصة الحكومة فى التأمين ٣.٠ %</t>
  </si>
  <si>
    <t>الأجر الوظيفى</t>
  </si>
  <si>
    <t>العلاوة الدورية ٧ %</t>
  </si>
  <si>
    <t>علاوة غلاء المعيشة</t>
  </si>
  <si>
    <t>حافز التميز العلمى</t>
  </si>
  <si>
    <t>إجمالى الأجر الوظيفى</t>
  </si>
  <si>
    <t>علاوة الترقية</t>
  </si>
  <si>
    <t>العلاوة التشجيعية</t>
  </si>
  <si>
    <t>بدل إقامة - غير خاضع للضريبة</t>
  </si>
  <si>
    <t>بدل نقدى - غير خاضع للمعاش</t>
  </si>
  <si>
    <t>بدل عدوى</t>
  </si>
  <si>
    <t>بدل محاماه</t>
  </si>
  <si>
    <t>بدل تفرغ تجاريين</t>
  </si>
  <si>
    <t>بدل تفرغ مهندسين</t>
  </si>
  <si>
    <t>الأجرالمكمل</t>
  </si>
  <si>
    <t>الحافز التعويضى</t>
  </si>
  <si>
    <t>إجمالى الأجر المكمل</t>
  </si>
  <si>
    <t>حصة الموظف ١٠.٠ %</t>
  </si>
  <si>
    <t>حصة الموظف فى التأمين ١.٠ %</t>
  </si>
  <si>
    <t>نهاية خدمة موظف ٣.٠ %</t>
  </si>
  <si>
    <t>حصة الموظف ١٠.٠ %متغير</t>
  </si>
  <si>
    <t>حصة الموظف فى التأمين ١.٠ %متغير</t>
  </si>
  <si>
    <t>اعتبارى</t>
  </si>
  <si>
    <t>إدخار بدون وجه حق</t>
  </si>
  <si>
    <t>اعارة</t>
  </si>
  <si>
    <t>صندوق التأمين الخاص للعاملين بالجامعة</t>
  </si>
  <si>
    <t>حساب سيارات</t>
  </si>
  <si>
    <t>نادى العاملين بالجامعة</t>
  </si>
  <si>
    <t>نقابة مستشفي جامعة أسيوط</t>
  </si>
  <si>
    <t>صندوق الزمالة</t>
  </si>
  <si>
    <t>نقابة العاملين</t>
  </si>
  <si>
    <t>صندوق أسرة الجامعة</t>
  </si>
  <si>
    <t>شركة فودافون</t>
  </si>
  <si>
    <t>الشركة العربية للمنسوجات</t>
  </si>
  <si>
    <t>حساب سيارات المستشفى</t>
  </si>
  <si>
    <t>جمعية رعاية العاملين</t>
  </si>
  <si>
    <t>شركة مصر لتامينات الحياه</t>
  </si>
  <si>
    <t>جمعية كفالة اليتيم</t>
  </si>
  <si>
    <t>الجمعية النسائية</t>
  </si>
  <si>
    <t>بنك القاهرة فرع أسيوط</t>
  </si>
  <si>
    <t>بنك مصر فرع جامعة أسيوط</t>
  </si>
  <si>
    <t>شركة إتصالات</t>
  </si>
  <si>
    <t>نقابة المهن التطبيقية</t>
  </si>
  <si>
    <t>شركة موبينيل</t>
  </si>
  <si>
    <t>الجزاءات</t>
  </si>
  <si>
    <t>إيرادات</t>
  </si>
  <si>
    <t>الضريبة الموحدة</t>
  </si>
  <si>
    <t>ابو بكر جلال علي عبد الحافظ</t>
  </si>
  <si>
    <t>اسامة مصطفى محمد عبد الرحمن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</si>
  <si>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</si>
  <si>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</si>
  <si>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</si>
  <si>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</si>
  <si>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الشيماء نور الدين مطاوع عبد الحافظ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</si>
  <si>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</si>
  <si>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</si>
  <si>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</si>
  <si>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</si>
  <si>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</si>
  <si>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</si>
  <si>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</si>
  <si>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</si>
  <si>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</si>
  <si>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</si>
  <si>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</si>
  <si>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</si>
  <si>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جرجس فيليب عزيز نخله</t>
  </si>
  <si>
    <t>حسام جمال الدين محمد محمود</t>
  </si>
  <si>
    <t>حنان فاروق محمد طلبه</t>
  </si>
  <si>
    <t>حنان محمود محمد أحمد</t>
  </si>
  <si>
    <t>خالد فتحي عبد العزيز اسماعيل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</si>
  <si>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</si>
  <si>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</si>
  <si>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</si>
  <si>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</si>
  <si>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</si>
  <si>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</si>
  <si>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</si>
  <si>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زينب شعبان عجمى يوسف</t>
  </si>
  <si>
    <t>سومية أحمد عبد العال أحمد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</si>
  <si>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</si>
  <si>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</si>
  <si>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</si>
  <si>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</si>
  <si>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تهامي أنور تهامى محمد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</si>
  <si>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</si>
  <si>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</si>
  <si>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</si>
  <si>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</si>
  <si>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</si>
  <si>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</si>
  <si>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</si>
  <si>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</si>
  <si>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</si>
  <si>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</si>
  <si>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</si>
  <si>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</si>
  <si>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</si>
  <si>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غادة أحمد سيد عبد العال</t>
  </si>
  <si>
    <t>فاطمة أحمد فواز خلف الله عثمان علي</t>
  </si>
  <si>
    <t>فاطمه حسانين احمد محمد</t>
  </si>
  <si>
    <t>ليلى محمد فرحان أحمد</t>
  </si>
  <si>
    <t>محمد أحمد رضى محمود محمد عبد المنعم</t>
  </si>
  <si>
    <t>محمد احمد عبد العال عبد السلام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</si>
  <si>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</si>
  <si>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</si>
  <si>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</si>
  <si>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</si>
  <si>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</si>
  <si>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</si>
  <si>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</si>
  <si>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</si>
  <si>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</si>
  <si>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</si>
  <si>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</si>
  <si>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</si>
  <si>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</si>
  <si>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</si>
  <si>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</si>
  <si>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</si>
  <si>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</si>
  <si>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</si>
  <si>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</si>
  <si>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</si>
  <si>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</si>
  <si>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</si>
  <si>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</si>
  <si>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</si>
  <si>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</si>
  <si>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ولاء عبد الناصر حسين أحمد</t>
  </si>
  <si>
    <t>ياسمين محمد رفعت محمد</t>
  </si>
  <si>
    <t>كشف المرتبات التفصيلى (إستمارة 132) عن شهر يوليو عام 2018</t>
  </si>
  <si>
    <t>فروق تسوية - علاوة الحد الأدنى</t>
  </si>
  <si>
    <t>داليا محي عبد العليم عبد الحافظ</t>
  </si>
  <si>
    <t>رشا محمد محمد احمد مصطفى</t>
  </si>
  <si>
    <t>نسمة على محمد سيد</t>
  </si>
  <si>
    <t>وسام محمد احمد عيسى</t>
  </si>
  <si>
    <t>صور تخصصية 2</t>
  </si>
  <si>
    <t>رقم البطاقة</t>
  </si>
  <si>
    <t>الصورة الشخصية</t>
  </si>
  <si>
    <t>الرقم التأميني</t>
  </si>
  <si>
    <t>الدرجة المالية الحالية</t>
  </si>
  <si>
    <t>الحالة الإجتماعية</t>
  </si>
  <si>
    <t>الرقم فى الملف</t>
  </si>
  <si>
    <t>تاريخ استلام العمل</t>
  </si>
  <si>
    <t>أساسى التأمينات</t>
  </si>
  <si>
    <t>٣٠/٦ أساسى المرتب</t>
  </si>
  <si>
    <t>المجرد</t>
  </si>
  <si>
    <t>أساسى الصندوق</t>
  </si>
  <si>
    <t>عدد الأيام</t>
  </si>
  <si>
    <t>المستحق لصالح صندوق التأمين الخاص للعاملين بالجامعة</t>
  </si>
  <si>
    <t xml:space="preserve">مكافاة دور
يناير </t>
  </si>
  <si>
    <t>مكافاة 
دور مايو</t>
  </si>
  <si>
    <t>مكافاة 
دور ستمبر</t>
  </si>
  <si>
    <t>مكافاة 
رمضان</t>
  </si>
  <si>
    <t>علاوة 2009</t>
  </si>
  <si>
    <t>اضافي</t>
  </si>
  <si>
    <t>10 أيام 
الصندوق</t>
  </si>
  <si>
    <t>عيد
 الفطر</t>
  </si>
  <si>
    <t>عيد 
الاضحي</t>
  </si>
  <si>
    <t>المولد النبوي
 الشريف</t>
  </si>
  <si>
    <t>يونية 2018.xlsx</t>
  </si>
  <si>
    <t>الثالثة</t>
  </si>
  <si>
    <t>متزوج</t>
  </si>
  <si>
    <t>احمد إبراهيم جلال إبراهيم</t>
  </si>
  <si>
    <t>أعزب</t>
  </si>
  <si>
    <t>اماني يوسف عبد العال يوسف</t>
  </si>
  <si>
    <t>اميرة طلعت أنور علي</t>
  </si>
  <si>
    <t>متزوج ويعول أكثر من واحد</t>
  </si>
  <si>
    <t>ايمان أحمد بركات أحمد</t>
  </si>
  <si>
    <t>ايمان جمال محمد سيف خليل</t>
  </si>
  <si>
    <t>متزوج ويعول واحد</t>
  </si>
  <si>
    <t>جيهان محمد حسن بدري</t>
  </si>
  <si>
    <t>حازم عبد الرحمن دوينى عبدالرحمن</t>
  </si>
  <si>
    <t>حنان حسن عبد العزيز النوبى</t>
  </si>
  <si>
    <t>الاولى</t>
  </si>
  <si>
    <t>سحر عبد الجابر عمر أحمد</t>
  </si>
  <si>
    <t>سها شحاته حامد عبد الرحمن</t>
  </si>
  <si>
    <t>تهامى أنور تهامى محمد</t>
  </si>
  <si>
    <t>عبير عبد الفتاح جابر محمد</t>
  </si>
  <si>
    <t>عوني اشرف بشرى ميخائيل</t>
  </si>
  <si>
    <t>فاطمة سيد أبوضيف محمد</t>
  </si>
  <si>
    <t>نعمة محمد سيد يونس</t>
  </si>
  <si>
    <t>هناء بيومى على بيومى</t>
  </si>
  <si>
    <t>هناء عبد الحميد زكى حماده</t>
  </si>
  <si>
    <t>الأجر
المكمل</t>
  </si>
  <si>
    <t>الحافز 
التعويضى</t>
  </si>
  <si>
    <t>بدل مناصب قيادية</t>
  </si>
  <si>
    <t>حافز
ماجستير 
ودكتوراه</t>
  </si>
  <si>
    <t>فروق 
الحد
الادنى</t>
  </si>
  <si>
    <t>بدل علميين</t>
  </si>
  <si>
    <t>بدل
طبيعة 
عمل</t>
  </si>
  <si>
    <t>بدل تفرغ زراعيين</t>
  </si>
  <si>
    <t>اجمالي
البدلات</t>
  </si>
  <si>
    <t>اجمالي
المكافآت</t>
  </si>
  <si>
    <t>أساسى المرتب فى 30-6</t>
  </si>
  <si>
    <t>متوسط 
المتغير</t>
  </si>
  <si>
    <t>جملة 
اقساط معاشات</t>
  </si>
  <si>
    <t>دمغة
1/1</t>
  </si>
  <si>
    <t>دمغة
 1/7</t>
  </si>
  <si>
    <t>دمغة
المكافآت</t>
  </si>
  <si>
    <t>ضريبة
1/1</t>
  </si>
  <si>
    <t>ضريبة
 1/7</t>
  </si>
  <si>
    <t>ضريبة مكافآت</t>
  </si>
  <si>
    <t>الفئه</t>
  </si>
  <si>
    <t>تأمين
على الحياه</t>
  </si>
  <si>
    <t>احلام محمد عبد العزيز عبد العواض</t>
  </si>
  <si>
    <t>التخصصية</t>
  </si>
  <si>
    <t>اشرف سيد مصطفى احمد</t>
  </si>
  <si>
    <t>امل محمد علي محمود</t>
  </si>
  <si>
    <t>امل مصطفى محمد قاسم أبو غدير</t>
  </si>
  <si>
    <t>ايمان آدم عطيه مقار</t>
  </si>
  <si>
    <t>ايمان عبد الوهاب علي عبد الله</t>
  </si>
  <si>
    <t>التخصصية الثالثة</t>
  </si>
  <si>
    <t>أسامه فؤاد محمد سيد الشعار</t>
  </si>
  <si>
    <t>أشرف محمد دسوقى سيد</t>
  </si>
  <si>
    <t>بهاء شرف الدين خليفة على خليفة</t>
  </si>
  <si>
    <t>جلال الدين محمد إبراهيم عبد الرحمن</t>
  </si>
  <si>
    <t>حماده إبراهيم أحمد بخيت</t>
  </si>
  <si>
    <t>حمدى مرغنى عبد العال حسن</t>
  </si>
  <si>
    <t>داليا عبد الوهاب توفيق مرزوق</t>
  </si>
  <si>
    <t>رحاب محمد حسن محمد</t>
  </si>
  <si>
    <t>رويدا عبد الوكيل إبراهيم محمد</t>
  </si>
  <si>
    <t>ريم محمد مأمون محمد</t>
  </si>
  <si>
    <t>زكريا عبد الله حسين أحمد</t>
  </si>
  <si>
    <t>اسامه مصطفى محمد عبد الرحمن</t>
  </si>
  <si>
    <t>سامية طه محمد محمود</t>
  </si>
  <si>
    <t>سوسن خليل عبد المعطي العطار</t>
  </si>
  <si>
    <t>صلاح عبد العزيز على محمد</t>
  </si>
  <si>
    <t>طارق أحمد أحمد حسن</t>
  </si>
  <si>
    <t>عبد الكريم محمد محمد أحمد</t>
  </si>
  <si>
    <t>عبد الله نور الدين مطاوع عبد الحافظ</t>
  </si>
  <si>
    <t>عبده أحمد محمد مصطفى</t>
  </si>
  <si>
    <t>علاء الدين احمد ايراهيم احمد</t>
  </si>
  <si>
    <t>علاءالدين محمد محمد سرحان</t>
  </si>
  <si>
    <t>علي احمد عبدالجواد احمد</t>
  </si>
  <si>
    <t>علي عبد البديع عبد الله محفوظ</t>
  </si>
  <si>
    <t>عنتر محمد أحمد محمد</t>
  </si>
  <si>
    <t>غادة احمد عبدالرحيم الرضيوي</t>
  </si>
  <si>
    <t>فاطمه الزهراء حماد الشحات حماد</t>
  </si>
  <si>
    <t>ليلى احمد محمد محمد المهدي</t>
  </si>
  <si>
    <t>محسن محمود محمد محمود</t>
  </si>
  <si>
    <t>محمد أحمد عبد المحسن محمود</t>
  </si>
  <si>
    <t>محمد حازم محمود فراج عيسى</t>
  </si>
  <si>
    <t>محمد عبدالمنعم عمار محمد</t>
  </si>
  <si>
    <t>محمد مسعود عبد الله مسعود</t>
  </si>
  <si>
    <t>مختار فتحى محمود محمد</t>
  </si>
  <si>
    <t>منال محمد حسن سليمان</t>
  </si>
  <si>
    <t>منى يوسف كامل ابوطالب حسن</t>
  </si>
  <si>
    <t>ناهد عبده محمود حسن</t>
  </si>
  <si>
    <t>نجلاء السيد عبد الوهاب عبد ربه</t>
  </si>
  <si>
    <t>نرمين ثروت صليب اسكندر</t>
  </si>
  <si>
    <t>نرمين عبد المحسن عباس أحمد</t>
  </si>
  <si>
    <t>نهله رضا محمد عمر</t>
  </si>
  <si>
    <t>هشام جلال ثابت على</t>
  </si>
  <si>
    <t>هشام عيد على مطاوع</t>
  </si>
  <si>
    <t>هيثم فرغلى عبد العال عبد الحافظ</t>
  </si>
  <si>
    <t>وفاء حسين يونس بدوي</t>
  </si>
  <si>
    <t>وفاء ربيع محمد أبو العلا</t>
  </si>
  <si>
    <t>ياسر عبدالناصر حسن مرسى</t>
  </si>
  <si>
    <t>التخصصية الثانية</t>
  </si>
  <si>
    <t>إسراء يحيى محروس محمود</t>
  </si>
  <si>
    <t>إسماعيل محمد جابر عبد المحسن</t>
  </si>
  <si>
    <t>أحمد مصطفى محمد مصطفى على</t>
  </si>
  <si>
    <t>جهاد فرج محمد محمد</t>
  </si>
  <si>
    <t>أحمد إبراهيم جلال إبراهيم</t>
  </si>
  <si>
    <t>أحمد محمد عبد العال أحمد</t>
  </si>
  <si>
    <t>أحمد محمد عبد النعيم محمد</t>
  </si>
  <si>
    <t>أمل محمد عبد المجيد تمام</t>
  </si>
  <si>
    <t>رابعة أحمد محمد عطيه</t>
  </si>
  <si>
    <t>رانيا رأفت فؤاد أسعد</t>
  </si>
  <si>
    <t>أميرة إسماعيل تهامى إسماعيل</t>
  </si>
  <si>
    <t>رحاب محمد سمير عبد الفتاح علي</t>
  </si>
  <si>
    <t>أميرة محمد عبد المعطى محمد</t>
  </si>
  <si>
    <t>روزالين رأفت فؤاد أسعد</t>
  </si>
  <si>
    <t>محمد رفعت فؤاد هريدى</t>
  </si>
  <si>
    <t>محمود جابر قرنى عطوان</t>
  </si>
  <si>
    <t>مروة سيد حسن سيد</t>
  </si>
  <si>
    <t>مصطفى محمود علي عبد العزيز</t>
  </si>
  <si>
    <t>مها بدر محمد احمد</t>
  </si>
  <si>
    <t>مى عطا الله ذكى حسن عطا الله</t>
  </si>
  <si>
    <t>هبة على حسين عبد العزيز</t>
  </si>
  <si>
    <t>هبه محمد صلاح الدين أحمد محروس</t>
  </si>
  <si>
    <t>هدى عبد اللاه احمد بهنساوى</t>
  </si>
  <si>
    <t>ولاء وحيد زكي عمار</t>
  </si>
  <si>
    <t>احمد جمعة عبد العزيز بدوى</t>
  </si>
  <si>
    <t>أحمد عصمت سيف الدولة سيد سالم</t>
  </si>
  <si>
    <t>أحمد محمود أحمد فارس</t>
  </si>
  <si>
    <t>أشرف أحمد على محمد</t>
  </si>
  <si>
    <t>محمد سيد محمود سيد</t>
  </si>
  <si>
    <t>حامد أحمد عبد اللطيف أحمد</t>
  </si>
  <si>
    <t>دعاء محمد بكر محمد مصطفى</t>
  </si>
  <si>
    <t>سامية شاكر على عبد الهادى</t>
  </si>
  <si>
    <t>سعد الدين محمد مصطفى حسن</t>
  </si>
  <si>
    <t>سلوى محمد موسى على</t>
  </si>
  <si>
    <t>سميحه فاروق احمد شاهين</t>
  </si>
  <si>
    <t>صفاء مختار محمود ضاحى</t>
  </si>
  <si>
    <t>عاصم جمال قطب حسن</t>
  </si>
  <si>
    <t>محمد محمود عبد الله عبد الرحيم</t>
  </si>
  <si>
    <t>منال موسى على قوشتى</t>
  </si>
  <si>
    <t>هند مسعود عبد الله مسعود</t>
  </si>
  <si>
    <t>هبه إبراهيم عبد العال مهران</t>
  </si>
  <si>
    <t>هناء الصادق عبد الظاهر مصطفى</t>
  </si>
  <si>
    <t>ياسمين عبد القادر حسن محمد</t>
  </si>
  <si>
    <t>وردة جلال على عبدالحافظ</t>
  </si>
  <si>
    <t>ابراهيم كامل محمد عبد المنعم</t>
  </si>
  <si>
    <t>الفنية الثالثة</t>
  </si>
  <si>
    <t>ابو المجد علي عبد الحفيظ أحمد</t>
  </si>
  <si>
    <t>احمد /علي زغلول/ حسن علي زرزور</t>
  </si>
  <si>
    <t>احمد جاد المولى سيد عابدين</t>
  </si>
  <si>
    <t>احمد جلال سيد مصطفى</t>
  </si>
  <si>
    <t>احمد عبد الخالق سيد عبد الحافظ</t>
  </si>
  <si>
    <t>احمد عبد العظيم عبد اللطيف حسن</t>
  </si>
  <si>
    <t>احمد علي أحمد علي الشريف</t>
  </si>
  <si>
    <t>الفنية</t>
  </si>
  <si>
    <t>احمد محمد احمد منصور</t>
  </si>
  <si>
    <t>احمد محمد حسن جاد</t>
  </si>
  <si>
    <t>احمد محمد عبد الحميد حسين</t>
  </si>
  <si>
    <t>احمد يوسف عبد الحليم محمد</t>
  </si>
  <si>
    <t>اسامة محمد كامل احمد</t>
  </si>
  <si>
    <t>اسامه السيد مصطفى محفوظ</t>
  </si>
  <si>
    <t>اسراء سيد اسماعيل سيد سويفي</t>
  </si>
  <si>
    <t>اسماء محمد زغلول رضوان</t>
  </si>
  <si>
    <t>اسماء مصطفى نصر حمدان</t>
  </si>
  <si>
    <t>اشرف سيد محمد عبد الرحيم</t>
  </si>
  <si>
    <t>الشيماء جابر خلاف عبد الحميد</t>
  </si>
  <si>
    <t>امال ابراهيم سعد الشبشيرى</t>
  </si>
  <si>
    <t>امال احمد صالح حسن</t>
  </si>
  <si>
    <t>امال سيد محمد احمد</t>
  </si>
  <si>
    <t>ايمان عبد الله حسن أحمد</t>
  </si>
  <si>
    <t>ايمن رمضان حسن حمدان</t>
  </si>
  <si>
    <t>ثروت إبراهيم سيد على</t>
  </si>
  <si>
    <t>ثناء محمد أحمد محمد</t>
  </si>
  <si>
    <t>جمال احمد علي حسانين</t>
  </si>
  <si>
    <t>جملات حسين سيد محمد</t>
  </si>
  <si>
    <t>حسين سيد حسين عيسى</t>
  </si>
  <si>
    <t>حسين عبد الناصر عبد الرحيم محمد مرسى</t>
  </si>
  <si>
    <t>حسين فرغلى سيد اسماعيل</t>
  </si>
  <si>
    <t>حسين محمد حسين مصطفي</t>
  </si>
  <si>
    <t>حسين محمود حسن محمد</t>
  </si>
  <si>
    <t>حمدى فرغلى عبدالمعطى عبد السيمع</t>
  </si>
  <si>
    <t>خالد عبدالله محمد علي</t>
  </si>
  <si>
    <t>دويني سيد دويني محمد</t>
  </si>
  <si>
    <t>ديفيد اميل فوزي اقلاديوس</t>
  </si>
  <si>
    <t>رحاب عبد الناصر فرغلي محمد</t>
  </si>
  <si>
    <t>رقية محمد عبدالرحيم رفاعى</t>
  </si>
  <si>
    <t>زينب حادى حسين بركات</t>
  </si>
  <si>
    <t>سحر سيد عبد القادر عبدالله</t>
  </si>
  <si>
    <t>سمير على محمود حمدان</t>
  </si>
  <si>
    <t>سناء حلمى على موسى</t>
  </si>
  <si>
    <t>سهير محمد عاطف حسن</t>
  </si>
  <si>
    <t>شريهان محمد عبد الرؤوف حسن</t>
  </si>
  <si>
    <t>صباح سيد بكر سليمان</t>
  </si>
  <si>
    <t>صباح محمد محمد محمود</t>
  </si>
  <si>
    <t>صفاء كمال علي امين</t>
  </si>
  <si>
    <t>عادل على محمد على</t>
  </si>
  <si>
    <t>عاطف سمير فوزي بطرس</t>
  </si>
  <si>
    <t>عايده احمد فرحان احمد</t>
  </si>
  <si>
    <t>عبد الحميد محمود عبد الحميد خضر</t>
  </si>
  <si>
    <t>عبد الرازق عبد المجيد داود سليمان</t>
  </si>
  <si>
    <t>عبد الرازق عبد المنعم عبد الرازق على</t>
  </si>
  <si>
    <t>عبد الناصر احمد محمد احمد</t>
  </si>
  <si>
    <t>عبده كامل احمد عبده</t>
  </si>
  <si>
    <t>علا عبد الرازق محمود</t>
  </si>
  <si>
    <t>علاء احمد محمد فياض</t>
  </si>
  <si>
    <t>علاء حامد محمد حسب الله</t>
  </si>
  <si>
    <t>علاء سيد مجاهد ابو زيد</t>
  </si>
  <si>
    <t>علاء محمد صديق محمد</t>
  </si>
  <si>
    <t>على جمال ابراهيم ادريس</t>
  </si>
  <si>
    <t>علي حامد محمد سيد</t>
  </si>
  <si>
    <t>علي شعبان على احمد</t>
  </si>
  <si>
    <t>عماد محمد احمد محمد</t>
  </si>
  <si>
    <t>عمر عبد الله عبد الغني عمر</t>
  </si>
  <si>
    <t>عمرو شعبان على احمد</t>
  </si>
  <si>
    <t>عمرو علي ثابت علي</t>
  </si>
  <si>
    <t>عمرو محمد محمد عبدالمذكور</t>
  </si>
  <si>
    <t>عياد غطاس شحاتة غطاس</t>
  </si>
  <si>
    <t>فاطمة الزهراء محمد الهادى كمال</t>
  </si>
  <si>
    <t>فتحى سيد محمد مصطفى</t>
  </si>
  <si>
    <t>فيفى زكى مسعد مسعود</t>
  </si>
  <si>
    <t>كرم حسين بخيت محمود</t>
  </si>
  <si>
    <t>كرم مصطفي احمد فرحان</t>
  </si>
  <si>
    <t>لواحظ محمد عشري محمد</t>
  </si>
  <si>
    <t>محمد احمد عبدالحميد حسين</t>
  </si>
  <si>
    <t>محمد احمد محمد عطيفي</t>
  </si>
  <si>
    <t>محمد بيومى ثابت على</t>
  </si>
  <si>
    <t>محمد حسن عبد الرحيم حسن</t>
  </si>
  <si>
    <t>محمد حسين فاضل احمد</t>
  </si>
  <si>
    <t>محمد حماده سويفي قطب</t>
  </si>
  <si>
    <t>محمد رفعت عثمان عبدالرحمن محمود</t>
  </si>
  <si>
    <t>محمد رمضان حسن حمدان</t>
  </si>
  <si>
    <t>محمد صلاح محمد احمد زيان</t>
  </si>
  <si>
    <t>محمد عادل محمد علي</t>
  </si>
  <si>
    <t>محمد عاطف سيد حسن</t>
  </si>
  <si>
    <t>محمد عباس ابوالعلا بخيت</t>
  </si>
  <si>
    <t>محمد عباس حسان سيد</t>
  </si>
  <si>
    <t>محمد عبدالله ابراهيم محمود</t>
  </si>
  <si>
    <t>محمد عبده كامل احمد</t>
  </si>
  <si>
    <t>محمد عبده محمد غزالي</t>
  </si>
  <si>
    <t>محمد علم الدين محمد احمد</t>
  </si>
  <si>
    <t>محمد فرغلى حسن فرغلى</t>
  </si>
  <si>
    <t>محمد محمد حسن جاد</t>
  </si>
  <si>
    <t>محمد محمد محمود سيد</t>
  </si>
  <si>
    <t>محمد محمود علي محمود</t>
  </si>
  <si>
    <t>محمد مكي محمد عبداللة حسن</t>
  </si>
  <si>
    <t>محمد يوسف عبد الحليم محمد</t>
  </si>
  <si>
    <t>محمد يوسف محمد يوسف</t>
  </si>
  <si>
    <t>محمود ابو الغيط علي رسلان</t>
  </si>
  <si>
    <t>محمود احمد عبد الحافظ احمد</t>
  </si>
  <si>
    <t>محمود احمد فرحان علي</t>
  </si>
  <si>
    <t>محمود برعى سيد محمود</t>
  </si>
  <si>
    <t>محمود سيد محمد صديق</t>
  </si>
  <si>
    <t>محمود كامل محمد غزالى</t>
  </si>
  <si>
    <t>محمود محمد عبد المعطي عبد السميع</t>
  </si>
  <si>
    <t>محمود محمد محفوظ شرف</t>
  </si>
  <si>
    <t>محمود مصطفى محمد مصطفى</t>
  </si>
  <si>
    <t>مصطفى فتحى محمد دسوقى</t>
  </si>
  <si>
    <t>مصطفى محمد احمد عمر طة</t>
  </si>
  <si>
    <t>مصطفى محمد عبد العال محمد</t>
  </si>
  <si>
    <t>مصطفى موسى سيد ابوغدير</t>
  </si>
  <si>
    <t>مصطفي عبدالرحمن احمد حسن</t>
  </si>
  <si>
    <t>ممدوح عبدالسلام حسن محمد</t>
  </si>
  <si>
    <t>منال طة سالم احمد</t>
  </si>
  <si>
    <t>منتصر احمد جابر محمد</t>
  </si>
  <si>
    <t>منى حسن علي حسنين</t>
  </si>
  <si>
    <t>منى على محمد عبد العاطى</t>
  </si>
  <si>
    <t>مؤمن عبده كامل احمد</t>
  </si>
  <si>
    <t>نبوية رمضان محفوظ عيسي</t>
  </si>
  <si>
    <t>نجاح فتحي سيد رمضان</t>
  </si>
  <si>
    <t>نعمه جاد الرب شعبان جاد الرب</t>
  </si>
  <si>
    <t>نوال عيد سيد جلال</t>
  </si>
  <si>
    <t>نون كمال محمد محمود</t>
  </si>
  <si>
    <t>هالة مصطفى عبدالعزيز حسانين</t>
  </si>
  <si>
    <t>هانى ايوب ابراهيم موسى</t>
  </si>
  <si>
    <t>وائل محمد نور الدين كامل</t>
  </si>
  <si>
    <t>وفاء محمد عبدالظاهر رضوان</t>
  </si>
  <si>
    <t>يحيى حسن حسين حسن</t>
  </si>
  <si>
    <t>احمد محمد احمد حسانين</t>
  </si>
  <si>
    <t>المكتبية</t>
  </si>
  <si>
    <t>ام كلثوم احمد متولى احمد</t>
  </si>
  <si>
    <t>امال سلطان مصطفى سلطان</t>
  </si>
  <si>
    <t>امل فرغلي جلال محمد</t>
  </si>
  <si>
    <t>اميمه محمد جلال عبد العال</t>
  </si>
  <si>
    <t>انتصار صالح علي درويش</t>
  </si>
  <si>
    <t>ايمان عزت غالي نخلة</t>
  </si>
  <si>
    <t>ايمان فتحي محمود فرج</t>
  </si>
  <si>
    <t>ايناس عبدالموجود محمود عبدالموجود</t>
  </si>
  <si>
    <t>بركه احمد حسنين محمد</t>
  </si>
  <si>
    <t>جمال محمد سيد محمد أبو الحسن</t>
  </si>
  <si>
    <t>حسن سيد حسن عبد الرحمن</t>
  </si>
  <si>
    <t>حسن محمود احمد محمود</t>
  </si>
  <si>
    <t>حسنية أحمد محمد عبد العال</t>
  </si>
  <si>
    <t>حليمة محمود حميلى زيدان</t>
  </si>
  <si>
    <t>خالد محمود سيد حسين</t>
  </si>
  <si>
    <t>رجاء محمد أبراهيم عبدالحافظ</t>
  </si>
  <si>
    <t>رضا علي أبو الحسن اسماعيل</t>
  </si>
  <si>
    <t>ساميه نجيب مرقص عبدالشهيد</t>
  </si>
  <si>
    <t>سحر عبدالنعيم قطب مصطفى</t>
  </si>
  <si>
    <t>سعاد شحاتة محمد الامير</t>
  </si>
  <si>
    <t>سلوى بهي الدين عبدالمنعم</t>
  </si>
  <si>
    <t>سمية عبد الناصر محمد محمود</t>
  </si>
  <si>
    <t>سميحه عبدالعال محمد عبدالعال</t>
  </si>
  <si>
    <t>سهير عبد العظيم محمد عبدالرحمن</t>
  </si>
  <si>
    <t>سيد مصطفى حسين احمد</t>
  </si>
  <si>
    <t>صباح عباس قطب شحاتة</t>
  </si>
  <si>
    <t>عادل انور مرغني محمد</t>
  </si>
  <si>
    <t>عاطف صلاح بخيت ابراهيم</t>
  </si>
  <si>
    <t>عبد العال قطب عبد الحافظ</t>
  </si>
  <si>
    <t>عز عبد العظيم هاشم عز</t>
  </si>
  <si>
    <t>عليه احمد قطب حسن</t>
  </si>
  <si>
    <t>فاطمه محمد سيد حسنين</t>
  </si>
  <si>
    <t>فرغلي ابراهيم رشوان مصطفي</t>
  </si>
  <si>
    <t>لؤي احمد حسن مسعد</t>
  </si>
  <si>
    <t>محمد حسين احمد محمد</t>
  </si>
  <si>
    <t>محمد شعبان احمد حمدان</t>
  </si>
  <si>
    <t>محمد عبد الحميد محمد رفاعي</t>
  </si>
  <si>
    <t>محمد عيد أحمد معوض</t>
  </si>
  <si>
    <t>محمود سيد زكي خليفه</t>
  </si>
  <si>
    <t>مختار حسين حسن احمد</t>
  </si>
  <si>
    <t>مديحه اسماعيل مبروك مسعود</t>
  </si>
  <si>
    <t>مديحه محمود احمد جاد الحق</t>
  </si>
  <si>
    <t>مرفت عبدالمحسن ابراهيم على</t>
  </si>
  <si>
    <t>مرفت محمد مصطفى حماد</t>
  </si>
  <si>
    <t>مغربي صديق طه صديق</t>
  </si>
  <si>
    <t>منال حمدي احمد حسين</t>
  </si>
  <si>
    <t>منى يوسف عبد المجيد فرغلي</t>
  </si>
  <si>
    <t>ناهد احمد علي ابوالسعود</t>
  </si>
  <si>
    <t>ناهد حبيب سمعان صليب</t>
  </si>
  <si>
    <t>نوره محمد محمود محمد</t>
  </si>
  <si>
    <t>هاجر احمد عبدالسلام ثابت</t>
  </si>
  <si>
    <t>هناء محمد عطيفه زناتة</t>
  </si>
  <si>
    <t>ورده حسن سليمان احمد</t>
  </si>
  <si>
    <t>وفاء جميل بشاي صموئيل</t>
  </si>
  <si>
    <t>احمد حسن حماده سيد</t>
  </si>
  <si>
    <t>المكتبية الثالثة</t>
  </si>
  <si>
    <t>احمد حسن سيد احمد</t>
  </si>
  <si>
    <t>احمد عبد العزيز جاد الله احمد</t>
  </si>
  <si>
    <t>احمد محمد شعبان احمد</t>
  </si>
  <si>
    <t>اسلام احمد محمد حافظ</t>
  </si>
  <si>
    <t>اسماء محمد عبد العزيز عبدالعواض</t>
  </si>
  <si>
    <t>الشيماء محمد سيد مصطفى</t>
  </si>
  <si>
    <t>الهام فتحي محمود فرج</t>
  </si>
  <si>
    <t>الهام قطب عبد العال عبدالحافظ</t>
  </si>
  <si>
    <t>امال علي ابو الحسن اسماعيل</t>
  </si>
  <si>
    <t>امنه مراد محمد عمر</t>
  </si>
  <si>
    <t>امنية فتحى عبد العزيز اسماعيل</t>
  </si>
  <si>
    <t>ايمان عباس قطب شحاتة</t>
  </si>
  <si>
    <t>ايمان عبد الحفيظ علي رزق</t>
  </si>
  <si>
    <t>ايمان يوسف جاد علي</t>
  </si>
  <si>
    <t>بثينه فرغلي عبد العزيز فرغلي</t>
  </si>
  <si>
    <t>بديعة عبد الكريم احمد محمد</t>
  </si>
  <si>
    <t>جيهان عبد الحكيم محمود سالم</t>
  </si>
  <si>
    <t>حازم حسانين فر غلي احمد</t>
  </si>
  <si>
    <t>حسام محمد جابر ابوالعلا</t>
  </si>
  <si>
    <t>حسن عبد العال هريدى فراج</t>
  </si>
  <si>
    <t>حسن علي زغلول حسن علي زرزور</t>
  </si>
  <si>
    <t>حسن كامل حسن حسين</t>
  </si>
  <si>
    <t>حسن محمد محمد محمود حسن</t>
  </si>
  <si>
    <t>دعاء احمد فرحان احمد</t>
  </si>
  <si>
    <t>رانيا بدرى محمد حسن</t>
  </si>
  <si>
    <t>رشا حسن مختار حسن</t>
  </si>
  <si>
    <t>رشا محمد عبد العظيم ابوهشيمة</t>
  </si>
  <si>
    <t>رضا هاشم درويش ابراهيم</t>
  </si>
  <si>
    <t>ساميه سليمان على حسانين</t>
  </si>
  <si>
    <t>سماح سيد سيد حسن</t>
  </si>
  <si>
    <t>سماح عبد الحفيظ محمد شعبان</t>
  </si>
  <si>
    <t>سمر سيد عبد الرحيم على</t>
  </si>
  <si>
    <t>سناء شحاته محمد الأمير</t>
  </si>
  <si>
    <t>سوسو حسين عبدالرحمن عبدالعال</t>
  </si>
  <si>
    <t>صبحي فتحي فرحان</t>
  </si>
  <si>
    <t>صفاء ابراهيم عبد الرحيم احمد</t>
  </si>
  <si>
    <t>صلاح عمر طه عمر</t>
  </si>
  <si>
    <t>طه علي صابر احمد</t>
  </si>
  <si>
    <t>عبير جلال محمد جلال</t>
  </si>
  <si>
    <t>عزت عياد فرحان بخيت</t>
  </si>
  <si>
    <t>على حسن فرغلى حسن</t>
  </si>
  <si>
    <t>عمرو محي الدين زكي ابراهيم</t>
  </si>
  <si>
    <t>فاتن محمود خليل ابراهيم</t>
  </si>
  <si>
    <t>كمال سيد عبد الوهاب محمد</t>
  </si>
  <si>
    <t>ليلى عبدالحميد جاد الحق محمد</t>
  </si>
  <si>
    <t>ماجده احمد ابراهيم احمد</t>
  </si>
  <si>
    <t>محمد احمد زايد سليمان</t>
  </si>
  <si>
    <t>محمد حمدان نصر حمدان</t>
  </si>
  <si>
    <t>محمد سيد عبدالرحمن سليم</t>
  </si>
  <si>
    <t>محمد شعبان عبدالحميد عبدالنبى</t>
  </si>
  <si>
    <t>محمود عبده حمدان محمد</t>
  </si>
  <si>
    <t>محمود محمد علي محمود</t>
  </si>
  <si>
    <t>محمود محمد محمد عبد المذكور</t>
  </si>
  <si>
    <t>محمود محمود احمد حسين</t>
  </si>
  <si>
    <t>مصطفى حسن محمد على</t>
  </si>
  <si>
    <t>مصطفى عبد اللاه علي احمد</t>
  </si>
  <si>
    <t>معتز محمد درويش صالح</t>
  </si>
  <si>
    <t>منى ابو العلا حسين محمد</t>
  </si>
  <si>
    <t>مؤمن عبد الخالق سيد عبد الحافظ</t>
  </si>
  <si>
    <t>ناهد خليفه عبد النبي عمر</t>
  </si>
  <si>
    <t>نجاح خميس محمود علي</t>
  </si>
  <si>
    <t>نجلاء ربيع سيد محمد</t>
  </si>
  <si>
    <t>نجلاء عبد المنعم حسن</t>
  </si>
  <si>
    <t>نجوى مصطفى محمد حسانين</t>
  </si>
  <si>
    <t>نهى سمير عبد الواحد خضر</t>
  </si>
  <si>
    <t>نورة شعبان ثابت ابراهيم</t>
  </si>
  <si>
    <t>هاجر مختار محمود محمد</t>
  </si>
  <si>
    <t>هاله صلاح الدين عامر احمد</t>
  </si>
  <si>
    <t>هبه حمزه احمد محمد</t>
  </si>
  <si>
    <t>هبه محمد عبد القادر محمد</t>
  </si>
  <si>
    <t>هناء جلال سيد مصطفى</t>
  </si>
  <si>
    <t>هويدا احمد بداري علي</t>
  </si>
  <si>
    <t>هيثم محمد عبد اللاه عبد النبي</t>
  </si>
  <si>
    <t>وفاء علي محمد المليجي</t>
  </si>
  <si>
    <t>وليد محمد كمال محمد</t>
  </si>
  <si>
    <t>يمني محمد ممدوح محمود</t>
  </si>
  <si>
    <t>ابراهيم صبرة عبدالغنى ابراهيم</t>
  </si>
  <si>
    <t>حرفية ومعاونه</t>
  </si>
  <si>
    <t>احمد ثابت احمد محمد</t>
  </si>
  <si>
    <t>احمد عبدالرازق محمد عبدالرازق</t>
  </si>
  <si>
    <t>احمد محمود احمد عبد الله</t>
  </si>
  <si>
    <t>اشرف شوكت احمد خليل</t>
  </si>
  <si>
    <t>اشرف على عبدالرحمن على</t>
  </si>
  <si>
    <t>جلال عبدالراضي احمد سعيد</t>
  </si>
  <si>
    <t>جمال إبراهيم إدريس أبو زيد</t>
  </si>
  <si>
    <t>جنيدى سليمان مجلى سليمان</t>
  </si>
  <si>
    <t>حسام الدين فتحى محمد عبدالعاطى</t>
  </si>
  <si>
    <t>حمدان احمد عبدالمجيد محمد</t>
  </si>
  <si>
    <t>حمدى صالحين محمد صالحين</t>
  </si>
  <si>
    <t>حمدى محمود محمد محمد</t>
  </si>
  <si>
    <t>خلف الله حسن مصطفى محمد</t>
  </si>
  <si>
    <t>دوينى محمد عبدالجيد عبد الحميد</t>
  </si>
  <si>
    <t>رجب فرغلي حسن سيد</t>
  </si>
  <si>
    <t>سعد عبد الفتاح سيد خضر</t>
  </si>
  <si>
    <t>سميره سيدهم عطية الله يسى</t>
  </si>
  <si>
    <t>سيد حسن عبدالغفار على</t>
  </si>
  <si>
    <t>صلاح محمد احمد زيان</t>
  </si>
  <si>
    <t>عاطف متجلى عوض حسن</t>
  </si>
  <si>
    <t>عاطف موسي محمد حسن</t>
  </si>
  <si>
    <t>عاطف يوسف كامل علي</t>
  </si>
  <si>
    <t>عبد الحكيم عبد اللة عثمان جوهر</t>
  </si>
  <si>
    <t>عصام عبد الحى جلال عبد العال</t>
  </si>
  <si>
    <t>علي محمد خليفه فرغلى</t>
  </si>
  <si>
    <t>علي منصور محمد منصور</t>
  </si>
  <si>
    <t>فاطمه محمد دردير عمر</t>
  </si>
  <si>
    <t>كمال محمد فارس شحاتة</t>
  </si>
  <si>
    <t>مجدى حسن محمد محمد</t>
  </si>
  <si>
    <t>محسن حفنى يوسف سيد</t>
  </si>
  <si>
    <t>محمد تشهيل فاضل سليمان</t>
  </si>
  <si>
    <t>محمد ثابت محمد محمد</t>
  </si>
  <si>
    <t>محمد حسن إبراهيم محمد</t>
  </si>
  <si>
    <t>محمد عبد المجيد تمام عبد المجيد</t>
  </si>
  <si>
    <t>محمد محمد محمد سليمان</t>
  </si>
  <si>
    <t>محمد محمود محمد ابراهيم</t>
  </si>
  <si>
    <t>محمدى محمد جابر حسانين</t>
  </si>
  <si>
    <t>محمود احمد جلال عبداللة</t>
  </si>
  <si>
    <t>محمود فاوي مصطفي عليوة</t>
  </si>
  <si>
    <t>مختار على محمد سيد</t>
  </si>
  <si>
    <t>مرسى سيد حسانين احمد</t>
  </si>
  <si>
    <t>ممدوح كامل احمد عبده</t>
  </si>
  <si>
    <t>نادى كامل احمد عبدة</t>
  </si>
  <si>
    <t>ناصر هاشم سيد مصطفي</t>
  </si>
  <si>
    <t>يوسف عطية احمد محمود</t>
  </si>
  <si>
    <t>الاسم</t>
  </si>
  <si>
    <t xml:space="preserve">استعلام </t>
  </si>
  <si>
    <t>استعلام تخصصي الضريبة</t>
  </si>
  <si>
    <t>تفصيلي مرتبات تخصصية 2 يناير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</si>
</sst>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000401]0"/>
    <numFmt numFmtId="165" formatCode="[$-2000401]0.##"/>
    <numFmt numFmtId="166" formatCode="[$-2000000]dd/mm/yyyy"/>
  </numFmts>
  <fonts count="48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6"/>
      <name val="Baskerville Old Face"/>
      <family val="1"/>
    </font>
    <font>
      <b/>
      <sz val="14"/>
      <name val="Baskerville Old Face"/>
      <family val="1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7"/>
      <color theme="1"/>
      <name val="Tahoma"/>
      <family val="2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rgb="FF008000"/>
      <name val="Arial"/>
      <family val="2"/>
      <scheme val="minor"/>
    </font>
    <font>
      <sz val="11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4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Arial"/>
      <family val="2"/>
      <scheme val="minor"/>
    </font>
    <font>
      <sz val="9"/>
      <color theme="1"/>
      <name val="Tahoma"/>
      <family val="2"/>
    </font>
    <font>
      <u/>
      <sz val="11"/>
      <color theme="10"/>
      <name val="Arial"/>
      <family val="2"/>
      <charset val="178"/>
    </font>
    <font>
      <sz val="10"/>
      <color theme="1"/>
      <name val="Arial"/>
      <family val="2"/>
      <scheme val="minor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8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rgb="FF000000"/>
      <name val="Tahoma"/>
      <family val="2"/>
    </font>
    <font>
      <b/>
      <sz val="12"/>
      <color theme="1"/>
      <name val="Tahoma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2" tint="-0.74999237037263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/>
      <right/>
      <top style="thin">
        <color rgb="FF949D86"/>
      </top>
      <bottom style="thin">
        <color rgb="FF949D86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/>
      <right/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949D86"/>
      </left>
      <right/>
      <top/>
      <bottom style="thin">
        <color rgb="FF949D86"/>
      </bottom>
      <diagonal/>
    </border>
    <border>
      <left/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/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/>
  </cellStyleXfs>
  <cellXfs count="380">
    <xf numFmtId="0" fontId="0" fillId="0" borderId="0" xfId="0"/>
    <xf numFmtId="0" fontId="22" fillId="9" borderId="87" xfId="0" applyFont="1" applyFill="1" applyBorder="1" applyAlignment="1">
      <alignment horizontal="center" vertical="center" wrapText="1"/>
    </xf>
    <xf numFmtId="0" fontId="23" fillId="9" borderId="87" xfId="0" applyFont="1" applyFill="1" applyBorder="1" applyAlignment="1">
      <alignment horizontal="center" vertical="center" wrapText="1"/>
    </xf>
    <xf numFmtId="0" fontId="27" fillId="0" borderId="0" xfId="3"/>
    <xf numFmtId="0" fontId="29" fillId="9" borderId="87" xfId="3" applyFont="1" applyFill="1" applyBorder="1" applyAlignment="1">
      <alignment horizontal="center" vertical="center" wrapText="1"/>
    </xf>
    <xf numFmtId="1" fontId="29" fillId="9" borderId="87" xfId="3" applyNumberFormat="1" applyFont="1" applyFill="1" applyBorder="1" applyAlignment="1">
      <alignment horizontal="center" vertical="center" wrapText="1"/>
    </xf>
    <xf numFmtId="0" fontId="29" fillId="9" borderId="87" xfId="3" applyFont="1" applyFill="1" applyBorder="1" applyAlignment="1">
      <alignment horizontal="center" wrapText="1"/>
    </xf>
    <xf numFmtId="0" fontId="30" fillId="9" borderId="94" xfId="3" applyFont="1" applyFill="1" applyBorder="1" applyAlignment="1">
      <alignment horizontal="center" wrapText="1"/>
    </xf>
    <xf numFmtId="0" fontId="30" fillId="9" borderId="94" xfId="3" applyFont="1" applyFill="1" applyBorder="1" applyAlignment="1">
      <alignment horizontal="center" vertical="center" wrapText="1"/>
    </xf>
    <xf numFmtId="0" fontId="27" fillId="7" borderId="94" xfId="3" applyFill="1" applyBorder="1" applyAlignment="1">
      <alignment horizontal="center" wrapText="1"/>
    </xf>
    <xf numFmtId="0" fontId="27" fillId="7" borderId="94" xfId="3" applyFill="1" applyBorder="1" applyAlignment="1">
      <alignment horizontal="center"/>
    </xf>
    <xf numFmtId="164" fontId="31" fillId="8" borderId="87" xfId="3" applyNumberFormat="1" applyFont="1" applyFill="1" applyBorder="1" applyAlignment="1">
      <alignment horizontal="center" vertical="center"/>
    </xf>
    <xf numFmtId="0" fontId="31" fillId="8" borderId="87" xfId="3" applyFont="1" applyFill="1" applyBorder="1" applyAlignment="1">
      <alignment horizontal="right" vertical="center"/>
    </xf>
    <xf numFmtId="1" fontId="31" fillId="8" borderId="87" xfId="3" applyNumberFormat="1" applyFont="1" applyFill="1" applyBorder="1" applyAlignment="1">
      <alignment horizontal="right" vertical="center" wrapText="1"/>
    </xf>
    <xf numFmtId="12" fontId="32" fillId="8" borderId="87" xfId="4" applyNumberFormat="1" applyFill="1" applyBorder="1" applyAlignment="1" applyProtection="1">
      <alignment horizontal="right" vertical="center" wrapText="1"/>
    </xf>
    <xf numFmtId="164" fontId="31" fillId="8" borderId="87" xfId="3" applyNumberFormat="1" applyFont="1" applyFill="1" applyBorder="1" applyAlignment="1">
      <alignment horizontal="center" wrapText="1"/>
    </xf>
    <xf numFmtId="0" fontId="31" fillId="8" borderId="87" xfId="3" applyFont="1" applyFill="1" applyBorder="1" applyAlignment="1">
      <alignment horizontal="center" wrapText="1"/>
    </xf>
    <xf numFmtId="166" fontId="31" fillId="8" borderId="87" xfId="3" applyNumberFormat="1" applyFont="1" applyFill="1" applyBorder="1" applyAlignment="1">
      <alignment horizontal="center"/>
    </xf>
    <xf numFmtId="165" fontId="31" fillId="8" borderId="87" xfId="3" applyNumberFormat="1" applyFont="1" applyFill="1" applyBorder="1" applyAlignment="1">
      <alignment horizontal="center" wrapText="1"/>
    </xf>
    <xf numFmtId="165" fontId="33" fillId="10" borderId="94" xfId="3" applyNumberFormat="1" applyFont="1" applyFill="1" applyBorder="1" applyAlignment="1">
      <alignment horizontal="center" wrapText="1"/>
    </xf>
    <xf numFmtId="0" fontId="33" fillId="10" borderId="94" xfId="3" applyFont="1" applyFill="1" applyBorder="1" applyAlignment="1">
      <alignment horizontal="center" wrapText="1"/>
    </xf>
    <xf numFmtId="0" fontId="27" fillId="0" borderId="94" xfId="3" applyBorder="1" applyAlignment="1">
      <alignment horizontal="center"/>
    </xf>
    <xf numFmtId="165" fontId="27" fillId="0" borderId="94" xfId="3" applyNumberFormat="1" applyBorder="1" applyAlignment="1">
      <alignment horizontal="center"/>
    </xf>
    <xf numFmtId="164" fontId="31" fillId="10" borderId="87" xfId="3" applyNumberFormat="1" applyFont="1" applyFill="1" applyBorder="1" applyAlignment="1">
      <alignment horizontal="center" vertical="center"/>
    </xf>
    <xf numFmtId="0" fontId="31" fillId="7" borderId="87" xfId="3" applyFont="1" applyFill="1" applyBorder="1" applyAlignment="1">
      <alignment horizontal="right" vertical="center"/>
    </xf>
    <xf numFmtId="1" fontId="31" fillId="10" borderId="87" xfId="3" applyNumberFormat="1" applyFont="1" applyFill="1" applyBorder="1" applyAlignment="1">
      <alignment horizontal="right" vertical="center" wrapText="1"/>
    </xf>
    <xf numFmtId="12" fontId="31" fillId="10" borderId="87" xfId="3" applyNumberFormat="1" applyFont="1" applyFill="1" applyBorder="1" applyAlignment="1">
      <alignment horizontal="right" vertical="center" wrapText="1"/>
    </xf>
    <xf numFmtId="0" fontId="31" fillId="10" borderId="87" xfId="3" applyFont="1" applyFill="1" applyBorder="1" applyAlignment="1">
      <alignment horizontal="center" wrapText="1"/>
    </xf>
    <xf numFmtId="164" fontId="31" fillId="10" borderId="87" xfId="3" applyNumberFormat="1" applyFont="1" applyFill="1" applyBorder="1" applyAlignment="1">
      <alignment horizontal="center" wrapText="1"/>
    </xf>
    <xf numFmtId="166" fontId="31" fillId="10" borderId="87" xfId="3" applyNumberFormat="1" applyFont="1" applyFill="1" applyBorder="1" applyAlignment="1">
      <alignment horizontal="center"/>
    </xf>
    <xf numFmtId="165" fontId="31" fillId="10" borderId="87" xfId="3" applyNumberFormat="1" applyFont="1" applyFill="1" applyBorder="1" applyAlignment="1">
      <alignment horizontal="center" wrapText="1"/>
    </xf>
    <xf numFmtId="12" fontId="31" fillId="8" borderId="87" xfId="3" applyNumberFormat="1" applyFont="1" applyFill="1" applyBorder="1" applyAlignment="1">
      <alignment horizontal="right" vertical="center" wrapText="1"/>
    </xf>
    <xf numFmtId="0" fontId="31" fillId="10" borderId="87" xfId="3" applyFont="1" applyFill="1" applyBorder="1" applyAlignment="1">
      <alignment horizontal="right" vertical="center"/>
    </xf>
    <xf numFmtId="0" fontId="31" fillId="10" borderId="87" xfId="3" applyFont="1" applyFill="1" applyBorder="1" applyAlignment="1">
      <alignment horizontal="right" vertical="center" wrapText="1"/>
    </xf>
    <xf numFmtId="0" fontId="31" fillId="8" borderId="87" xfId="3" applyFont="1" applyFill="1" applyBorder="1" applyAlignment="1">
      <alignment horizontal="right" vertical="center" wrapText="1"/>
    </xf>
    <xf numFmtId="164" fontId="34" fillId="10" borderId="87" xfId="3" applyNumberFormat="1" applyFont="1" applyFill="1" applyBorder="1" applyAlignment="1">
      <alignment horizontal="center" wrapText="1"/>
    </xf>
    <xf numFmtId="0" fontId="34" fillId="10" borderId="87" xfId="3" applyFont="1" applyFill="1" applyBorder="1" applyAlignment="1">
      <alignment horizontal="center" wrapText="1"/>
    </xf>
    <xf numFmtId="166" fontId="34" fillId="10" borderId="87" xfId="3" applyNumberFormat="1" applyFont="1" applyFill="1" applyBorder="1" applyAlignment="1">
      <alignment horizontal="center"/>
    </xf>
    <xf numFmtId="165" fontId="34" fillId="10" borderId="87" xfId="3" applyNumberFormat="1" applyFont="1" applyFill="1" applyBorder="1" applyAlignment="1">
      <alignment horizontal="center" wrapText="1"/>
    </xf>
    <xf numFmtId="1" fontId="27" fillId="0" borderId="0" xfId="3" applyNumberFormat="1"/>
    <xf numFmtId="0" fontId="1" fillId="0" borderId="0" xfId="5"/>
    <xf numFmtId="0" fontId="1" fillId="0" borderId="0" xfId="5" applyAlignment="1">
      <alignment horizontal="center"/>
    </xf>
    <xf numFmtId="0" fontId="2" fillId="0" borderId="0" xfId="5" applyFont="1" applyBorder="1" applyAlignment="1" applyProtection="1">
      <alignment horizontal="center" vertical="center"/>
    </xf>
    <xf numFmtId="0" fontId="7" fillId="13" borderId="5" xfId="5" applyFont="1" applyFill="1" applyBorder="1" applyAlignment="1" applyProtection="1">
      <alignment horizontal="center" readingOrder="2"/>
    </xf>
    <xf numFmtId="0" fontId="9" fillId="0" borderId="9" xfId="5" applyFont="1" applyBorder="1" applyProtection="1"/>
    <xf numFmtId="0" fontId="8" fillId="0" borderId="5" xfId="5" applyFont="1" applyBorder="1" applyAlignment="1" applyProtection="1">
      <alignment horizontal="center" vertical="center"/>
    </xf>
    <xf numFmtId="0" fontId="8" fillId="0" borderId="8" xfId="5" applyFont="1" applyBorder="1" applyAlignment="1" applyProtection="1">
      <alignment horizontal="center" vertical="center"/>
    </xf>
    <xf numFmtId="2" fontId="8" fillId="0" borderId="10" xfId="5" applyNumberFormat="1" applyFont="1" applyBorder="1" applyAlignment="1" applyProtection="1">
      <alignment horizontal="center" vertical="center"/>
    </xf>
    <xf numFmtId="49" fontId="5" fillId="0" borderId="12" xfId="5" applyNumberFormat="1" applyFont="1" applyBorder="1" applyAlignment="1" applyProtection="1">
      <alignment horizontal="center" vertical="center"/>
    </xf>
    <xf numFmtId="2" fontId="10" fillId="13" borderId="13" xfId="5" applyNumberFormat="1" applyFont="1" applyFill="1" applyBorder="1" applyAlignment="1" applyProtection="1"/>
    <xf numFmtId="2" fontId="4" fillId="2" borderId="14" xfId="5" applyNumberFormat="1" applyFont="1" applyFill="1" applyBorder="1" applyAlignment="1" applyProtection="1">
      <alignment horizontal="center" vertical="center"/>
      <protection locked="0"/>
    </xf>
    <xf numFmtId="2" fontId="2" fillId="13" borderId="15" xfId="5" applyNumberFormat="1" applyFont="1" applyFill="1" applyBorder="1" applyAlignment="1" applyProtection="1">
      <alignment horizontal="center" vertical="center"/>
    </xf>
    <xf numFmtId="0" fontId="2" fillId="0" borderId="16" xfId="5" applyFont="1" applyBorder="1" applyAlignment="1" applyProtection="1">
      <alignment horizontal="center" vertical="center"/>
    </xf>
    <xf numFmtId="1" fontId="11" fillId="0" borderId="17" xfId="5" applyNumberFormat="1" applyFont="1" applyBorder="1" applyAlignment="1" applyProtection="1">
      <alignment vertical="center"/>
    </xf>
    <xf numFmtId="49" fontId="5" fillId="0" borderId="18" xfId="5" applyNumberFormat="1" applyFont="1" applyBorder="1" applyAlignment="1" applyProtection="1">
      <alignment horizontal="center" vertical="center"/>
    </xf>
    <xf numFmtId="1" fontId="13" fillId="0" borderId="19" xfId="5" applyNumberFormat="1" applyFont="1" applyBorder="1" applyAlignment="1" applyProtection="1"/>
    <xf numFmtId="49" fontId="5" fillId="0" borderId="21" xfId="5" applyNumberFormat="1" applyFont="1" applyBorder="1" applyAlignment="1" applyProtection="1">
      <alignment horizontal="center" vertical="center"/>
    </xf>
    <xf numFmtId="49" fontId="5" fillId="0" borderId="24" xfId="5" applyNumberFormat="1" applyFont="1" applyBorder="1" applyAlignment="1" applyProtection="1">
      <alignment horizontal="center" vertical="center"/>
    </xf>
    <xf numFmtId="2" fontId="4" fillId="13" borderId="25" xfId="5" applyNumberFormat="1" applyFont="1" applyFill="1" applyBorder="1" applyAlignment="1" applyProtection="1">
      <alignment vertical="center"/>
    </xf>
    <xf numFmtId="2" fontId="2" fillId="13" borderId="26" xfId="5" applyNumberFormat="1" applyFont="1" applyFill="1" applyBorder="1" applyAlignment="1" applyProtection="1">
      <alignment horizontal="center" vertical="center"/>
    </xf>
    <xf numFmtId="1" fontId="11" fillId="0" borderId="27" xfId="5" applyNumberFormat="1" applyFont="1" applyBorder="1" applyAlignment="1" applyProtection="1">
      <alignment vertical="center"/>
    </xf>
    <xf numFmtId="2" fontId="4" fillId="13" borderId="29" xfId="5" applyNumberFormat="1" applyFont="1" applyFill="1" applyBorder="1" applyAlignment="1" applyProtection="1">
      <alignment vertical="center"/>
    </xf>
    <xf numFmtId="2" fontId="4" fillId="13" borderId="31" xfId="5" applyNumberFormat="1" applyFont="1" applyFill="1" applyBorder="1" applyAlignment="1" applyProtection="1">
      <alignment vertical="center"/>
    </xf>
    <xf numFmtId="2" fontId="5" fillId="0" borderId="11" xfId="5" applyNumberFormat="1" applyFont="1" applyBorder="1" applyAlignment="1" applyProtection="1">
      <alignment horizontal="center" vertical="center"/>
    </xf>
    <xf numFmtId="2" fontId="12" fillId="13" borderId="32" xfId="5" applyNumberFormat="1" applyFont="1" applyFill="1" applyBorder="1" applyAlignment="1" applyProtection="1">
      <alignment horizontal="center" vertical="center"/>
      <protection hidden="1"/>
    </xf>
    <xf numFmtId="1" fontId="11" fillId="0" borderId="33" xfId="5" applyNumberFormat="1" applyFont="1" applyBorder="1" applyAlignment="1" applyProtection="1">
      <alignment vertical="center"/>
    </xf>
    <xf numFmtId="2" fontId="4" fillId="0" borderId="32" xfId="5" applyNumberFormat="1" applyFont="1" applyBorder="1" applyAlignment="1" applyProtection="1">
      <alignment vertical="center"/>
    </xf>
    <xf numFmtId="0" fontId="2" fillId="0" borderId="37" xfId="5" applyFont="1" applyBorder="1" applyAlignment="1" applyProtection="1">
      <alignment horizontal="center" vertical="center"/>
    </xf>
    <xf numFmtId="1" fontId="6" fillId="4" borderId="38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Border="1" applyAlignment="1" applyProtection="1">
      <alignment vertical="center"/>
    </xf>
    <xf numFmtId="2" fontId="2" fillId="13" borderId="39" xfId="5" applyNumberFormat="1" applyFont="1" applyFill="1" applyBorder="1" applyAlignment="1" applyProtection="1">
      <alignment horizontal="center" vertical="center"/>
    </xf>
    <xf numFmtId="0" fontId="2" fillId="0" borderId="22" xfId="5" applyFont="1" applyBorder="1" applyAlignment="1" applyProtection="1">
      <alignment horizontal="center" vertical="center"/>
    </xf>
    <xf numFmtId="2" fontId="2" fillId="0" borderId="17" xfId="5" applyNumberFormat="1" applyFont="1" applyBorder="1" applyAlignment="1" applyProtection="1">
      <alignment vertical="center"/>
    </xf>
    <xf numFmtId="0" fontId="4" fillId="0" borderId="16" xfId="5" applyFont="1" applyBorder="1" applyAlignment="1" applyProtection="1">
      <alignment vertical="center"/>
    </xf>
    <xf numFmtId="2" fontId="2" fillId="13" borderId="40" xfId="5" applyNumberFormat="1" applyFont="1" applyFill="1" applyBorder="1" applyAlignment="1" applyProtection="1">
      <alignment horizontal="center" vertical="center"/>
    </xf>
    <xf numFmtId="0" fontId="2" fillId="0" borderId="14" xfId="5" applyFont="1" applyBorder="1" applyAlignment="1" applyProtection="1">
      <alignment horizontal="center" vertical="center"/>
    </xf>
    <xf numFmtId="2" fontId="2" fillId="0" borderId="27" xfId="5" applyNumberFormat="1" applyFont="1" applyBorder="1" applyAlignment="1" applyProtection="1">
      <alignment vertical="center"/>
    </xf>
    <xf numFmtId="2" fontId="2" fillId="3" borderId="15" xfId="5" applyNumberFormat="1" applyFont="1" applyFill="1" applyBorder="1" applyAlignment="1" applyProtection="1">
      <alignment horizontal="center" vertical="center"/>
      <protection locked="0"/>
    </xf>
    <xf numFmtId="0" fontId="2" fillId="5" borderId="16" xfId="5" applyFont="1" applyFill="1" applyBorder="1" applyAlignment="1" applyProtection="1">
      <alignment horizontal="center" vertical="center"/>
    </xf>
    <xf numFmtId="2" fontId="4" fillId="13" borderId="16" xfId="5" applyNumberFormat="1" applyFont="1" applyFill="1" applyBorder="1" applyAlignment="1" applyProtection="1">
      <alignment vertical="center"/>
    </xf>
    <xf numFmtId="2" fontId="2" fillId="0" borderId="15" xfId="5" applyNumberFormat="1" applyFont="1" applyBorder="1" applyAlignment="1" applyProtection="1">
      <alignment horizontal="center" vertical="center"/>
    </xf>
    <xf numFmtId="2" fontId="4" fillId="13" borderId="0" xfId="5" applyNumberFormat="1" applyFont="1" applyFill="1" applyBorder="1" applyAlignment="1" applyProtection="1">
      <alignment vertical="center"/>
    </xf>
    <xf numFmtId="2" fontId="4" fillId="13" borderId="47" xfId="5" applyNumberFormat="1" applyFont="1" applyFill="1" applyBorder="1" applyAlignment="1" applyProtection="1">
      <alignment vertical="center"/>
    </xf>
    <xf numFmtId="0" fontId="4" fillId="0" borderId="50" xfId="5" applyFont="1" applyBorder="1" applyAlignment="1" applyProtection="1">
      <alignment vertical="center"/>
    </xf>
    <xf numFmtId="2" fontId="2" fillId="13" borderId="51" xfId="5" applyNumberFormat="1" applyFont="1" applyFill="1" applyBorder="1" applyAlignment="1" applyProtection="1">
      <alignment horizontal="center" vertical="center"/>
    </xf>
    <xf numFmtId="2" fontId="2" fillId="13" borderId="52" xfId="5" applyNumberFormat="1" applyFont="1" applyFill="1" applyBorder="1" applyAlignment="1" applyProtection="1">
      <alignment vertical="center"/>
    </xf>
    <xf numFmtId="49" fontId="4" fillId="0" borderId="54" xfId="5" applyNumberFormat="1" applyFont="1" applyBorder="1" applyAlignment="1" applyProtection="1">
      <alignment horizontal="center" vertical="center"/>
    </xf>
    <xf numFmtId="2" fontId="2" fillId="0" borderId="26" xfId="5" applyNumberFormat="1" applyFont="1" applyBorder="1" applyAlignment="1" applyProtection="1">
      <alignment horizontal="center" vertical="center"/>
    </xf>
    <xf numFmtId="49" fontId="4" fillId="0" borderId="18" xfId="5" applyNumberFormat="1" applyFont="1" applyBorder="1" applyAlignment="1" applyProtection="1">
      <alignment horizontal="center" vertical="center"/>
    </xf>
    <xf numFmtId="2" fontId="4" fillId="13" borderId="37" xfId="5" applyNumberFormat="1" applyFont="1" applyFill="1" applyBorder="1" applyAlignment="1" applyProtection="1">
      <alignment vertical="center"/>
    </xf>
    <xf numFmtId="2" fontId="2" fillId="0" borderId="27" xfId="5" applyNumberFormat="1" applyFont="1" applyFill="1" applyBorder="1" applyAlignment="1" applyProtection="1">
      <alignment vertical="center"/>
    </xf>
    <xf numFmtId="2" fontId="4" fillId="0" borderId="0" xfId="5" applyNumberFormat="1" applyFont="1" applyBorder="1" applyAlignment="1" applyProtection="1">
      <alignment vertical="center"/>
    </xf>
    <xf numFmtId="2" fontId="2" fillId="0" borderId="33" xfId="5" applyNumberFormat="1" applyFont="1" applyBorder="1" applyAlignment="1" applyProtection="1">
      <alignment vertical="center"/>
    </xf>
    <xf numFmtId="2" fontId="17" fillId="6" borderId="58" xfId="5" applyNumberFormat="1" applyFont="1" applyFill="1" applyBorder="1" applyAlignment="1" applyProtection="1">
      <alignment vertical="center"/>
    </xf>
    <xf numFmtId="2" fontId="2" fillId="13" borderId="60" xfId="5" applyNumberFormat="1" applyFont="1" applyFill="1" applyBorder="1" applyAlignment="1" applyProtection="1">
      <alignment vertical="center"/>
    </xf>
    <xf numFmtId="2" fontId="4" fillId="6" borderId="61" xfId="5" applyNumberFormat="1" applyFont="1" applyFill="1" applyBorder="1" applyAlignment="1" applyProtection="1">
      <alignment horizontal="center" vertical="center" wrapText="1"/>
      <protection locked="0"/>
    </xf>
    <xf numFmtId="49" fontId="4" fillId="0" borderId="32" xfId="5" applyNumberFormat="1" applyFont="1" applyBorder="1" applyAlignment="1" applyProtection="1">
      <alignment horizontal="center" vertical="center"/>
    </xf>
    <xf numFmtId="2" fontId="4" fillId="13" borderId="32" xfId="5" applyNumberFormat="1" applyFont="1" applyFill="1" applyBorder="1" applyAlignment="1" applyProtection="1">
      <alignment vertical="center"/>
    </xf>
    <xf numFmtId="2" fontId="2" fillId="13" borderId="27" xfId="5" applyNumberFormat="1" applyFont="1" applyFill="1" applyBorder="1" applyAlignment="1" applyProtection="1">
      <alignment vertical="center"/>
    </xf>
    <xf numFmtId="2" fontId="4" fillId="6" borderId="62" xfId="5" applyNumberFormat="1" applyFont="1" applyFill="1" applyBorder="1" applyAlignment="1" applyProtection="1">
      <alignment vertical="center" wrapText="1"/>
      <protection locked="0"/>
    </xf>
    <xf numFmtId="49" fontId="4" fillId="0" borderId="16" xfId="5" applyNumberFormat="1" applyFont="1" applyBorder="1" applyAlignment="1" applyProtection="1">
      <alignment horizontal="center" vertical="center"/>
    </xf>
    <xf numFmtId="2" fontId="2" fillId="0" borderId="63" xfId="5" applyNumberFormat="1" applyFont="1" applyBorder="1" applyAlignment="1" applyProtection="1">
      <alignment horizontal="center" vertical="center"/>
    </xf>
    <xf numFmtId="2" fontId="2" fillId="13" borderId="64" xfId="5" applyNumberFormat="1" applyFont="1" applyFill="1" applyBorder="1" applyAlignment="1" applyProtection="1">
      <alignment vertical="center"/>
    </xf>
    <xf numFmtId="2" fontId="4" fillId="2" borderId="36" xfId="5" applyNumberFormat="1" applyFont="1" applyFill="1" applyBorder="1" applyAlignment="1" applyProtection="1">
      <alignment vertical="center"/>
      <protection locked="0"/>
    </xf>
    <xf numFmtId="0" fontId="2" fillId="0" borderId="32" xfId="5" applyFont="1" applyBorder="1" applyAlignment="1" applyProtection="1">
      <alignment horizontal="center" vertical="center"/>
    </xf>
    <xf numFmtId="2" fontId="2" fillId="13" borderId="38" xfId="5" applyNumberFormat="1" applyFont="1" applyFill="1" applyBorder="1" applyAlignment="1" applyProtection="1">
      <alignment vertical="center"/>
    </xf>
    <xf numFmtId="2" fontId="2" fillId="0" borderId="67" xfId="5" applyNumberFormat="1" applyFont="1" applyBorder="1" applyAlignment="1" applyProtection="1">
      <alignment horizontal="center" vertical="center"/>
    </xf>
    <xf numFmtId="2" fontId="2" fillId="0" borderId="64" xfId="5" applyNumberFormat="1" applyFont="1" applyBorder="1" applyAlignment="1" applyProtection="1">
      <alignment vertical="center"/>
    </xf>
    <xf numFmtId="2" fontId="4" fillId="0" borderId="42" xfId="5" applyNumberFormat="1" applyFont="1" applyBorder="1" applyAlignment="1" applyProtection="1">
      <alignment vertical="center"/>
    </xf>
    <xf numFmtId="2" fontId="2" fillId="13" borderId="69" xfId="5" applyNumberFormat="1" applyFont="1" applyFill="1" applyBorder="1" applyAlignment="1" applyProtection="1">
      <alignment vertical="center"/>
    </xf>
    <xf numFmtId="0" fontId="2" fillId="0" borderId="66" xfId="5" applyFont="1" applyBorder="1" applyAlignment="1" applyProtection="1">
      <alignment horizontal="center" vertical="center"/>
    </xf>
    <xf numFmtId="2" fontId="2" fillId="0" borderId="38" xfId="5" applyNumberFormat="1" applyFont="1" applyBorder="1" applyAlignment="1" applyProtection="1">
      <alignment vertical="center"/>
    </xf>
    <xf numFmtId="2" fontId="16" fillId="0" borderId="70" xfId="5" applyNumberFormat="1" applyFont="1" applyBorder="1" applyAlignment="1" applyProtection="1">
      <alignment vertical="center"/>
    </xf>
    <xf numFmtId="49" fontId="4" fillId="0" borderId="71" xfId="5" applyNumberFormat="1" applyFont="1" applyBorder="1" applyAlignment="1" applyProtection="1">
      <alignment vertical="center"/>
    </xf>
    <xf numFmtId="2" fontId="4" fillId="7" borderId="72" xfId="5" applyNumberFormat="1" applyFont="1" applyFill="1" applyBorder="1" applyAlignment="1" applyProtection="1">
      <alignment vertical="center"/>
      <protection locked="0"/>
    </xf>
    <xf numFmtId="2" fontId="4" fillId="0" borderId="12" xfId="5" applyNumberFormat="1" applyFont="1" applyBorder="1" applyAlignment="1" applyProtection="1">
      <alignment vertical="center"/>
    </xf>
    <xf numFmtId="2" fontId="4" fillId="0" borderId="28" xfId="5" applyNumberFormat="1" applyFont="1" applyBorder="1" applyAlignment="1" applyProtection="1">
      <alignment vertical="center"/>
    </xf>
    <xf numFmtId="2" fontId="4" fillId="0" borderId="71" xfId="5" applyNumberFormat="1" applyFont="1" applyBorder="1" applyAlignment="1" applyProtection="1">
      <alignment vertical="center"/>
      <protection locked="0"/>
    </xf>
    <xf numFmtId="2" fontId="4" fillId="13" borderId="18" xfId="5" applyNumberFormat="1" applyFont="1" applyFill="1" applyBorder="1" applyAlignment="1" applyProtection="1">
      <alignment vertical="center"/>
    </xf>
    <xf numFmtId="2" fontId="4" fillId="13" borderId="49" xfId="5" applyNumberFormat="1" applyFont="1" applyFill="1" applyBorder="1" applyAlignment="1" applyProtection="1">
      <alignment vertical="center"/>
    </xf>
    <xf numFmtId="2" fontId="4" fillId="0" borderId="49" xfId="5" applyNumberFormat="1" applyFont="1" applyBorder="1" applyAlignment="1" applyProtection="1">
      <alignment vertical="center"/>
      <protection locked="0"/>
    </xf>
    <xf numFmtId="2" fontId="2" fillId="13" borderId="77" xfId="5" applyNumberFormat="1" applyFont="1" applyFill="1" applyBorder="1" applyAlignment="1" applyProtection="1">
      <alignment vertical="center"/>
    </xf>
    <xf numFmtId="2" fontId="2" fillId="0" borderId="78" xfId="5" applyNumberFormat="1" applyFont="1" applyBorder="1" applyAlignment="1" applyProtection="1">
      <alignment horizontal="center" vertical="center"/>
    </xf>
    <xf numFmtId="2" fontId="2" fillId="0" borderId="6" xfId="5" applyNumberFormat="1" applyFont="1" applyBorder="1" applyAlignment="1" applyProtection="1">
      <alignment vertical="center"/>
    </xf>
    <xf numFmtId="9" fontId="7" fillId="13" borderId="36" xfId="2" applyFont="1" applyFill="1" applyBorder="1" applyAlignment="1" applyProtection="1">
      <alignment horizontal="center" vertical="center"/>
    </xf>
    <xf numFmtId="2" fontId="2" fillId="13" borderId="36" xfId="5" applyNumberFormat="1" applyFont="1" applyFill="1" applyBorder="1" applyAlignment="1" applyProtection="1">
      <alignment vertical="center"/>
    </xf>
    <xf numFmtId="2" fontId="2" fillId="0" borderId="6" xfId="5" applyNumberFormat="1" applyFont="1" applyBorder="1" applyAlignment="1" applyProtection="1">
      <alignment horizontal="center" vertical="center"/>
    </xf>
    <xf numFmtId="0" fontId="2" fillId="0" borderId="81" xfId="5" applyFont="1" applyBorder="1" applyAlignment="1" applyProtection="1">
      <alignment horizontal="center" vertical="center"/>
    </xf>
    <xf numFmtId="2" fontId="7" fillId="13" borderId="83" xfId="5" applyNumberFormat="1" applyFont="1" applyFill="1" applyBorder="1" applyAlignment="1" applyProtection="1">
      <alignment horizontal="center" vertical="center"/>
    </xf>
    <xf numFmtId="2" fontId="2" fillId="13" borderId="84" xfId="5" applyNumberFormat="1" applyFont="1" applyFill="1" applyBorder="1" applyAlignment="1" applyProtection="1">
      <alignment horizontal="center" vertical="center"/>
    </xf>
    <xf numFmtId="2" fontId="2" fillId="0" borderId="85" xfId="5" applyNumberFormat="1" applyFont="1" applyBorder="1" applyAlignment="1" applyProtection="1">
      <alignment horizontal="center" vertical="center"/>
    </xf>
    <xf numFmtId="0" fontId="19" fillId="0" borderId="79" xfId="5" applyFont="1" applyBorder="1" applyAlignment="1" applyProtection="1">
      <alignment horizontal="center" vertical="center"/>
    </xf>
    <xf numFmtId="2" fontId="2" fillId="0" borderId="86" xfId="5" applyNumberFormat="1" applyFont="1" applyBorder="1" applyAlignment="1" applyProtection="1">
      <alignment vertical="center"/>
    </xf>
    <xf numFmtId="2" fontId="2" fillId="0" borderId="95" xfId="5" applyNumberFormat="1" applyFont="1" applyBorder="1" applyAlignment="1" applyProtection="1">
      <alignment vertical="center"/>
    </xf>
    <xf numFmtId="49" fontId="2" fillId="0" borderId="96" xfId="5" applyNumberFormat="1" applyFont="1" applyBorder="1" applyAlignment="1" applyProtection="1">
      <alignment vertical="center"/>
    </xf>
    <xf numFmtId="2" fontId="2" fillId="0" borderId="96" xfId="5" applyNumberFormat="1" applyFont="1" applyBorder="1" applyAlignment="1" applyProtection="1">
      <alignment vertical="center"/>
      <protection locked="0"/>
    </xf>
    <xf numFmtId="2" fontId="2" fillId="0" borderId="83" xfId="5" applyNumberFormat="1" applyFont="1" applyBorder="1" applyAlignment="1" applyProtection="1">
      <alignment vertical="center"/>
    </xf>
    <xf numFmtId="0" fontId="2" fillId="0" borderId="79" xfId="5" applyFont="1" applyBorder="1" applyAlignment="1" applyProtection="1">
      <alignment horizontal="center" vertical="center"/>
    </xf>
    <xf numFmtId="0" fontId="1" fillId="13" borderId="0" xfId="5" applyFill="1"/>
    <xf numFmtId="0" fontId="37" fillId="0" borderId="94" xfId="6" applyFont="1" applyBorder="1" applyAlignment="1">
      <alignment horizontal="center"/>
    </xf>
    <xf numFmtId="1" fontId="37" fillId="0" borderId="94" xfId="6" applyNumberFormat="1" applyFont="1" applyBorder="1" applyAlignment="1">
      <alignment horizontal="center"/>
    </xf>
    <xf numFmtId="0" fontId="38" fillId="0" borderId="0" xfId="6" applyFont="1" applyAlignment="1">
      <alignment horizontal="center"/>
    </xf>
    <xf numFmtId="0" fontId="39" fillId="14" borderId="97" xfId="6" applyFont="1" applyFill="1" applyBorder="1" applyAlignment="1">
      <alignment horizontal="center" vertical="center" wrapText="1"/>
    </xf>
    <xf numFmtId="1" fontId="40" fillId="14" borderId="98" xfId="6" applyNumberFormat="1" applyFont="1" applyFill="1" applyBorder="1" applyAlignment="1">
      <alignment horizontal="center" vertical="center" wrapText="1"/>
    </xf>
    <xf numFmtId="0" fontId="39" fillId="7" borderId="99" xfId="6" applyFont="1" applyFill="1" applyBorder="1" applyAlignment="1">
      <alignment horizontal="center" vertical="center" wrapText="1"/>
    </xf>
    <xf numFmtId="0" fontId="41" fillId="7" borderId="98" xfId="6" applyFont="1" applyFill="1" applyBorder="1" applyAlignment="1">
      <alignment horizontal="center" vertical="center" wrapText="1"/>
    </xf>
    <xf numFmtId="1" fontId="41" fillId="7" borderId="98" xfId="6" applyNumberFormat="1" applyFont="1" applyFill="1" applyBorder="1" applyAlignment="1">
      <alignment horizontal="center" vertical="center" wrapText="1"/>
    </xf>
    <xf numFmtId="2" fontId="42" fillId="7" borderId="98" xfId="6" applyNumberFormat="1" applyFont="1" applyFill="1" applyBorder="1" applyAlignment="1">
      <alignment horizontal="center" vertical="center" wrapText="1"/>
    </xf>
    <xf numFmtId="0" fontId="41" fillId="7" borderId="99" xfId="6" applyFont="1" applyFill="1" applyBorder="1" applyAlignment="1">
      <alignment horizontal="center" vertical="center" wrapText="1"/>
    </xf>
    <xf numFmtId="2" fontId="41" fillId="7" borderId="100" xfId="6" applyNumberFormat="1" applyFont="1" applyFill="1" applyBorder="1" applyAlignment="1">
      <alignment horizontal="center" vertical="center" wrapText="1"/>
    </xf>
    <xf numFmtId="0" fontId="41" fillId="7" borderId="101" xfId="6" applyFont="1" applyFill="1" applyBorder="1" applyAlignment="1">
      <alignment horizontal="center" vertical="center" wrapText="1"/>
    </xf>
    <xf numFmtId="2" fontId="41" fillId="7" borderId="98" xfId="6" applyNumberFormat="1" applyFont="1" applyFill="1" applyBorder="1" applyAlignment="1">
      <alignment horizontal="center" vertical="center" wrapText="1"/>
    </xf>
    <xf numFmtId="0" fontId="40" fillId="7" borderId="102" xfId="6" applyFont="1" applyFill="1" applyBorder="1" applyAlignment="1">
      <alignment horizontal="center" vertical="center" wrapText="1"/>
    </xf>
    <xf numFmtId="0" fontId="22" fillId="0" borderId="0" xfId="6" applyFont="1" applyAlignment="1">
      <alignment horizontal="center" vertical="center" wrapText="1"/>
    </xf>
    <xf numFmtId="0" fontId="22" fillId="0" borderId="0" xfId="6" applyFont="1" applyAlignment="1">
      <alignment horizontal="center" vertical="center"/>
    </xf>
    <xf numFmtId="0" fontId="37" fillId="10" borderId="103" xfId="6" applyFont="1" applyFill="1" applyBorder="1" applyAlignment="1">
      <alignment horizontal="center"/>
    </xf>
    <xf numFmtId="1" fontId="40" fillId="10" borderId="103" xfId="6" applyNumberFormat="1" applyFont="1" applyFill="1" applyBorder="1" applyAlignment="1">
      <alignment horizontal="center"/>
    </xf>
    <xf numFmtId="0" fontId="39" fillId="7" borderId="104" xfId="6" applyFont="1" applyFill="1" applyBorder="1" applyAlignment="1">
      <alignment horizontal="center"/>
    </xf>
    <xf numFmtId="0" fontId="41" fillId="7" borderId="103" xfId="6" applyFont="1" applyFill="1" applyBorder="1" applyAlignment="1">
      <alignment horizontal="center"/>
    </xf>
    <xf numFmtId="1" fontId="41" fillId="7" borderId="103" xfId="6" applyNumberFormat="1" applyFont="1" applyFill="1" applyBorder="1" applyAlignment="1">
      <alignment horizontal="center"/>
    </xf>
    <xf numFmtId="2" fontId="42" fillId="7" borderId="103" xfId="6" applyNumberFormat="1" applyFont="1" applyFill="1" applyBorder="1" applyAlignment="1">
      <alignment horizontal="center"/>
    </xf>
    <xf numFmtId="0" fontId="41" fillId="7" borderId="104" xfId="6" applyFont="1" applyFill="1" applyBorder="1" applyAlignment="1">
      <alignment horizontal="center"/>
    </xf>
    <xf numFmtId="2" fontId="41" fillId="13" borderId="105" xfId="6" applyNumberFormat="1" applyFont="1" applyFill="1" applyBorder="1" applyAlignment="1">
      <alignment horizontal="center"/>
    </xf>
    <xf numFmtId="0" fontId="41" fillId="7" borderId="106" xfId="6" applyFont="1" applyFill="1" applyBorder="1" applyAlignment="1">
      <alignment horizontal="center"/>
    </xf>
    <xf numFmtId="2" fontId="41" fillId="7" borderId="103" xfId="6" applyNumberFormat="1" applyFont="1" applyFill="1" applyBorder="1" applyAlignment="1">
      <alignment horizontal="center"/>
    </xf>
    <xf numFmtId="2" fontId="43" fillId="15" borderId="36" xfId="5" applyNumberFormat="1" applyFont="1" applyFill="1" applyBorder="1" applyAlignment="1">
      <alignment horizontal="center" vertical="center" wrapText="1"/>
    </xf>
    <xf numFmtId="0" fontId="41" fillId="13" borderId="103" xfId="6" applyFont="1" applyFill="1" applyBorder="1" applyAlignment="1">
      <alignment horizontal="center"/>
    </xf>
    <xf numFmtId="0" fontId="40" fillId="7" borderId="103" xfId="6" applyFont="1" applyFill="1" applyBorder="1" applyAlignment="1">
      <alignment horizontal="center"/>
    </xf>
    <xf numFmtId="0" fontId="37" fillId="10" borderId="94" xfId="6" applyFont="1" applyFill="1" applyBorder="1" applyAlignment="1">
      <alignment horizontal="center"/>
    </xf>
    <xf numFmtId="1" fontId="40" fillId="10" borderId="94" xfId="6" applyNumberFormat="1" applyFont="1" applyFill="1" applyBorder="1" applyAlignment="1">
      <alignment horizontal="center"/>
    </xf>
    <xf numFmtId="0" fontId="39" fillId="7" borderId="107" xfId="6" applyFont="1" applyFill="1" applyBorder="1" applyAlignment="1">
      <alignment horizontal="center"/>
    </xf>
    <xf numFmtId="0" fontId="41" fillId="7" borderId="94" xfId="6" applyFont="1" applyFill="1" applyBorder="1" applyAlignment="1">
      <alignment horizontal="center"/>
    </xf>
    <xf numFmtId="1" fontId="41" fillId="7" borderId="94" xfId="6" applyNumberFormat="1" applyFont="1" applyFill="1" applyBorder="1" applyAlignment="1">
      <alignment horizontal="center"/>
    </xf>
    <xf numFmtId="2" fontId="42" fillId="7" borderId="94" xfId="6" applyNumberFormat="1" applyFont="1" applyFill="1" applyBorder="1" applyAlignment="1">
      <alignment horizontal="center"/>
    </xf>
    <xf numFmtId="0" fontId="41" fillId="7" borderId="107" xfId="6" applyFont="1" applyFill="1" applyBorder="1" applyAlignment="1">
      <alignment horizontal="center"/>
    </xf>
    <xf numFmtId="2" fontId="41" fillId="13" borderId="108" xfId="6" applyNumberFormat="1" applyFont="1" applyFill="1" applyBorder="1" applyAlignment="1">
      <alignment horizontal="center"/>
    </xf>
    <xf numFmtId="0" fontId="41" fillId="7" borderId="109" xfId="6" applyFont="1" applyFill="1" applyBorder="1" applyAlignment="1">
      <alignment horizontal="center"/>
    </xf>
    <xf numFmtId="2" fontId="41" fillId="7" borderId="94" xfId="6" applyNumberFormat="1" applyFont="1" applyFill="1" applyBorder="1" applyAlignment="1">
      <alignment horizontal="center"/>
    </xf>
    <xf numFmtId="0" fontId="40" fillId="7" borderId="94" xfId="6" applyFont="1" applyFill="1" applyBorder="1" applyAlignment="1">
      <alignment horizontal="center"/>
    </xf>
    <xf numFmtId="0" fontId="37" fillId="7" borderId="103" xfId="6" applyFont="1" applyFill="1" applyBorder="1" applyAlignment="1">
      <alignment horizontal="center"/>
    </xf>
    <xf numFmtId="1" fontId="40" fillId="16" borderId="94" xfId="6" applyNumberFormat="1" applyFont="1" applyFill="1" applyBorder="1" applyAlignment="1">
      <alignment horizontal="center"/>
    </xf>
    <xf numFmtId="2" fontId="41" fillId="7" borderId="107" xfId="6" applyNumberFormat="1" applyFont="1" applyFill="1" applyBorder="1" applyAlignment="1">
      <alignment horizontal="center"/>
    </xf>
    <xf numFmtId="2" fontId="41" fillId="13" borderId="109" xfId="6" applyNumberFormat="1" applyFont="1" applyFill="1" applyBorder="1" applyAlignment="1">
      <alignment horizontal="center"/>
    </xf>
    <xf numFmtId="2" fontId="41" fillId="7" borderId="109" xfId="6" applyNumberFormat="1" applyFont="1" applyFill="1" applyBorder="1" applyAlignment="1">
      <alignment horizontal="center"/>
    </xf>
    <xf numFmtId="2" fontId="41" fillId="13" borderId="94" xfId="6" applyNumberFormat="1" applyFont="1" applyFill="1" applyBorder="1" applyAlignment="1">
      <alignment horizontal="center"/>
    </xf>
    <xf numFmtId="0" fontId="38" fillId="16" borderId="0" xfId="6" applyFont="1" applyFill="1" applyAlignment="1">
      <alignment horizontal="center"/>
    </xf>
    <xf numFmtId="0" fontId="37" fillId="7" borderId="94" xfId="6" applyFont="1" applyFill="1" applyBorder="1" applyAlignment="1">
      <alignment horizontal="center"/>
    </xf>
    <xf numFmtId="1" fontId="40" fillId="7" borderId="94" xfId="6" applyNumberFormat="1" applyFont="1" applyFill="1" applyBorder="1" applyAlignment="1">
      <alignment horizontal="center"/>
    </xf>
    <xf numFmtId="0" fontId="38" fillId="7" borderId="0" xfId="6" applyFont="1" applyFill="1" applyAlignment="1">
      <alignment horizontal="center"/>
    </xf>
    <xf numFmtId="0" fontId="39" fillId="10" borderId="107" xfId="6" applyFont="1" applyFill="1" applyBorder="1" applyAlignment="1">
      <alignment horizontal="center"/>
    </xf>
    <xf numFmtId="2" fontId="41" fillId="10" borderId="94" xfId="6" applyNumberFormat="1" applyFont="1" applyFill="1" applyBorder="1" applyAlignment="1">
      <alignment horizontal="center"/>
    </xf>
    <xf numFmtId="2" fontId="41" fillId="0" borderId="94" xfId="6" applyNumberFormat="1" applyFont="1" applyBorder="1" applyAlignment="1">
      <alignment horizontal="center"/>
    </xf>
    <xf numFmtId="1" fontId="41" fillId="10" borderId="94" xfId="6" applyNumberFormat="1" applyFont="1" applyFill="1" applyBorder="1" applyAlignment="1">
      <alignment horizontal="center"/>
    </xf>
    <xf numFmtId="2" fontId="42" fillId="10" borderId="94" xfId="6" applyNumberFormat="1" applyFont="1" applyFill="1" applyBorder="1" applyAlignment="1">
      <alignment horizontal="center"/>
    </xf>
    <xf numFmtId="2" fontId="41" fillId="10" borderId="107" xfId="6" applyNumberFormat="1" applyFont="1" applyFill="1" applyBorder="1" applyAlignment="1">
      <alignment horizontal="center"/>
    </xf>
    <xf numFmtId="2" fontId="41" fillId="0" borderId="107" xfId="6" applyNumberFormat="1" applyFont="1" applyBorder="1" applyAlignment="1">
      <alignment horizontal="center"/>
    </xf>
    <xf numFmtId="2" fontId="41" fillId="0" borderId="109" xfId="6" applyNumberFormat="1" applyFont="1" applyBorder="1" applyAlignment="1">
      <alignment horizontal="center"/>
    </xf>
    <xf numFmtId="2" fontId="43" fillId="17" borderId="36" xfId="5" applyNumberFormat="1" applyFont="1" applyFill="1" applyBorder="1" applyAlignment="1">
      <alignment horizontal="center" vertical="center" wrapText="1"/>
    </xf>
    <xf numFmtId="2" fontId="41" fillId="10" borderId="109" xfId="6" applyNumberFormat="1" applyFont="1" applyFill="1" applyBorder="1" applyAlignment="1">
      <alignment horizontal="center"/>
    </xf>
    <xf numFmtId="0" fontId="40" fillId="0" borderId="94" xfId="6" applyFont="1" applyBorder="1" applyAlignment="1">
      <alignment horizontal="center"/>
    </xf>
    <xf numFmtId="0" fontId="41" fillId="13" borderId="109" xfId="6" applyFont="1" applyFill="1" applyBorder="1" applyAlignment="1">
      <alignment horizontal="center"/>
    </xf>
    <xf numFmtId="2" fontId="41" fillId="10" borderId="108" xfId="6" applyNumberFormat="1" applyFont="1" applyFill="1" applyBorder="1" applyAlignment="1">
      <alignment horizontal="center"/>
    </xf>
    <xf numFmtId="2" fontId="41" fillId="7" borderId="108" xfId="6" applyNumberFormat="1" applyFont="1" applyFill="1" applyBorder="1" applyAlignment="1">
      <alignment horizontal="center"/>
    </xf>
    <xf numFmtId="0" fontId="37" fillId="10" borderId="107" xfId="6" applyFont="1" applyFill="1" applyBorder="1" applyAlignment="1">
      <alignment horizontal="center"/>
    </xf>
    <xf numFmtId="0" fontId="41" fillId="10" borderId="94" xfId="6" applyFont="1" applyFill="1" applyBorder="1" applyAlignment="1">
      <alignment horizontal="center"/>
    </xf>
    <xf numFmtId="0" fontId="41" fillId="0" borderId="94" xfId="6" applyFont="1" applyBorder="1" applyAlignment="1">
      <alignment horizontal="center"/>
    </xf>
    <xf numFmtId="0" fontId="41" fillId="10" borderId="107" xfId="6" applyFont="1" applyFill="1" applyBorder="1" applyAlignment="1">
      <alignment horizontal="center"/>
    </xf>
    <xf numFmtId="0" fontId="41" fillId="0" borderId="107" xfId="6" applyFont="1" applyBorder="1" applyAlignment="1">
      <alignment horizontal="center"/>
    </xf>
    <xf numFmtId="0" fontId="41" fillId="0" borderId="109" xfId="6" applyFont="1" applyBorder="1" applyAlignment="1">
      <alignment horizontal="center"/>
    </xf>
    <xf numFmtId="0" fontId="41" fillId="10" borderId="109" xfId="6" applyFont="1" applyFill="1" applyBorder="1" applyAlignment="1">
      <alignment horizontal="center"/>
    </xf>
    <xf numFmtId="0" fontId="37" fillId="10" borderId="104" xfId="6" applyFont="1" applyFill="1" applyBorder="1" applyAlignment="1">
      <alignment horizontal="center"/>
    </xf>
    <xf numFmtId="0" fontId="37" fillId="10" borderId="110" xfId="6" applyFont="1" applyFill="1" applyBorder="1" applyAlignment="1">
      <alignment horizontal="center"/>
    </xf>
    <xf numFmtId="0" fontId="39" fillId="10" borderId="111" xfId="6" applyFont="1" applyFill="1" applyBorder="1" applyAlignment="1">
      <alignment horizontal="center"/>
    </xf>
    <xf numFmtId="0" fontId="41" fillId="10" borderId="112" xfId="6" applyFont="1" applyFill="1" applyBorder="1" applyAlignment="1">
      <alignment horizontal="center"/>
    </xf>
    <xf numFmtId="0" fontId="41" fillId="0" borderId="112" xfId="6" applyFont="1" applyBorder="1" applyAlignment="1">
      <alignment horizontal="center"/>
    </xf>
    <xf numFmtId="1" fontId="41" fillId="10" borderId="112" xfId="6" applyNumberFormat="1" applyFont="1" applyFill="1" applyBorder="1" applyAlignment="1">
      <alignment horizontal="center"/>
    </xf>
    <xf numFmtId="2" fontId="42" fillId="10" borderId="112" xfId="6" applyNumberFormat="1" applyFont="1" applyFill="1" applyBorder="1" applyAlignment="1">
      <alignment horizontal="center"/>
    </xf>
    <xf numFmtId="0" fontId="41" fillId="10" borderId="111" xfId="6" applyFont="1" applyFill="1" applyBorder="1" applyAlignment="1">
      <alignment horizontal="center"/>
    </xf>
    <xf numFmtId="0" fontId="41" fillId="0" borderId="111" xfId="6" applyFont="1" applyBorder="1" applyAlignment="1">
      <alignment horizontal="center"/>
    </xf>
    <xf numFmtId="2" fontId="41" fillId="13" borderId="113" xfId="6" applyNumberFormat="1" applyFont="1" applyFill="1" applyBorder="1" applyAlignment="1">
      <alignment horizontal="center"/>
    </xf>
    <xf numFmtId="0" fontId="41" fillId="0" borderId="114" xfId="6" applyFont="1" applyBorder="1" applyAlignment="1">
      <alignment horizontal="center"/>
    </xf>
    <xf numFmtId="2" fontId="41" fillId="10" borderId="112" xfId="6" applyNumberFormat="1" applyFont="1" applyFill="1" applyBorder="1" applyAlignment="1">
      <alignment horizontal="center"/>
    </xf>
    <xf numFmtId="0" fontId="41" fillId="10" borderId="114" xfId="6" applyFont="1" applyFill="1" applyBorder="1" applyAlignment="1">
      <alignment horizontal="center"/>
    </xf>
    <xf numFmtId="0" fontId="40" fillId="0" borderId="112" xfId="6" applyFont="1" applyBorder="1" applyAlignment="1">
      <alignment horizontal="center"/>
    </xf>
    <xf numFmtId="2" fontId="39" fillId="10" borderId="107" xfId="6" applyNumberFormat="1" applyFont="1" applyFill="1" applyBorder="1" applyAlignment="1">
      <alignment horizontal="center"/>
    </xf>
    <xf numFmtId="0" fontId="37" fillId="10" borderId="0" xfId="6" applyFont="1" applyFill="1" applyBorder="1" applyAlignment="1">
      <alignment horizontal="center"/>
    </xf>
    <xf numFmtId="0" fontId="39" fillId="10" borderId="0" xfId="6" applyFont="1" applyFill="1" applyAlignment="1">
      <alignment horizontal="center"/>
    </xf>
    <xf numFmtId="0" fontId="44" fillId="10" borderId="107" xfId="5" applyFont="1" applyFill="1" applyBorder="1" applyAlignment="1">
      <alignment horizontal="center" vertical="center"/>
    </xf>
    <xf numFmtId="0" fontId="41" fillId="10" borderId="103" xfId="6" applyFont="1" applyFill="1" applyBorder="1" applyAlignment="1">
      <alignment horizontal="center"/>
    </xf>
    <xf numFmtId="0" fontId="39" fillId="10" borderId="87" xfId="6" applyFont="1" applyFill="1" applyBorder="1" applyAlignment="1">
      <alignment horizontal="center"/>
    </xf>
    <xf numFmtId="2" fontId="39" fillId="10" borderId="0" xfId="6" applyNumberFormat="1" applyFont="1" applyFill="1" applyAlignment="1">
      <alignment horizontal="center"/>
    </xf>
    <xf numFmtId="2" fontId="40" fillId="0" borderId="94" xfId="6" applyNumberFormat="1" applyFont="1" applyBorder="1" applyAlignment="1">
      <alignment horizontal="center"/>
    </xf>
    <xf numFmtId="0" fontId="37" fillId="10" borderId="112" xfId="6" applyFont="1" applyFill="1" applyBorder="1" applyAlignment="1">
      <alignment horizontal="center"/>
    </xf>
    <xf numFmtId="0" fontId="37" fillId="10" borderId="111" xfId="6" applyFont="1" applyFill="1" applyBorder="1" applyAlignment="1">
      <alignment horizontal="center"/>
    </xf>
    <xf numFmtId="2" fontId="41" fillId="13" borderId="112" xfId="6" applyNumberFormat="1" applyFont="1" applyFill="1" applyBorder="1" applyAlignment="1">
      <alignment horizontal="center"/>
    </xf>
    <xf numFmtId="2" fontId="43" fillId="17" borderId="115" xfId="5" applyNumberFormat="1" applyFont="1" applyFill="1" applyBorder="1" applyAlignment="1">
      <alignment horizontal="center" vertical="center" wrapText="1"/>
    </xf>
    <xf numFmtId="0" fontId="41" fillId="13" borderId="116" xfId="6" applyFont="1" applyFill="1" applyBorder="1" applyAlignment="1">
      <alignment horizontal="center"/>
    </xf>
    <xf numFmtId="0" fontId="39" fillId="0" borderId="94" xfId="6" applyFont="1" applyBorder="1" applyAlignment="1">
      <alignment horizontal="center"/>
    </xf>
    <xf numFmtId="1" fontId="41" fillId="0" borderId="94" xfId="6" applyNumberFormat="1" applyFont="1" applyBorder="1" applyAlignment="1">
      <alignment horizontal="center"/>
    </xf>
    <xf numFmtId="2" fontId="42" fillId="0" borderId="94" xfId="6" applyNumberFormat="1" applyFont="1" applyBorder="1" applyAlignment="1">
      <alignment horizontal="center"/>
    </xf>
    <xf numFmtId="0" fontId="38" fillId="0" borderId="94" xfId="6" applyFont="1" applyBorder="1" applyAlignment="1">
      <alignment horizontal="center"/>
    </xf>
    <xf numFmtId="0" fontId="37" fillId="0" borderId="0" xfId="6" applyFont="1" applyAlignment="1">
      <alignment horizontal="center"/>
    </xf>
    <xf numFmtId="0" fontId="39" fillId="0" borderId="0" xfId="6" applyFont="1" applyAlignment="1">
      <alignment horizontal="center"/>
    </xf>
    <xf numFmtId="0" fontId="41" fillId="0" borderId="0" xfId="6" applyFont="1" applyAlignment="1">
      <alignment horizontal="center"/>
    </xf>
    <xf numFmtId="1" fontId="41" fillId="0" borderId="0" xfId="6" applyNumberFormat="1" applyFont="1" applyAlignment="1">
      <alignment horizontal="center"/>
    </xf>
    <xf numFmtId="2" fontId="42" fillId="0" borderId="0" xfId="6" applyNumberFormat="1" applyFont="1" applyAlignment="1">
      <alignment horizontal="center"/>
    </xf>
    <xf numFmtId="2" fontId="41" fillId="0" borderId="0" xfId="6" applyNumberFormat="1" applyFont="1" applyAlignment="1">
      <alignment horizontal="center"/>
    </xf>
    <xf numFmtId="0" fontId="40" fillId="0" borderId="0" xfId="6" applyFont="1" applyAlignment="1">
      <alignment horizontal="center"/>
    </xf>
    <xf numFmtId="1" fontId="22" fillId="9" borderId="8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24" fillId="10" borderId="87" xfId="0" applyNumberFormat="1" applyFont="1" applyFill="1" applyBorder="1" applyAlignment="1">
      <alignment horizontal="center" vertical="center"/>
    </xf>
    <xf numFmtId="0" fontId="24" fillId="10" borderId="87" xfId="0" applyFont="1" applyFill="1" applyBorder="1" applyAlignment="1">
      <alignment horizontal="center" vertical="center"/>
    </xf>
    <xf numFmtId="1" fontId="24" fillId="10" borderId="87" xfId="0" applyNumberFormat="1" applyFont="1" applyFill="1" applyBorder="1" applyAlignment="1">
      <alignment horizontal="center" vertical="center"/>
    </xf>
    <xf numFmtId="165" fontId="24" fillId="10" borderId="87" xfId="0" applyNumberFormat="1" applyFont="1" applyFill="1" applyBorder="1" applyAlignment="1">
      <alignment horizontal="center" vertical="center"/>
    </xf>
    <xf numFmtId="164" fontId="25" fillId="10" borderId="87" xfId="0" applyNumberFormat="1" applyFont="1" applyFill="1" applyBorder="1" applyAlignment="1">
      <alignment horizontal="center" vertical="center"/>
    </xf>
    <xf numFmtId="0" fontId="25" fillId="10" borderId="87" xfId="0" applyFont="1" applyFill="1" applyBorder="1" applyAlignment="1">
      <alignment horizontal="center" vertical="center"/>
    </xf>
    <xf numFmtId="1" fontId="25" fillId="10" borderId="87" xfId="0" applyNumberFormat="1" applyFont="1" applyFill="1" applyBorder="1" applyAlignment="1">
      <alignment horizontal="center" vertical="center"/>
    </xf>
    <xf numFmtId="165" fontId="25" fillId="10" borderId="87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5" fillId="4" borderId="94" xfId="5" applyFont="1" applyFill="1" applyBorder="1" applyAlignment="1"/>
    <xf numFmtId="0" fontId="45" fillId="0" borderId="94" xfId="5" applyFont="1" applyBorder="1" applyAlignment="1">
      <alignment horizontal="center"/>
    </xf>
    <xf numFmtId="0" fontId="1" fillId="0" borderId="94" xfId="5" applyBorder="1" applyAlignment="1">
      <alignment horizontal="center"/>
    </xf>
    <xf numFmtId="1" fontId="20" fillId="13" borderId="0" xfId="5" applyNumberFormat="1" applyFont="1" applyFill="1" applyBorder="1" applyAlignment="1" applyProtection="1">
      <alignment horizontal="center"/>
    </xf>
    <xf numFmtId="1" fontId="46" fillId="3" borderId="36" xfId="5" applyNumberFormat="1" applyFont="1" applyFill="1" applyBorder="1" applyAlignment="1" applyProtection="1">
      <alignment horizontal="center" vertical="center" readingOrder="2"/>
      <protection locked="0"/>
    </xf>
    <xf numFmtId="2" fontId="10" fillId="13" borderId="16" xfId="5" applyNumberFormat="1" applyFont="1" applyFill="1" applyBorder="1" applyAlignment="1" applyProtection="1">
      <alignment horizontal="center" vertical="center"/>
      <protection hidden="1"/>
    </xf>
    <xf numFmtId="2" fontId="10" fillId="13" borderId="22" xfId="5" applyNumberFormat="1" applyFont="1" applyFill="1" applyBorder="1" applyAlignment="1" applyProtection="1">
      <alignment horizontal="center" vertical="center"/>
      <protection hidden="1"/>
    </xf>
    <xf numFmtId="2" fontId="10" fillId="13" borderId="3" xfId="5" applyNumberFormat="1" applyFont="1" applyFill="1" applyBorder="1" applyAlignment="1" applyProtection="1">
      <alignment horizontal="center"/>
      <protection hidden="1"/>
    </xf>
    <xf numFmtId="0" fontId="2" fillId="0" borderId="65" xfId="5" applyFont="1" applyBorder="1" applyAlignment="1" applyProtection="1">
      <alignment vertical="center"/>
    </xf>
    <xf numFmtId="0" fontId="7" fillId="12" borderId="94" xfId="5" applyFont="1" applyFill="1" applyBorder="1" applyAlignment="1"/>
    <xf numFmtId="0" fontId="7" fillId="12" borderId="94" xfId="5" applyFont="1" applyFill="1" applyBorder="1" applyAlignment="1">
      <alignment horizontal="center"/>
    </xf>
    <xf numFmtId="0" fontId="39" fillId="14" borderId="121" xfId="6" applyFont="1" applyFill="1" applyBorder="1" applyAlignment="1">
      <alignment horizontal="center" vertical="center" wrapText="1"/>
    </xf>
    <xf numFmtId="1" fontId="40" fillId="14" borderId="122" xfId="6" applyNumberFormat="1" applyFont="1" applyFill="1" applyBorder="1" applyAlignment="1">
      <alignment horizontal="center" vertical="center" wrapText="1"/>
    </xf>
    <xf numFmtId="0" fontId="39" fillId="7" borderId="123" xfId="6" applyFont="1" applyFill="1" applyBorder="1" applyAlignment="1">
      <alignment horizontal="center" vertical="center" wrapText="1"/>
    </xf>
    <xf numFmtId="0" fontId="41" fillId="7" borderId="122" xfId="6" applyFont="1" applyFill="1" applyBorder="1" applyAlignment="1">
      <alignment horizontal="center" vertical="center" wrapText="1"/>
    </xf>
    <xf numFmtId="1" fontId="41" fillId="7" borderId="122" xfId="6" applyNumberFormat="1" applyFont="1" applyFill="1" applyBorder="1" applyAlignment="1">
      <alignment horizontal="center" vertical="center" wrapText="1"/>
    </xf>
    <xf numFmtId="2" fontId="42" fillId="7" borderId="122" xfId="6" applyNumberFormat="1" applyFont="1" applyFill="1" applyBorder="1" applyAlignment="1">
      <alignment horizontal="center" vertical="center" wrapText="1"/>
    </xf>
    <xf numFmtId="0" fontId="41" fillId="7" borderId="123" xfId="6" applyFont="1" applyFill="1" applyBorder="1" applyAlignment="1">
      <alignment horizontal="center" vertical="center" wrapText="1"/>
    </xf>
    <xf numFmtId="2" fontId="41" fillId="7" borderId="36" xfId="6" applyNumberFormat="1" applyFont="1" applyFill="1" applyBorder="1" applyAlignment="1">
      <alignment horizontal="center" vertical="center" wrapText="1"/>
    </xf>
    <xf numFmtId="0" fontId="41" fillId="7" borderId="124" xfId="6" applyFont="1" applyFill="1" applyBorder="1" applyAlignment="1">
      <alignment horizontal="center" vertical="center" wrapText="1"/>
    </xf>
    <xf numFmtId="2" fontId="41" fillId="7" borderId="122" xfId="6" applyNumberFormat="1" applyFont="1" applyFill="1" applyBorder="1" applyAlignment="1">
      <alignment horizontal="center" vertical="center" wrapText="1"/>
    </xf>
    <xf numFmtId="0" fontId="40" fillId="7" borderId="125" xfId="6" applyFont="1" applyFill="1" applyBorder="1" applyAlignment="1">
      <alignment horizontal="center" vertical="center" wrapText="1"/>
    </xf>
    <xf numFmtId="0" fontId="22" fillId="0" borderId="59" xfId="6" applyFont="1" applyBorder="1" applyAlignment="1">
      <alignment horizontal="center" vertical="center" wrapText="1"/>
    </xf>
    <xf numFmtId="0" fontId="22" fillId="0" borderId="59" xfId="6" applyFont="1" applyBorder="1" applyAlignment="1">
      <alignment horizontal="center" vertical="center"/>
    </xf>
    <xf numFmtId="0" fontId="22" fillId="0" borderId="0" xfId="0" applyFont="1"/>
    <xf numFmtId="0" fontId="22" fillId="9" borderId="90" xfId="0" applyFont="1" applyFill="1" applyBorder="1" applyAlignment="1">
      <alignment horizontal="center" vertical="center" wrapText="1"/>
    </xf>
    <xf numFmtId="0" fontId="22" fillId="9" borderId="91" xfId="0" applyFont="1" applyFill="1" applyBorder="1" applyAlignment="1">
      <alignment horizontal="center" vertical="center" wrapText="1"/>
    </xf>
    <xf numFmtId="0" fontId="22" fillId="9" borderId="92" xfId="0" applyFont="1" applyFill="1" applyBorder="1" applyAlignment="1">
      <alignment horizontal="center" vertical="center" wrapText="1"/>
    </xf>
    <xf numFmtId="0" fontId="22" fillId="9" borderId="88" xfId="0" applyFont="1" applyFill="1" applyBorder="1" applyAlignment="1">
      <alignment horizontal="center" vertical="center" wrapText="1"/>
    </xf>
    <xf numFmtId="0" fontId="22" fillId="9" borderId="89" xfId="0" applyFont="1" applyFill="1" applyBorder="1" applyAlignment="1">
      <alignment horizontal="center" vertical="center" wrapText="1"/>
    </xf>
    <xf numFmtId="0" fontId="29" fillId="9" borderId="88" xfId="3" applyFont="1" applyFill="1" applyBorder="1" applyAlignment="1">
      <alignment horizontal="center" vertical="center" wrapText="1"/>
    </xf>
    <xf numFmtId="0" fontId="29" fillId="9" borderId="89" xfId="3" applyFont="1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/>
    </xf>
    <xf numFmtId="2" fontId="2" fillId="0" borderId="7" xfId="5" applyNumberFormat="1" applyFont="1" applyBorder="1" applyAlignment="1" applyProtection="1">
      <alignment horizontal="center" vertical="center"/>
    </xf>
    <xf numFmtId="2" fontId="2" fillId="0" borderId="82" xfId="5" applyNumberFormat="1" applyFont="1" applyBorder="1" applyAlignment="1" applyProtection="1">
      <alignment horizontal="center" vertical="center"/>
    </xf>
    <xf numFmtId="0" fontId="19" fillId="0" borderId="14" xfId="5" applyFont="1" applyBorder="1" applyAlignment="1" applyProtection="1">
      <alignment horizontal="right" vertical="center"/>
    </xf>
    <xf numFmtId="0" fontId="19" fillId="0" borderId="73" xfId="5" applyFont="1" applyBorder="1" applyAlignment="1" applyProtection="1">
      <alignment horizontal="right" vertical="center"/>
    </xf>
    <xf numFmtId="0" fontId="19" fillId="0" borderId="32" xfId="5" applyFont="1" applyBorder="1" applyAlignment="1" applyProtection="1">
      <alignment horizontal="right" vertical="center"/>
    </xf>
    <xf numFmtId="0" fontId="19" fillId="0" borderId="74" xfId="5" applyFont="1" applyBorder="1" applyAlignment="1" applyProtection="1">
      <alignment horizontal="right" vertical="center"/>
    </xf>
    <xf numFmtId="0" fontId="19" fillId="0" borderId="16" xfId="5" applyFont="1" applyBorder="1" applyAlignment="1" applyProtection="1">
      <alignment horizontal="right" vertical="center"/>
    </xf>
    <xf numFmtId="0" fontId="19" fillId="0" borderId="19" xfId="5" applyFont="1" applyBorder="1" applyAlignment="1" applyProtection="1">
      <alignment horizontal="right" vertical="center"/>
    </xf>
    <xf numFmtId="0" fontId="19" fillId="0" borderId="22" xfId="5" applyFont="1" applyBorder="1" applyAlignment="1" applyProtection="1">
      <alignment horizontal="right" vertical="center"/>
    </xf>
    <xf numFmtId="0" fontId="19" fillId="0" borderId="75" xfId="5" applyFont="1" applyBorder="1" applyAlignment="1" applyProtection="1">
      <alignment horizontal="right" vertical="center"/>
    </xf>
    <xf numFmtId="2" fontId="2" fillId="0" borderId="48" xfId="5" applyNumberFormat="1" applyFont="1" applyBorder="1" applyAlignment="1" applyProtection="1">
      <alignment horizontal="center" vertical="center"/>
    </xf>
    <xf numFmtId="2" fontId="2" fillId="0" borderId="76" xfId="5" applyNumberFormat="1" applyFont="1" applyBorder="1" applyAlignment="1" applyProtection="1">
      <alignment horizontal="center" vertical="center"/>
    </xf>
    <xf numFmtId="2" fontId="2" fillId="0" borderId="79" xfId="5" applyNumberFormat="1" applyFont="1" applyBorder="1" applyAlignment="1" applyProtection="1">
      <alignment horizontal="center" vertical="center"/>
    </xf>
    <xf numFmtId="2" fontId="2" fillId="0" borderId="80" xfId="5" applyNumberFormat="1" applyFont="1" applyBorder="1" applyAlignment="1" applyProtection="1">
      <alignment horizontal="center" vertical="center"/>
    </xf>
    <xf numFmtId="2" fontId="2" fillId="0" borderId="41" xfId="5" applyNumberFormat="1" applyFont="1" applyBorder="1" applyAlignment="1" applyProtection="1">
      <alignment horizontal="center" vertical="center"/>
    </xf>
    <xf numFmtId="2" fontId="2" fillId="0" borderId="68" xfId="5" applyNumberFormat="1" applyFont="1" applyBorder="1" applyAlignment="1" applyProtection="1">
      <alignment horizontal="center" vertical="center"/>
    </xf>
    <xf numFmtId="2" fontId="4" fillId="0" borderId="43" xfId="5" applyNumberFormat="1" applyFont="1" applyBorder="1" applyAlignment="1" applyProtection="1">
      <alignment horizontal="center" vertical="center"/>
    </xf>
    <xf numFmtId="2" fontId="4" fillId="0" borderId="44" xfId="5" applyNumberFormat="1" applyFont="1" applyBorder="1" applyAlignment="1" applyProtection="1">
      <alignment horizontal="center" vertical="center"/>
    </xf>
    <xf numFmtId="2" fontId="4" fillId="0" borderId="45" xfId="5" applyNumberFormat="1" applyFont="1" applyBorder="1" applyAlignment="1" applyProtection="1">
      <alignment horizontal="center" vertical="center"/>
    </xf>
    <xf numFmtId="2" fontId="4" fillId="0" borderId="46" xfId="5" applyNumberFormat="1" applyFont="1" applyBorder="1" applyAlignment="1" applyProtection="1">
      <alignment horizontal="center" vertical="center"/>
    </xf>
    <xf numFmtId="0" fontId="4" fillId="0" borderId="28" xfId="5" applyFont="1" applyBorder="1" applyAlignment="1" applyProtection="1">
      <alignment horizontal="center" vertical="center"/>
    </xf>
    <xf numFmtId="0" fontId="4" fillId="0" borderId="18" xfId="5" applyFont="1" applyBorder="1" applyAlignment="1" applyProtection="1">
      <alignment horizontal="center" vertical="center"/>
    </xf>
    <xf numFmtId="0" fontId="16" fillId="0" borderId="48" xfId="5" applyFont="1" applyBorder="1" applyAlignment="1" applyProtection="1">
      <alignment horizontal="center" vertical="center"/>
    </xf>
    <xf numFmtId="0" fontId="16" fillId="0" borderId="49" xfId="5" applyFont="1" applyBorder="1" applyAlignment="1" applyProtection="1">
      <alignment horizontal="center" vertical="center"/>
    </xf>
    <xf numFmtId="2" fontId="4" fillId="0" borderId="53" xfId="5" applyNumberFormat="1" applyFont="1" applyBorder="1" applyAlignment="1" applyProtection="1">
      <alignment horizontal="center" vertical="center" wrapText="1"/>
    </xf>
    <xf numFmtId="2" fontId="4" fillId="0" borderId="11" xfId="5" applyNumberFormat="1" applyFont="1" applyBorder="1" applyAlignment="1" applyProtection="1">
      <alignment horizontal="center" vertical="center"/>
    </xf>
    <xf numFmtId="2" fontId="4" fillId="0" borderId="55" xfId="5" applyNumberFormat="1" applyFont="1" applyBorder="1" applyAlignment="1" applyProtection="1">
      <alignment horizontal="center" vertical="center"/>
    </xf>
    <xf numFmtId="2" fontId="4" fillId="0" borderId="12" xfId="5" applyNumberFormat="1" applyFont="1" applyBorder="1" applyAlignment="1" applyProtection="1">
      <alignment horizontal="center" vertical="center"/>
    </xf>
    <xf numFmtId="2" fontId="16" fillId="0" borderId="56" xfId="5" applyNumberFormat="1" applyFont="1" applyBorder="1" applyAlignment="1" applyProtection="1">
      <alignment horizontal="center" vertical="center"/>
    </xf>
    <xf numFmtId="2" fontId="16" fillId="0" borderId="57" xfId="5" applyNumberFormat="1" applyFont="1" applyBorder="1" applyAlignment="1" applyProtection="1">
      <alignment horizontal="center" vertical="center"/>
    </xf>
    <xf numFmtId="2" fontId="17" fillId="0" borderId="59" xfId="5" applyNumberFormat="1" applyFont="1" applyBorder="1" applyAlignment="1" applyProtection="1">
      <alignment horizontal="center" vertical="center"/>
    </xf>
    <xf numFmtId="1" fontId="18" fillId="0" borderId="65" xfId="5" applyNumberFormat="1" applyFont="1" applyFill="1" applyBorder="1" applyAlignment="1" applyProtection="1">
      <alignment horizontal="center" vertical="center" wrapText="1"/>
    </xf>
    <xf numFmtId="1" fontId="18" fillId="0" borderId="66" xfId="5" applyNumberFormat="1" applyFont="1" applyFill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center"/>
    </xf>
    <xf numFmtId="2" fontId="4" fillId="0" borderId="66" xfId="5" applyNumberFormat="1" applyFont="1" applyBorder="1" applyAlignment="1" applyProtection="1">
      <alignment horizontal="center" vertical="center"/>
    </xf>
    <xf numFmtId="0" fontId="1" fillId="0" borderId="0" xfId="5" applyAlignment="1">
      <alignment horizontal="center"/>
    </xf>
    <xf numFmtId="0" fontId="1" fillId="0" borderId="80" xfId="5" applyBorder="1" applyAlignment="1">
      <alignment horizontal="center"/>
    </xf>
    <xf numFmtId="2" fontId="4" fillId="0" borderId="41" xfId="5" applyNumberFormat="1" applyFont="1" applyBorder="1" applyAlignment="1" applyProtection="1">
      <alignment horizontal="center" vertical="center"/>
    </xf>
    <xf numFmtId="2" fontId="4" fillId="0" borderId="42" xfId="5" applyNumberFormat="1" applyFont="1" applyBorder="1" applyAlignment="1" applyProtection="1">
      <alignment horizontal="center" vertical="center"/>
    </xf>
    <xf numFmtId="0" fontId="7" fillId="12" borderId="107" xfId="5" applyFont="1" applyFill="1" applyBorder="1" applyAlignment="1">
      <alignment horizontal="center"/>
    </xf>
    <xf numFmtId="0" fontId="7" fillId="12" borderId="109" xfId="5" applyFont="1" applyFill="1" applyBorder="1" applyAlignment="1">
      <alignment horizontal="center"/>
    </xf>
    <xf numFmtId="0" fontId="20" fillId="13" borderId="118" xfId="5" applyFont="1" applyFill="1" applyBorder="1" applyAlignment="1" applyProtection="1">
      <alignment horizontal="center"/>
    </xf>
    <xf numFmtId="0" fontId="20" fillId="13" borderId="119" xfId="5" applyFont="1" applyFill="1" applyBorder="1" applyAlignment="1" applyProtection="1">
      <alignment horizontal="center"/>
    </xf>
    <xf numFmtId="0" fontId="20" fillId="13" borderId="120" xfId="5" applyFont="1" applyFill="1" applyBorder="1" applyAlignment="1" applyProtection="1">
      <alignment horizontal="center"/>
    </xf>
    <xf numFmtId="0" fontId="3" fillId="0" borderId="117" xfId="5" applyFont="1" applyBorder="1" applyAlignment="1" applyProtection="1">
      <alignment horizontal="center"/>
    </xf>
    <xf numFmtId="0" fontId="3" fillId="0" borderId="0" xfId="5" applyFont="1" applyBorder="1" applyAlignment="1" applyProtection="1">
      <alignment horizontal="center"/>
    </xf>
    <xf numFmtId="1" fontId="47" fillId="13" borderId="2" xfId="5" applyNumberFormat="1" applyFont="1" applyFill="1" applyBorder="1" applyAlignment="1" applyProtection="1">
      <alignment horizontal="center"/>
      <protection locked="0"/>
    </xf>
    <xf numFmtId="0" fontId="47" fillId="13" borderId="3" xfId="5" applyFont="1" applyFill="1" applyBorder="1" applyAlignment="1" applyProtection="1">
      <alignment horizontal="center"/>
      <protection locked="0"/>
    </xf>
    <xf numFmtId="0" fontId="47" fillId="13" borderId="4" xfId="5" applyFont="1" applyFill="1" applyBorder="1" applyAlignment="1" applyProtection="1">
      <alignment horizontal="center"/>
      <protection locked="0"/>
    </xf>
    <xf numFmtId="0" fontId="8" fillId="0" borderId="7" xfId="5" applyFont="1" applyBorder="1" applyAlignment="1" applyProtection="1">
      <alignment horizontal="center"/>
      <protection locked="0"/>
    </xf>
    <xf numFmtId="0" fontId="8" fillId="0" borderId="8" xfId="5" applyFont="1" applyBorder="1" applyAlignment="1" applyProtection="1">
      <alignment horizontal="center"/>
      <protection locked="0"/>
    </xf>
    <xf numFmtId="0" fontId="8" fillId="0" borderId="1" xfId="5" applyFont="1" applyBorder="1" applyAlignment="1" applyProtection="1">
      <alignment horizontal="center"/>
      <protection locked="0"/>
    </xf>
    <xf numFmtId="2" fontId="5" fillId="0" borderId="11" xfId="5" applyNumberFormat="1" applyFont="1" applyBorder="1" applyAlignment="1" applyProtection="1">
      <alignment horizontal="center" vertical="center" wrapText="1"/>
    </xf>
    <xf numFmtId="2" fontId="5" fillId="0" borderId="20" xfId="5" applyNumberFormat="1" applyFont="1" applyBorder="1" applyAlignment="1" applyProtection="1">
      <alignment horizontal="center" vertical="center" wrapText="1"/>
    </xf>
    <xf numFmtId="2" fontId="5" fillId="0" borderId="23" xfId="5" applyNumberFormat="1" applyFont="1" applyBorder="1" applyAlignment="1" applyProtection="1">
      <alignment horizontal="center" vertical="center" wrapText="1"/>
    </xf>
    <xf numFmtId="2" fontId="5" fillId="0" borderId="28" xfId="5" applyNumberFormat="1" applyFont="1" applyBorder="1" applyAlignment="1" applyProtection="1">
      <alignment horizontal="center" vertical="center"/>
    </xf>
    <xf numFmtId="2" fontId="5" fillId="0" borderId="30" xfId="5" applyNumberFormat="1" applyFont="1" applyBorder="1" applyAlignment="1" applyProtection="1">
      <alignment horizontal="center" vertical="center"/>
    </xf>
    <xf numFmtId="2" fontId="14" fillId="0" borderId="34" xfId="5" applyNumberFormat="1" applyFont="1" applyBorder="1" applyAlignment="1" applyProtection="1">
      <alignment horizontal="center" vertical="center"/>
    </xf>
    <xf numFmtId="2" fontId="14" fillId="0" borderId="35" xfId="5" applyNumberFormat="1" applyFont="1" applyBorder="1" applyAlignment="1" applyProtection="1">
      <alignment horizontal="center" vertical="center"/>
    </xf>
    <xf numFmtId="2" fontId="5" fillId="0" borderId="23" xfId="5" applyNumberFormat="1" applyFont="1" applyBorder="1" applyAlignment="1" applyProtection="1">
      <alignment horizontal="center" vertical="center"/>
    </xf>
    <xf numFmtId="2" fontId="5" fillId="0" borderId="24" xfId="5" applyNumberFormat="1" applyFont="1" applyBorder="1" applyAlignment="1" applyProtection="1">
      <alignment horizontal="center" vertical="center"/>
    </xf>
    <xf numFmtId="0" fontId="16" fillId="0" borderId="30" xfId="5" applyFont="1" applyBorder="1" applyAlignment="1" applyProtection="1">
      <alignment horizontal="center" vertical="center"/>
    </xf>
    <xf numFmtId="0" fontId="16" fillId="0" borderId="21" xfId="5" applyFont="1" applyBorder="1" applyAlignment="1" applyProtection="1">
      <alignment horizontal="center" vertical="center"/>
    </xf>
    <xf numFmtId="0" fontId="28" fillId="11" borderId="93" xfId="3" applyFont="1" applyFill="1" applyBorder="1" applyAlignment="1">
      <alignment horizontal="center" vertical="center" wrapText="1"/>
    </xf>
    <xf numFmtId="0" fontId="21" fillId="11" borderId="93" xfId="3" applyFont="1" applyFill="1" applyBorder="1" applyAlignment="1">
      <alignment horizontal="center" vertical="center" wrapText="1"/>
    </xf>
    <xf numFmtId="0" fontId="20" fillId="8" borderId="93" xfId="0" applyFont="1" applyFill="1" applyBorder="1" applyAlignment="1">
      <alignment horizontal="center" vertical="center" wrapText="1"/>
    </xf>
    <xf numFmtId="0" fontId="26" fillId="8" borderId="0" xfId="0" applyFont="1" applyFill="1" applyAlignment="1">
      <alignment horizontal="center" vertical="center" wrapText="1"/>
    </xf>
    <xf numFmtId="1" fontId="22" fillId="0" borderId="0" xfId="0" applyNumberFormat="1" applyFont="1"/>
    <xf numFmtId="0" fontId="22" fillId="20" borderId="0" xfId="0" applyFont="1" applyFill="1"/>
    <xf numFmtId="0" fontId="22" fillId="21" borderId="0" xfId="0" applyFont="1" applyFill="1"/>
    <xf numFmtId="0" fontId="38" fillId="22" borderId="36" xfId="0" applyFont="1" applyFill="1" applyBorder="1" applyAlignment="1">
      <alignment horizontal="center"/>
    </xf>
    <xf numFmtId="0" fontId="22" fillId="9" borderId="127" xfId="0" applyFont="1" applyFill="1" applyBorder="1" applyAlignment="1">
      <alignment horizontal="center" vertical="center" wrapText="1"/>
    </xf>
    <xf numFmtId="0" fontId="22" fillId="9" borderId="93" xfId="0" applyFont="1" applyFill="1" applyBorder="1" applyAlignment="1">
      <alignment horizontal="center" vertical="center" wrapText="1"/>
    </xf>
    <xf numFmtId="0" fontId="22" fillId="9" borderId="128" xfId="0" applyFont="1" applyFill="1" applyBorder="1" applyAlignment="1">
      <alignment horizontal="center" vertical="center" wrapText="1"/>
    </xf>
    <xf numFmtId="1" fontId="0" fillId="7" borderId="69" xfId="0" applyNumberFormat="1" applyFill="1" applyBorder="1" applyAlignment="1">
      <alignment horizontal="center"/>
    </xf>
    <xf numFmtId="0" fontId="0" fillId="7" borderId="59" xfId="0" applyFill="1" applyBorder="1" applyAlignment="1">
      <alignment horizontal="center"/>
    </xf>
    <xf numFmtId="0" fontId="0" fillId="7" borderId="59" xfId="0" applyFill="1" applyBorder="1"/>
    <xf numFmtId="0" fontId="22" fillId="9" borderId="129" xfId="0" applyFont="1" applyFill="1" applyBorder="1" applyAlignment="1">
      <alignment horizontal="center" vertical="center" wrapText="1"/>
    </xf>
    <xf numFmtId="0" fontId="29" fillId="9" borderId="129" xfId="3" applyFont="1" applyFill="1" applyBorder="1" applyAlignment="1">
      <alignment horizontal="center" vertical="center" wrapText="1"/>
    </xf>
    <xf numFmtId="0" fontId="0" fillId="7" borderId="69" xfId="0" applyFill="1" applyBorder="1" applyAlignment="1">
      <alignment horizontal="center"/>
    </xf>
    <xf numFmtId="0" fontId="27" fillId="7" borderId="59" xfId="3" applyFill="1" applyBorder="1"/>
    <xf numFmtId="0" fontId="0" fillId="7" borderId="66" xfId="0" applyFill="1" applyBorder="1" applyAlignment="1">
      <alignment horizontal="center"/>
    </xf>
    <xf numFmtId="0" fontId="22" fillId="19" borderId="77" xfId="0" applyFont="1" applyFill="1" applyBorder="1" applyAlignment="1">
      <alignment horizontal="center"/>
    </xf>
    <xf numFmtId="0" fontId="22" fillId="19" borderId="126" xfId="0" applyFont="1" applyFill="1" applyBorder="1" applyAlignment="1">
      <alignment horizontal="center"/>
    </xf>
    <xf numFmtId="0" fontId="22" fillId="19" borderId="35" xfId="0" applyFont="1" applyFill="1" applyBorder="1" applyAlignment="1">
      <alignment horizontal="center"/>
    </xf>
    <xf numFmtId="0" fontId="22" fillId="19" borderId="118" xfId="0" applyFont="1" applyFill="1" applyBorder="1" applyAlignment="1">
      <alignment horizontal="center"/>
    </xf>
    <xf numFmtId="0" fontId="22" fillId="19" borderId="3" xfId="0" applyFont="1" applyFill="1" applyBorder="1" applyAlignment="1">
      <alignment horizontal="center"/>
    </xf>
    <xf numFmtId="0" fontId="22" fillId="19" borderId="4" xfId="0" applyFont="1" applyFill="1" applyBorder="1" applyAlignment="1">
      <alignment horizontal="center"/>
    </xf>
  </cellXfs>
  <cellStyles count="7">
    <cellStyle name="Hyperlink" xfId="4" builtinId="8"/>
    <cellStyle name="Normal" xfId="0" builtinId="0"/>
    <cellStyle name="Normal 2" xfId="1"/>
    <cellStyle name="Normal 2 2" xfId="5"/>
    <cellStyle name="Normal 2 3" xfId="6"/>
    <cellStyle name="Normal 6" xfId="3"/>
    <cellStyle name="Percent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5;&#1574;&#1610;&#1587;&#1610;&#1577;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" Type="http://schemas.openxmlformats.org/officeDocument/2006/relationships/image" Target="../media/image5.gif"/><Relationship Id="rId21" Type="http://schemas.openxmlformats.org/officeDocument/2006/relationships/image" Target="../media/image23.jpeg"/><Relationship Id="rId34" Type="http://schemas.openxmlformats.org/officeDocument/2006/relationships/image" Target="../media/image36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29" Type="http://schemas.openxmlformats.org/officeDocument/2006/relationships/image" Target="../media/image31.gif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4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31" Type="http://schemas.openxmlformats.org/officeDocument/2006/relationships/image" Target="../media/image33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30" Type="http://schemas.openxmlformats.org/officeDocument/2006/relationships/image" Target="../media/image3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" Type="http://schemas.openxmlformats.org/officeDocument/2006/relationships/image" Target="../media/image5.gif"/><Relationship Id="rId21" Type="http://schemas.openxmlformats.org/officeDocument/2006/relationships/image" Target="../media/image23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33" Type="http://schemas.openxmlformats.org/officeDocument/2006/relationships/image" Target="../media/image36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29" Type="http://schemas.openxmlformats.org/officeDocument/2006/relationships/image" Target="../media/image32.jpeg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5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31" Type="http://schemas.openxmlformats.org/officeDocument/2006/relationships/image" Target="../media/image34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30" Type="http://schemas.openxmlformats.org/officeDocument/2006/relationships/image" Target="../media/image3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2.jpeg"/><Relationship Id="rId26" Type="http://schemas.openxmlformats.org/officeDocument/2006/relationships/image" Target="../media/image30.jpeg"/><Relationship Id="rId3" Type="http://schemas.openxmlformats.org/officeDocument/2006/relationships/image" Target="../media/image5.gif"/><Relationship Id="rId21" Type="http://schemas.openxmlformats.org/officeDocument/2006/relationships/image" Target="../media/image2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20.jpeg"/><Relationship Id="rId25" Type="http://schemas.openxmlformats.org/officeDocument/2006/relationships/image" Target="../media/image29.jpeg"/><Relationship Id="rId2" Type="http://schemas.openxmlformats.org/officeDocument/2006/relationships/image" Target="../media/image4.jpeg"/><Relationship Id="rId16" Type="http://schemas.openxmlformats.org/officeDocument/2006/relationships/image" Target="../media/image19.jpeg"/><Relationship Id="rId20" Type="http://schemas.openxmlformats.org/officeDocument/2006/relationships/image" Target="../media/image24.jpeg"/><Relationship Id="rId29" Type="http://schemas.openxmlformats.org/officeDocument/2006/relationships/image" Target="../media/image34.jpeg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8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7.jpeg"/><Relationship Id="rId28" Type="http://schemas.openxmlformats.org/officeDocument/2006/relationships/image" Target="../media/image33.jpeg"/><Relationship Id="rId10" Type="http://schemas.openxmlformats.org/officeDocument/2006/relationships/image" Target="../media/image12.jpeg"/><Relationship Id="rId19" Type="http://schemas.openxmlformats.org/officeDocument/2006/relationships/image" Target="../media/image23.jpeg"/><Relationship Id="rId31" Type="http://schemas.openxmlformats.org/officeDocument/2006/relationships/image" Target="../media/image36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6.jpeg"/><Relationship Id="rId27" Type="http://schemas.openxmlformats.org/officeDocument/2006/relationships/image" Target="../media/image32.jpeg"/><Relationship Id="rId30" Type="http://schemas.openxmlformats.org/officeDocument/2006/relationships/image" Target="../media/image3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3</xdr:col>
      <xdr:colOff>19050</xdr:colOff>
      <xdr:row>1</xdr:row>
      <xdr:rowOff>228600</xdr:rowOff>
    </xdr:to>
    <xdr:sp macro="" textlink="">
      <xdr:nvSpPr>
        <xdr:cNvPr id="2" name="مخطط انسيابي: شريط مثقب 1">
          <a:hlinkClick xmlns:r="http://schemas.openxmlformats.org/officeDocument/2006/relationships" r:id="rId1"/>
        </xdr:cNvPr>
        <xdr:cNvSpPr/>
      </xdr:nvSpPr>
      <xdr:spPr>
        <a:xfrm>
          <a:off x="9986772000" y="0"/>
          <a:ext cx="1962150" cy="457200"/>
        </a:xfrm>
        <a:prstGeom prst="flowChartPunchedTape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400" b="1">
              <a:solidFill>
                <a:schemeClr val="tx1"/>
              </a:solidFill>
            </a:rPr>
            <a:t>العودة</a:t>
          </a:r>
          <a:r>
            <a:rPr lang="ar-EG" sz="1400" b="1">
              <a:solidFill>
                <a:srgbClr val="FF0000"/>
              </a:solidFill>
            </a:rPr>
            <a:t> الي </a:t>
          </a:r>
          <a:r>
            <a:rPr lang="ar-EG" sz="1400" b="1">
              <a:solidFill>
                <a:schemeClr val="bg1"/>
              </a:solidFill>
            </a:rPr>
            <a:t>الرئيسة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0</xdr:row>
          <xdr:rowOff>0</xdr:rowOff>
        </xdr:from>
        <xdr:to>
          <xdr:col>6</xdr:col>
          <xdr:colOff>1162050</xdr:colOff>
          <xdr:row>3</xdr:row>
          <xdr:rowOff>152400</xdr:rowOff>
        </xdr:to>
        <xdr:pic>
          <xdr:nvPicPr>
            <xdr:cNvPr id="3" name="صورة 3" descr="http://hr.mans.edu.eg/AlFarouk/system/Images/no-image.gif"/>
            <xdr:cNvPicPr>
              <a:picLocks noChangeAspect="1" noChangeArrowheads="1"/>
              <a:extLst>
                <a:ext uri="{84589F7E-364E-4C9E-8A38-B11213B215E9}">
                  <a14:cameraTool cellRange="hager" spid="_x0000_s31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31375175" y="0"/>
              <a:ext cx="1095375" cy="847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2</xdr:row>
      <xdr:rowOff>9525</xdr:rowOff>
    </xdr:from>
    <xdr:to>
      <xdr:col>3</xdr:col>
      <xdr:colOff>1228725</xdr:colOff>
      <xdr:row>2</xdr:row>
      <xdr:rowOff>847725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65975" y="1914525"/>
          <a:ext cx="1219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4</xdr:row>
      <xdr:rowOff>38100</xdr:rowOff>
    </xdr:from>
    <xdr:to>
      <xdr:col>3</xdr:col>
      <xdr:colOff>1190625</xdr:colOff>
      <xdr:row>4</xdr:row>
      <xdr:rowOff>876300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18275" y="3848100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144532</xdr:colOff>
      <xdr:row>3</xdr:row>
      <xdr:rowOff>85724</xdr:rowOff>
    </xdr:from>
    <xdr:to>
      <xdr:col>3</xdr:col>
      <xdr:colOff>1114425</xdr:colOff>
      <xdr:row>3</xdr:row>
      <xdr:rowOff>866775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3394475" y="2943224"/>
          <a:ext cx="969893" cy="781051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</xdr:row>
      <xdr:rowOff>28575</xdr:rowOff>
    </xdr:from>
    <xdr:to>
      <xdr:col>3</xdr:col>
      <xdr:colOff>1219200</xdr:colOff>
      <xdr:row>5</xdr:row>
      <xdr:rowOff>866775</xdr:rowOff>
    </xdr:to>
    <xdr:pic>
      <xdr:nvPicPr>
        <xdr:cNvPr id="5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3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3975500" y="4791075"/>
          <a:ext cx="11239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6</xdr:row>
      <xdr:rowOff>66675</xdr:rowOff>
    </xdr:from>
    <xdr:to>
      <xdr:col>3</xdr:col>
      <xdr:colOff>1143000</xdr:colOff>
      <xdr:row>6</xdr:row>
      <xdr:rowOff>904875</xdr:rowOff>
    </xdr:to>
    <xdr:pic>
      <xdr:nvPicPr>
        <xdr:cNvPr id="6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57816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7</xdr:row>
      <xdr:rowOff>57150</xdr:rowOff>
    </xdr:from>
    <xdr:to>
      <xdr:col>3</xdr:col>
      <xdr:colOff>1143000</xdr:colOff>
      <xdr:row>7</xdr:row>
      <xdr:rowOff>895350</xdr:rowOff>
    </xdr:to>
    <xdr:pic>
      <xdr:nvPicPr>
        <xdr:cNvPr id="7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6724650"/>
          <a:ext cx="1019175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76200</xdr:rowOff>
    </xdr:from>
    <xdr:to>
      <xdr:col>3</xdr:col>
      <xdr:colOff>1143000</xdr:colOff>
      <xdr:row>8</xdr:row>
      <xdr:rowOff>914400</xdr:rowOff>
    </xdr:to>
    <xdr:pic>
      <xdr:nvPicPr>
        <xdr:cNvPr id="8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7696200"/>
          <a:ext cx="981075" cy="83820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9</xdr:row>
      <xdr:rowOff>9525</xdr:rowOff>
    </xdr:from>
    <xdr:to>
      <xdr:col>3</xdr:col>
      <xdr:colOff>876300</xdr:colOff>
      <xdr:row>9</xdr:row>
      <xdr:rowOff>885825</xdr:rowOff>
    </xdr:to>
    <xdr:pic>
      <xdr:nvPicPr>
        <xdr:cNvPr id="9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318400" y="8582025"/>
          <a:ext cx="685800" cy="876300"/>
        </a:xfrm>
        <a:prstGeom prst="rect">
          <a:avLst/>
        </a:prstGeom>
        <a:noFill/>
        <a:ln cmpd="thickThin">
          <a:solidFill>
            <a:srgbClr val="FF0000"/>
          </a:solidFill>
          <a:prstDash val="sysDot"/>
          <a:beve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10</xdr:row>
      <xdr:rowOff>28574</xdr:rowOff>
    </xdr:from>
    <xdr:to>
      <xdr:col>3</xdr:col>
      <xdr:colOff>1181100</xdr:colOff>
      <xdr:row>10</xdr:row>
      <xdr:rowOff>933449</xdr:rowOff>
    </xdr:to>
    <xdr:pic>
      <xdr:nvPicPr>
        <xdr:cNvPr id="10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9553574"/>
          <a:ext cx="885825" cy="904875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11</xdr:row>
      <xdr:rowOff>76200</xdr:rowOff>
    </xdr:from>
    <xdr:to>
      <xdr:col>3</xdr:col>
      <xdr:colOff>1238250</xdr:colOff>
      <xdr:row>11</xdr:row>
      <xdr:rowOff>914400</xdr:rowOff>
    </xdr:to>
    <xdr:pic>
      <xdr:nvPicPr>
        <xdr:cNvPr id="11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56450" y="10553700"/>
          <a:ext cx="962025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20</xdr:row>
      <xdr:rowOff>114300</xdr:rowOff>
    </xdr:from>
    <xdr:to>
      <xdr:col>3</xdr:col>
      <xdr:colOff>1047751</xdr:colOff>
      <xdr:row>20</xdr:row>
      <xdr:rowOff>933450</xdr:rowOff>
    </xdr:to>
    <xdr:pic>
      <xdr:nvPicPr>
        <xdr:cNvPr id="12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46949" y="19164300"/>
          <a:ext cx="942976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13</xdr:row>
      <xdr:rowOff>28575</xdr:rowOff>
    </xdr:from>
    <xdr:to>
      <xdr:col>3</xdr:col>
      <xdr:colOff>1152525</xdr:colOff>
      <xdr:row>14</xdr:row>
      <xdr:rowOff>19051</xdr:rowOff>
    </xdr:to>
    <xdr:pic>
      <xdr:nvPicPr>
        <xdr:cNvPr id="13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12411075"/>
          <a:ext cx="1076325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14</xdr:row>
      <xdr:rowOff>95250</xdr:rowOff>
    </xdr:from>
    <xdr:to>
      <xdr:col>3</xdr:col>
      <xdr:colOff>1143000</xdr:colOff>
      <xdr:row>14</xdr:row>
      <xdr:rowOff>933450</xdr:rowOff>
    </xdr:to>
    <xdr:pic>
      <xdr:nvPicPr>
        <xdr:cNvPr id="14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13430250"/>
          <a:ext cx="1057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15</xdr:row>
      <xdr:rowOff>66675</xdr:rowOff>
    </xdr:from>
    <xdr:to>
      <xdr:col>3</xdr:col>
      <xdr:colOff>1171575</xdr:colOff>
      <xdr:row>15</xdr:row>
      <xdr:rowOff>838199</xdr:rowOff>
    </xdr:to>
    <xdr:pic>
      <xdr:nvPicPr>
        <xdr:cNvPr id="15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14354175"/>
          <a:ext cx="1114425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16</xdr:row>
      <xdr:rowOff>95250</xdr:rowOff>
    </xdr:from>
    <xdr:to>
      <xdr:col>3</xdr:col>
      <xdr:colOff>1133475</xdr:colOff>
      <xdr:row>16</xdr:row>
      <xdr:rowOff>876299</xdr:rowOff>
    </xdr:to>
    <xdr:pic>
      <xdr:nvPicPr>
        <xdr:cNvPr id="16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61225" y="15335250"/>
          <a:ext cx="98107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17</xdr:row>
      <xdr:rowOff>9524</xdr:rowOff>
    </xdr:from>
    <xdr:to>
      <xdr:col>3</xdr:col>
      <xdr:colOff>1133475</xdr:colOff>
      <xdr:row>17</xdr:row>
      <xdr:rowOff>895349</xdr:rowOff>
    </xdr:to>
    <xdr:pic>
      <xdr:nvPicPr>
        <xdr:cNvPr id="17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61225" y="16202024"/>
          <a:ext cx="10001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18</xdr:row>
      <xdr:rowOff>38100</xdr:rowOff>
    </xdr:from>
    <xdr:to>
      <xdr:col>3</xdr:col>
      <xdr:colOff>1181100</xdr:colOff>
      <xdr:row>18</xdr:row>
      <xdr:rowOff>933450</xdr:rowOff>
    </xdr:to>
    <xdr:pic>
      <xdr:nvPicPr>
        <xdr:cNvPr id="18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17183100"/>
          <a:ext cx="1038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19</xdr:row>
      <xdr:rowOff>57150</xdr:rowOff>
    </xdr:from>
    <xdr:to>
      <xdr:col>3</xdr:col>
      <xdr:colOff>1057275</xdr:colOff>
      <xdr:row>19</xdr:row>
      <xdr:rowOff>885825</xdr:rowOff>
    </xdr:to>
    <xdr:pic>
      <xdr:nvPicPr>
        <xdr:cNvPr id="19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37425" y="18154650"/>
          <a:ext cx="9429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57149</xdr:colOff>
      <xdr:row>12</xdr:row>
      <xdr:rowOff>28575</xdr:rowOff>
    </xdr:from>
    <xdr:to>
      <xdr:col>3</xdr:col>
      <xdr:colOff>1200149</xdr:colOff>
      <xdr:row>12</xdr:row>
      <xdr:rowOff>866775</xdr:rowOff>
    </xdr:to>
    <xdr:pic>
      <xdr:nvPicPr>
        <xdr:cNvPr id="20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1" y="11458575"/>
          <a:ext cx="11430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21</xdr:row>
      <xdr:rowOff>57150</xdr:rowOff>
    </xdr:from>
    <xdr:to>
      <xdr:col>3</xdr:col>
      <xdr:colOff>1085850</xdr:colOff>
      <xdr:row>21</xdr:row>
      <xdr:rowOff>885824</xdr:rowOff>
    </xdr:to>
    <xdr:pic>
      <xdr:nvPicPr>
        <xdr:cNvPr id="21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08850" y="20059650"/>
          <a:ext cx="971550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22</xdr:row>
      <xdr:rowOff>76200</xdr:rowOff>
    </xdr:from>
    <xdr:to>
      <xdr:col>3</xdr:col>
      <xdr:colOff>1123950</xdr:colOff>
      <xdr:row>22</xdr:row>
      <xdr:rowOff>914400</xdr:rowOff>
    </xdr:to>
    <xdr:pic>
      <xdr:nvPicPr>
        <xdr:cNvPr id="22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70750" y="21031200"/>
          <a:ext cx="1028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23</xdr:row>
      <xdr:rowOff>47625</xdr:rowOff>
    </xdr:from>
    <xdr:to>
      <xdr:col>3</xdr:col>
      <xdr:colOff>1181100</xdr:colOff>
      <xdr:row>23</xdr:row>
      <xdr:rowOff>885825</xdr:rowOff>
    </xdr:to>
    <xdr:pic>
      <xdr:nvPicPr>
        <xdr:cNvPr id="23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2195512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24</xdr:row>
      <xdr:rowOff>104775</xdr:rowOff>
    </xdr:from>
    <xdr:to>
      <xdr:col>3</xdr:col>
      <xdr:colOff>1162050</xdr:colOff>
      <xdr:row>24</xdr:row>
      <xdr:rowOff>857250</xdr:rowOff>
    </xdr:to>
    <xdr:pic>
      <xdr:nvPicPr>
        <xdr:cNvPr id="24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22964775"/>
          <a:ext cx="10382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25</xdr:row>
      <xdr:rowOff>85725</xdr:rowOff>
    </xdr:from>
    <xdr:to>
      <xdr:col>3</xdr:col>
      <xdr:colOff>1162050</xdr:colOff>
      <xdr:row>25</xdr:row>
      <xdr:rowOff>942975</xdr:rowOff>
    </xdr:to>
    <xdr:pic>
      <xdr:nvPicPr>
        <xdr:cNvPr id="25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23898225"/>
          <a:ext cx="10858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26</xdr:row>
      <xdr:rowOff>47625</xdr:rowOff>
    </xdr:from>
    <xdr:to>
      <xdr:col>3</xdr:col>
      <xdr:colOff>1152525</xdr:colOff>
      <xdr:row>26</xdr:row>
      <xdr:rowOff>885825</xdr:rowOff>
    </xdr:to>
    <xdr:pic>
      <xdr:nvPicPr>
        <xdr:cNvPr id="26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24812625"/>
          <a:ext cx="1104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27</xdr:row>
      <xdr:rowOff>66675</xdr:rowOff>
    </xdr:from>
    <xdr:to>
      <xdr:col>3</xdr:col>
      <xdr:colOff>1228725</xdr:colOff>
      <xdr:row>27</xdr:row>
      <xdr:rowOff>904875</xdr:rowOff>
    </xdr:to>
    <xdr:pic>
      <xdr:nvPicPr>
        <xdr:cNvPr id="27" name="صورة 2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65975" y="2578417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28</xdr:row>
      <xdr:rowOff>9525</xdr:rowOff>
    </xdr:from>
    <xdr:to>
      <xdr:col>3</xdr:col>
      <xdr:colOff>1200150</xdr:colOff>
      <xdr:row>28</xdr:row>
      <xdr:rowOff>923925</xdr:rowOff>
    </xdr:to>
    <xdr:pic>
      <xdr:nvPicPr>
        <xdr:cNvPr id="28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0" y="266795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29</xdr:row>
      <xdr:rowOff>19050</xdr:rowOff>
    </xdr:from>
    <xdr:to>
      <xdr:col>3</xdr:col>
      <xdr:colOff>1133475</xdr:colOff>
      <xdr:row>29</xdr:row>
      <xdr:rowOff>904876</xdr:rowOff>
    </xdr:to>
    <xdr:pic>
      <xdr:nvPicPr>
        <xdr:cNvPr id="29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61225" y="27641550"/>
          <a:ext cx="1019175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30</xdr:row>
      <xdr:rowOff>85725</xdr:rowOff>
    </xdr:from>
    <xdr:to>
      <xdr:col>3</xdr:col>
      <xdr:colOff>1152525</xdr:colOff>
      <xdr:row>30</xdr:row>
      <xdr:rowOff>923925</xdr:rowOff>
    </xdr:to>
    <xdr:pic>
      <xdr:nvPicPr>
        <xdr:cNvPr id="30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28660725"/>
          <a:ext cx="952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31</xdr:row>
      <xdr:rowOff>142875</xdr:rowOff>
    </xdr:from>
    <xdr:to>
      <xdr:col>3</xdr:col>
      <xdr:colOff>1209676</xdr:colOff>
      <xdr:row>31</xdr:row>
      <xdr:rowOff>923925</xdr:rowOff>
    </xdr:to>
    <xdr:pic>
      <xdr:nvPicPr>
        <xdr:cNvPr id="31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4" y="29670375"/>
          <a:ext cx="11144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32</xdr:row>
      <xdr:rowOff>19050</xdr:rowOff>
    </xdr:from>
    <xdr:to>
      <xdr:col>3</xdr:col>
      <xdr:colOff>1181100</xdr:colOff>
      <xdr:row>32</xdr:row>
      <xdr:rowOff>933450</xdr:rowOff>
    </xdr:to>
    <xdr:pic>
      <xdr:nvPicPr>
        <xdr:cNvPr id="32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30499050"/>
          <a:ext cx="10477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33</xdr:row>
      <xdr:rowOff>28575</xdr:rowOff>
    </xdr:from>
    <xdr:to>
      <xdr:col>3</xdr:col>
      <xdr:colOff>1200150</xdr:colOff>
      <xdr:row>33</xdr:row>
      <xdr:rowOff>933450</xdr:rowOff>
    </xdr:to>
    <xdr:pic>
      <xdr:nvPicPr>
        <xdr:cNvPr id="33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0" y="31461075"/>
          <a:ext cx="10287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34</xdr:row>
      <xdr:rowOff>28575</xdr:rowOff>
    </xdr:from>
    <xdr:to>
      <xdr:col>3</xdr:col>
      <xdr:colOff>1171574</xdr:colOff>
      <xdr:row>34</xdr:row>
      <xdr:rowOff>933451</xdr:rowOff>
    </xdr:to>
    <xdr:pic>
      <xdr:nvPicPr>
        <xdr:cNvPr id="34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6" y="32413575"/>
          <a:ext cx="1057274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35</xdr:row>
      <xdr:rowOff>9525</xdr:rowOff>
    </xdr:from>
    <xdr:to>
      <xdr:col>3</xdr:col>
      <xdr:colOff>971550</xdr:colOff>
      <xdr:row>35</xdr:row>
      <xdr:rowOff>933450</xdr:rowOff>
    </xdr:to>
    <xdr:pic>
      <xdr:nvPicPr>
        <xdr:cNvPr id="35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223150" y="33347025"/>
          <a:ext cx="8382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36</xdr:row>
      <xdr:rowOff>19050</xdr:rowOff>
    </xdr:from>
    <xdr:to>
      <xdr:col>3</xdr:col>
      <xdr:colOff>1181100</xdr:colOff>
      <xdr:row>36</xdr:row>
      <xdr:rowOff>923925</xdr:rowOff>
    </xdr:to>
    <xdr:pic>
      <xdr:nvPicPr>
        <xdr:cNvPr id="36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34309050"/>
          <a:ext cx="10572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37</xdr:row>
      <xdr:rowOff>19050</xdr:rowOff>
    </xdr:from>
    <xdr:to>
      <xdr:col>3</xdr:col>
      <xdr:colOff>1171575</xdr:colOff>
      <xdr:row>38</xdr:row>
      <xdr:rowOff>0</xdr:rowOff>
    </xdr:to>
    <xdr:pic>
      <xdr:nvPicPr>
        <xdr:cNvPr id="37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35261550"/>
          <a:ext cx="11144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161926</xdr:colOff>
      <xdr:row>38</xdr:row>
      <xdr:rowOff>47625</xdr:rowOff>
    </xdr:from>
    <xdr:to>
      <xdr:col>3</xdr:col>
      <xdr:colOff>1066801</xdr:colOff>
      <xdr:row>38</xdr:row>
      <xdr:rowOff>866774</xdr:rowOff>
    </xdr:to>
    <xdr:pic>
      <xdr:nvPicPr>
        <xdr:cNvPr id="38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27899" y="36242625"/>
          <a:ext cx="904875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85726</xdr:colOff>
      <xdr:row>39</xdr:row>
      <xdr:rowOff>66674</xdr:rowOff>
    </xdr:from>
    <xdr:to>
      <xdr:col>3</xdr:col>
      <xdr:colOff>1066801</xdr:colOff>
      <xdr:row>39</xdr:row>
      <xdr:rowOff>914399</xdr:rowOff>
    </xdr:to>
    <xdr:pic>
      <xdr:nvPicPr>
        <xdr:cNvPr id="39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27899" y="37214174"/>
          <a:ext cx="9810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40</xdr:row>
      <xdr:rowOff>95250</xdr:rowOff>
    </xdr:from>
    <xdr:to>
      <xdr:col>3</xdr:col>
      <xdr:colOff>1209675</xdr:colOff>
      <xdr:row>40</xdr:row>
      <xdr:rowOff>895350</xdr:rowOff>
    </xdr:to>
    <xdr:pic>
      <xdr:nvPicPr>
        <xdr:cNvPr id="40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5" y="38195250"/>
          <a:ext cx="11144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41</xdr:row>
      <xdr:rowOff>47625</xdr:rowOff>
    </xdr:from>
    <xdr:to>
      <xdr:col>3</xdr:col>
      <xdr:colOff>1171575</xdr:colOff>
      <xdr:row>41</xdr:row>
      <xdr:rowOff>866775</xdr:rowOff>
    </xdr:to>
    <xdr:pic>
      <xdr:nvPicPr>
        <xdr:cNvPr id="41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39100125"/>
          <a:ext cx="1104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42</xdr:row>
      <xdr:rowOff>66675</xdr:rowOff>
    </xdr:from>
    <xdr:to>
      <xdr:col>3</xdr:col>
      <xdr:colOff>1162050</xdr:colOff>
      <xdr:row>42</xdr:row>
      <xdr:rowOff>866775</xdr:rowOff>
    </xdr:to>
    <xdr:pic>
      <xdr:nvPicPr>
        <xdr:cNvPr id="42" name="صورة 44" descr="http://hr.mans.edu.eg/dpp/2730813/25/00521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40071675"/>
          <a:ext cx="105727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43</xdr:row>
      <xdr:rowOff>66675</xdr:rowOff>
    </xdr:from>
    <xdr:to>
      <xdr:col>3</xdr:col>
      <xdr:colOff>1152525</xdr:colOff>
      <xdr:row>43</xdr:row>
      <xdr:rowOff>904875</xdr:rowOff>
    </xdr:to>
    <xdr:pic>
      <xdr:nvPicPr>
        <xdr:cNvPr id="43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4102417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43</xdr:row>
      <xdr:rowOff>914399</xdr:rowOff>
    </xdr:from>
    <xdr:to>
      <xdr:col>3</xdr:col>
      <xdr:colOff>1162050</xdr:colOff>
      <xdr:row>45</xdr:row>
      <xdr:rowOff>0</xdr:rowOff>
    </xdr:to>
    <xdr:pic>
      <xdr:nvPicPr>
        <xdr:cNvPr id="44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41871899"/>
          <a:ext cx="1133475" cy="990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45</xdr:row>
      <xdr:rowOff>57149</xdr:rowOff>
    </xdr:from>
    <xdr:to>
      <xdr:col>3</xdr:col>
      <xdr:colOff>1143000</xdr:colOff>
      <xdr:row>45</xdr:row>
      <xdr:rowOff>866774</xdr:rowOff>
    </xdr:to>
    <xdr:pic>
      <xdr:nvPicPr>
        <xdr:cNvPr id="45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42919649"/>
          <a:ext cx="1066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38101</xdr:colOff>
      <xdr:row>46</xdr:row>
      <xdr:rowOff>0</xdr:rowOff>
    </xdr:from>
    <xdr:to>
      <xdr:col>3</xdr:col>
      <xdr:colOff>1181100</xdr:colOff>
      <xdr:row>46</xdr:row>
      <xdr:rowOff>942976</xdr:rowOff>
    </xdr:to>
    <xdr:pic>
      <xdr:nvPicPr>
        <xdr:cNvPr id="46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43815000"/>
          <a:ext cx="1142999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47</xdr:row>
      <xdr:rowOff>38100</xdr:rowOff>
    </xdr:from>
    <xdr:to>
      <xdr:col>3</xdr:col>
      <xdr:colOff>1171575</xdr:colOff>
      <xdr:row>47</xdr:row>
      <xdr:rowOff>876300</xdr:rowOff>
    </xdr:to>
    <xdr:pic>
      <xdr:nvPicPr>
        <xdr:cNvPr id="47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4480560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48</xdr:row>
      <xdr:rowOff>47625</xdr:rowOff>
    </xdr:from>
    <xdr:to>
      <xdr:col>3</xdr:col>
      <xdr:colOff>1095375</xdr:colOff>
      <xdr:row>48</xdr:row>
      <xdr:rowOff>885825</xdr:rowOff>
    </xdr:to>
    <xdr:pic>
      <xdr:nvPicPr>
        <xdr:cNvPr id="48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99325" y="45767625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49</xdr:row>
      <xdr:rowOff>85725</xdr:rowOff>
    </xdr:from>
    <xdr:to>
      <xdr:col>3</xdr:col>
      <xdr:colOff>1104900</xdr:colOff>
      <xdr:row>49</xdr:row>
      <xdr:rowOff>923925</xdr:rowOff>
    </xdr:to>
    <xdr:pic>
      <xdr:nvPicPr>
        <xdr:cNvPr id="49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89800" y="4675822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28575</xdr:rowOff>
    </xdr:from>
    <xdr:to>
      <xdr:col>3</xdr:col>
      <xdr:colOff>1190625</xdr:colOff>
      <xdr:row>50</xdr:row>
      <xdr:rowOff>866775</xdr:rowOff>
    </xdr:to>
    <xdr:pic>
      <xdr:nvPicPr>
        <xdr:cNvPr id="50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04075" y="4765357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51</xdr:row>
      <xdr:rowOff>0</xdr:rowOff>
    </xdr:from>
    <xdr:to>
      <xdr:col>3</xdr:col>
      <xdr:colOff>828676</xdr:colOff>
      <xdr:row>51</xdr:row>
      <xdr:rowOff>942975</xdr:rowOff>
    </xdr:to>
    <xdr:pic>
      <xdr:nvPicPr>
        <xdr:cNvPr id="51" name="صورة 53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366024" y="48577500"/>
          <a:ext cx="7334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52</xdr:row>
      <xdr:rowOff>38100</xdr:rowOff>
    </xdr:from>
    <xdr:to>
      <xdr:col>3</xdr:col>
      <xdr:colOff>847725</xdr:colOff>
      <xdr:row>52</xdr:row>
      <xdr:rowOff>923925</xdr:rowOff>
    </xdr:to>
    <xdr:pic>
      <xdr:nvPicPr>
        <xdr:cNvPr id="52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346975" y="49568100"/>
          <a:ext cx="6858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53</xdr:row>
      <xdr:rowOff>38100</xdr:rowOff>
    </xdr:from>
    <xdr:to>
      <xdr:col>3</xdr:col>
      <xdr:colOff>1162050</xdr:colOff>
      <xdr:row>53</xdr:row>
      <xdr:rowOff>876300</xdr:rowOff>
    </xdr:to>
    <xdr:pic>
      <xdr:nvPicPr>
        <xdr:cNvPr id="53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50520600"/>
          <a:ext cx="9334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54</xdr:row>
      <xdr:rowOff>19051</xdr:rowOff>
    </xdr:from>
    <xdr:to>
      <xdr:col>3</xdr:col>
      <xdr:colOff>1152525</xdr:colOff>
      <xdr:row>54</xdr:row>
      <xdr:rowOff>933451</xdr:rowOff>
    </xdr:to>
    <xdr:pic>
      <xdr:nvPicPr>
        <xdr:cNvPr id="54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51454051"/>
          <a:ext cx="9334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55</xdr:row>
      <xdr:rowOff>76200</xdr:rowOff>
    </xdr:from>
    <xdr:to>
      <xdr:col>3</xdr:col>
      <xdr:colOff>1152525</xdr:colOff>
      <xdr:row>55</xdr:row>
      <xdr:rowOff>914400</xdr:rowOff>
    </xdr:to>
    <xdr:pic>
      <xdr:nvPicPr>
        <xdr:cNvPr id="55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52463700"/>
          <a:ext cx="8858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56</xdr:row>
      <xdr:rowOff>9524</xdr:rowOff>
    </xdr:from>
    <xdr:to>
      <xdr:col>3</xdr:col>
      <xdr:colOff>1200150</xdr:colOff>
      <xdr:row>56</xdr:row>
      <xdr:rowOff>923925</xdr:rowOff>
    </xdr:to>
    <xdr:pic>
      <xdr:nvPicPr>
        <xdr:cNvPr id="56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0" y="53349524"/>
          <a:ext cx="1009650" cy="914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57</xdr:row>
      <xdr:rowOff>57150</xdr:rowOff>
    </xdr:from>
    <xdr:to>
      <xdr:col>3</xdr:col>
      <xdr:colOff>1181100</xdr:colOff>
      <xdr:row>57</xdr:row>
      <xdr:rowOff>895350</xdr:rowOff>
    </xdr:to>
    <xdr:pic>
      <xdr:nvPicPr>
        <xdr:cNvPr id="57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54349650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58</xdr:row>
      <xdr:rowOff>66675</xdr:rowOff>
    </xdr:from>
    <xdr:to>
      <xdr:col>3</xdr:col>
      <xdr:colOff>1143000</xdr:colOff>
      <xdr:row>58</xdr:row>
      <xdr:rowOff>904875</xdr:rowOff>
    </xdr:to>
    <xdr:pic>
      <xdr:nvPicPr>
        <xdr:cNvPr id="58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55311675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59</xdr:row>
      <xdr:rowOff>57150</xdr:rowOff>
    </xdr:from>
    <xdr:to>
      <xdr:col>3</xdr:col>
      <xdr:colOff>1162050</xdr:colOff>
      <xdr:row>59</xdr:row>
      <xdr:rowOff>895350</xdr:rowOff>
    </xdr:to>
    <xdr:pic>
      <xdr:nvPicPr>
        <xdr:cNvPr id="59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56254650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60</xdr:row>
      <xdr:rowOff>57150</xdr:rowOff>
    </xdr:from>
    <xdr:to>
      <xdr:col>3</xdr:col>
      <xdr:colOff>1181100</xdr:colOff>
      <xdr:row>60</xdr:row>
      <xdr:rowOff>895350</xdr:rowOff>
    </xdr:to>
    <xdr:pic>
      <xdr:nvPicPr>
        <xdr:cNvPr id="60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57207150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61</xdr:row>
      <xdr:rowOff>47625</xdr:rowOff>
    </xdr:from>
    <xdr:to>
      <xdr:col>3</xdr:col>
      <xdr:colOff>1200150</xdr:colOff>
      <xdr:row>61</xdr:row>
      <xdr:rowOff>885825</xdr:rowOff>
    </xdr:to>
    <xdr:pic>
      <xdr:nvPicPr>
        <xdr:cNvPr id="61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0" y="581501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1171575</xdr:colOff>
      <xdr:row>62</xdr:row>
      <xdr:rowOff>838200</xdr:rowOff>
    </xdr:to>
    <xdr:pic>
      <xdr:nvPicPr>
        <xdr:cNvPr id="62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5905500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63</xdr:row>
      <xdr:rowOff>9525</xdr:rowOff>
    </xdr:from>
    <xdr:to>
      <xdr:col>3</xdr:col>
      <xdr:colOff>1171575</xdr:colOff>
      <xdr:row>63</xdr:row>
      <xdr:rowOff>885825</xdr:rowOff>
    </xdr:to>
    <xdr:pic>
      <xdr:nvPicPr>
        <xdr:cNvPr id="63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60017025"/>
          <a:ext cx="10668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64</xdr:row>
      <xdr:rowOff>9525</xdr:rowOff>
    </xdr:from>
    <xdr:to>
      <xdr:col>3</xdr:col>
      <xdr:colOff>1162050</xdr:colOff>
      <xdr:row>64</xdr:row>
      <xdr:rowOff>914400</xdr:rowOff>
    </xdr:to>
    <xdr:pic>
      <xdr:nvPicPr>
        <xdr:cNvPr id="64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60969525"/>
          <a:ext cx="11049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66</xdr:row>
      <xdr:rowOff>66675</xdr:rowOff>
    </xdr:from>
    <xdr:to>
      <xdr:col>3</xdr:col>
      <xdr:colOff>1209675</xdr:colOff>
      <xdr:row>66</xdr:row>
      <xdr:rowOff>904875</xdr:rowOff>
    </xdr:to>
    <xdr:pic>
      <xdr:nvPicPr>
        <xdr:cNvPr id="65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5" y="62931675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67</xdr:row>
      <xdr:rowOff>57150</xdr:rowOff>
    </xdr:from>
    <xdr:to>
      <xdr:col>3</xdr:col>
      <xdr:colOff>1209675</xdr:colOff>
      <xdr:row>67</xdr:row>
      <xdr:rowOff>895350</xdr:rowOff>
    </xdr:to>
    <xdr:pic>
      <xdr:nvPicPr>
        <xdr:cNvPr id="66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5" y="63874650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68</xdr:row>
      <xdr:rowOff>76200</xdr:rowOff>
    </xdr:from>
    <xdr:to>
      <xdr:col>3</xdr:col>
      <xdr:colOff>1219200</xdr:colOff>
      <xdr:row>68</xdr:row>
      <xdr:rowOff>914400</xdr:rowOff>
    </xdr:to>
    <xdr:pic>
      <xdr:nvPicPr>
        <xdr:cNvPr id="67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75500" y="64846200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68</xdr:row>
      <xdr:rowOff>952499</xdr:rowOff>
    </xdr:from>
    <xdr:to>
      <xdr:col>3</xdr:col>
      <xdr:colOff>1171575</xdr:colOff>
      <xdr:row>69</xdr:row>
      <xdr:rowOff>923924</xdr:rowOff>
    </xdr:to>
    <xdr:pic>
      <xdr:nvPicPr>
        <xdr:cNvPr id="68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65722499"/>
          <a:ext cx="10572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70</xdr:row>
      <xdr:rowOff>0</xdr:rowOff>
    </xdr:from>
    <xdr:to>
      <xdr:col>3</xdr:col>
      <xdr:colOff>1190625</xdr:colOff>
      <xdr:row>70</xdr:row>
      <xdr:rowOff>838200</xdr:rowOff>
    </xdr:to>
    <xdr:pic>
      <xdr:nvPicPr>
        <xdr:cNvPr id="69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04075" y="66675000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71</xdr:row>
      <xdr:rowOff>38100</xdr:rowOff>
    </xdr:from>
    <xdr:to>
      <xdr:col>3</xdr:col>
      <xdr:colOff>1200150</xdr:colOff>
      <xdr:row>71</xdr:row>
      <xdr:rowOff>876300</xdr:rowOff>
    </xdr:to>
    <xdr:pic>
      <xdr:nvPicPr>
        <xdr:cNvPr id="70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0" y="6766560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72</xdr:row>
      <xdr:rowOff>19050</xdr:rowOff>
    </xdr:from>
    <xdr:to>
      <xdr:col>3</xdr:col>
      <xdr:colOff>1228725</xdr:colOff>
      <xdr:row>72</xdr:row>
      <xdr:rowOff>857250</xdr:rowOff>
    </xdr:to>
    <xdr:pic>
      <xdr:nvPicPr>
        <xdr:cNvPr id="71" name="صورة 7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65975" y="68599050"/>
          <a:ext cx="11430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1228725</xdr:colOff>
      <xdr:row>73</xdr:row>
      <xdr:rowOff>838200</xdr:rowOff>
    </xdr:to>
    <xdr:pic>
      <xdr:nvPicPr>
        <xdr:cNvPr id="72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65975" y="69532500"/>
          <a:ext cx="12287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74</xdr:row>
      <xdr:rowOff>28575</xdr:rowOff>
    </xdr:from>
    <xdr:to>
      <xdr:col>3</xdr:col>
      <xdr:colOff>1181100</xdr:colOff>
      <xdr:row>74</xdr:row>
      <xdr:rowOff>923924</xdr:rowOff>
    </xdr:to>
    <xdr:pic>
      <xdr:nvPicPr>
        <xdr:cNvPr id="73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70513575"/>
          <a:ext cx="106680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1162050</xdr:colOff>
      <xdr:row>75</xdr:row>
      <xdr:rowOff>838200</xdr:rowOff>
    </xdr:to>
    <xdr:pic>
      <xdr:nvPicPr>
        <xdr:cNvPr id="74" name="صورة 7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71437500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1171575</xdr:colOff>
      <xdr:row>76</xdr:row>
      <xdr:rowOff>838200</xdr:rowOff>
    </xdr:to>
    <xdr:pic>
      <xdr:nvPicPr>
        <xdr:cNvPr id="75" name="صورة 7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7239000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1209675</xdr:colOff>
      <xdr:row>77</xdr:row>
      <xdr:rowOff>838200</xdr:rowOff>
    </xdr:to>
    <xdr:pic>
      <xdr:nvPicPr>
        <xdr:cNvPr id="76" name="صورة 7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5" y="73342500"/>
          <a:ext cx="12096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142874</xdr:colOff>
      <xdr:row>78</xdr:row>
      <xdr:rowOff>19050</xdr:rowOff>
    </xdr:from>
    <xdr:to>
      <xdr:col>3</xdr:col>
      <xdr:colOff>1190624</xdr:colOff>
      <xdr:row>78</xdr:row>
      <xdr:rowOff>942975</xdr:rowOff>
    </xdr:to>
    <xdr:pic>
      <xdr:nvPicPr>
        <xdr:cNvPr id="77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04076" y="74314050"/>
          <a:ext cx="104775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1181100</xdr:colOff>
      <xdr:row>79</xdr:row>
      <xdr:rowOff>838200</xdr:rowOff>
    </xdr:to>
    <xdr:pic>
      <xdr:nvPicPr>
        <xdr:cNvPr id="78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75247500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180975</xdr:colOff>
      <xdr:row>80</xdr:row>
      <xdr:rowOff>19049</xdr:rowOff>
    </xdr:from>
    <xdr:to>
      <xdr:col>3</xdr:col>
      <xdr:colOff>1162050</xdr:colOff>
      <xdr:row>80</xdr:row>
      <xdr:rowOff>923924</xdr:rowOff>
    </xdr:to>
    <xdr:pic>
      <xdr:nvPicPr>
        <xdr:cNvPr id="79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0" y="76219049"/>
          <a:ext cx="9810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81</xdr:row>
      <xdr:rowOff>28575</xdr:rowOff>
    </xdr:from>
    <xdr:to>
      <xdr:col>3</xdr:col>
      <xdr:colOff>1219200</xdr:colOff>
      <xdr:row>81</xdr:row>
      <xdr:rowOff>923925</xdr:rowOff>
    </xdr:to>
    <xdr:pic>
      <xdr:nvPicPr>
        <xdr:cNvPr id="80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75500" y="77181075"/>
          <a:ext cx="10572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685800</xdr:colOff>
      <xdr:row>82</xdr:row>
      <xdr:rowOff>571500</xdr:rowOff>
    </xdr:to>
    <xdr:pic>
      <xdr:nvPicPr>
        <xdr:cNvPr id="81" name="صورة 84" descr="http://hr.mans.edu.eg/AlFarouk/HR_Images/ictp.gif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604275" y="78105000"/>
          <a:ext cx="685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82</xdr:row>
      <xdr:rowOff>57150</xdr:rowOff>
    </xdr:from>
    <xdr:to>
      <xdr:col>3</xdr:col>
      <xdr:colOff>1143000</xdr:colOff>
      <xdr:row>82</xdr:row>
      <xdr:rowOff>895350</xdr:rowOff>
    </xdr:to>
    <xdr:pic>
      <xdr:nvPicPr>
        <xdr:cNvPr id="82" name="صورة 8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78162150"/>
          <a:ext cx="1038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83</xdr:row>
      <xdr:rowOff>28575</xdr:rowOff>
    </xdr:from>
    <xdr:to>
      <xdr:col>3</xdr:col>
      <xdr:colOff>1143000</xdr:colOff>
      <xdr:row>83</xdr:row>
      <xdr:rowOff>866775</xdr:rowOff>
    </xdr:to>
    <xdr:pic>
      <xdr:nvPicPr>
        <xdr:cNvPr id="83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79086075"/>
          <a:ext cx="9810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38101</xdr:colOff>
      <xdr:row>84</xdr:row>
      <xdr:rowOff>28575</xdr:rowOff>
    </xdr:from>
    <xdr:to>
      <xdr:col>3</xdr:col>
      <xdr:colOff>1209676</xdr:colOff>
      <xdr:row>84</xdr:row>
      <xdr:rowOff>866775</xdr:rowOff>
    </xdr:to>
    <xdr:pic>
      <xdr:nvPicPr>
        <xdr:cNvPr id="84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4" y="80038575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85</xdr:row>
      <xdr:rowOff>38100</xdr:rowOff>
    </xdr:from>
    <xdr:to>
      <xdr:col>3</xdr:col>
      <xdr:colOff>1209675</xdr:colOff>
      <xdr:row>85</xdr:row>
      <xdr:rowOff>876300</xdr:rowOff>
    </xdr:to>
    <xdr:pic>
      <xdr:nvPicPr>
        <xdr:cNvPr id="85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5" y="81000600"/>
          <a:ext cx="1038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86</xdr:row>
      <xdr:rowOff>9524</xdr:rowOff>
    </xdr:from>
    <xdr:to>
      <xdr:col>3</xdr:col>
      <xdr:colOff>1171575</xdr:colOff>
      <xdr:row>86</xdr:row>
      <xdr:rowOff>895349</xdr:rowOff>
    </xdr:to>
    <xdr:pic>
      <xdr:nvPicPr>
        <xdr:cNvPr id="86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81924524"/>
          <a:ext cx="1076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171449</xdr:colOff>
      <xdr:row>87</xdr:row>
      <xdr:rowOff>38099</xdr:rowOff>
    </xdr:from>
    <xdr:to>
      <xdr:col>3</xdr:col>
      <xdr:colOff>1162049</xdr:colOff>
      <xdr:row>87</xdr:row>
      <xdr:rowOff>914400</xdr:rowOff>
    </xdr:to>
    <xdr:pic>
      <xdr:nvPicPr>
        <xdr:cNvPr id="87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32651" y="82905599"/>
          <a:ext cx="990600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133351</xdr:colOff>
      <xdr:row>88</xdr:row>
      <xdr:rowOff>9525</xdr:rowOff>
    </xdr:from>
    <xdr:to>
      <xdr:col>3</xdr:col>
      <xdr:colOff>1143000</xdr:colOff>
      <xdr:row>88</xdr:row>
      <xdr:rowOff>923925</xdr:rowOff>
    </xdr:to>
    <xdr:pic>
      <xdr:nvPicPr>
        <xdr:cNvPr id="88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83829525"/>
          <a:ext cx="100964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89</xdr:row>
      <xdr:rowOff>38100</xdr:rowOff>
    </xdr:from>
    <xdr:to>
      <xdr:col>3</xdr:col>
      <xdr:colOff>1209675</xdr:colOff>
      <xdr:row>89</xdr:row>
      <xdr:rowOff>923924</xdr:rowOff>
    </xdr:to>
    <xdr:pic>
      <xdr:nvPicPr>
        <xdr:cNvPr id="89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5" y="84810600"/>
          <a:ext cx="1085850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90</xdr:row>
      <xdr:rowOff>76200</xdr:rowOff>
    </xdr:from>
    <xdr:to>
      <xdr:col>3</xdr:col>
      <xdr:colOff>1171576</xdr:colOff>
      <xdr:row>90</xdr:row>
      <xdr:rowOff>914400</xdr:rowOff>
    </xdr:to>
    <xdr:pic>
      <xdr:nvPicPr>
        <xdr:cNvPr id="90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4" y="8580120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91</xdr:row>
      <xdr:rowOff>38100</xdr:rowOff>
    </xdr:from>
    <xdr:to>
      <xdr:col>3</xdr:col>
      <xdr:colOff>1200150</xdr:colOff>
      <xdr:row>91</xdr:row>
      <xdr:rowOff>876300</xdr:rowOff>
    </xdr:to>
    <xdr:pic>
      <xdr:nvPicPr>
        <xdr:cNvPr id="91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94550" y="86715600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142874</xdr:colOff>
      <xdr:row>92</xdr:row>
      <xdr:rowOff>19050</xdr:rowOff>
    </xdr:from>
    <xdr:to>
      <xdr:col>3</xdr:col>
      <xdr:colOff>1209674</xdr:colOff>
      <xdr:row>92</xdr:row>
      <xdr:rowOff>942976</xdr:rowOff>
    </xdr:to>
    <xdr:pic>
      <xdr:nvPicPr>
        <xdr:cNvPr id="92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5026" y="87649050"/>
          <a:ext cx="1066800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93</xdr:row>
      <xdr:rowOff>66675</xdr:rowOff>
    </xdr:from>
    <xdr:to>
      <xdr:col>3</xdr:col>
      <xdr:colOff>1152525</xdr:colOff>
      <xdr:row>93</xdr:row>
      <xdr:rowOff>904875</xdr:rowOff>
    </xdr:to>
    <xdr:pic>
      <xdr:nvPicPr>
        <xdr:cNvPr id="93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8864917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76201</xdr:colOff>
      <xdr:row>94</xdr:row>
      <xdr:rowOff>76200</xdr:rowOff>
    </xdr:from>
    <xdr:to>
      <xdr:col>3</xdr:col>
      <xdr:colOff>1152526</xdr:colOff>
      <xdr:row>94</xdr:row>
      <xdr:rowOff>914400</xdr:rowOff>
    </xdr:to>
    <xdr:pic>
      <xdr:nvPicPr>
        <xdr:cNvPr id="94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4" y="8961120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95</xdr:row>
      <xdr:rowOff>28574</xdr:rowOff>
    </xdr:from>
    <xdr:to>
      <xdr:col>3</xdr:col>
      <xdr:colOff>1181100</xdr:colOff>
      <xdr:row>95</xdr:row>
      <xdr:rowOff>895349</xdr:rowOff>
    </xdr:to>
    <xdr:pic>
      <xdr:nvPicPr>
        <xdr:cNvPr id="95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90516074"/>
          <a:ext cx="1114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96</xdr:row>
      <xdr:rowOff>9525</xdr:rowOff>
    </xdr:from>
    <xdr:to>
      <xdr:col>3</xdr:col>
      <xdr:colOff>1219199</xdr:colOff>
      <xdr:row>96</xdr:row>
      <xdr:rowOff>933450</xdr:rowOff>
    </xdr:to>
    <xdr:pic>
      <xdr:nvPicPr>
        <xdr:cNvPr id="96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75501" y="91449525"/>
          <a:ext cx="101917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85726</xdr:colOff>
      <xdr:row>97</xdr:row>
      <xdr:rowOff>114300</xdr:rowOff>
    </xdr:from>
    <xdr:to>
      <xdr:col>3</xdr:col>
      <xdr:colOff>1219201</xdr:colOff>
      <xdr:row>97</xdr:row>
      <xdr:rowOff>876300</xdr:rowOff>
    </xdr:to>
    <xdr:pic>
      <xdr:nvPicPr>
        <xdr:cNvPr id="97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75499" y="92506800"/>
          <a:ext cx="11334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98</xdr:row>
      <xdr:rowOff>76200</xdr:rowOff>
    </xdr:from>
    <xdr:to>
      <xdr:col>3</xdr:col>
      <xdr:colOff>1171575</xdr:colOff>
      <xdr:row>98</xdr:row>
      <xdr:rowOff>914400</xdr:rowOff>
    </xdr:to>
    <xdr:pic>
      <xdr:nvPicPr>
        <xdr:cNvPr id="98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934212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99</xdr:row>
      <xdr:rowOff>76200</xdr:rowOff>
    </xdr:from>
    <xdr:to>
      <xdr:col>3</xdr:col>
      <xdr:colOff>1143000</xdr:colOff>
      <xdr:row>99</xdr:row>
      <xdr:rowOff>914399</xdr:rowOff>
    </xdr:to>
    <xdr:pic>
      <xdr:nvPicPr>
        <xdr:cNvPr id="99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51700" y="94373700"/>
          <a:ext cx="9239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100</xdr:row>
      <xdr:rowOff>47625</xdr:rowOff>
    </xdr:from>
    <xdr:to>
      <xdr:col>3</xdr:col>
      <xdr:colOff>1219200</xdr:colOff>
      <xdr:row>101</xdr:row>
      <xdr:rowOff>9525</xdr:rowOff>
    </xdr:to>
    <xdr:pic>
      <xdr:nvPicPr>
        <xdr:cNvPr id="100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75500" y="95297625"/>
          <a:ext cx="11525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47624</xdr:rowOff>
    </xdr:from>
    <xdr:to>
      <xdr:col>3</xdr:col>
      <xdr:colOff>1181100</xdr:colOff>
      <xdr:row>101</xdr:row>
      <xdr:rowOff>933449</xdr:rowOff>
    </xdr:to>
    <xdr:pic>
      <xdr:nvPicPr>
        <xdr:cNvPr id="101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13600" y="96250124"/>
          <a:ext cx="10858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102</xdr:row>
      <xdr:rowOff>19049</xdr:rowOff>
    </xdr:from>
    <xdr:to>
      <xdr:col>3</xdr:col>
      <xdr:colOff>1190625</xdr:colOff>
      <xdr:row>102</xdr:row>
      <xdr:rowOff>923924</xdr:rowOff>
    </xdr:to>
    <xdr:pic>
      <xdr:nvPicPr>
        <xdr:cNvPr id="102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04075" y="97174049"/>
          <a:ext cx="10858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76201</xdr:colOff>
      <xdr:row>103</xdr:row>
      <xdr:rowOff>19049</xdr:rowOff>
    </xdr:from>
    <xdr:to>
      <xdr:col>3</xdr:col>
      <xdr:colOff>1171576</xdr:colOff>
      <xdr:row>103</xdr:row>
      <xdr:rowOff>923924</xdr:rowOff>
    </xdr:to>
    <xdr:pic>
      <xdr:nvPicPr>
        <xdr:cNvPr id="103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4" y="98126549"/>
          <a:ext cx="10953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65</xdr:row>
      <xdr:rowOff>38100</xdr:rowOff>
    </xdr:from>
    <xdr:to>
      <xdr:col>3</xdr:col>
      <xdr:colOff>1171575</xdr:colOff>
      <xdr:row>65</xdr:row>
      <xdr:rowOff>904875</xdr:rowOff>
    </xdr:to>
    <xdr:pic>
      <xdr:nvPicPr>
        <xdr:cNvPr id="104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23125" y="61950600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21</xdr:row>
      <xdr:rowOff>104775</xdr:rowOff>
    </xdr:from>
    <xdr:to>
      <xdr:col>1</xdr:col>
      <xdr:colOff>1200150</xdr:colOff>
      <xdr:row>21</xdr:row>
      <xdr:rowOff>942975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21307425"/>
          <a:ext cx="1219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3</xdr:row>
      <xdr:rowOff>104775</xdr:rowOff>
    </xdr:from>
    <xdr:to>
      <xdr:col>1</xdr:col>
      <xdr:colOff>1200150</xdr:colOff>
      <xdr:row>3</xdr:row>
      <xdr:rowOff>942975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08750" y="296227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201682</xdr:colOff>
      <xdr:row>4</xdr:row>
      <xdr:rowOff>95249</xdr:rowOff>
    </xdr:from>
    <xdr:to>
      <xdr:col>1</xdr:col>
      <xdr:colOff>1171575</xdr:colOff>
      <xdr:row>4</xdr:row>
      <xdr:rowOff>876300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6813950" y="1943099"/>
          <a:ext cx="969893" cy="781051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</xdr:row>
      <xdr:rowOff>66675</xdr:rowOff>
    </xdr:from>
    <xdr:to>
      <xdr:col>1</xdr:col>
      <xdr:colOff>1143000</xdr:colOff>
      <xdr:row>6</xdr:row>
      <xdr:rowOff>904875</xdr:rowOff>
    </xdr:to>
    <xdr:pic>
      <xdr:nvPicPr>
        <xdr:cNvPr id="6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23145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7</xdr:row>
      <xdr:rowOff>57150</xdr:rowOff>
    </xdr:from>
    <xdr:to>
      <xdr:col>1</xdr:col>
      <xdr:colOff>1143000</xdr:colOff>
      <xdr:row>7</xdr:row>
      <xdr:rowOff>895350</xdr:rowOff>
    </xdr:to>
    <xdr:pic>
      <xdr:nvPicPr>
        <xdr:cNvPr id="7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2505075"/>
          <a:ext cx="1019175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8</xdr:row>
      <xdr:rowOff>76200</xdr:rowOff>
    </xdr:from>
    <xdr:to>
      <xdr:col>1</xdr:col>
      <xdr:colOff>1143000</xdr:colOff>
      <xdr:row>8</xdr:row>
      <xdr:rowOff>914400</xdr:rowOff>
    </xdr:to>
    <xdr:pic>
      <xdr:nvPicPr>
        <xdr:cNvPr id="8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65900" y="7696200"/>
          <a:ext cx="981075" cy="83820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9</xdr:row>
      <xdr:rowOff>9525</xdr:rowOff>
    </xdr:from>
    <xdr:to>
      <xdr:col>1</xdr:col>
      <xdr:colOff>1152525</xdr:colOff>
      <xdr:row>9</xdr:row>
      <xdr:rowOff>885825</xdr:rowOff>
    </xdr:to>
    <xdr:pic>
      <xdr:nvPicPr>
        <xdr:cNvPr id="9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9096375"/>
          <a:ext cx="1076325" cy="876300"/>
        </a:xfrm>
        <a:prstGeom prst="rect">
          <a:avLst/>
        </a:prstGeom>
        <a:noFill/>
        <a:ln cmpd="thickThin">
          <a:solidFill>
            <a:srgbClr val="FF0000"/>
          </a:solidFill>
          <a:prstDash val="sysDot"/>
          <a:beve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10</xdr:row>
      <xdr:rowOff>28574</xdr:rowOff>
    </xdr:from>
    <xdr:to>
      <xdr:col>1</xdr:col>
      <xdr:colOff>1181100</xdr:colOff>
      <xdr:row>10</xdr:row>
      <xdr:rowOff>933449</xdr:rowOff>
    </xdr:to>
    <xdr:pic>
      <xdr:nvPicPr>
        <xdr:cNvPr id="10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10125074"/>
          <a:ext cx="1114425" cy="904875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66675</xdr:rowOff>
    </xdr:from>
    <xdr:to>
      <xdr:col>1</xdr:col>
      <xdr:colOff>1143000</xdr:colOff>
      <xdr:row>11</xdr:row>
      <xdr:rowOff>904875</xdr:rowOff>
    </xdr:to>
    <xdr:pic>
      <xdr:nvPicPr>
        <xdr:cNvPr id="11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11172825"/>
          <a:ext cx="1066800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12</xdr:row>
      <xdr:rowOff>76200</xdr:rowOff>
    </xdr:from>
    <xdr:to>
      <xdr:col>1</xdr:col>
      <xdr:colOff>1171575</xdr:colOff>
      <xdr:row>12</xdr:row>
      <xdr:rowOff>895350</xdr:rowOff>
    </xdr:to>
    <xdr:pic>
      <xdr:nvPicPr>
        <xdr:cNvPr id="12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12192000"/>
          <a:ext cx="10382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13</xdr:row>
      <xdr:rowOff>28575</xdr:rowOff>
    </xdr:from>
    <xdr:to>
      <xdr:col>1</xdr:col>
      <xdr:colOff>1152525</xdr:colOff>
      <xdr:row>13</xdr:row>
      <xdr:rowOff>971551</xdr:rowOff>
    </xdr:to>
    <xdr:pic>
      <xdr:nvPicPr>
        <xdr:cNvPr id="13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56375" y="12411075"/>
          <a:ext cx="1076325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14</xdr:row>
      <xdr:rowOff>95250</xdr:rowOff>
    </xdr:from>
    <xdr:to>
      <xdr:col>1</xdr:col>
      <xdr:colOff>1143000</xdr:colOff>
      <xdr:row>14</xdr:row>
      <xdr:rowOff>933450</xdr:rowOff>
    </xdr:to>
    <xdr:pic>
      <xdr:nvPicPr>
        <xdr:cNvPr id="14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65900" y="13430250"/>
          <a:ext cx="1057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15</xdr:row>
      <xdr:rowOff>66675</xdr:rowOff>
    </xdr:from>
    <xdr:to>
      <xdr:col>1</xdr:col>
      <xdr:colOff>1171575</xdr:colOff>
      <xdr:row>15</xdr:row>
      <xdr:rowOff>962025</xdr:rowOff>
    </xdr:to>
    <xdr:pic>
      <xdr:nvPicPr>
        <xdr:cNvPr id="15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15211425"/>
          <a:ext cx="11144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16</xdr:row>
      <xdr:rowOff>95250</xdr:rowOff>
    </xdr:from>
    <xdr:to>
      <xdr:col>1</xdr:col>
      <xdr:colOff>1133475</xdr:colOff>
      <xdr:row>16</xdr:row>
      <xdr:rowOff>876299</xdr:rowOff>
    </xdr:to>
    <xdr:pic>
      <xdr:nvPicPr>
        <xdr:cNvPr id="16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75425" y="15335250"/>
          <a:ext cx="98107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17</xdr:row>
      <xdr:rowOff>9524</xdr:rowOff>
    </xdr:from>
    <xdr:to>
      <xdr:col>1</xdr:col>
      <xdr:colOff>1133475</xdr:colOff>
      <xdr:row>17</xdr:row>
      <xdr:rowOff>895349</xdr:rowOff>
    </xdr:to>
    <xdr:pic>
      <xdr:nvPicPr>
        <xdr:cNvPr id="17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75425" y="16202024"/>
          <a:ext cx="10001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38100</xdr:rowOff>
    </xdr:from>
    <xdr:to>
      <xdr:col>1</xdr:col>
      <xdr:colOff>1181100</xdr:colOff>
      <xdr:row>18</xdr:row>
      <xdr:rowOff>933450</xdr:rowOff>
    </xdr:to>
    <xdr:pic>
      <xdr:nvPicPr>
        <xdr:cNvPr id="18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27800" y="17183100"/>
          <a:ext cx="1038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88</xdr:row>
      <xdr:rowOff>428625</xdr:rowOff>
    </xdr:from>
    <xdr:to>
      <xdr:col>1</xdr:col>
      <xdr:colOff>1028700</xdr:colOff>
      <xdr:row>89</xdr:row>
      <xdr:rowOff>247650</xdr:rowOff>
    </xdr:to>
    <xdr:pic>
      <xdr:nvPicPr>
        <xdr:cNvPr id="19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89277825"/>
          <a:ext cx="9429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20</xdr:row>
      <xdr:rowOff>28575</xdr:rowOff>
    </xdr:from>
    <xdr:to>
      <xdr:col>1</xdr:col>
      <xdr:colOff>1152525</xdr:colOff>
      <xdr:row>20</xdr:row>
      <xdr:rowOff>942975</xdr:rowOff>
    </xdr:to>
    <xdr:pic>
      <xdr:nvPicPr>
        <xdr:cNvPr id="20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20221575"/>
          <a:ext cx="10572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19</xdr:row>
      <xdr:rowOff>47624</xdr:rowOff>
    </xdr:from>
    <xdr:to>
      <xdr:col>1</xdr:col>
      <xdr:colOff>1133475</xdr:colOff>
      <xdr:row>19</xdr:row>
      <xdr:rowOff>990599</xdr:rowOff>
    </xdr:to>
    <xdr:pic>
      <xdr:nvPicPr>
        <xdr:cNvPr id="21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0" y="19230974"/>
          <a:ext cx="10858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36</xdr:row>
      <xdr:rowOff>66675</xdr:rowOff>
    </xdr:from>
    <xdr:to>
      <xdr:col>1</xdr:col>
      <xdr:colOff>1133475</xdr:colOff>
      <xdr:row>36</xdr:row>
      <xdr:rowOff>904875</xdr:rowOff>
    </xdr:to>
    <xdr:pic>
      <xdr:nvPicPr>
        <xdr:cNvPr id="22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0" y="36414075"/>
          <a:ext cx="1028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23</xdr:row>
      <xdr:rowOff>47625</xdr:rowOff>
    </xdr:from>
    <xdr:to>
      <xdr:col>1</xdr:col>
      <xdr:colOff>1181100</xdr:colOff>
      <xdr:row>23</xdr:row>
      <xdr:rowOff>885825</xdr:rowOff>
    </xdr:to>
    <xdr:pic>
      <xdr:nvPicPr>
        <xdr:cNvPr id="23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27800" y="2195512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22</xdr:row>
      <xdr:rowOff>66675</xdr:rowOff>
    </xdr:from>
    <xdr:to>
      <xdr:col>1</xdr:col>
      <xdr:colOff>1162050</xdr:colOff>
      <xdr:row>22</xdr:row>
      <xdr:rowOff>914400</xdr:rowOff>
    </xdr:to>
    <xdr:pic>
      <xdr:nvPicPr>
        <xdr:cNvPr id="24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22278975"/>
          <a:ext cx="10382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88</xdr:row>
      <xdr:rowOff>1000125</xdr:rowOff>
    </xdr:from>
    <xdr:to>
      <xdr:col>3</xdr:col>
      <xdr:colOff>1143000</xdr:colOff>
      <xdr:row>89</xdr:row>
      <xdr:rowOff>847725</xdr:rowOff>
    </xdr:to>
    <xdr:pic>
      <xdr:nvPicPr>
        <xdr:cNvPr id="25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604025" y="89849325"/>
          <a:ext cx="10858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26</xdr:row>
      <xdr:rowOff>47625</xdr:rowOff>
    </xdr:from>
    <xdr:to>
      <xdr:col>1</xdr:col>
      <xdr:colOff>1152525</xdr:colOff>
      <xdr:row>26</xdr:row>
      <xdr:rowOff>885825</xdr:rowOff>
    </xdr:to>
    <xdr:pic>
      <xdr:nvPicPr>
        <xdr:cNvPr id="26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56375" y="24812625"/>
          <a:ext cx="1104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90</xdr:row>
      <xdr:rowOff>695325</xdr:rowOff>
    </xdr:from>
    <xdr:to>
      <xdr:col>2</xdr:col>
      <xdr:colOff>1628775</xdr:colOff>
      <xdr:row>91</xdr:row>
      <xdr:rowOff>523875</xdr:rowOff>
    </xdr:to>
    <xdr:pic>
      <xdr:nvPicPr>
        <xdr:cNvPr id="27" name="صورة 2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089925" y="9156382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28</xdr:row>
      <xdr:rowOff>9525</xdr:rowOff>
    </xdr:from>
    <xdr:to>
      <xdr:col>1</xdr:col>
      <xdr:colOff>1200150</xdr:colOff>
      <xdr:row>28</xdr:row>
      <xdr:rowOff>923925</xdr:rowOff>
    </xdr:to>
    <xdr:pic>
      <xdr:nvPicPr>
        <xdr:cNvPr id="28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08750" y="266795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24</xdr:row>
      <xdr:rowOff>66675</xdr:rowOff>
    </xdr:from>
    <xdr:to>
      <xdr:col>1</xdr:col>
      <xdr:colOff>1143000</xdr:colOff>
      <xdr:row>24</xdr:row>
      <xdr:rowOff>952501</xdr:rowOff>
    </xdr:to>
    <xdr:pic>
      <xdr:nvPicPr>
        <xdr:cNvPr id="29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24298275"/>
          <a:ext cx="1019175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257175</xdr:colOff>
      <xdr:row>90</xdr:row>
      <xdr:rowOff>161925</xdr:rowOff>
    </xdr:from>
    <xdr:to>
      <xdr:col>9</xdr:col>
      <xdr:colOff>438150</xdr:colOff>
      <xdr:row>90</xdr:row>
      <xdr:rowOff>1000125</xdr:rowOff>
    </xdr:to>
    <xdr:pic>
      <xdr:nvPicPr>
        <xdr:cNvPr id="30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537350" y="91030425"/>
          <a:ext cx="952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40</xdr:row>
      <xdr:rowOff>57150</xdr:rowOff>
    </xdr:from>
    <xdr:to>
      <xdr:col>1</xdr:col>
      <xdr:colOff>1190626</xdr:colOff>
      <xdr:row>40</xdr:row>
      <xdr:rowOff>895350</xdr:rowOff>
    </xdr:to>
    <xdr:pic>
      <xdr:nvPicPr>
        <xdr:cNvPr id="31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49" y="3974782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32</xdr:row>
      <xdr:rowOff>76200</xdr:rowOff>
    </xdr:from>
    <xdr:to>
      <xdr:col>1</xdr:col>
      <xdr:colOff>1209676</xdr:colOff>
      <xdr:row>32</xdr:row>
      <xdr:rowOff>990600</xdr:rowOff>
    </xdr:to>
    <xdr:pic>
      <xdr:nvPicPr>
        <xdr:cNvPr id="32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199" y="3168967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27</xdr:row>
      <xdr:rowOff>19050</xdr:rowOff>
    </xdr:from>
    <xdr:to>
      <xdr:col>1</xdr:col>
      <xdr:colOff>1181100</xdr:colOff>
      <xdr:row>27</xdr:row>
      <xdr:rowOff>923925</xdr:rowOff>
    </xdr:to>
    <xdr:pic>
      <xdr:nvPicPr>
        <xdr:cNvPr id="33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26584275"/>
          <a:ext cx="11239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33</xdr:row>
      <xdr:rowOff>47625</xdr:rowOff>
    </xdr:from>
    <xdr:to>
      <xdr:col>1</xdr:col>
      <xdr:colOff>1123949</xdr:colOff>
      <xdr:row>33</xdr:row>
      <xdr:rowOff>952501</xdr:rowOff>
    </xdr:to>
    <xdr:pic>
      <xdr:nvPicPr>
        <xdr:cNvPr id="34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6" y="32670750"/>
          <a:ext cx="1057274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29</xdr:row>
      <xdr:rowOff>57150</xdr:rowOff>
    </xdr:from>
    <xdr:to>
      <xdr:col>1</xdr:col>
      <xdr:colOff>1209675</xdr:colOff>
      <xdr:row>29</xdr:row>
      <xdr:rowOff>981075</xdr:rowOff>
    </xdr:to>
    <xdr:pic>
      <xdr:nvPicPr>
        <xdr:cNvPr id="35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28641675"/>
          <a:ext cx="11334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30</xdr:row>
      <xdr:rowOff>9525</xdr:rowOff>
    </xdr:from>
    <xdr:to>
      <xdr:col>1</xdr:col>
      <xdr:colOff>1209675</xdr:colOff>
      <xdr:row>30</xdr:row>
      <xdr:rowOff>952500</xdr:rowOff>
    </xdr:to>
    <xdr:pic>
      <xdr:nvPicPr>
        <xdr:cNvPr id="36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29603700"/>
          <a:ext cx="1133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31</xdr:row>
      <xdr:rowOff>47624</xdr:rowOff>
    </xdr:from>
    <xdr:to>
      <xdr:col>1</xdr:col>
      <xdr:colOff>1152525</xdr:colOff>
      <xdr:row>31</xdr:row>
      <xdr:rowOff>971549</xdr:rowOff>
    </xdr:to>
    <xdr:pic>
      <xdr:nvPicPr>
        <xdr:cNvPr id="37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30651449"/>
          <a:ext cx="11049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38</xdr:row>
      <xdr:rowOff>76200</xdr:rowOff>
    </xdr:from>
    <xdr:to>
      <xdr:col>1</xdr:col>
      <xdr:colOff>1190625</xdr:colOff>
      <xdr:row>38</xdr:row>
      <xdr:rowOff>952500</xdr:rowOff>
    </xdr:to>
    <xdr:pic>
      <xdr:nvPicPr>
        <xdr:cNvPr id="38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37747575"/>
          <a:ext cx="114299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39</xdr:row>
      <xdr:rowOff>76199</xdr:rowOff>
    </xdr:from>
    <xdr:to>
      <xdr:col>1</xdr:col>
      <xdr:colOff>1181100</xdr:colOff>
      <xdr:row>39</xdr:row>
      <xdr:rowOff>923924</xdr:rowOff>
    </xdr:to>
    <xdr:pic>
      <xdr:nvPicPr>
        <xdr:cNvPr id="39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38757224"/>
          <a:ext cx="11239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88</xdr:row>
      <xdr:rowOff>609600</xdr:rowOff>
    </xdr:from>
    <xdr:to>
      <xdr:col>6</xdr:col>
      <xdr:colOff>561975</xdr:colOff>
      <xdr:row>89</xdr:row>
      <xdr:rowOff>400050</xdr:rowOff>
    </xdr:to>
    <xdr:pic>
      <xdr:nvPicPr>
        <xdr:cNvPr id="40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0925" y="89458800"/>
          <a:ext cx="11144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34</xdr:row>
      <xdr:rowOff>85726</xdr:rowOff>
    </xdr:from>
    <xdr:to>
      <xdr:col>1</xdr:col>
      <xdr:colOff>1219201</xdr:colOff>
      <xdr:row>34</xdr:row>
      <xdr:rowOff>1000126</xdr:rowOff>
    </xdr:to>
    <xdr:pic>
      <xdr:nvPicPr>
        <xdr:cNvPr id="41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4" y="33718501"/>
          <a:ext cx="11906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514351</xdr:colOff>
      <xdr:row>90</xdr:row>
      <xdr:rowOff>409575</xdr:rowOff>
    </xdr:from>
    <xdr:to>
      <xdr:col>9</xdr:col>
      <xdr:colOff>514350</xdr:colOff>
      <xdr:row>91</xdr:row>
      <xdr:rowOff>304801</xdr:rowOff>
    </xdr:to>
    <xdr:pic>
      <xdr:nvPicPr>
        <xdr:cNvPr id="42" name="صورة 44" descr="http://hr.mans.edu.eg/dpp/2730813/25/00521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518050" y="91278075"/>
          <a:ext cx="685799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43</xdr:row>
      <xdr:rowOff>66675</xdr:rowOff>
    </xdr:from>
    <xdr:to>
      <xdr:col>1</xdr:col>
      <xdr:colOff>1162050</xdr:colOff>
      <xdr:row>43</xdr:row>
      <xdr:rowOff>904875</xdr:rowOff>
    </xdr:to>
    <xdr:pic>
      <xdr:nvPicPr>
        <xdr:cNvPr id="43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278630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19050</xdr:rowOff>
    </xdr:from>
    <xdr:to>
      <xdr:col>1</xdr:col>
      <xdr:colOff>1152525</xdr:colOff>
      <xdr:row>35</xdr:row>
      <xdr:rowOff>981076</xdr:rowOff>
    </xdr:to>
    <xdr:pic>
      <xdr:nvPicPr>
        <xdr:cNvPr id="44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34661475"/>
          <a:ext cx="1133475" cy="962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45</xdr:row>
      <xdr:rowOff>76199</xdr:rowOff>
    </xdr:from>
    <xdr:to>
      <xdr:col>1</xdr:col>
      <xdr:colOff>1123950</xdr:colOff>
      <xdr:row>45</xdr:row>
      <xdr:rowOff>885824</xdr:rowOff>
    </xdr:to>
    <xdr:pic>
      <xdr:nvPicPr>
        <xdr:cNvPr id="45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5" y="44815124"/>
          <a:ext cx="1066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37</xdr:row>
      <xdr:rowOff>66675</xdr:rowOff>
    </xdr:from>
    <xdr:to>
      <xdr:col>1</xdr:col>
      <xdr:colOff>1219200</xdr:colOff>
      <xdr:row>37</xdr:row>
      <xdr:rowOff>971550</xdr:rowOff>
    </xdr:to>
    <xdr:pic>
      <xdr:nvPicPr>
        <xdr:cNvPr id="46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36728400"/>
          <a:ext cx="1142999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47</xdr:row>
      <xdr:rowOff>85725</xdr:rowOff>
    </xdr:from>
    <xdr:to>
      <xdr:col>1</xdr:col>
      <xdr:colOff>1171575</xdr:colOff>
      <xdr:row>47</xdr:row>
      <xdr:rowOff>923925</xdr:rowOff>
    </xdr:to>
    <xdr:pic>
      <xdr:nvPicPr>
        <xdr:cNvPr id="47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4684395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48</xdr:row>
      <xdr:rowOff>76200</xdr:rowOff>
    </xdr:from>
    <xdr:to>
      <xdr:col>1</xdr:col>
      <xdr:colOff>1133475</xdr:colOff>
      <xdr:row>48</xdr:row>
      <xdr:rowOff>914400</xdr:rowOff>
    </xdr:to>
    <xdr:pic>
      <xdr:nvPicPr>
        <xdr:cNvPr id="48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47844075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49</xdr:row>
      <xdr:rowOff>85725</xdr:rowOff>
    </xdr:from>
    <xdr:to>
      <xdr:col>1</xdr:col>
      <xdr:colOff>1181100</xdr:colOff>
      <xdr:row>49</xdr:row>
      <xdr:rowOff>923925</xdr:rowOff>
    </xdr:to>
    <xdr:pic>
      <xdr:nvPicPr>
        <xdr:cNvPr id="49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48863250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50</xdr:row>
      <xdr:rowOff>47625</xdr:rowOff>
    </xdr:from>
    <xdr:to>
      <xdr:col>1</xdr:col>
      <xdr:colOff>1219200</xdr:colOff>
      <xdr:row>50</xdr:row>
      <xdr:rowOff>885825</xdr:rowOff>
    </xdr:to>
    <xdr:pic>
      <xdr:nvPicPr>
        <xdr:cNvPr id="50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49834800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123826</xdr:colOff>
      <xdr:row>90</xdr:row>
      <xdr:rowOff>628650</xdr:rowOff>
    </xdr:from>
    <xdr:to>
      <xdr:col>9</xdr:col>
      <xdr:colOff>142876</xdr:colOff>
      <xdr:row>91</xdr:row>
      <xdr:rowOff>561975</xdr:rowOff>
    </xdr:to>
    <xdr:pic>
      <xdr:nvPicPr>
        <xdr:cNvPr id="51" name="صورة 53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546749" y="91497150"/>
          <a:ext cx="7334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42</xdr:row>
      <xdr:rowOff>38100</xdr:rowOff>
    </xdr:from>
    <xdr:to>
      <xdr:col>1</xdr:col>
      <xdr:colOff>1181100</xdr:colOff>
      <xdr:row>42</xdr:row>
      <xdr:rowOff>895349</xdr:rowOff>
    </xdr:to>
    <xdr:pic>
      <xdr:nvPicPr>
        <xdr:cNvPr id="52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41748075"/>
          <a:ext cx="1114425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56</xdr:row>
      <xdr:rowOff>38099</xdr:rowOff>
    </xdr:from>
    <xdr:to>
      <xdr:col>1</xdr:col>
      <xdr:colOff>1181099</xdr:colOff>
      <xdr:row>56</xdr:row>
      <xdr:rowOff>923924</xdr:rowOff>
    </xdr:to>
    <xdr:pic>
      <xdr:nvPicPr>
        <xdr:cNvPr id="53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55883174"/>
          <a:ext cx="113347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44</xdr:row>
      <xdr:rowOff>38101</xdr:rowOff>
    </xdr:from>
    <xdr:to>
      <xdr:col>1</xdr:col>
      <xdr:colOff>1162050</xdr:colOff>
      <xdr:row>44</xdr:row>
      <xdr:rowOff>952501</xdr:rowOff>
    </xdr:to>
    <xdr:pic>
      <xdr:nvPicPr>
        <xdr:cNvPr id="54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3767376"/>
          <a:ext cx="11049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55</xdr:row>
      <xdr:rowOff>66675</xdr:rowOff>
    </xdr:from>
    <xdr:to>
      <xdr:col>1</xdr:col>
      <xdr:colOff>1171574</xdr:colOff>
      <xdr:row>55</xdr:row>
      <xdr:rowOff>962025</xdr:rowOff>
    </xdr:to>
    <xdr:pic>
      <xdr:nvPicPr>
        <xdr:cNvPr id="55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54902100"/>
          <a:ext cx="1085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46</xdr:row>
      <xdr:rowOff>66674</xdr:rowOff>
    </xdr:from>
    <xdr:to>
      <xdr:col>1</xdr:col>
      <xdr:colOff>1143000</xdr:colOff>
      <xdr:row>46</xdr:row>
      <xdr:rowOff>923925</xdr:rowOff>
    </xdr:to>
    <xdr:pic>
      <xdr:nvPicPr>
        <xdr:cNvPr id="56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45815249"/>
          <a:ext cx="1009650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1257300</xdr:colOff>
      <xdr:row>89</xdr:row>
      <xdr:rowOff>371475</xdr:rowOff>
    </xdr:from>
    <xdr:to>
      <xdr:col>8</xdr:col>
      <xdr:colOff>276225</xdr:colOff>
      <xdr:row>90</xdr:row>
      <xdr:rowOff>200025</xdr:rowOff>
    </xdr:to>
    <xdr:pic>
      <xdr:nvPicPr>
        <xdr:cNvPr id="57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394600" y="9023032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1257300</xdr:colOff>
      <xdr:row>89</xdr:row>
      <xdr:rowOff>466725</xdr:rowOff>
    </xdr:from>
    <xdr:to>
      <xdr:col>7</xdr:col>
      <xdr:colOff>285750</xdr:colOff>
      <xdr:row>90</xdr:row>
      <xdr:rowOff>295275</xdr:rowOff>
    </xdr:to>
    <xdr:pic>
      <xdr:nvPicPr>
        <xdr:cNvPr id="58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642375" y="90325575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59</xdr:row>
      <xdr:rowOff>85725</xdr:rowOff>
    </xdr:from>
    <xdr:to>
      <xdr:col>1</xdr:col>
      <xdr:colOff>1123950</xdr:colOff>
      <xdr:row>59</xdr:row>
      <xdr:rowOff>923925</xdr:rowOff>
    </xdr:to>
    <xdr:pic>
      <xdr:nvPicPr>
        <xdr:cNvPr id="59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5" y="58959750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60</xdr:row>
      <xdr:rowOff>57150</xdr:rowOff>
    </xdr:from>
    <xdr:to>
      <xdr:col>1</xdr:col>
      <xdr:colOff>1181100</xdr:colOff>
      <xdr:row>60</xdr:row>
      <xdr:rowOff>895350</xdr:rowOff>
    </xdr:to>
    <xdr:pic>
      <xdr:nvPicPr>
        <xdr:cNvPr id="60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59940825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61</xdr:row>
      <xdr:rowOff>28575</xdr:rowOff>
    </xdr:from>
    <xdr:to>
      <xdr:col>1</xdr:col>
      <xdr:colOff>1200150</xdr:colOff>
      <xdr:row>61</xdr:row>
      <xdr:rowOff>866775</xdr:rowOff>
    </xdr:to>
    <xdr:pic>
      <xdr:nvPicPr>
        <xdr:cNvPr id="61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60921900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63</xdr:row>
      <xdr:rowOff>38100</xdr:rowOff>
    </xdr:from>
    <xdr:to>
      <xdr:col>1</xdr:col>
      <xdr:colOff>1219200</xdr:colOff>
      <xdr:row>63</xdr:row>
      <xdr:rowOff>876300</xdr:rowOff>
    </xdr:to>
    <xdr:pic>
      <xdr:nvPicPr>
        <xdr:cNvPr id="62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62950725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53</xdr:row>
      <xdr:rowOff>66675</xdr:rowOff>
    </xdr:from>
    <xdr:to>
      <xdr:col>1</xdr:col>
      <xdr:colOff>1162050</xdr:colOff>
      <xdr:row>53</xdr:row>
      <xdr:rowOff>942975</xdr:rowOff>
    </xdr:to>
    <xdr:pic>
      <xdr:nvPicPr>
        <xdr:cNvPr id="63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52882800"/>
          <a:ext cx="10668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64</xdr:row>
      <xdr:rowOff>38100</xdr:rowOff>
    </xdr:from>
    <xdr:to>
      <xdr:col>1</xdr:col>
      <xdr:colOff>1200150</xdr:colOff>
      <xdr:row>64</xdr:row>
      <xdr:rowOff>942975</xdr:rowOff>
    </xdr:to>
    <xdr:pic>
      <xdr:nvPicPr>
        <xdr:cNvPr id="64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63960375"/>
          <a:ext cx="11049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72</xdr:row>
      <xdr:rowOff>38100</xdr:rowOff>
    </xdr:from>
    <xdr:to>
      <xdr:col>1</xdr:col>
      <xdr:colOff>1209675</xdr:colOff>
      <xdr:row>72</xdr:row>
      <xdr:rowOff>876300</xdr:rowOff>
    </xdr:to>
    <xdr:pic>
      <xdr:nvPicPr>
        <xdr:cNvPr id="65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72037575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73</xdr:row>
      <xdr:rowOff>47625</xdr:rowOff>
    </xdr:from>
    <xdr:to>
      <xdr:col>1</xdr:col>
      <xdr:colOff>1171575</xdr:colOff>
      <xdr:row>73</xdr:row>
      <xdr:rowOff>885825</xdr:rowOff>
    </xdr:to>
    <xdr:pic>
      <xdr:nvPicPr>
        <xdr:cNvPr id="66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73056750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68</xdr:row>
      <xdr:rowOff>76200</xdr:rowOff>
    </xdr:from>
    <xdr:to>
      <xdr:col>1</xdr:col>
      <xdr:colOff>1190625</xdr:colOff>
      <xdr:row>68</xdr:row>
      <xdr:rowOff>914400</xdr:rowOff>
    </xdr:to>
    <xdr:pic>
      <xdr:nvPicPr>
        <xdr:cNvPr id="67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68037075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57</xdr:row>
      <xdr:rowOff>38099</xdr:rowOff>
    </xdr:from>
    <xdr:to>
      <xdr:col>1</xdr:col>
      <xdr:colOff>1143000</xdr:colOff>
      <xdr:row>57</xdr:row>
      <xdr:rowOff>962024</xdr:rowOff>
    </xdr:to>
    <xdr:pic>
      <xdr:nvPicPr>
        <xdr:cNvPr id="68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56892824"/>
          <a:ext cx="10572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74</xdr:row>
      <xdr:rowOff>28575</xdr:rowOff>
    </xdr:from>
    <xdr:to>
      <xdr:col>1</xdr:col>
      <xdr:colOff>1181100</xdr:colOff>
      <xdr:row>74</xdr:row>
      <xdr:rowOff>866775</xdr:rowOff>
    </xdr:to>
    <xdr:pic>
      <xdr:nvPicPr>
        <xdr:cNvPr id="69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74047350"/>
          <a:ext cx="11430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71</xdr:row>
      <xdr:rowOff>28575</xdr:rowOff>
    </xdr:from>
    <xdr:to>
      <xdr:col>1</xdr:col>
      <xdr:colOff>1181100</xdr:colOff>
      <xdr:row>71</xdr:row>
      <xdr:rowOff>866775</xdr:rowOff>
    </xdr:to>
    <xdr:pic>
      <xdr:nvPicPr>
        <xdr:cNvPr id="70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7101840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89</xdr:row>
      <xdr:rowOff>666750</xdr:rowOff>
    </xdr:from>
    <xdr:to>
      <xdr:col>9</xdr:col>
      <xdr:colOff>561975</xdr:colOff>
      <xdr:row>90</xdr:row>
      <xdr:rowOff>495300</xdr:rowOff>
    </xdr:to>
    <xdr:pic>
      <xdr:nvPicPr>
        <xdr:cNvPr id="71" name="صورة 7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27650" y="90525600"/>
          <a:ext cx="11430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1009650</xdr:colOff>
      <xdr:row>88</xdr:row>
      <xdr:rowOff>666750</xdr:rowOff>
    </xdr:from>
    <xdr:to>
      <xdr:col>8</xdr:col>
      <xdr:colOff>438150</xdr:colOff>
      <xdr:row>89</xdr:row>
      <xdr:rowOff>495300</xdr:rowOff>
    </xdr:to>
    <xdr:pic>
      <xdr:nvPicPr>
        <xdr:cNvPr id="72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480325" y="89515950"/>
          <a:ext cx="12287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62</xdr:row>
      <xdr:rowOff>47625</xdr:rowOff>
    </xdr:from>
    <xdr:to>
      <xdr:col>1</xdr:col>
      <xdr:colOff>1171575</xdr:colOff>
      <xdr:row>62</xdr:row>
      <xdr:rowOff>942974</xdr:rowOff>
    </xdr:to>
    <xdr:pic>
      <xdr:nvPicPr>
        <xdr:cNvPr id="73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61950600"/>
          <a:ext cx="106680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104775</xdr:colOff>
      <xdr:row>89</xdr:row>
      <xdr:rowOff>276225</xdr:rowOff>
    </xdr:from>
    <xdr:to>
      <xdr:col>10</xdr:col>
      <xdr:colOff>581025</xdr:colOff>
      <xdr:row>90</xdr:row>
      <xdr:rowOff>104775</xdr:rowOff>
    </xdr:to>
    <xdr:pic>
      <xdr:nvPicPr>
        <xdr:cNvPr id="74" name="صورة 7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765575" y="9013507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685800</xdr:colOff>
      <xdr:row>89</xdr:row>
      <xdr:rowOff>190500</xdr:rowOff>
    </xdr:from>
    <xdr:to>
      <xdr:col>8</xdr:col>
      <xdr:colOff>485775</xdr:colOff>
      <xdr:row>90</xdr:row>
      <xdr:rowOff>19050</xdr:rowOff>
    </xdr:to>
    <xdr:pic>
      <xdr:nvPicPr>
        <xdr:cNvPr id="75" name="صورة 7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889650" y="900493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371475</xdr:colOff>
      <xdr:row>88</xdr:row>
      <xdr:rowOff>981075</xdr:rowOff>
    </xdr:from>
    <xdr:to>
      <xdr:col>10</xdr:col>
      <xdr:colOff>180975</xdr:colOff>
      <xdr:row>89</xdr:row>
      <xdr:rowOff>809625</xdr:rowOff>
    </xdr:to>
    <xdr:pic>
      <xdr:nvPicPr>
        <xdr:cNvPr id="76" name="صورة 7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22850" y="89830275"/>
          <a:ext cx="12096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67</xdr:row>
      <xdr:rowOff>47626</xdr:rowOff>
    </xdr:from>
    <xdr:to>
      <xdr:col>1</xdr:col>
      <xdr:colOff>1133474</xdr:colOff>
      <xdr:row>67</xdr:row>
      <xdr:rowOff>942975</xdr:rowOff>
    </xdr:to>
    <xdr:pic>
      <xdr:nvPicPr>
        <xdr:cNvPr id="77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1" y="66998851"/>
          <a:ext cx="104775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75</xdr:row>
      <xdr:rowOff>66675</xdr:rowOff>
    </xdr:from>
    <xdr:to>
      <xdr:col>1</xdr:col>
      <xdr:colOff>1190625</xdr:colOff>
      <xdr:row>75</xdr:row>
      <xdr:rowOff>904875</xdr:rowOff>
    </xdr:to>
    <xdr:pic>
      <xdr:nvPicPr>
        <xdr:cNvPr id="78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75095100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69</xdr:row>
      <xdr:rowOff>66674</xdr:rowOff>
    </xdr:from>
    <xdr:to>
      <xdr:col>1</xdr:col>
      <xdr:colOff>1152525</xdr:colOff>
      <xdr:row>69</xdr:row>
      <xdr:rowOff>971549</xdr:rowOff>
    </xdr:to>
    <xdr:pic>
      <xdr:nvPicPr>
        <xdr:cNvPr id="79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69037199"/>
          <a:ext cx="9810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70</xdr:row>
      <xdr:rowOff>47625</xdr:rowOff>
    </xdr:from>
    <xdr:to>
      <xdr:col>1</xdr:col>
      <xdr:colOff>1143000</xdr:colOff>
      <xdr:row>70</xdr:row>
      <xdr:rowOff>942975</xdr:rowOff>
    </xdr:to>
    <xdr:pic>
      <xdr:nvPicPr>
        <xdr:cNvPr id="80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70027800"/>
          <a:ext cx="10572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88</xdr:row>
      <xdr:rowOff>981075</xdr:rowOff>
    </xdr:from>
    <xdr:to>
      <xdr:col>8</xdr:col>
      <xdr:colOff>266700</xdr:colOff>
      <xdr:row>89</xdr:row>
      <xdr:rowOff>809625</xdr:rowOff>
    </xdr:to>
    <xdr:pic>
      <xdr:nvPicPr>
        <xdr:cNvPr id="81" name="صورة 8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108725" y="89830275"/>
          <a:ext cx="1038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82</xdr:row>
      <xdr:rowOff>47624</xdr:rowOff>
    </xdr:from>
    <xdr:to>
      <xdr:col>1</xdr:col>
      <xdr:colOff>1171574</xdr:colOff>
      <xdr:row>82</xdr:row>
      <xdr:rowOff>933449</xdr:rowOff>
    </xdr:to>
    <xdr:pic>
      <xdr:nvPicPr>
        <xdr:cNvPr id="82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82143599"/>
          <a:ext cx="111442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84</xdr:row>
      <xdr:rowOff>57150</xdr:rowOff>
    </xdr:from>
    <xdr:to>
      <xdr:col>1</xdr:col>
      <xdr:colOff>1200151</xdr:colOff>
      <xdr:row>84</xdr:row>
      <xdr:rowOff>895350</xdr:rowOff>
    </xdr:to>
    <xdr:pic>
      <xdr:nvPicPr>
        <xdr:cNvPr id="83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4" y="84172425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85</xdr:row>
      <xdr:rowOff>47624</xdr:rowOff>
    </xdr:from>
    <xdr:to>
      <xdr:col>1</xdr:col>
      <xdr:colOff>1200150</xdr:colOff>
      <xdr:row>85</xdr:row>
      <xdr:rowOff>933449</xdr:rowOff>
    </xdr:to>
    <xdr:pic>
      <xdr:nvPicPr>
        <xdr:cNvPr id="84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85172549"/>
          <a:ext cx="11334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86</xdr:row>
      <xdr:rowOff>28574</xdr:rowOff>
    </xdr:from>
    <xdr:to>
      <xdr:col>1</xdr:col>
      <xdr:colOff>1209675</xdr:colOff>
      <xdr:row>86</xdr:row>
      <xdr:rowOff>914399</xdr:rowOff>
    </xdr:to>
    <xdr:pic>
      <xdr:nvPicPr>
        <xdr:cNvPr id="85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86163149"/>
          <a:ext cx="1076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76</xdr:row>
      <xdr:rowOff>57149</xdr:rowOff>
    </xdr:from>
    <xdr:to>
      <xdr:col>1</xdr:col>
      <xdr:colOff>1181099</xdr:colOff>
      <xdr:row>76</xdr:row>
      <xdr:rowOff>933450</xdr:rowOff>
    </xdr:to>
    <xdr:pic>
      <xdr:nvPicPr>
        <xdr:cNvPr id="86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76095224"/>
          <a:ext cx="1114424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77</xdr:row>
      <xdr:rowOff>38100</xdr:rowOff>
    </xdr:from>
    <xdr:to>
      <xdr:col>1</xdr:col>
      <xdr:colOff>1171575</xdr:colOff>
      <xdr:row>77</xdr:row>
      <xdr:rowOff>914400</xdr:rowOff>
    </xdr:to>
    <xdr:pic>
      <xdr:nvPicPr>
        <xdr:cNvPr id="87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77085825"/>
          <a:ext cx="110489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78</xdr:row>
      <xdr:rowOff>19051</xdr:rowOff>
    </xdr:from>
    <xdr:to>
      <xdr:col>1</xdr:col>
      <xdr:colOff>1162050</xdr:colOff>
      <xdr:row>78</xdr:row>
      <xdr:rowOff>952501</xdr:rowOff>
    </xdr:to>
    <xdr:pic>
      <xdr:nvPicPr>
        <xdr:cNvPr id="88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78076426"/>
          <a:ext cx="10858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87</xdr:row>
      <xdr:rowOff>85725</xdr:rowOff>
    </xdr:from>
    <xdr:to>
      <xdr:col>1</xdr:col>
      <xdr:colOff>1162051</xdr:colOff>
      <xdr:row>87</xdr:row>
      <xdr:rowOff>923925</xdr:rowOff>
    </xdr:to>
    <xdr:pic>
      <xdr:nvPicPr>
        <xdr:cNvPr id="89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4" y="8722995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</xdr:colOff>
      <xdr:row>89</xdr:row>
      <xdr:rowOff>38100</xdr:rowOff>
    </xdr:from>
    <xdr:to>
      <xdr:col>5</xdr:col>
      <xdr:colOff>514350</xdr:colOff>
      <xdr:row>89</xdr:row>
      <xdr:rowOff>876300</xdr:rowOff>
    </xdr:to>
    <xdr:pic>
      <xdr:nvPicPr>
        <xdr:cNvPr id="90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08750" y="86715600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79</xdr:row>
      <xdr:rowOff>38100</xdr:rowOff>
    </xdr:from>
    <xdr:to>
      <xdr:col>1</xdr:col>
      <xdr:colOff>1181099</xdr:colOff>
      <xdr:row>79</xdr:row>
      <xdr:rowOff>962026</xdr:rowOff>
    </xdr:to>
    <xdr:pic>
      <xdr:nvPicPr>
        <xdr:cNvPr id="91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79105125"/>
          <a:ext cx="1066800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91</xdr:row>
      <xdr:rowOff>66675</xdr:rowOff>
    </xdr:from>
    <xdr:to>
      <xdr:col>5</xdr:col>
      <xdr:colOff>466725</xdr:colOff>
      <xdr:row>91</xdr:row>
      <xdr:rowOff>904875</xdr:rowOff>
    </xdr:to>
    <xdr:pic>
      <xdr:nvPicPr>
        <xdr:cNvPr id="92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56375" y="8864917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92</xdr:row>
      <xdr:rowOff>76200</xdr:rowOff>
    </xdr:from>
    <xdr:to>
      <xdr:col>5</xdr:col>
      <xdr:colOff>466726</xdr:colOff>
      <xdr:row>92</xdr:row>
      <xdr:rowOff>914400</xdr:rowOff>
    </xdr:to>
    <xdr:pic>
      <xdr:nvPicPr>
        <xdr:cNvPr id="93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56374" y="8961120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93</xdr:row>
      <xdr:rowOff>28574</xdr:rowOff>
    </xdr:from>
    <xdr:to>
      <xdr:col>7</xdr:col>
      <xdr:colOff>495300</xdr:colOff>
      <xdr:row>93</xdr:row>
      <xdr:rowOff>895349</xdr:rowOff>
    </xdr:to>
    <xdr:pic>
      <xdr:nvPicPr>
        <xdr:cNvPr id="94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27800" y="90516074"/>
          <a:ext cx="1114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83</xdr:row>
      <xdr:rowOff>28575</xdr:rowOff>
    </xdr:from>
    <xdr:to>
      <xdr:col>1</xdr:col>
      <xdr:colOff>1171574</xdr:colOff>
      <xdr:row>83</xdr:row>
      <xdr:rowOff>952500</xdr:rowOff>
    </xdr:to>
    <xdr:pic>
      <xdr:nvPicPr>
        <xdr:cNvPr id="95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83134200"/>
          <a:ext cx="101917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85726</xdr:colOff>
      <xdr:row>95</xdr:row>
      <xdr:rowOff>114300</xdr:rowOff>
    </xdr:from>
    <xdr:to>
      <xdr:col>5</xdr:col>
      <xdr:colOff>533401</xdr:colOff>
      <xdr:row>95</xdr:row>
      <xdr:rowOff>876300</xdr:rowOff>
    </xdr:to>
    <xdr:pic>
      <xdr:nvPicPr>
        <xdr:cNvPr id="96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289699" y="92506800"/>
          <a:ext cx="11334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96</xdr:row>
      <xdr:rowOff>76200</xdr:rowOff>
    </xdr:from>
    <xdr:to>
      <xdr:col>5</xdr:col>
      <xdr:colOff>485775</xdr:colOff>
      <xdr:row>96</xdr:row>
      <xdr:rowOff>914400</xdr:rowOff>
    </xdr:to>
    <xdr:pic>
      <xdr:nvPicPr>
        <xdr:cNvPr id="97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934212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97</xdr:row>
      <xdr:rowOff>76200</xdr:rowOff>
    </xdr:from>
    <xdr:to>
      <xdr:col>5</xdr:col>
      <xdr:colOff>457200</xdr:colOff>
      <xdr:row>97</xdr:row>
      <xdr:rowOff>914399</xdr:rowOff>
    </xdr:to>
    <xdr:pic>
      <xdr:nvPicPr>
        <xdr:cNvPr id="98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65900" y="94373700"/>
          <a:ext cx="9239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98</xdr:row>
      <xdr:rowOff>47625</xdr:rowOff>
    </xdr:from>
    <xdr:to>
      <xdr:col>5</xdr:col>
      <xdr:colOff>533400</xdr:colOff>
      <xdr:row>98</xdr:row>
      <xdr:rowOff>962025</xdr:rowOff>
    </xdr:to>
    <xdr:pic>
      <xdr:nvPicPr>
        <xdr:cNvPr id="99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289700" y="95297625"/>
          <a:ext cx="11525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99</xdr:row>
      <xdr:rowOff>47624</xdr:rowOff>
    </xdr:from>
    <xdr:to>
      <xdr:col>5</xdr:col>
      <xdr:colOff>495300</xdr:colOff>
      <xdr:row>99</xdr:row>
      <xdr:rowOff>933449</xdr:rowOff>
    </xdr:to>
    <xdr:pic>
      <xdr:nvPicPr>
        <xdr:cNvPr id="100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27800" y="96250124"/>
          <a:ext cx="10858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100</xdr:row>
      <xdr:rowOff>19049</xdr:rowOff>
    </xdr:from>
    <xdr:to>
      <xdr:col>5</xdr:col>
      <xdr:colOff>504825</xdr:colOff>
      <xdr:row>100</xdr:row>
      <xdr:rowOff>923924</xdr:rowOff>
    </xdr:to>
    <xdr:pic>
      <xdr:nvPicPr>
        <xdr:cNvPr id="101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18275" y="97174049"/>
          <a:ext cx="10858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101</xdr:row>
      <xdr:rowOff>19049</xdr:rowOff>
    </xdr:from>
    <xdr:to>
      <xdr:col>5</xdr:col>
      <xdr:colOff>485776</xdr:colOff>
      <xdr:row>101</xdr:row>
      <xdr:rowOff>923924</xdr:rowOff>
    </xdr:to>
    <xdr:pic>
      <xdr:nvPicPr>
        <xdr:cNvPr id="102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4" y="98126549"/>
          <a:ext cx="10953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65</xdr:row>
      <xdr:rowOff>19050</xdr:rowOff>
    </xdr:from>
    <xdr:to>
      <xdr:col>1</xdr:col>
      <xdr:colOff>1143000</xdr:colOff>
      <xdr:row>65</xdr:row>
      <xdr:rowOff>885825</xdr:rowOff>
    </xdr:to>
    <xdr:pic>
      <xdr:nvPicPr>
        <xdr:cNvPr id="10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4950975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41</xdr:row>
      <xdr:rowOff>57150</xdr:rowOff>
    </xdr:from>
    <xdr:to>
      <xdr:col>1</xdr:col>
      <xdr:colOff>1171575</xdr:colOff>
      <xdr:row>41</xdr:row>
      <xdr:rowOff>895350</xdr:rowOff>
    </xdr:to>
    <xdr:pic>
      <xdr:nvPicPr>
        <xdr:cNvPr id="105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407574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51</xdr:row>
      <xdr:rowOff>47625</xdr:rowOff>
    </xdr:from>
    <xdr:to>
      <xdr:col>1</xdr:col>
      <xdr:colOff>1162050</xdr:colOff>
      <xdr:row>51</xdr:row>
      <xdr:rowOff>962025</xdr:rowOff>
    </xdr:to>
    <xdr:pic>
      <xdr:nvPicPr>
        <xdr:cNvPr id="106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50844450"/>
          <a:ext cx="1123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52</xdr:row>
      <xdr:rowOff>38100</xdr:rowOff>
    </xdr:from>
    <xdr:to>
      <xdr:col>1</xdr:col>
      <xdr:colOff>1209675</xdr:colOff>
      <xdr:row>52</xdr:row>
      <xdr:rowOff>933450</xdr:rowOff>
    </xdr:to>
    <xdr:pic>
      <xdr:nvPicPr>
        <xdr:cNvPr id="107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51844575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54</xdr:row>
      <xdr:rowOff>57150</xdr:rowOff>
    </xdr:from>
    <xdr:to>
      <xdr:col>1</xdr:col>
      <xdr:colOff>1171575</xdr:colOff>
      <xdr:row>54</xdr:row>
      <xdr:rowOff>952500</xdr:rowOff>
    </xdr:to>
    <xdr:pic>
      <xdr:nvPicPr>
        <xdr:cNvPr id="108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53882925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58</xdr:row>
      <xdr:rowOff>28574</xdr:rowOff>
    </xdr:from>
    <xdr:to>
      <xdr:col>1</xdr:col>
      <xdr:colOff>1209675</xdr:colOff>
      <xdr:row>58</xdr:row>
      <xdr:rowOff>933449</xdr:rowOff>
    </xdr:to>
    <xdr:pic>
      <xdr:nvPicPr>
        <xdr:cNvPr id="109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57892949"/>
          <a:ext cx="1066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80</xdr:row>
      <xdr:rowOff>85725</xdr:rowOff>
    </xdr:from>
    <xdr:to>
      <xdr:col>1</xdr:col>
      <xdr:colOff>1209675</xdr:colOff>
      <xdr:row>80</xdr:row>
      <xdr:rowOff>923925</xdr:rowOff>
    </xdr:to>
    <xdr:pic>
      <xdr:nvPicPr>
        <xdr:cNvPr id="110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80162400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81</xdr:row>
      <xdr:rowOff>66675</xdr:rowOff>
    </xdr:from>
    <xdr:to>
      <xdr:col>1</xdr:col>
      <xdr:colOff>1219200</xdr:colOff>
      <xdr:row>81</xdr:row>
      <xdr:rowOff>904875</xdr:rowOff>
    </xdr:to>
    <xdr:pic>
      <xdr:nvPicPr>
        <xdr:cNvPr id="111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81153000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66</xdr:row>
      <xdr:rowOff>47625</xdr:rowOff>
    </xdr:from>
    <xdr:to>
      <xdr:col>1</xdr:col>
      <xdr:colOff>1152525</xdr:colOff>
      <xdr:row>66</xdr:row>
      <xdr:rowOff>914400</xdr:rowOff>
    </xdr:to>
    <xdr:pic>
      <xdr:nvPicPr>
        <xdr:cNvPr id="112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65989200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25</xdr:row>
      <xdr:rowOff>76200</xdr:rowOff>
    </xdr:from>
    <xdr:to>
      <xdr:col>1</xdr:col>
      <xdr:colOff>1171575</xdr:colOff>
      <xdr:row>25</xdr:row>
      <xdr:rowOff>990600</xdr:rowOff>
    </xdr:to>
    <xdr:pic>
      <xdr:nvPicPr>
        <xdr:cNvPr id="113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246221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1162050</xdr:colOff>
      <xdr:row>5</xdr:row>
      <xdr:rowOff>838200</xdr:rowOff>
    </xdr:to>
    <xdr:pic>
      <xdr:nvPicPr>
        <xdr:cNvPr id="115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5048250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21</xdr:row>
      <xdr:rowOff>104775</xdr:rowOff>
    </xdr:from>
    <xdr:to>
      <xdr:col>1</xdr:col>
      <xdr:colOff>1219200</xdr:colOff>
      <xdr:row>21</xdr:row>
      <xdr:rowOff>942975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21307425"/>
          <a:ext cx="1219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3</xdr:row>
      <xdr:rowOff>104775</xdr:rowOff>
    </xdr:from>
    <xdr:to>
      <xdr:col>1</xdr:col>
      <xdr:colOff>1200150</xdr:colOff>
      <xdr:row>3</xdr:row>
      <xdr:rowOff>942975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313372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201682</xdr:colOff>
      <xdr:row>4</xdr:row>
      <xdr:rowOff>95249</xdr:rowOff>
    </xdr:from>
    <xdr:to>
      <xdr:col>1</xdr:col>
      <xdr:colOff>1171575</xdr:colOff>
      <xdr:row>4</xdr:row>
      <xdr:rowOff>876300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6813950" y="4133849"/>
          <a:ext cx="969893" cy="781051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40</xdr:row>
      <xdr:rowOff>57150</xdr:rowOff>
    </xdr:from>
    <xdr:to>
      <xdr:col>1</xdr:col>
      <xdr:colOff>1171575</xdr:colOff>
      <xdr:row>40</xdr:row>
      <xdr:rowOff>895350</xdr:rowOff>
    </xdr:to>
    <xdr:pic>
      <xdr:nvPicPr>
        <xdr:cNvPr id="5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3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6813950" y="40443150"/>
          <a:ext cx="11239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</xdr:row>
      <xdr:rowOff>66675</xdr:rowOff>
    </xdr:from>
    <xdr:to>
      <xdr:col>1</xdr:col>
      <xdr:colOff>1143000</xdr:colOff>
      <xdr:row>6</xdr:row>
      <xdr:rowOff>904875</xdr:rowOff>
    </xdr:to>
    <xdr:pic>
      <xdr:nvPicPr>
        <xdr:cNvPr id="6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61245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7</xdr:row>
      <xdr:rowOff>57150</xdr:rowOff>
    </xdr:from>
    <xdr:to>
      <xdr:col>1</xdr:col>
      <xdr:colOff>1143000</xdr:colOff>
      <xdr:row>7</xdr:row>
      <xdr:rowOff>895350</xdr:rowOff>
    </xdr:to>
    <xdr:pic>
      <xdr:nvPicPr>
        <xdr:cNvPr id="7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7124700"/>
          <a:ext cx="1019175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8</xdr:row>
      <xdr:rowOff>76200</xdr:rowOff>
    </xdr:from>
    <xdr:to>
      <xdr:col>1</xdr:col>
      <xdr:colOff>1143000</xdr:colOff>
      <xdr:row>8</xdr:row>
      <xdr:rowOff>914400</xdr:rowOff>
    </xdr:to>
    <xdr:pic>
      <xdr:nvPicPr>
        <xdr:cNvPr id="8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8153400"/>
          <a:ext cx="981075" cy="83820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9</xdr:row>
      <xdr:rowOff>9525</xdr:rowOff>
    </xdr:from>
    <xdr:to>
      <xdr:col>1</xdr:col>
      <xdr:colOff>1152525</xdr:colOff>
      <xdr:row>9</xdr:row>
      <xdr:rowOff>885825</xdr:rowOff>
    </xdr:to>
    <xdr:pic>
      <xdr:nvPicPr>
        <xdr:cNvPr id="9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9096375"/>
          <a:ext cx="1076325" cy="876300"/>
        </a:xfrm>
        <a:prstGeom prst="rect">
          <a:avLst/>
        </a:prstGeom>
        <a:noFill/>
        <a:ln cmpd="thickThin">
          <a:solidFill>
            <a:srgbClr val="FF0000"/>
          </a:solidFill>
          <a:prstDash val="sysDot"/>
          <a:beve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10</xdr:row>
      <xdr:rowOff>28574</xdr:rowOff>
    </xdr:from>
    <xdr:to>
      <xdr:col>1</xdr:col>
      <xdr:colOff>1181100</xdr:colOff>
      <xdr:row>10</xdr:row>
      <xdr:rowOff>933449</xdr:rowOff>
    </xdr:to>
    <xdr:pic>
      <xdr:nvPicPr>
        <xdr:cNvPr id="10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10125074"/>
          <a:ext cx="1114425" cy="904875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66675</xdr:rowOff>
    </xdr:from>
    <xdr:to>
      <xdr:col>1</xdr:col>
      <xdr:colOff>1143000</xdr:colOff>
      <xdr:row>11</xdr:row>
      <xdr:rowOff>904875</xdr:rowOff>
    </xdr:to>
    <xdr:pic>
      <xdr:nvPicPr>
        <xdr:cNvPr id="11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11172825"/>
          <a:ext cx="1066800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12</xdr:row>
      <xdr:rowOff>76200</xdr:rowOff>
    </xdr:from>
    <xdr:to>
      <xdr:col>1</xdr:col>
      <xdr:colOff>1171575</xdr:colOff>
      <xdr:row>12</xdr:row>
      <xdr:rowOff>895350</xdr:rowOff>
    </xdr:to>
    <xdr:pic>
      <xdr:nvPicPr>
        <xdr:cNvPr id="12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12192000"/>
          <a:ext cx="10382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13</xdr:row>
      <xdr:rowOff>28575</xdr:rowOff>
    </xdr:from>
    <xdr:to>
      <xdr:col>1</xdr:col>
      <xdr:colOff>1152525</xdr:colOff>
      <xdr:row>13</xdr:row>
      <xdr:rowOff>971551</xdr:rowOff>
    </xdr:to>
    <xdr:pic>
      <xdr:nvPicPr>
        <xdr:cNvPr id="13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13154025"/>
          <a:ext cx="1076325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14</xdr:row>
      <xdr:rowOff>95250</xdr:rowOff>
    </xdr:from>
    <xdr:to>
      <xdr:col>1</xdr:col>
      <xdr:colOff>1143000</xdr:colOff>
      <xdr:row>14</xdr:row>
      <xdr:rowOff>933450</xdr:rowOff>
    </xdr:to>
    <xdr:pic>
      <xdr:nvPicPr>
        <xdr:cNvPr id="14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14230350"/>
          <a:ext cx="1057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15</xdr:row>
      <xdr:rowOff>66675</xdr:rowOff>
    </xdr:from>
    <xdr:to>
      <xdr:col>1</xdr:col>
      <xdr:colOff>1171575</xdr:colOff>
      <xdr:row>15</xdr:row>
      <xdr:rowOff>962025</xdr:rowOff>
    </xdr:to>
    <xdr:pic>
      <xdr:nvPicPr>
        <xdr:cNvPr id="15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15211425"/>
          <a:ext cx="11144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16</xdr:row>
      <xdr:rowOff>95250</xdr:rowOff>
    </xdr:from>
    <xdr:to>
      <xdr:col>1</xdr:col>
      <xdr:colOff>1133475</xdr:colOff>
      <xdr:row>16</xdr:row>
      <xdr:rowOff>876299</xdr:rowOff>
    </xdr:to>
    <xdr:pic>
      <xdr:nvPicPr>
        <xdr:cNvPr id="16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0" y="16249650"/>
          <a:ext cx="98107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17</xdr:row>
      <xdr:rowOff>9524</xdr:rowOff>
    </xdr:from>
    <xdr:to>
      <xdr:col>1</xdr:col>
      <xdr:colOff>1133475</xdr:colOff>
      <xdr:row>17</xdr:row>
      <xdr:rowOff>895349</xdr:rowOff>
    </xdr:to>
    <xdr:pic>
      <xdr:nvPicPr>
        <xdr:cNvPr id="17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0" y="17173574"/>
          <a:ext cx="10001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38100</xdr:rowOff>
    </xdr:from>
    <xdr:to>
      <xdr:col>1</xdr:col>
      <xdr:colOff>1181100</xdr:colOff>
      <xdr:row>18</xdr:row>
      <xdr:rowOff>933450</xdr:rowOff>
    </xdr:to>
    <xdr:pic>
      <xdr:nvPicPr>
        <xdr:cNvPr id="18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18211800"/>
          <a:ext cx="1038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93</xdr:row>
      <xdr:rowOff>942975</xdr:rowOff>
    </xdr:from>
    <xdr:to>
      <xdr:col>2</xdr:col>
      <xdr:colOff>1476375</xdr:colOff>
      <xdr:row>94</xdr:row>
      <xdr:rowOff>762000</xdr:rowOff>
    </xdr:to>
    <xdr:pic>
      <xdr:nvPicPr>
        <xdr:cNvPr id="19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242325" y="94840425"/>
          <a:ext cx="9429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20</xdr:row>
      <xdr:rowOff>28575</xdr:rowOff>
    </xdr:from>
    <xdr:to>
      <xdr:col>1</xdr:col>
      <xdr:colOff>1152525</xdr:colOff>
      <xdr:row>20</xdr:row>
      <xdr:rowOff>942975</xdr:rowOff>
    </xdr:to>
    <xdr:pic>
      <xdr:nvPicPr>
        <xdr:cNvPr id="20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20221575"/>
          <a:ext cx="10572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19</xdr:row>
      <xdr:rowOff>47624</xdr:rowOff>
    </xdr:from>
    <xdr:to>
      <xdr:col>1</xdr:col>
      <xdr:colOff>1133475</xdr:colOff>
      <xdr:row>19</xdr:row>
      <xdr:rowOff>990599</xdr:rowOff>
    </xdr:to>
    <xdr:pic>
      <xdr:nvPicPr>
        <xdr:cNvPr id="21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0" y="19230974"/>
          <a:ext cx="10858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1514475</xdr:colOff>
      <xdr:row>91</xdr:row>
      <xdr:rowOff>133350</xdr:rowOff>
    </xdr:from>
    <xdr:to>
      <xdr:col>3</xdr:col>
      <xdr:colOff>609600</xdr:colOff>
      <xdr:row>91</xdr:row>
      <xdr:rowOff>971550</xdr:rowOff>
    </xdr:to>
    <xdr:pic>
      <xdr:nvPicPr>
        <xdr:cNvPr id="22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75525" y="92011500"/>
          <a:ext cx="1028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23</xdr:row>
      <xdr:rowOff>47625</xdr:rowOff>
    </xdr:from>
    <xdr:to>
      <xdr:col>1</xdr:col>
      <xdr:colOff>1181100</xdr:colOff>
      <xdr:row>23</xdr:row>
      <xdr:rowOff>885825</xdr:rowOff>
    </xdr:to>
    <xdr:pic>
      <xdr:nvPicPr>
        <xdr:cNvPr id="23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2326957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22</xdr:row>
      <xdr:rowOff>66675</xdr:rowOff>
    </xdr:from>
    <xdr:to>
      <xdr:col>1</xdr:col>
      <xdr:colOff>1162050</xdr:colOff>
      <xdr:row>22</xdr:row>
      <xdr:rowOff>914400</xdr:rowOff>
    </xdr:to>
    <xdr:pic>
      <xdr:nvPicPr>
        <xdr:cNvPr id="24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22278975"/>
          <a:ext cx="10382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90</xdr:row>
      <xdr:rowOff>266700</xdr:rowOff>
    </xdr:from>
    <xdr:to>
      <xdr:col>3</xdr:col>
      <xdr:colOff>742950</xdr:colOff>
      <xdr:row>91</xdr:row>
      <xdr:rowOff>114300</xdr:rowOff>
    </xdr:to>
    <xdr:pic>
      <xdr:nvPicPr>
        <xdr:cNvPr id="25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42175" y="91135200"/>
          <a:ext cx="10858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26</xdr:row>
      <xdr:rowOff>47625</xdr:rowOff>
    </xdr:from>
    <xdr:to>
      <xdr:col>1</xdr:col>
      <xdr:colOff>1152525</xdr:colOff>
      <xdr:row>26</xdr:row>
      <xdr:rowOff>885825</xdr:rowOff>
    </xdr:to>
    <xdr:pic>
      <xdr:nvPicPr>
        <xdr:cNvPr id="26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26298525"/>
          <a:ext cx="1104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27</xdr:row>
      <xdr:rowOff>47625</xdr:rowOff>
    </xdr:from>
    <xdr:to>
      <xdr:col>1</xdr:col>
      <xdr:colOff>1162050</xdr:colOff>
      <xdr:row>27</xdr:row>
      <xdr:rowOff>962025</xdr:rowOff>
    </xdr:to>
    <xdr:pic>
      <xdr:nvPicPr>
        <xdr:cNvPr id="27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2730817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24</xdr:row>
      <xdr:rowOff>123825</xdr:rowOff>
    </xdr:from>
    <xdr:to>
      <xdr:col>1</xdr:col>
      <xdr:colOff>1143000</xdr:colOff>
      <xdr:row>25</xdr:row>
      <xdr:rowOff>1</xdr:rowOff>
    </xdr:to>
    <xdr:pic>
      <xdr:nvPicPr>
        <xdr:cNvPr id="28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24355425"/>
          <a:ext cx="1019175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42</xdr:row>
      <xdr:rowOff>66675</xdr:rowOff>
    </xdr:from>
    <xdr:to>
      <xdr:col>1</xdr:col>
      <xdr:colOff>1162051</xdr:colOff>
      <xdr:row>42</xdr:row>
      <xdr:rowOff>904875</xdr:rowOff>
    </xdr:to>
    <xdr:pic>
      <xdr:nvPicPr>
        <xdr:cNvPr id="29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4" y="4247197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57151</xdr:colOff>
      <xdr:row>34</xdr:row>
      <xdr:rowOff>47625</xdr:rowOff>
    </xdr:from>
    <xdr:to>
      <xdr:col>1</xdr:col>
      <xdr:colOff>1190626</xdr:colOff>
      <xdr:row>34</xdr:row>
      <xdr:rowOff>962025</xdr:rowOff>
    </xdr:to>
    <xdr:pic>
      <xdr:nvPicPr>
        <xdr:cNvPr id="30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899" y="343757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28</xdr:row>
      <xdr:rowOff>28575</xdr:rowOff>
    </xdr:from>
    <xdr:to>
      <xdr:col>1</xdr:col>
      <xdr:colOff>1152525</xdr:colOff>
      <xdr:row>28</xdr:row>
      <xdr:rowOff>933450</xdr:rowOff>
    </xdr:to>
    <xdr:pic>
      <xdr:nvPicPr>
        <xdr:cNvPr id="31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28298775"/>
          <a:ext cx="11239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33</xdr:row>
      <xdr:rowOff>57150</xdr:rowOff>
    </xdr:from>
    <xdr:to>
      <xdr:col>1</xdr:col>
      <xdr:colOff>1162049</xdr:colOff>
      <xdr:row>33</xdr:row>
      <xdr:rowOff>962026</xdr:rowOff>
    </xdr:to>
    <xdr:pic>
      <xdr:nvPicPr>
        <xdr:cNvPr id="32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6" y="33375600"/>
          <a:ext cx="1057274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30</xdr:row>
      <xdr:rowOff>66675</xdr:rowOff>
    </xdr:from>
    <xdr:to>
      <xdr:col>1</xdr:col>
      <xdr:colOff>1190625</xdr:colOff>
      <xdr:row>30</xdr:row>
      <xdr:rowOff>990600</xdr:rowOff>
    </xdr:to>
    <xdr:pic>
      <xdr:nvPicPr>
        <xdr:cNvPr id="33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30356175"/>
          <a:ext cx="11334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31</xdr:row>
      <xdr:rowOff>38100</xdr:rowOff>
    </xdr:from>
    <xdr:to>
      <xdr:col>1</xdr:col>
      <xdr:colOff>1219200</xdr:colOff>
      <xdr:row>31</xdr:row>
      <xdr:rowOff>981075</xdr:rowOff>
    </xdr:to>
    <xdr:pic>
      <xdr:nvPicPr>
        <xdr:cNvPr id="34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66325" y="31337250"/>
          <a:ext cx="1133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32</xdr:row>
      <xdr:rowOff>38099</xdr:rowOff>
    </xdr:from>
    <xdr:to>
      <xdr:col>1</xdr:col>
      <xdr:colOff>1171575</xdr:colOff>
      <xdr:row>32</xdr:row>
      <xdr:rowOff>962024</xdr:rowOff>
    </xdr:to>
    <xdr:pic>
      <xdr:nvPicPr>
        <xdr:cNvPr id="35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32346899"/>
          <a:ext cx="11049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37</xdr:row>
      <xdr:rowOff>66675</xdr:rowOff>
    </xdr:from>
    <xdr:to>
      <xdr:col>1</xdr:col>
      <xdr:colOff>1162050</xdr:colOff>
      <xdr:row>37</xdr:row>
      <xdr:rowOff>971550</xdr:rowOff>
    </xdr:to>
    <xdr:pic>
      <xdr:nvPicPr>
        <xdr:cNvPr id="36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37423725"/>
          <a:ext cx="11239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39</xdr:row>
      <xdr:rowOff>66674</xdr:rowOff>
    </xdr:from>
    <xdr:to>
      <xdr:col>1</xdr:col>
      <xdr:colOff>1066801</xdr:colOff>
      <xdr:row>39</xdr:row>
      <xdr:rowOff>914399</xdr:rowOff>
    </xdr:to>
    <xdr:pic>
      <xdr:nvPicPr>
        <xdr:cNvPr id="37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4" y="39443024"/>
          <a:ext cx="9810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19051</xdr:colOff>
      <xdr:row>36</xdr:row>
      <xdr:rowOff>38101</xdr:rowOff>
    </xdr:from>
    <xdr:to>
      <xdr:col>1</xdr:col>
      <xdr:colOff>1209676</xdr:colOff>
      <xdr:row>36</xdr:row>
      <xdr:rowOff>952501</xdr:rowOff>
    </xdr:to>
    <xdr:pic>
      <xdr:nvPicPr>
        <xdr:cNvPr id="38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75849" y="36385501"/>
          <a:ext cx="11906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46</xdr:row>
      <xdr:rowOff>76200</xdr:rowOff>
    </xdr:from>
    <xdr:to>
      <xdr:col>1</xdr:col>
      <xdr:colOff>1162050</xdr:colOff>
      <xdr:row>46</xdr:row>
      <xdr:rowOff>914400</xdr:rowOff>
    </xdr:to>
    <xdr:pic>
      <xdr:nvPicPr>
        <xdr:cNvPr id="39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4652010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504825</xdr:colOff>
      <xdr:row>91</xdr:row>
      <xdr:rowOff>733425</xdr:rowOff>
    </xdr:from>
    <xdr:to>
      <xdr:col>6</xdr:col>
      <xdr:colOff>266700</xdr:colOff>
      <xdr:row>92</xdr:row>
      <xdr:rowOff>685801</xdr:rowOff>
    </xdr:to>
    <xdr:pic>
      <xdr:nvPicPr>
        <xdr:cNvPr id="40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765700" y="92611575"/>
          <a:ext cx="1133475" cy="962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44</xdr:row>
      <xdr:rowOff>66674</xdr:rowOff>
    </xdr:from>
    <xdr:to>
      <xdr:col>1</xdr:col>
      <xdr:colOff>1181100</xdr:colOff>
      <xdr:row>44</xdr:row>
      <xdr:rowOff>942975</xdr:rowOff>
    </xdr:to>
    <xdr:pic>
      <xdr:nvPicPr>
        <xdr:cNvPr id="41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44491274"/>
          <a:ext cx="1123950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38</xdr:row>
      <xdr:rowOff>38100</xdr:rowOff>
    </xdr:from>
    <xdr:to>
      <xdr:col>1</xdr:col>
      <xdr:colOff>1171575</xdr:colOff>
      <xdr:row>38</xdr:row>
      <xdr:rowOff>942975</xdr:rowOff>
    </xdr:to>
    <xdr:pic>
      <xdr:nvPicPr>
        <xdr:cNvPr id="42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38404800"/>
          <a:ext cx="1142999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771525</xdr:colOff>
      <xdr:row>91</xdr:row>
      <xdr:rowOff>409575</xdr:rowOff>
    </xdr:from>
    <xdr:to>
      <xdr:col>4</xdr:col>
      <xdr:colOff>485775</xdr:colOff>
      <xdr:row>92</xdr:row>
      <xdr:rowOff>238125</xdr:rowOff>
    </xdr:to>
    <xdr:pic>
      <xdr:nvPicPr>
        <xdr:cNvPr id="43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918225" y="9228772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48</xdr:row>
      <xdr:rowOff>47625</xdr:rowOff>
    </xdr:from>
    <xdr:to>
      <xdr:col>1</xdr:col>
      <xdr:colOff>1095375</xdr:colOff>
      <xdr:row>48</xdr:row>
      <xdr:rowOff>885825</xdr:rowOff>
    </xdr:to>
    <xdr:pic>
      <xdr:nvPicPr>
        <xdr:cNvPr id="44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0150" y="48510825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49</xdr:row>
      <xdr:rowOff>85725</xdr:rowOff>
    </xdr:from>
    <xdr:to>
      <xdr:col>1</xdr:col>
      <xdr:colOff>1181100</xdr:colOff>
      <xdr:row>49</xdr:row>
      <xdr:rowOff>923925</xdr:rowOff>
    </xdr:to>
    <xdr:pic>
      <xdr:nvPicPr>
        <xdr:cNvPr id="45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49558575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28575</xdr:rowOff>
    </xdr:from>
    <xdr:to>
      <xdr:col>1</xdr:col>
      <xdr:colOff>1190625</xdr:colOff>
      <xdr:row>50</xdr:row>
      <xdr:rowOff>866775</xdr:rowOff>
    </xdr:to>
    <xdr:pic>
      <xdr:nvPicPr>
        <xdr:cNvPr id="46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5051107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43</xdr:row>
      <xdr:rowOff>104775</xdr:rowOff>
    </xdr:from>
    <xdr:to>
      <xdr:col>1</xdr:col>
      <xdr:colOff>1152525</xdr:colOff>
      <xdr:row>43</xdr:row>
      <xdr:rowOff>962024</xdr:rowOff>
    </xdr:to>
    <xdr:pic>
      <xdr:nvPicPr>
        <xdr:cNvPr id="47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43519725"/>
          <a:ext cx="1114425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104776</xdr:colOff>
      <xdr:row>56</xdr:row>
      <xdr:rowOff>85725</xdr:rowOff>
    </xdr:from>
    <xdr:to>
      <xdr:col>1</xdr:col>
      <xdr:colOff>1123951</xdr:colOff>
      <xdr:row>56</xdr:row>
      <xdr:rowOff>923925</xdr:rowOff>
    </xdr:to>
    <xdr:pic>
      <xdr:nvPicPr>
        <xdr:cNvPr id="48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61574" y="56626125"/>
          <a:ext cx="10191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45</xdr:row>
      <xdr:rowOff>76201</xdr:rowOff>
    </xdr:from>
    <xdr:to>
      <xdr:col>1</xdr:col>
      <xdr:colOff>1171575</xdr:colOff>
      <xdr:row>45</xdr:row>
      <xdr:rowOff>990601</xdr:rowOff>
    </xdr:to>
    <xdr:pic>
      <xdr:nvPicPr>
        <xdr:cNvPr id="49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45510451"/>
          <a:ext cx="11049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55</xdr:row>
      <xdr:rowOff>76200</xdr:rowOff>
    </xdr:from>
    <xdr:to>
      <xdr:col>1</xdr:col>
      <xdr:colOff>1143000</xdr:colOff>
      <xdr:row>55</xdr:row>
      <xdr:rowOff>914400</xdr:rowOff>
    </xdr:to>
    <xdr:pic>
      <xdr:nvPicPr>
        <xdr:cNvPr id="50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55606950"/>
          <a:ext cx="1057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47</xdr:row>
      <xdr:rowOff>95249</xdr:rowOff>
    </xdr:from>
    <xdr:to>
      <xdr:col>1</xdr:col>
      <xdr:colOff>1152525</xdr:colOff>
      <xdr:row>47</xdr:row>
      <xdr:rowOff>952500</xdr:rowOff>
    </xdr:to>
    <xdr:pic>
      <xdr:nvPicPr>
        <xdr:cNvPr id="51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47548799"/>
          <a:ext cx="1009650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438150</xdr:colOff>
      <xdr:row>91</xdr:row>
      <xdr:rowOff>847725</xdr:rowOff>
    </xdr:from>
    <xdr:to>
      <xdr:col>7</xdr:col>
      <xdr:colOff>542925</xdr:colOff>
      <xdr:row>92</xdr:row>
      <xdr:rowOff>676275</xdr:rowOff>
    </xdr:to>
    <xdr:pic>
      <xdr:nvPicPr>
        <xdr:cNvPr id="52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803675" y="92725875"/>
          <a:ext cx="790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59</xdr:row>
      <xdr:rowOff>104775</xdr:rowOff>
    </xdr:from>
    <xdr:to>
      <xdr:col>1</xdr:col>
      <xdr:colOff>1095375</xdr:colOff>
      <xdr:row>59</xdr:row>
      <xdr:rowOff>942975</xdr:rowOff>
    </xdr:to>
    <xdr:pic>
      <xdr:nvPicPr>
        <xdr:cNvPr id="53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0150" y="5967412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60</xdr:row>
      <xdr:rowOff>133350</xdr:rowOff>
    </xdr:from>
    <xdr:to>
      <xdr:col>1</xdr:col>
      <xdr:colOff>1143000</xdr:colOff>
      <xdr:row>60</xdr:row>
      <xdr:rowOff>971550</xdr:rowOff>
    </xdr:to>
    <xdr:pic>
      <xdr:nvPicPr>
        <xdr:cNvPr id="54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60712350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61</xdr:row>
      <xdr:rowOff>47625</xdr:rowOff>
    </xdr:from>
    <xdr:to>
      <xdr:col>1</xdr:col>
      <xdr:colOff>1200150</xdr:colOff>
      <xdr:row>61</xdr:row>
      <xdr:rowOff>885825</xdr:rowOff>
    </xdr:to>
    <xdr:pic>
      <xdr:nvPicPr>
        <xdr:cNvPr id="55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6163627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63</xdr:row>
      <xdr:rowOff>38100</xdr:rowOff>
    </xdr:from>
    <xdr:to>
      <xdr:col>1</xdr:col>
      <xdr:colOff>1200150</xdr:colOff>
      <xdr:row>63</xdr:row>
      <xdr:rowOff>876300</xdr:rowOff>
    </xdr:to>
    <xdr:pic>
      <xdr:nvPicPr>
        <xdr:cNvPr id="56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636460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54</xdr:row>
      <xdr:rowOff>66675</xdr:rowOff>
    </xdr:from>
    <xdr:to>
      <xdr:col>1</xdr:col>
      <xdr:colOff>1114425</xdr:colOff>
      <xdr:row>54</xdr:row>
      <xdr:rowOff>942975</xdr:rowOff>
    </xdr:to>
    <xdr:pic>
      <xdr:nvPicPr>
        <xdr:cNvPr id="57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71100" y="54587775"/>
          <a:ext cx="10668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64</xdr:row>
      <xdr:rowOff>9525</xdr:rowOff>
    </xdr:from>
    <xdr:to>
      <xdr:col>1</xdr:col>
      <xdr:colOff>1162050</xdr:colOff>
      <xdr:row>64</xdr:row>
      <xdr:rowOff>914400</xdr:rowOff>
    </xdr:to>
    <xdr:pic>
      <xdr:nvPicPr>
        <xdr:cNvPr id="58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64627125"/>
          <a:ext cx="11049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72</xdr:row>
      <xdr:rowOff>47625</xdr:rowOff>
    </xdr:from>
    <xdr:to>
      <xdr:col>1</xdr:col>
      <xdr:colOff>1190625</xdr:colOff>
      <xdr:row>72</xdr:row>
      <xdr:rowOff>885825</xdr:rowOff>
    </xdr:to>
    <xdr:pic>
      <xdr:nvPicPr>
        <xdr:cNvPr id="59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72742425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73</xdr:row>
      <xdr:rowOff>95250</xdr:rowOff>
    </xdr:from>
    <xdr:to>
      <xdr:col>1</xdr:col>
      <xdr:colOff>1200150</xdr:colOff>
      <xdr:row>73</xdr:row>
      <xdr:rowOff>933450</xdr:rowOff>
    </xdr:to>
    <xdr:pic>
      <xdr:nvPicPr>
        <xdr:cNvPr id="60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73799700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68</xdr:row>
      <xdr:rowOff>47625</xdr:rowOff>
    </xdr:from>
    <xdr:to>
      <xdr:col>1</xdr:col>
      <xdr:colOff>1152525</xdr:colOff>
      <xdr:row>68</xdr:row>
      <xdr:rowOff>885825</xdr:rowOff>
    </xdr:to>
    <xdr:pic>
      <xdr:nvPicPr>
        <xdr:cNvPr id="61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68703825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56</xdr:row>
      <xdr:rowOff>990599</xdr:rowOff>
    </xdr:from>
    <xdr:to>
      <xdr:col>1</xdr:col>
      <xdr:colOff>1133475</xdr:colOff>
      <xdr:row>57</xdr:row>
      <xdr:rowOff>904874</xdr:rowOff>
    </xdr:to>
    <xdr:pic>
      <xdr:nvPicPr>
        <xdr:cNvPr id="62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0" y="57530999"/>
          <a:ext cx="10572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74</xdr:row>
      <xdr:rowOff>76200</xdr:rowOff>
    </xdr:from>
    <xdr:to>
      <xdr:col>1</xdr:col>
      <xdr:colOff>1152525</xdr:colOff>
      <xdr:row>74</xdr:row>
      <xdr:rowOff>914400</xdr:rowOff>
    </xdr:to>
    <xdr:pic>
      <xdr:nvPicPr>
        <xdr:cNvPr id="63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74790300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71</xdr:row>
      <xdr:rowOff>38100</xdr:rowOff>
    </xdr:from>
    <xdr:to>
      <xdr:col>1</xdr:col>
      <xdr:colOff>1200150</xdr:colOff>
      <xdr:row>71</xdr:row>
      <xdr:rowOff>876300</xdr:rowOff>
    </xdr:to>
    <xdr:pic>
      <xdr:nvPicPr>
        <xdr:cNvPr id="64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85375" y="71723250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62</xdr:row>
      <xdr:rowOff>38100</xdr:rowOff>
    </xdr:from>
    <xdr:to>
      <xdr:col>1</xdr:col>
      <xdr:colOff>1123950</xdr:colOff>
      <xdr:row>62</xdr:row>
      <xdr:rowOff>933449</xdr:rowOff>
    </xdr:to>
    <xdr:pic>
      <xdr:nvPicPr>
        <xdr:cNvPr id="65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61575" y="62636400"/>
          <a:ext cx="106680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95249</xdr:colOff>
      <xdr:row>67</xdr:row>
      <xdr:rowOff>38101</xdr:rowOff>
    </xdr:from>
    <xdr:to>
      <xdr:col>1</xdr:col>
      <xdr:colOff>1142999</xdr:colOff>
      <xdr:row>67</xdr:row>
      <xdr:rowOff>933450</xdr:rowOff>
    </xdr:to>
    <xdr:pic>
      <xdr:nvPicPr>
        <xdr:cNvPr id="66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6" y="67684651"/>
          <a:ext cx="104775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75</xdr:row>
      <xdr:rowOff>47625</xdr:rowOff>
    </xdr:from>
    <xdr:to>
      <xdr:col>1</xdr:col>
      <xdr:colOff>1209675</xdr:colOff>
      <xdr:row>75</xdr:row>
      <xdr:rowOff>885825</xdr:rowOff>
    </xdr:to>
    <xdr:pic>
      <xdr:nvPicPr>
        <xdr:cNvPr id="67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75850" y="7577137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69</xdr:row>
      <xdr:rowOff>38099</xdr:rowOff>
    </xdr:from>
    <xdr:to>
      <xdr:col>1</xdr:col>
      <xdr:colOff>1104900</xdr:colOff>
      <xdr:row>69</xdr:row>
      <xdr:rowOff>942974</xdr:rowOff>
    </xdr:to>
    <xdr:pic>
      <xdr:nvPicPr>
        <xdr:cNvPr id="68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80625" y="69703949"/>
          <a:ext cx="9810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70</xdr:row>
      <xdr:rowOff>76200</xdr:rowOff>
    </xdr:from>
    <xdr:to>
      <xdr:col>1</xdr:col>
      <xdr:colOff>1143000</xdr:colOff>
      <xdr:row>70</xdr:row>
      <xdr:rowOff>971550</xdr:rowOff>
    </xdr:to>
    <xdr:pic>
      <xdr:nvPicPr>
        <xdr:cNvPr id="69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70751700"/>
          <a:ext cx="10572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82</xdr:row>
      <xdr:rowOff>47624</xdr:rowOff>
    </xdr:from>
    <xdr:to>
      <xdr:col>1</xdr:col>
      <xdr:colOff>1181099</xdr:colOff>
      <xdr:row>82</xdr:row>
      <xdr:rowOff>933449</xdr:rowOff>
    </xdr:to>
    <xdr:pic>
      <xdr:nvPicPr>
        <xdr:cNvPr id="70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6" y="82838924"/>
          <a:ext cx="10668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84</xdr:row>
      <xdr:rowOff>28575</xdr:rowOff>
    </xdr:from>
    <xdr:to>
      <xdr:col>1</xdr:col>
      <xdr:colOff>1209676</xdr:colOff>
      <xdr:row>84</xdr:row>
      <xdr:rowOff>866775</xdr:rowOff>
    </xdr:to>
    <xdr:pic>
      <xdr:nvPicPr>
        <xdr:cNvPr id="71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75849" y="84839175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85</xdr:row>
      <xdr:rowOff>38099</xdr:rowOff>
    </xdr:from>
    <xdr:to>
      <xdr:col>1</xdr:col>
      <xdr:colOff>1190625</xdr:colOff>
      <xdr:row>85</xdr:row>
      <xdr:rowOff>923924</xdr:rowOff>
    </xdr:to>
    <xdr:pic>
      <xdr:nvPicPr>
        <xdr:cNvPr id="72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85858349"/>
          <a:ext cx="11334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86</xdr:row>
      <xdr:rowOff>66674</xdr:rowOff>
    </xdr:from>
    <xdr:to>
      <xdr:col>1</xdr:col>
      <xdr:colOff>1171575</xdr:colOff>
      <xdr:row>86</xdr:row>
      <xdr:rowOff>952499</xdr:rowOff>
    </xdr:to>
    <xdr:pic>
      <xdr:nvPicPr>
        <xdr:cNvPr id="73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86896574"/>
          <a:ext cx="1076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142874</xdr:colOff>
      <xdr:row>76</xdr:row>
      <xdr:rowOff>57149</xdr:rowOff>
    </xdr:from>
    <xdr:to>
      <xdr:col>1</xdr:col>
      <xdr:colOff>1133474</xdr:colOff>
      <xdr:row>76</xdr:row>
      <xdr:rowOff>933450</xdr:rowOff>
    </xdr:to>
    <xdr:pic>
      <xdr:nvPicPr>
        <xdr:cNvPr id="74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2051" y="76790549"/>
          <a:ext cx="990600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104776</xdr:colOff>
      <xdr:row>77</xdr:row>
      <xdr:rowOff>47625</xdr:rowOff>
    </xdr:from>
    <xdr:to>
      <xdr:col>1</xdr:col>
      <xdr:colOff>1114425</xdr:colOff>
      <xdr:row>77</xdr:row>
      <xdr:rowOff>962025</xdr:rowOff>
    </xdr:to>
    <xdr:pic>
      <xdr:nvPicPr>
        <xdr:cNvPr id="75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71100" y="77790675"/>
          <a:ext cx="100964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78</xdr:row>
      <xdr:rowOff>19050</xdr:rowOff>
    </xdr:from>
    <xdr:to>
      <xdr:col>1</xdr:col>
      <xdr:colOff>1181100</xdr:colOff>
      <xdr:row>78</xdr:row>
      <xdr:rowOff>904874</xdr:rowOff>
    </xdr:to>
    <xdr:pic>
      <xdr:nvPicPr>
        <xdr:cNvPr id="76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78771750"/>
          <a:ext cx="1085850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87</xdr:row>
      <xdr:rowOff>114300</xdr:rowOff>
    </xdr:from>
    <xdr:to>
      <xdr:col>1</xdr:col>
      <xdr:colOff>1162051</xdr:colOff>
      <xdr:row>87</xdr:row>
      <xdr:rowOff>952500</xdr:rowOff>
    </xdr:to>
    <xdr:pic>
      <xdr:nvPicPr>
        <xdr:cNvPr id="77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4" y="8795385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88</xdr:row>
      <xdr:rowOff>28575</xdr:rowOff>
    </xdr:from>
    <xdr:to>
      <xdr:col>1</xdr:col>
      <xdr:colOff>1209675</xdr:colOff>
      <xdr:row>88</xdr:row>
      <xdr:rowOff>866775</xdr:rowOff>
    </xdr:to>
    <xdr:pic>
      <xdr:nvPicPr>
        <xdr:cNvPr id="78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75850" y="8887777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123824</xdr:colOff>
      <xdr:row>80</xdr:row>
      <xdr:rowOff>47625</xdr:rowOff>
    </xdr:from>
    <xdr:to>
      <xdr:col>1</xdr:col>
      <xdr:colOff>1190624</xdr:colOff>
      <xdr:row>80</xdr:row>
      <xdr:rowOff>971551</xdr:rowOff>
    </xdr:to>
    <xdr:pic>
      <xdr:nvPicPr>
        <xdr:cNvPr id="79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1" y="80819625"/>
          <a:ext cx="1066800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91</xdr:row>
      <xdr:rowOff>76200</xdr:rowOff>
    </xdr:from>
    <xdr:to>
      <xdr:col>2</xdr:col>
      <xdr:colOff>1343025</xdr:colOff>
      <xdr:row>91</xdr:row>
      <xdr:rowOff>914400</xdr:rowOff>
    </xdr:to>
    <xdr:pic>
      <xdr:nvPicPr>
        <xdr:cNvPr id="80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75675" y="91954350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304801</xdr:colOff>
      <xdr:row>92</xdr:row>
      <xdr:rowOff>133350</xdr:rowOff>
    </xdr:from>
    <xdr:to>
      <xdr:col>9</xdr:col>
      <xdr:colOff>9526</xdr:colOff>
      <xdr:row>92</xdr:row>
      <xdr:rowOff>971550</xdr:rowOff>
    </xdr:to>
    <xdr:pic>
      <xdr:nvPicPr>
        <xdr:cNvPr id="81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65474" y="9302115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91</xdr:row>
      <xdr:rowOff>942975</xdr:rowOff>
    </xdr:from>
    <xdr:to>
      <xdr:col>2</xdr:col>
      <xdr:colOff>1143000</xdr:colOff>
      <xdr:row>92</xdr:row>
      <xdr:rowOff>800100</xdr:rowOff>
    </xdr:to>
    <xdr:pic>
      <xdr:nvPicPr>
        <xdr:cNvPr id="82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575700" y="92821125"/>
          <a:ext cx="1114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83</xdr:row>
      <xdr:rowOff>28575</xdr:rowOff>
    </xdr:from>
    <xdr:to>
      <xdr:col>1</xdr:col>
      <xdr:colOff>1152524</xdr:colOff>
      <xdr:row>83</xdr:row>
      <xdr:rowOff>952500</xdr:rowOff>
    </xdr:to>
    <xdr:pic>
      <xdr:nvPicPr>
        <xdr:cNvPr id="83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1" y="83829525"/>
          <a:ext cx="101917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89</xdr:row>
      <xdr:rowOff>142875</xdr:rowOff>
    </xdr:from>
    <xdr:to>
      <xdr:col>1</xdr:col>
      <xdr:colOff>1181101</xdr:colOff>
      <xdr:row>89</xdr:row>
      <xdr:rowOff>904875</xdr:rowOff>
    </xdr:to>
    <xdr:pic>
      <xdr:nvPicPr>
        <xdr:cNvPr id="84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4" y="90001725"/>
          <a:ext cx="11334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92</xdr:row>
      <xdr:rowOff>76200</xdr:rowOff>
    </xdr:from>
    <xdr:to>
      <xdr:col>1</xdr:col>
      <xdr:colOff>1171575</xdr:colOff>
      <xdr:row>92</xdr:row>
      <xdr:rowOff>914400</xdr:rowOff>
    </xdr:to>
    <xdr:pic>
      <xdr:nvPicPr>
        <xdr:cNvPr id="85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970026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93</xdr:row>
      <xdr:rowOff>76200</xdr:rowOff>
    </xdr:from>
    <xdr:to>
      <xdr:col>1</xdr:col>
      <xdr:colOff>1143000</xdr:colOff>
      <xdr:row>93</xdr:row>
      <xdr:rowOff>914399</xdr:rowOff>
    </xdr:to>
    <xdr:pic>
      <xdr:nvPicPr>
        <xdr:cNvPr id="86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98012250"/>
          <a:ext cx="9239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94</xdr:row>
      <xdr:rowOff>47625</xdr:rowOff>
    </xdr:from>
    <xdr:to>
      <xdr:col>1</xdr:col>
      <xdr:colOff>1219200</xdr:colOff>
      <xdr:row>94</xdr:row>
      <xdr:rowOff>962025</xdr:rowOff>
    </xdr:to>
    <xdr:pic>
      <xdr:nvPicPr>
        <xdr:cNvPr id="87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66325" y="98993325"/>
          <a:ext cx="11525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95</xdr:row>
      <xdr:rowOff>47624</xdr:rowOff>
    </xdr:from>
    <xdr:to>
      <xdr:col>1</xdr:col>
      <xdr:colOff>1181100</xdr:colOff>
      <xdr:row>95</xdr:row>
      <xdr:rowOff>933449</xdr:rowOff>
    </xdr:to>
    <xdr:pic>
      <xdr:nvPicPr>
        <xdr:cNvPr id="88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100002974"/>
          <a:ext cx="10858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96</xdr:row>
      <xdr:rowOff>19049</xdr:rowOff>
    </xdr:from>
    <xdr:to>
      <xdr:col>1</xdr:col>
      <xdr:colOff>1190625</xdr:colOff>
      <xdr:row>96</xdr:row>
      <xdr:rowOff>923924</xdr:rowOff>
    </xdr:to>
    <xdr:pic>
      <xdr:nvPicPr>
        <xdr:cNvPr id="89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100984049"/>
          <a:ext cx="10858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97</xdr:row>
      <xdr:rowOff>19049</xdr:rowOff>
    </xdr:from>
    <xdr:to>
      <xdr:col>1</xdr:col>
      <xdr:colOff>1171576</xdr:colOff>
      <xdr:row>97</xdr:row>
      <xdr:rowOff>923924</xdr:rowOff>
    </xdr:to>
    <xdr:pic>
      <xdr:nvPicPr>
        <xdr:cNvPr id="90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49" y="101993699"/>
          <a:ext cx="10953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65</xdr:row>
      <xdr:rowOff>38100</xdr:rowOff>
    </xdr:from>
    <xdr:to>
      <xdr:col>1</xdr:col>
      <xdr:colOff>1171575</xdr:colOff>
      <xdr:row>65</xdr:row>
      <xdr:rowOff>904875</xdr:rowOff>
    </xdr:to>
    <xdr:pic>
      <xdr:nvPicPr>
        <xdr:cNvPr id="91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65665350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41</xdr:row>
      <xdr:rowOff>123825</xdr:rowOff>
    </xdr:from>
    <xdr:to>
      <xdr:col>1</xdr:col>
      <xdr:colOff>1152525</xdr:colOff>
      <xdr:row>41</xdr:row>
      <xdr:rowOff>962025</xdr:rowOff>
    </xdr:to>
    <xdr:pic>
      <xdr:nvPicPr>
        <xdr:cNvPr id="92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415194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51</xdr:row>
      <xdr:rowOff>28575</xdr:rowOff>
    </xdr:from>
    <xdr:to>
      <xdr:col>1</xdr:col>
      <xdr:colOff>1181100</xdr:colOff>
      <xdr:row>51</xdr:row>
      <xdr:rowOff>942975</xdr:rowOff>
    </xdr:to>
    <xdr:pic>
      <xdr:nvPicPr>
        <xdr:cNvPr id="93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51520725"/>
          <a:ext cx="1123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52</xdr:row>
      <xdr:rowOff>57150</xdr:rowOff>
    </xdr:from>
    <xdr:to>
      <xdr:col>1</xdr:col>
      <xdr:colOff>1190625</xdr:colOff>
      <xdr:row>52</xdr:row>
      <xdr:rowOff>952500</xdr:rowOff>
    </xdr:to>
    <xdr:pic>
      <xdr:nvPicPr>
        <xdr:cNvPr id="94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52558950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53</xdr:row>
      <xdr:rowOff>57150</xdr:rowOff>
    </xdr:from>
    <xdr:to>
      <xdr:col>1</xdr:col>
      <xdr:colOff>1190625</xdr:colOff>
      <xdr:row>53</xdr:row>
      <xdr:rowOff>952500</xdr:rowOff>
    </xdr:to>
    <xdr:pic>
      <xdr:nvPicPr>
        <xdr:cNvPr id="95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53568600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58</xdr:row>
      <xdr:rowOff>38099</xdr:rowOff>
    </xdr:from>
    <xdr:to>
      <xdr:col>1</xdr:col>
      <xdr:colOff>1171575</xdr:colOff>
      <xdr:row>58</xdr:row>
      <xdr:rowOff>942974</xdr:rowOff>
    </xdr:to>
    <xdr:pic>
      <xdr:nvPicPr>
        <xdr:cNvPr id="96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58597799"/>
          <a:ext cx="1066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66675</xdr:rowOff>
    </xdr:from>
    <xdr:to>
      <xdr:col>1</xdr:col>
      <xdr:colOff>1181100</xdr:colOff>
      <xdr:row>79</xdr:row>
      <xdr:rowOff>904875</xdr:rowOff>
    </xdr:to>
    <xdr:pic>
      <xdr:nvPicPr>
        <xdr:cNvPr id="97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798290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81</xdr:row>
      <xdr:rowOff>76200</xdr:rowOff>
    </xdr:from>
    <xdr:to>
      <xdr:col>1</xdr:col>
      <xdr:colOff>1228725</xdr:colOff>
      <xdr:row>81</xdr:row>
      <xdr:rowOff>914400</xdr:rowOff>
    </xdr:to>
    <xdr:pic>
      <xdr:nvPicPr>
        <xdr:cNvPr id="98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56800" y="81857850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66</xdr:row>
      <xdr:rowOff>38100</xdr:rowOff>
    </xdr:from>
    <xdr:to>
      <xdr:col>1</xdr:col>
      <xdr:colOff>1171575</xdr:colOff>
      <xdr:row>66</xdr:row>
      <xdr:rowOff>904875</xdr:rowOff>
    </xdr:to>
    <xdr:pic>
      <xdr:nvPicPr>
        <xdr:cNvPr id="99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66675000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5</xdr:row>
      <xdr:rowOff>123825</xdr:rowOff>
    </xdr:from>
    <xdr:to>
      <xdr:col>1</xdr:col>
      <xdr:colOff>1171575</xdr:colOff>
      <xdr:row>5</xdr:row>
      <xdr:rowOff>962025</xdr:rowOff>
    </xdr:to>
    <xdr:pic>
      <xdr:nvPicPr>
        <xdr:cNvPr id="101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517207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29</xdr:row>
      <xdr:rowOff>66675</xdr:rowOff>
    </xdr:from>
    <xdr:to>
      <xdr:col>1</xdr:col>
      <xdr:colOff>1143000</xdr:colOff>
      <xdr:row>29</xdr:row>
      <xdr:rowOff>981075</xdr:rowOff>
    </xdr:to>
    <xdr:pic>
      <xdr:nvPicPr>
        <xdr:cNvPr id="102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42525" y="293465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35</xdr:row>
      <xdr:rowOff>47625</xdr:rowOff>
    </xdr:from>
    <xdr:to>
      <xdr:col>1</xdr:col>
      <xdr:colOff>1162050</xdr:colOff>
      <xdr:row>35</xdr:row>
      <xdr:rowOff>962025</xdr:rowOff>
    </xdr:to>
    <xdr:pic>
      <xdr:nvPicPr>
        <xdr:cNvPr id="103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3538537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25</xdr:row>
      <xdr:rowOff>66675</xdr:rowOff>
    </xdr:from>
    <xdr:to>
      <xdr:col>1</xdr:col>
      <xdr:colOff>1181100</xdr:colOff>
      <xdr:row>25</xdr:row>
      <xdr:rowOff>981075</xdr:rowOff>
    </xdr:to>
    <xdr:pic>
      <xdr:nvPicPr>
        <xdr:cNvPr id="104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04425" y="253079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hmoud/Desktop/&#1578;&#1587;&#1608;&#1610;&#1577;%20&#1590;&#1585;&#1610;&#1576;&#1610;&#1577;%20&#1575;&#1604;&#1593;&#1575;&#1605;&#1604;&#1610;&#1606;%20&#1603;&#1604;&#1610;&#1577;%20&#1578;&#1582;&#1589;&#1589;&#1610;&#1577;%202&#1575;&#1604;&#1591;&#1576;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\&#1578;&#1587;&#1608;&#1610;&#1577;%20&#1590;&#1585;&#1610;&#1576;&#1610;&#1577;%20&#1575;&#1604;&#1593;&#1575;&#1605;&#1604;&#1610;&#1606;%20&#1603;&#1604;&#1610;&#1577;%20&#1578;&#1582;&#1589;&#1589;&#1610;&#1577;%202&#1575;&#1604;&#1591;&#1576;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شامل الضريبة2017 (6)"/>
      <sheetName val="اجمالي الضريبة المستحخقة 2017"/>
      <sheetName val="شامل الضريبة2017 (5)"/>
      <sheetName val="التسوية الضريبية _2017"/>
      <sheetName val="بيانات التسوية الضريبية"/>
    </sheetNames>
    <sheetDataSet>
      <sheetData sheetId="0" refreshError="1"/>
      <sheetData sheetId="1" refreshError="1"/>
      <sheetData sheetId="2" refreshError="1"/>
      <sheetData sheetId="3" refreshError="1">
        <row r="18">
          <cell r="C18">
            <v>1581.2299999999998</v>
          </cell>
          <cell r="M18">
            <v>5.2499999999999991</v>
          </cell>
          <cell r="N18">
            <v>9.120000000000001</v>
          </cell>
        </row>
        <row r="34">
          <cell r="C34">
            <v>2206.1999999999998</v>
          </cell>
          <cell r="M34">
            <v>9.4999999999999982</v>
          </cell>
          <cell r="N34">
            <v>57.080000000000005</v>
          </cell>
        </row>
        <row r="50">
          <cell r="C50">
            <v>2283.42</v>
          </cell>
          <cell r="M50">
            <v>10</v>
          </cell>
          <cell r="N50">
            <v>107.35000000000002</v>
          </cell>
        </row>
        <row r="65">
          <cell r="C65">
            <v>2199.16</v>
          </cell>
          <cell r="M65">
            <v>9.9</v>
          </cell>
          <cell r="N65">
            <v>82.880000000000024</v>
          </cell>
        </row>
        <row r="82">
          <cell r="C82">
            <v>2276.1999999999998</v>
          </cell>
          <cell r="M82">
            <v>9.6499999999999986</v>
          </cell>
          <cell r="N82">
            <v>64.78</v>
          </cell>
        </row>
        <row r="98">
          <cell r="C98">
            <v>2267.3100000000004</v>
          </cell>
          <cell r="M98">
            <v>9.9500000000000011</v>
          </cell>
          <cell r="N98">
            <v>80.820000000000007</v>
          </cell>
        </row>
        <row r="112">
          <cell r="C112">
            <v>1769.8500000000001</v>
          </cell>
          <cell r="M112">
            <v>6.6999999999999993</v>
          </cell>
          <cell r="N112">
            <v>36.18</v>
          </cell>
        </row>
        <row r="131">
          <cell r="C131">
            <v>3028.09</v>
          </cell>
          <cell r="M131">
            <v>13.799999999999999</v>
          </cell>
          <cell r="N131">
            <v>112.61000000000001</v>
          </cell>
        </row>
        <row r="148">
          <cell r="C148">
            <v>2396.38</v>
          </cell>
          <cell r="M148">
            <v>10.55</v>
          </cell>
          <cell r="N148">
            <v>84.880000000000024</v>
          </cell>
        </row>
        <row r="169">
          <cell r="C169">
            <v>5176.57</v>
          </cell>
          <cell r="M169">
            <v>27.75</v>
          </cell>
          <cell r="N169">
            <v>221.23</v>
          </cell>
        </row>
        <row r="185">
          <cell r="C185">
            <v>2468.36</v>
          </cell>
          <cell r="M185">
            <v>11.300000000000002</v>
          </cell>
          <cell r="N185">
            <v>128.54999999999998</v>
          </cell>
        </row>
        <row r="187">
          <cell r="M187">
            <v>0.3</v>
          </cell>
          <cell r="N187">
            <v>6.23</v>
          </cell>
        </row>
        <row r="191">
          <cell r="M191">
            <v>1.45</v>
          </cell>
          <cell r="N191">
            <v>20.94</v>
          </cell>
        </row>
        <row r="192">
          <cell r="M192">
            <v>0.3</v>
          </cell>
          <cell r="N192">
            <v>0.25</v>
          </cell>
        </row>
        <row r="194">
          <cell r="M194">
            <v>0.3</v>
          </cell>
          <cell r="N194">
            <v>1.7</v>
          </cell>
        </row>
        <row r="195">
          <cell r="M195">
            <v>1.45</v>
          </cell>
          <cell r="N195">
            <v>4.8499999999999996</v>
          </cell>
        </row>
        <row r="197">
          <cell r="M197">
            <v>0.3</v>
          </cell>
          <cell r="N197">
            <v>1.7</v>
          </cell>
        </row>
        <row r="200">
          <cell r="M200">
            <v>0.3</v>
          </cell>
          <cell r="N200">
            <v>1.7</v>
          </cell>
        </row>
        <row r="202">
          <cell r="C202">
            <v>2445.77</v>
          </cell>
          <cell r="M202">
            <v>10.8</v>
          </cell>
          <cell r="N202">
            <v>99.499999999999986</v>
          </cell>
        </row>
        <row r="217">
          <cell r="C217">
            <v>2252.8599999999997</v>
          </cell>
          <cell r="M217">
            <v>10.150000000000002</v>
          </cell>
          <cell r="N217">
            <v>88.080000000000013</v>
          </cell>
        </row>
        <row r="233">
          <cell r="C233">
            <v>2272.6800000000003</v>
          </cell>
          <cell r="M233">
            <v>9.9500000000000011</v>
          </cell>
          <cell r="N233">
            <v>111.73000000000002</v>
          </cell>
        </row>
        <row r="243">
          <cell r="C243">
            <v>1612.5</v>
          </cell>
          <cell r="M243">
            <v>7.2000000000000011</v>
          </cell>
          <cell r="N243">
            <v>19.34</v>
          </cell>
        </row>
        <row r="260">
          <cell r="C260">
            <v>2158.52</v>
          </cell>
          <cell r="N260">
            <v>42.41</v>
          </cell>
        </row>
        <row r="262">
          <cell r="M262">
            <v>0.3</v>
          </cell>
          <cell r="N262">
            <v>1.7</v>
          </cell>
        </row>
        <row r="276">
          <cell r="C276">
            <v>2410.38</v>
          </cell>
          <cell r="M276">
            <v>11.3</v>
          </cell>
          <cell r="N276">
            <v>101.04</v>
          </cell>
        </row>
        <row r="292">
          <cell r="C292">
            <v>2304.8999999999996</v>
          </cell>
          <cell r="M292">
            <v>10.200000000000001</v>
          </cell>
          <cell r="N292">
            <v>91.660000000000025</v>
          </cell>
        </row>
        <row r="294">
          <cell r="M294">
            <v>0.25</v>
          </cell>
        </row>
        <row r="295">
          <cell r="M295">
            <v>0.25</v>
          </cell>
        </row>
        <row r="296">
          <cell r="M296">
            <v>0.25</v>
          </cell>
          <cell r="N296">
            <v>8.08</v>
          </cell>
        </row>
        <row r="297">
          <cell r="M297">
            <v>1.95</v>
          </cell>
          <cell r="N297">
            <v>13.95</v>
          </cell>
        </row>
        <row r="308">
          <cell r="C308">
            <v>2152.5</v>
          </cell>
          <cell r="M308">
            <v>8.7000000000000011</v>
          </cell>
          <cell r="N308">
            <v>40.17</v>
          </cell>
        </row>
        <row r="323">
          <cell r="C323">
            <v>2172.3100000000004</v>
          </cell>
          <cell r="M323">
            <v>9.6499999999999986</v>
          </cell>
          <cell r="N323">
            <v>62.2</v>
          </cell>
        </row>
        <row r="343">
          <cell r="C343">
            <v>3317.0199999999995</v>
          </cell>
          <cell r="M343">
            <v>15.45</v>
          </cell>
          <cell r="N343">
            <v>78.37</v>
          </cell>
        </row>
        <row r="369">
          <cell r="C369">
            <v>3537.3100000000004</v>
          </cell>
          <cell r="M369">
            <v>14.499999999999998</v>
          </cell>
          <cell r="N369">
            <v>138.15999999999997</v>
          </cell>
        </row>
        <row r="386">
          <cell r="C386">
            <v>2486.8599999999997</v>
          </cell>
          <cell r="M386">
            <v>11.000000000000004</v>
          </cell>
          <cell r="N386">
            <v>84.080000000000013</v>
          </cell>
        </row>
        <row r="394">
          <cell r="C394">
            <v>1411.02</v>
          </cell>
          <cell r="M394">
            <v>6.6499999999999995</v>
          </cell>
          <cell r="N394">
            <v>7.55</v>
          </cell>
        </row>
        <row r="410">
          <cell r="C410">
            <v>2222.3100000000004</v>
          </cell>
          <cell r="M410">
            <v>9.4999999999999982</v>
          </cell>
          <cell r="N410">
            <v>61.650000000000006</v>
          </cell>
        </row>
        <row r="422">
          <cell r="C422">
            <v>1641.2399999999998</v>
          </cell>
          <cell r="M422">
            <v>7.0500000000000007</v>
          </cell>
          <cell r="N422">
            <v>11.290000000000001</v>
          </cell>
        </row>
        <row r="439">
          <cell r="C439">
            <v>2347.8599999999997</v>
          </cell>
          <cell r="M439">
            <v>10.450000000000003</v>
          </cell>
          <cell r="N439">
            <v>95.860000000000014</v>
          </cell>
        </row>
        <row r="444">
          <cell r="M444">
            <v>2.0499999999999998</v>
          </cell>
        </row>
        <row r="453">
          <cell r="M453">
            <v>1.4</v>
          </cell>
        </row>
        <row r="456">
          <cell r="C456">
            <v>2485.3100000000004</v>
          </cell>
          <cell r="M456">
            <v>10.899999999999999</v>
          </cell>
          <cell r="N456">
            <v>66.350000000000009</v>
          </cell>
        </row>
        <row r="470">
          <cell r="C470">
            <v>1420.06</v>
          </cell>
          <cell r="M470">
            <v>5.0499999999999989</v>
          </cell>
          <cell r="N470">
            <v>0</v>
          </cell>
        </row>
        <row r="486">
          <cell r="C486">
            <v>2304.8999999999996</v>
          </cell>
          <cell r="M486">
            <v>10.200000000000001</v>
          </cell>
          <cell r="N486">
            <v>88.560000000000016</v>
          </cell>
        </row>
        <row r="508">
          <cell r="C508">
            <v>3537.3100000000004</v>
          </cell>
          <cell r="M508">
            <v>16.5</v>
          </cell>
          <cell r="N508">
            <v>152.70000000000002</v>
          </cell>
        </row>
        <row r="509">
          <cell r="M509">
            <v>0.25</v>
          </cell>
          <cell r="N509">
            <v>1.61</v>
          </cell>
        </row>
        <row r="513">
          <cell r="M513">
            <v>2.0499999999999998</v>
          </cell>
          <cell r="N513">
            <v>19.86</v>
          </cell>
        </row>
        <row r="515">
          <cell r="N515">
            <v>0.44</v>
          </cell>
        </row>
        <row r="524">
          <cell r="C524">
            <v>2186.1999999999998</v>
          </cell>
          <cell r="M524">
            <v>9.3999999999999986</v>
          </cell>
          <cell r="N524">
            <v>64.78</v>
          </cell>
        </row>
        <row r="540">
          <cell r="C540">
            <v>2227.6800000000003</v>
          </cell>
          <cell r="M540">
            <v>9.4999999999999982</v>
          </cell>
          <cell r="N540">
            <v>92.4</v>
          </cell>
        </row>
        <row r="565">
          <cell r="C565">
            <v>5100.82</v>
          </cell>
          <cell r="M565">
            <v>27.1</v>
          </cell>
          <cell r="N565">
            <v>230.69000000000003</v>
          </cell>
        </row>
        <row r="583">
          <cell r="C583">
            <v>1630.2</v>
          </cell>
          <cell r="M583">
            <v>6.6999999999999993</v>
          </cell>
          <cell r="N583">
            <v>35.129999999999995</v>
          </cell>
        </row>
        <row r="584">
          <cell r="M584">
            <v>0.3</v>
          </cell>
        </row>
        <row r="588">
          <cell r="M588">
            <v>0.3</v>
          </cell>
        </row>
        <row r="589">
          <cell r="M589">
            <v>0.2</v>
          </cell>
        </row>
        <row r="591">
          <cell r="M591">
            <v>1.45</v>
          </cell>
        </row>
        <row r="600">
          <cell r="C600">
            <v>2164.6799999999998</v>
          </cell>
          <cell r="M600">
            <v>8.85</v>
          </cell>
          <cell r="N600">
            <v>44.37</v>
          </cell>
        </row>
        <row r="603">
          <cell r="N603">
            <v>7.02</v>
          </cell>
        </row>
        <row r="604">
          <cell r="N604">
            <v>5.0199999999999996</v>
          </cell>
        </row>
        <row r="606">
          <cell r="N606">
            <v>21.75</v>
          </cell>
        </row>
        <row r="613">
          <cell r="C613">
            <v>1859.74</v>
          </cell>
          <cell r="M613">
            <v>8.75</v>
          </cell>
          <cell r="N613">
            <v>82.050000000000011</v>
          </cell>
        </row>
        <row r="629">
          <cell r="C629">
            <v>2199.3599999999997</v>
          </cell>
          <cell r="M629">
            <v>8.65</v>
          </cell>
          <cell r="N629">
            <v>25.999999999999996</v>
          </cell>
        </row>
        <row r="645">
          <cell r="C645">
            <v>2105.46</v>
          </cell>
          <cell r="M645">
            <v>9.0500000000000007</v>
          </cell>
          <cell r="N645">
            <v>70.87</v>
          </cell>
        </row>
        <row r="660">
          <cell r="C660">
            <v>2340.3100000000004</v>
          </cell>
          <cell r="M660">
            <v>10.750000000000002</v>
          </cell>
          <cell r="N660">
            <v>86.000000000000014</v>
          </cell>
        </row>
        <row r="671">
          <cell r="C671">
            <v>1740.0900000000001</v>
          </cell>
          <cell r="M671">
            <v>8.0500000000000007</v>
          </cell>
          <cell r="N671">
            <v>67.87</v>
          </cell>
        </row>
        <row r="676">
          <cell r="M676">
            <v>0.25</v>
          </cell>
        </row>
        <row r="677">
          <cell r="M677">
            <v>2</v>
          </cell>
        </row>
        <row r="678">
          <cell r="M678">
            <v>1.35</v>
          </cell>
        </row>
        <row r="681">
          <cell r="M681">
            <v>0.25</v>
          </cell>
        </row>
        <row r="693">
          <cell r="C693">
            <v>3475.09</v>
          </cell>
          <cell r="M693">
            <v>16.05</v>
          </cell>
          <cell r="N693">
            <v>161.54999999999998</v>
          </cell>
        </row>
        <row r="709">
          <cell r="C709">
            <v>2173.98</v>
          </cell>
          <cell r="M709">
            <v>9.2000000000000011</v>
          </cell>
          <cell r="N709">
            <v>52.809999999999995</v>
          </cell>
        </row>
        <row r="712">
          <cell r="N712">
            <v>8.52</v>
          </cell>
        </row>
        <row r="713">
          <cell r="N713">
            <v>8.52</v>
          </cell>
        </row>
        <row r="714">
          <cell r="N714">
            <v>35.54</v>
          </cell>
        </row>
        <row r="717">
          <cell r="N717">
            <v>1.55</v>
          </cell>
        </row>
        <row r="719">
          <cell r="N719">
            <v>5.15</v>
          </cell>
        </row>
        <row r="725">
          <cell r="C725">
            <v>2401.5600000000004</v>
          </cell>
          <cell r="M725">
            <v>10.800000000000002</v>
          </cell>
          <cell r="N725">
            <v>118.12000000000002</v>
          </cell>
        </row>
        <row r="742">
          <cell r="C742">
            <v>2326.38</v>
          </cell>
          <cell r="M742">
            <v>10.4</v>
          </cell>
          <cell r="N742">
            <v>61.420000000000016</v>
          </cell>
        </row>
        <row r="760">
          <cell r="C760">
            <v>3128.8199999999997</v>
          </cell>
          <cell r="M760">
            <v>14.850000000000001</v>
          </cell>
        </row>
        <row r="782">
          <cell r="C782">
            <v>3689.61</v>
          </cell>
          <cell r="M782">
            <v>17.850000000000001</v>
          </cell>
          <cell r="N782">
            <v>189.05</v>
          </cell>
        </row>
        <row r="799">
          <cell r="C799">
            <v>2206.1999999999998</v>
          </cell>
          <cell r="M799">
            <v>9.4999999999999982</v>
          </cell>
          <cell r="N799">
            <v>57.819999999999993</v>
          </cell>
        </row>
        <row r="820">
          <cell r="C820">
            <v>3475.09</v>
          </cell>
          <cell r="M820">
            <v>16.05</v>
          </cell>
          <cell r="N820">
            <v>181.51999999999998</v>
          </cell>
        </row>
        <row r="841">
          <cell r="C841">
            <v>2208.0699999999997</v>
          </cell>
          <cell r="M841">
            <v>7.6499999999999986</v>
          </cell>
          <cell r="N841">
            <v>7.0299999999999994</v>
          </cell>
        </row>
        <row r="857">
          <cell r="C857">
            <v>2285.08</v>
          </cell>
          <cell r="M857">
            <v>10.450000000000003</v>
          </cell>
          <cell r="N857">
            <v>100.54000000000002</v>
          </cell>
        </row>
        <row r="877">
          <cell r="C877">
            <v>2034.52</v>
          </cell>
          <cell r="M877">
            <v>7.1000000000000005</v>
          </cell>
          <cell r="N877">
            <v>0.18</v>
          </cell>
        </row>
        <row r="896">
          <cell r="C896">
            <v>2776.47</v>
          </cell>
          <cell r="M896">
            <v>12.15</v>
          </cell>
          <cell r="N896">
            <v>124.17</v>
          </cell>
        </row>
        <row r="917">
          <cell r="C917">
            <v>3287.0000000000005</v>
          </cell>
          <cell r="M917">
            <v>15.3</v>
          </cell>
          <cell r="N917">
            <v>131.66999999999999</v>
          </cell>
        </row>
        <row r="934">
          <cell r="C934">
            <v>2283.42</v>
          </cell>
          <cell r="M934">
            <v>10</v>
          </cell>
          <cell r="N934">
            <v>76.310000000000016</v>
          </cell>
        </row>
        <row r="949">
          <cell r="C949">
            <v>2116.1999999999998</v>
          </cell>
          <cell r="M949">
            <v>9.2499999999999982</v>
          </cell>
          <cell r="N949">
            <v>60.519999999999989</v>
          </cell>
        </row>
        <row r="965">
          <cell r="C965">
            <v>2206.1999999999998</v>
          </cell>
          <cell r="M965">
            <v>9.4999999999999982</v>
          </cell>
          <cell r="N965">
            <v>58.68</v>
          </cell>
        </row>
        <row r="967">
          <cell r="M967">
            <v>0.25</v>
          </cell>
          <cell r="N967">
            <v>1.61</v>
          </cell>
        </row>
        <row r="972">
          <cell r="N972">
            <v>6.34</v>
          </cell>
        </row>
        <row r="987">
          <cell r="C987">
            <v>3423.24</v>
          </cell>
          <cell r="M987">
            <v>15.899999999999999</v>
          </cell>
          <cell r="N987">
            <v>110.72</v>
          </cell>
        </row>
        <row r="1003">
          <cell r="C1003">
            <v>2173.98</v>
          </cell>
          <cell r="M1003">
            <v>9.2000000000000011</v>
          </cell>
          <cell r="N1003">
            <v>68.989999999999995</v>
          </cell>
        </row>
        <row r="1006">
          <cell r="M1006">
            <v>0.3</v>
          </cell>
        </row>
        <row r="1021">
          <cell r="C1021">
            <v>2565.8699999999994</v>
          </cell>
          <cell r="M1021">
            <v>11.6</v>
          </cell>
          <cell r="N1021">
            <v>123.66000000000001</v>
          </cell>
        </row>
        <row r="1040">
          <cell r="C1040">
            <v>2711.4199999999996</v>
          </cell>
          <cell r="M1040">
            <v>11.799999999999999</v>
          </cell>
          <cell r="N1040">
            <v>80.05</v>
          </cell>
        </row>
        <row r="1053">
          <cell r="C1053">
            <v>1909.3500000000001</v>
          </cell>
          <cell r="M1053">
            <v>8.5500000000000007</v>
          </cell>
          <cell r="N1053">
            <v>25.549999999999997</v>
          </cell>
        </row>
        <row r="1069">
          <cell r="C1069">
            <v>2206.1999999999998</v>
          </cell>
          <cell r="M1069">
            <v>9.4999999999999982</v>
          </cell>
          <cell r="N1069">
            <v>58.68</v>
          </cell>
        </row>
        <row r="1085">
          <cell r="C1085">
            <v>2184.7199999999998</v>
          </cell>
          <cell r="M1085">
            <v>9.3000000000000007</v>
          </cell>
          <cell r="N1085">
            <v>46.83</v>
          </cell>
        </row>
        <row r="1102">
          <cell r="C1102">
            <v>3107.55</v>
          </cell>
          <cell r="M1102">
            <v>15.700000000000005</v>
          </cell>
          <cell r="N1102">
            <v>146.24999999999997</v>
          </cell>
        </row>
        <row r="1103">
          <cell r="M1103">
            <v>0.25</v>
          </cell>
          <cell r="N1103">
            <v>1.61</v>
          </cell>
        </row>
        <row r="1104">
          <cell r="M1104">
            <v>0.25</v>
          </cell>
        </row>
        <row r="1105">
          <cell r="M1105">
            <v>0.25</v>
          </cell>
          <cell r="N1105">
            <v>8.08</v>
          </cell>
        </row>
        <row r="1106">
          <cell r="M1106">
            <v>1.4</v>
          </cell>
          <cell r="N1106">
            <v>11.03</v>
          </cell>
        </row>
        <row r="1109">
          <cell r="M1109">
            <v>1.4</v>
          </cell>
          <cell r="N1109">
            <v>11.99</v>
          </cell>
        </row>
        <row r="1110">
          <cell r="M1110">
            <v>0.25</v>
          </cell>
          <cell r="N1110">
            <v>0.44</v>
          </cell>
        </row>
        <row r="1119">
          <cell r="C1119">
            <v>2466.1999999999998</v>
          </cell>
          <cell r="M1119">
            <v>10.9</v>
          </cell>
          <cell r="N1119">
            <v>79.25</v>
          </cell>
        </row>
        <row r="1135">
          <cell r="C1135">
            <v>2206.1999999999998</v>
          </cell>
          <cell r="M1135">
            <v>9.4999999999999982</v>
          </cell>
          <cell r="N1135">
            <v>58.68</v>
          </cell>
        </row>
        <row r="1151">
          <cell r="C1151">
            <v>2027.38</v>
          </cell>
          <cell r="M1151">
            <v>8.2999999999999989</v>
          </cell>
          <cell r="N1151">
            <v>23.69</v>
          </cell>
        </row>
        <row r="1168">
          <cell r="C1168">
            <v>2292.3100000000004</v>
          </cell>
          <cell r="M1168">
            <v>9.6499999999999986</v>
          </cell>
          <cell r="N1168">
            <v>69.2</v>
          </cell>
        </row>
        <row r="1185">
          <cell r="C1185">
            <v>2428.6000000000004</v>
          </cell>
          <cell r="M1185">
            <v>10.650000000000002</v>
          </cell>
          <cell r="N1185">
            <v>98.910000000000025</v>
          </cell>
        </row>
        <row r="1196">
          <cell r="C1196">
            <v>1637.9999999999998</v>
          </cell>
          <cell r="M1196">
            <v>7.6499999999999995</v>
          </cell>
          <cell r="N1196">
            <v>50.860000000000007</v>
          </cell>
        </row>
        <row r="1212">
          <cell r="C1212">
            <v>2179.3500000000004</v>
          </cell>
          <cell r="M1212">
            <v>9.3000000000000007</v>
          </cell>
          <cell r="N1212">
            <v>40.419999999999995</v>
          </cell>
        </row>
        <row r="1218">
          <cell r="M1218">
            <v>1.55</v>
          </cell>
          <cell r="N1218">
            <v>20.22</v>
          </cell>
        </row>
        <row r="1221">
          <cell r="N1221">
            <v>1.7</v>
          </cell>
        </row>
        <row r="1228">
          <cell r="C1228">
            <v>2374.71</v>
          </cell>
          <cell r="M1228">
            <v>10.750000000000002</v>
          </cell>
          <cell r="N1228">
            <v>91.28</v>
          </cell>
        </row>
        <row r="1245">
          <cell r="C1245">
            <v>2545.5600000000004</v>
          </cell>
          <cell r="M1245">
            <v>11.400000000000002</v>
          </cell>
          <cell r="N1245">
            <v>120.87000000000002</v>
          </cell>
        </row>
        <row r="1261">
          <cell r="C1261">
            <v>2331.75</v>
          </cell>
          <cell r="M1261">
            <v>10.4</v>
          </cell>
          <cell r="N1261">
            <v>85.510000000000019</v>
          </cell>
        </row>
        <row r="1280">
          <cell r="C1280">
            <v>3029.1000000000004</v>
          </cell>
          <cell r="M1280">
            <v>13.800000000000002</v>
          </cell>
          <cell r="N1280">
            <v>100.30000000000003</v>
          </cell>
        </row>
        <row r="1295">
          <cell r="C1295">
            <v>2035.7299999999998</v>
          </cell>
          <cell r="M1295">
            <v>8.7999999999999989</v>
          </cell>
          <cell r="N1295">
            <v>86.79</v>
          </cell>
        </row>
        <row r="1311">
          <cell r="C1311">
            <v>2131.02</v>
          </cell>
          <cell r="M1311">
            <v>8.65</v>
          </cell>
          <cell r="N1311">
            <v>1.96</v>
          </cell>
        </row>
        <row r="1313">
          <cell r="M1313">
            <v>0.25</v>
          </cell>
        </row>
        <row r="1327">
          <cell r="C1327">
            <v>2168.31</v>
          </cell>
          <cell r="M1327">
            <v>9.2000000000000011</v>
          </cell>
          <cell r="N1327">
            <v>25.099999999999998</v>
          </cell>
        </row>
        <row r="1341">
          <cell r="C1341">
            <v>2266.37</v>
          </cell>
          <cell r="M1341">
            <v>10.749999999999998</v>
          </cell>
          <cell r="N1341">
            <v>49.52</v>
          </cell>
        </row>
        <row r="1357">
          <cell r="C1357">
            <v>2331.75</v>
          </cell>
          <cell r="M1357">
            <v>10.4</v>
          </cell>
          <cell r="N1357">
            <v>86.810000000000031</v>
          </cell>
        </row>
        <row r="1371">
          <cell r="C1371">
            <v>1878.21</v>
          </cell>
          <cell r="M1371">
            <v>7.9</v>
          </cell>
          <cell r="N1371">
            <v>57.83</v>
          </cell>
        </row>
        <row r="1383">
          <cell r="C1383">
            <v>1846.2</v>
          </cell>
          <cell r="M1383">
            <v>8.4999999999999982</v>
          </cell>
          <cell r="N1383">
            <v>55.750000000000007</v>
          </cell>
        </row>
        <row r="1397">
          <cell r="C1397">
            <v>2196.1999999999998</v>
          </cell>
          <cell r="M1397">
            <v>10.149999999999999</v>
          </cell>
          <cell r="N1397">
            <v>78.83</v>
          </cell>
        </row>
        <row r="1413">
          <cell r="C1413">
            <v>2310.27</v>
          </cell>
          <cell r="M1413">
            <v>10.25</v>
          </cell>
          <cell r="N1413">
            <v>83.139999999999986</v>
          </cell>
        </row>
        <row r="1429">
          <cell r="C1429">
            <v>2206.1999999999998</v>
          </cell>
          <cell r="M1429">
            <v>9.4999999999999982</v>
          </cell>
          <cell r="N1429">
            <v>58.68</v>
          </cell>
        </row>
        <row r="1443">
          <cell r="C1443">
            <v>2006.2</v>
          </cell>
          <cell r="M1443">
            <v>8.8999999999999986</v>
          </cell>
          <cell r="N1443">
            <v>60.680000000000007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ضريبة المستحخقة 20 (2)"/>
      <sheetName val="شامل الضريبة2017 (6)"/>
      <sheetName val="اجمالي الضريبة المستحخقة 2017"/>
      <sheetName val="شامل الضريبة2017 (5)"/>
      <sheetName val="التسوية الضريبية _2017"/>
      <sheetName val="ورقة عمل تسوية"/>
      <sheetName val="بيانات التسوية الضريبية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26801172500049</v>
          </cell>
          <cell r="B3">
            <v>1</v>
          </cell>
          <cell r="C3" t="str">
            <v>احلام محمد عبد العزيز عبد العواض</v>
          </cell>
          <cell r="D3">
            <v>1818.93</v>
          </cell>
          <cell r="E3">
            <v>435.57</v>
          </cell>
          <cell r="F3">
            <v>86.87</v>
          </cell>
          <cell r="G3">
            <v>54.68</v>
          </cell>
          <cell r="H3">
            <v>150</v>
          </cell>
          <cell r="I3"/>
          <cell r="J3"/>
          <cell r="K3"/>
          <cell r="L3"/>
          <cell r="M3"/>
          <cell r="N3"/>
          <cell r="O3">
            <v>150</v>
          </cell>
          <cell r="P3"/>
          <cell r="Q3"/>
          <cell r="R3">
            <v>546.89</v>
          </cell>
          <cell r="S3">
            <v>28071.71</v>
          </cell>
          <cell r="T3">
            <v>13.59</v>
          </cell>
          <cell r="U3"/>
          <cell r="V3">
            <v>13.59</v>
          </cell>
          <cell r="W3">
            <v>16.75</v>
          </cell>
          <cell r="X3">
            <v>18.149999999999999</v>
          </cell>
          <cell r="Y3"/>
          <cell r="Z3">
            <v>112.46</v>
          </cell>
          <cell r="AA3">
            <v>25.37</v>
          </cell>
          <cell r="AB3"/>
          <cell r="AC3" t="str">
            <v>التخصصية</v>
          </cell>
        </row>
        <row r="4">
          <cell r="A4">
            <v>26305082500352</v>
          </cell>
          <cell r="B4">
            <v>2</v>
          </cell>
          <cell r="C4" t="str">
            <v>اشرف سيد مصطفى احمد</v>
          </cell>
          <cell r="D4">
            <v>1752.72</v>
          </cell>
          <cell r="E4">
            <v>413.57</v>
          </cell>
          <cell r="F4">
            <v>83.06</v>
          </cell>
          <cell r="G4"/>
          <cell r="H4">
            <v>150</v>
          </cell>
          <cell r="I4"/>
          <cell r="J4"/>
          <cell r="K4"/>
          <cell r="L4"/>
          <cell r="M4"/>
          <cell r="N4"/>
          <cell r="O4">
            <v>150</v>
          </cell>
          <cell r="P4"/>
          <cell r="Q4"/>
          <cell r="R4">
            <v>526.41999999999996</v>
          </cell>
          <cell r="S4">
            <v>28174.23</v>
          </cell>
          <cell r="T4">
            <v>5.35</v>
          </cell>
          <cell r="U4"/>
          <cell r="V4">
            <v>5.35</v>
          </cell>
          <cell r="W4">
            <v>15.75</v>
          </cell>
          <cell r="X4">
            <v>17.2</v>
          </cell>
          <cell r="Y4"/>
          <cell r="Z4">
            <v>100.35</v>
          </cell>
          <cell r="AA4">
            <v>22.81</v>
          </cell>
          <cell r="AB4"/>
          <cell r="AC4" t="str">
            <v>التخصصية</v>
          </cell>
        </row>
        <row r="5">
          <cell r="A5">
            <v>26910012502049</v>
          </cell>
          <cell r="B5">
            <v>3</v>
          </cell>
          <cell r="C5" t="str">
            <v>امل محمد علي محمود</v>
          </cell>
          <cell r="D5">
            <v>1577.16</v>
          </cell>
          <cell r="E5">
            <v>328.08</v>
          </cell>
          <cell r="F5">
            <v>71.25</v>
          </cell>
          <cell r="G5"/>
          <cell r="H5">
            <v>50</v>
          </cell>
          <cell r="I5"/>
          <cell r="J5"/>
          <cell r="K5"/>
          <cell r="L5"/>
          <cell r="M5"/>
          <cell r="N5"/>
          <cell r="O5">
            <v>50</v>
          </cell>
          <cell r="P5"/>
          <cell r="Q5"/>
          <cell r="R5">
            <v>463.82</v>
          </cell>
          <cell r="S5">
            <v>25887.1</v>
          </cell>
          <cell r="T5">
            <v>76</v>
          </cell>
          <cell r="U5"/>
          <cell r="V5">
            <v>76</v>
          </cell>
          <cell r="W5">
            <v>13.2</v>
          </cell>
          <cell r="X5">
            <v>13.95</v>
          </cell>
          <cell r="Y5"/>
          <cell r="Z5">
            <v>59.25</v>
          </cell>
          <cell r="AA5">
            <v>14.22</v>
          </cell>
          <cell r="AB5"/>
          <cell r="AC5" t="str">
            <v>التخصصية</v>
          </cell>
        </row>
        <row r="6">
          <cell r="A6">
            <v>27103102500143</v>
          </cell>
          <cell r="B6">
            <v>4</v>
          </cell>
          <cell r="C6" t="str">
            <v>امل مصطفى محمد قاسم أبو غدير</v>
          </cell>
          <cell r="D6">
            <v>1717.68</v>
          </cell>
          <cell r="E6">
            <v>394.03</v>
          </cell>
          <cell r="F6">
            <v>79.37</v>
          </cell>
          <cell r="G6"/>
          <cell r="H6"/>
          <cell r="I6"/>
          <cell r="J6"/>
          <cell r="K6"/>
          <cell r="L6"/>
          <cell r="M6"/>
          <cell r="N6"/>
          <cell r="O6">
            <v>0</v>
          </cell>
          <cell r="P6"/>
          <cell r="Q6"/>
          <cell r="R6">
            <v>514.19000000000005</v>
          </cell>
          <cell r="S6">
            <v>27055.09</v>
          </cell>
          <cell r="T6"/>
          <cell r="U6"/>
          <cell r="V6">
            <v>0</v>
          </cell>
          <cell r="W6">
            <v>14.25</v>
          </cell>
          <cell r="X6">
            <v>15.7</v>
          </cell>
          <cell r="Y6"/>
          <cell r="Z6">
            <v>80.84</v>
          </cell>
          <cell r="AA6">
            <v>18.829999999999998</v>
          </cell>
          <cell r="AB6"/>
          <cell r="AC6" t="str">
            <v>التخصصية</v>
          </cell>
        </row>
        <row r="7">
          <cell r="A7">
            <v>26412282500188</v>
          </cell>
          <cell r="B7">
            <v>5</v>
          </cell>
          <cell r="C7" t="str">
            <v>ايمان آدم عطيه مقار</v>
          </cell>
          <cell r="D7">
            <v>1810.57</v>
          </cell>
          <cell r="E7">
            <v>432.36</v>
          </cell>
          <cell r="F7">
            <v>85.32</v>
          </cell>
          <cell r="G7">
            <v>54.43</v>
          </cell>
          <cell r="H7">
            <v>50</v>
          </cell>
          <cell r="I7"/>
          <cell r="J7"/>
          <cell r="K7"/>
          <cell r="L7"/>
          <cell r="M7"/>
          <cell r="N7"/>
          <cell r="O7">
            <v>50</v>
          </cell>
          <cell r="P7"/>
          <cell r="Q7"/>
          <cell r="R7">
            <v>544.37</v>
          </cell>
          <cell r="S7">
            <v>27921.049999999996</v>
          </cell>
          <cell r="T7">
            <v>12.09</v>
          </cell>
          <cell r="U7"/>
          <cell r="V7">
            <v>12.09</v>
          </cell>
          <cell r="W7">
            <v>15.9</v>
          </cell>
          <cell r="X7">
            <v>17.350000000000001</v>
          </cell>
          <cell r="Y7"/>
          <cell r="Z7">
            <v>101.5</v>
          </cell>
          <cell r="AA7">
            <v>23.16</v>
          </cell>
          <cell r="AB7"/>
          <cell r="AC7" t="str">
            <v>التخصصية</v>
          </cell>
        </row>
        <row r="8">
          <cell r="A8">
            <v>26903302500566</v>
          </cell>
          <cell r="B8">
            <v>6</v>
          </cell>
          <cell r="C8" t="str">
            <v>ايمان عبد الوهاب علي عبد الله</v>
          </cell>
          <cell r="D8">
            <v>1915.58</v>
          </cell>
          <cell r="E8">
            <v>614.09</v>
          </cell>
          <cell r="F8">
            <v>95.41</v>
          </cell>
          <cell r="G8">
            <v>62.05</v>
          </cell>
          <cell r="H8">
            <v>100</v>
          </cell>
          <cell r="I8"/>
          <cell r="J8"/>
          <cell r="K8"/>
          <cell r="L8"/>
          <cell r="M8"/>
          <cell r="N8"/>
          <cell r="O8">
            <v>100</v>
          </cell>
          <cell r="P8"/>
          <cell r="Q8"/>
          <cell r="R8">
            <v>620.53</v>
          </cell>
          <cell r="S8">
            <v>29160.010000000006</v>
          </cell>
          <cell r="T8"/>
          <cell r="U8"/>
          <cell r="V8">
            <v>0</v>
          </cell>
          <cell r="W8">
            <v>18.3</v>
          </cell>
          <cell r="X8">
            <v>19.899999999999999</v>
          </cell>
          <cell r="Y8"/>
          <cell r="Z8">
            <v>134.55000000000001</v>
          </cell>
          <cell r="AA8">
            <v>29.9</v>
          </cell>
          <cell r="AB8"/>
          <cell r="AC8" t="str">
            <v>التخصصية</v>
          </cell>
        </row>
        <row r="9">
          <cell r="A9">
            <v>28310092500254</v>
          </cell>
          <cell r="B9">
            <v>1</v>
          </cell>
          <cell r="C9" t="str">
            <v>ابو بكر جلال علي عبد الحافظ</v>
          </cell>
          <cell r="D9">
            <v>691.74</v>
          </cell>
          <cell r="E9"/>
          <cell r="F9">
            <v>3.41</v>
          </cell>
          <cell r="G9"/>
          <cell r="H9">
            <v>145</v>
          </cell>
          <cell r="I9"/>
          <cell r="J9"/>
          <cell r="K9"/>
          <cell r="L9"/>
          <cell r="M9"/>
          <cell r="N9"/>
          <cell r="O9">
            <v>145</v>
          </cell>
          <cell r="P9">
            <v>1581.2299999999998</v>
          </cell>
          <cell r="Q9">
            <v>1563.33</v>
          </cell>
          <cell r="R9">
            <v>259</v>
          </cell>
          <cell r="S9">
            <v>13983.76</v>
          </cell>
          <cell r="T9"/>
          <cell r="U9"/>
          <cell r="V9">
            <v>0</v>
          </cell>
          <cell r="W9">
            <v>7.15</v>
          </cell>
          <cell r="X9">
            <v>5.2</v>
          </cell>
          <cell r="Y9">
            <v>5.2499999999999991</v>
          </cell>
          <cell r="Z9"/>
          <cell r="AA9"/>
          <cell r="AB9">
            <v>9.120000000000001</v>
          </cell>
          <cell r="AC9" t="str">
            <v>التخصصية الثالثة</v>
          </cell>
        </row>
        <row r="10">
          <cell r="A10">
            <v>26803042500074</v>
          </cell>
          <cell r="B10">
            <v>2</v>
          </cell>
          <cell r="C10" t="str">
            <v>أسامه فؤاد محمد سيد الشعار</v>
          </cell>
          <cell r="D10">
            <v>1749.82</v>
          </cell>
          <cell r="E10">
            <v>412.47</v>
          </cell>
          <cell r="F10">
            <v>82.76</v>
          </cell>
          <cell r="G10"/>
          <cell r="H10">
            <v>150</v>
          </cell>
          <cell r="I10"/>
          <cell r="J10"/>
          <cell r="K10"/>
          <cell r="L10"/>
          <cell r="M10"/>
          <cell r="N10"/>
          <cell r="O10">
            <v>150</v>
          </cell>
          <cell r="P10"/>
          <cell r="Q10"/>
          <cell r="R10">
            <v>525.55999999999995</v>
          </cell>
          <cell r="S10">
            <v>27982.060000000005</v>
          </cell>
          <cell r="T10">
            <v>6.66</v>
          </cell>
          <cell r="U10"/>
          <cell r="V10">
            <v>6.66</v>
          </cell>
          <cell r="W10">
            <v>15.75</v>
          </cell>
          <cell r="X10">
            <v>17.149999999999999</v>
          </cell>
          <cell r="Y10"/>
          <cell r="Z10">
            <v>99.84</v>
          </cell>
          <cell r="AA10">
            <v>22.7</v>
          </cell>
          <cell r="AB10"/>
          <cell r="AC10" t="str">
            <v>التخصصية</v>
          </cell>
        </row>
        <row r="11">
          <cell r="A11">
            <v>26711282500274</v>
          </cell>
          <cell r="B11">
            <v>3</v>
          </cell>
          <cell r="C11" t="str">
            <v>أشرف محمد دسوقى سيد</v>
          </cell>
          <cell r="D11">
            <v>1698.92</v>
          </cell>
          <cell r="E11">
            <v>388.46</v>
          </cell>
          <cell r="F11">
            <v>78.62</v>
          </cell>
          <cell r="G11"/>
          <cell r="H11">
            <v>150</v>
          </cell>
          <cell r="I11"/>
          <cell r="J11"/>
          <cell r="K11"/>
          <cell r="L11"/>
          <cell r="M11"/>
          <cell r="N11"/>
          <cell r="O11">
            <v>150</v>
          </cell>
          <cell r="P11"/>
          <cell r="Q11"/>
          <cell r="R11">
            <v>506.66</v>
          </cell>
          <cell r="S11">
            <v>27003.390000000003</v>
          </cell>
          <cell r="T11"/>
          <cell r="U11"/>
          <cell r="V11">
            <v>0</v>
          </cell>
          <cell r="W11">
            <v>15.2</v>
          </cell>
          <cell r="X11">
            <v>16.649999999999999</v>
          </cell>
          <cell r="Y11"/>
          <cell r="Z11">
            <v>93.52</v>
          </cell>
          <cell r="AA11">
            <v>21.33</v>
          </cell>
          <cell r="AB11"/>
          <cell r="AC11" t="str">
            <v>التخصصية</v>
          </cell>
        </row>
        <row r="12">
          <cell r="A12">
            <v>26204272600131</v>
          </cell>
          <cell r="B12">
            <v>4</v>
          </cell>
          <cell r="C12" t="str">
            <v>بهاء شرف الدين خليفة على خليفة</v>
          </cell>
          <cell r="D12">
            <v>1749.82</v>
          </cell>
          <cell r="E12">
            <v>412.47</v>
          </cell>
          <cell r="F12">
            <v>83.98</v>
          </cell>
          <cell r="G12"/>
          <cell r="H12">
            <v>150</v>
          </cell>
          <cell r="I12"/>
          <cell r="J12"/>
          <cell r="K12"/>
          <cell r="L12"/>
          <cell r="M12"/>
          <cell r="N12"/>
          <cell r="O12">
            <v>150</v>
          </cell>
          <cell r="P12"/>
          <cell r="Q12"/>
          <cell r="R12">
            <v>525.55999999999995</v>
          </cell>
          <cell r="S12">
            <v>29159.999999999996</v>
          </cell>
          <cell r="T12">
            <v>16.739999999999998</v>
          </cell>
          <cell r="U12"/>
          <cell r="V12">
            <v>16.739999999999998</v>
          </cell>
          <cell r="W12">
            <v>15.75</v>
          </cell>
          <cell r="X12">
            <v>17.100000000000001</v>
          </cell>
          <cell r="Y12"/>
          <cell r="Z12">
            <v>98.84</v>
          </cell>
          <cell r="AA12">
            <v>22.5</v>
          </cell>
          <cell r="AB12"/>
          <cell r="AC12" t="str">
            <v>التخصصية</v>
          </cell>
        </row>
        <row r="13">
          <cell r="A13">
            <v>26010222500251</v>
          </cell>
          <cell r="B13">
            <v>5</v>
          </cell>
          <cell r="C13" t="str">
            <v>جلال الدين محمد إبراهيم عبد الرحمن</v>
          </cell>
          <cell r="D13">
            <v>2086.39</v>
          </cell>
          <cell r="E13">
            <v>567.27</v>
          </cell>
          <cell r="F13">
            <v>101.48</v>
          </cell>
          <cell r="G13"/>
          <cell r="H13">
            <v>150</v>
          </cell>
          <cell r="I13"/>
          <cell r="J13"/>
          <cell r="K13"/>
          <cell r="L13"/>
          <cell r="M13"/>
          <cell r="N13"/>
          <cell r="O13">
            <v>150</v>
          </cell>
          <cell r="P13"/>
          <cell r="Q13"/>
          <cell r="R13">
            <v>647.45000000000005</v>
          </cell>
          <cell r="S13">
            <v>29160.000000000004</v>
          </cell>
          <cell r="T13"/>
          <cell r="U13"/>
          <cell r="V13">
            <v>0</v>
          </cell>
          <cell r="W13">
            <v>19.149999999999999</v>
          </cell>
          <cell r="X13">
            <v>20.8</v>
          </cell>
          <cell r="Y13"/>
          <cell r="Z13">
            <v>145.47</v>
          </cell>
          <cell r="AA13">
            <v>32.28</v>
          </cell>
          <cell r="AB13"/>
          <cell r="AC13" t="str">
            <v>التخصصية</v>
          </cell>
        </row>
        <row r="14">
          <cell r="A14">
            <v>26701012702295</v>
          </cell>
          <cell r="B14">
            <v>6</v>
          </cell>
          <cell r="C14" t="str">
            <v>حماده إبراهيم أحمد بخيت</v>
          </cell>
          <cell r="D14">
            <v>1882.91</v>
          </cell>
          <cell r="E14">
            <v>603.28</v>
          </cell>
          <cell r="F14">
            <v>94.12</v>
          </cell>
          <cell r="G14">
            <v>60.88</v>
          </cell>
          <cell r="H14">
            <v>150</v>
          </cell>
          <cell r="I14"/>
          <cell r="J14"/>
          <cell r="K14"/>
          <cell r="L14"/>
          <cell r="M14"/>
          <cell r="N14"/>
          <cell r="O14">
            <v>150</v>
          </cell>
          <cell r="P14"/>
          <cell r="Q14"/>
          <cell r="R14">
            <v>608.87</v>
          </cell>
          <cell r="S14">
            <v>29160</v>
          </cell>
          <cell r="T14"/>
          <cell r="U14"/>
          <cell r="V14">
            <v>0</v>
          </cell>
          <cell r="W14">
            <v>18.399999999999999</v>
          </cell>
          <cell r="X14">
            <v>19.95</v>
          </cell>
          <cell r="Y14"/>
          <cell r="Z14">
            <v>135.46</v>
          </cell>
          <cell r="AA14">
            <v>30.05</v>
          </cell>
          <cell r="AB14"/>
          <cell r="AC14" t="str">
            <v>التخصصية</v>
          </cell>
        </row>
        <row r="15">
          <cell r="A15">
            <v>26504202500079</v>
          </cell>
          <cell r="B15">
            <v>7</v>
          </cell>
          <cell r="C15" t="str">
            <v>حمدى مرغنى عبد العال حسن</v>
          </cell>
          <cell r="D15">
            <v>1618.69</v>
          </cell>
          <cell r="E15">
            <v>349.72</v>
          </cell>
          <cell r="F15">
            <v>74.44</v>
          </cell>
          <cell r="G15"/>
          <cell r="H15">
            <v>95</v>
          </cell>
          <cell r="I15"/>
          <cell r="J15"/>
          <cell r="K15"/>
          <cell r="L15"/>
          <cell r="M15"/>
          <cell r="N15"/>
          <cell r="O15">
            <v>95</v>
          </cell>
          <cell r="P15"/>
          <cell r="Q15"/>
          <cell r="R15">
            <v>477.73</v>
          </cell>
          <cell r="S15">
            <v>26435.119999999999</v>
          </cell>
          <cell r="T15">
            <v>5.76</v>
          </cell>
          <cell r="U15"/>
          <cell r="V15">
            <v>5.76</v>
          </cell>
          <cell r="W15">
            <v>14</v>
          </cell>
          <cell r="X15">
            <v>15.35</v>
          </cell>
          <cell r="Y15"/>
          <cell r="Z15">
            <v>76.599999999999994</v>
          </cell>
          <cell r="AA15">
            <v>17.87</v>
          </cell>
          <cell r="AB15"/>
          <cell r="AC15" t="str">
            <v>التخصصية</v>
          </cell>
        </row>
        <row r="16">
          <cell r="A16">
            <v>27509192800309</v>
          </cell>
          <cell r="B16">
            <v>8</v>
          </cell>
          <cell r="C16" t="str">
            <v>داليا عبد الوهاب توفيق مرزوق</v>
          </cell>
          <cell r="D16">
            <v>1456.07</v>
          </cell>
          <cell r="E16">
            <v>201.82</v>
          </cell>
          <cell r="F16">
            <v>47.85</v>
          </cell>
          <cell r="G16"/>
          <cell r="H16">
            <v>95</v>
          </cell>
          <cell r="I16"/>
          <cell r="J16"/>
          <cell r="K16"/>
          <cell r="L16"/>
          <cell r="M16"/>
          <cell r="N16"/>
          <cell r="O16">
            <v>95</v>
          </cell>
          <cell r="P16"/>
          <cell r="Q16"/>
          <cell r="R16">
            <v>398.27</v>
          </cell>
          <cell r="S16">
            <v>21828</v>
          </cell>
          <cell r="T16">
            <v>1.4</v>
          </cell>
          <cell r="U16"/>
          <cell r="V16">
            <v>1.4</v>
          </cell>
          <cell r="W16">
            <v>11.7</v>
          </cell>
          <cell r="X16">
            <v>12.95</v>
          </cell>
          <cell r="Y16"/>
          <cell r="Z16">
            <v>47.17</v>
          </cell>
          <cell r="AA16">
            <v>11.54</v>
          </cell>
          <cell r="AB16"/>
          <cell r="AC16" t="str">
            <v>التخصصية</v>
          </cell>
        </row>
        <row r="17">
          <cell r="A17">
            <v>27504192500141</v>
          </cell>
          <cell r="B17">
            <v>9</v>
          </cell>
          <cell r="C17" t="str">
            <v>رحاب محمد حسن محمد</v>
          </cell>
          <cell r="D17">
            <v>1646.73</v>
          </cell>
          <cell r="E17">
            <v>360.9</v>
          </cell>
          <cell r="F17">
            <v>75.459999999999994</v>
          </cell>
          <cell r="G17"/>
          <cell r="H17">
            <v>50</v>
          </cell>
          <cell r="I17"/>
          <cell r="J17"/>
          <cell r="K17"/>
          <cell r="L17"/>
          <cell r="M17"/>
          <cell r="N17"/>
          <cell r="O17">
            <v>50</v>
          </cell>
          <cell r="P17"/>
          <cell r="Q17"/>
          <cell r="R17">
            <v>488.1</v>
          </cell>
          <cell r="S17">
            <v>26211.61</v>
          </cell>
          <cell r="T17"/>
          <cell r="U17"/>
          <cell r="V17">
            <v>0</v>
          </cell>
          <cell r="W17">
            <v>13.9</v>
          </cell>
          <cell r="X17">
            <v>15.3</v>
          </cell>
          <cell r="Y17"/>
          <cell r="Z17">
            <v>76.27</v>
          </cell>
          <cell r="AA17">
            <v>17.760000000000002</v>
          </cell>
          <cell r="AB17"/>
          <cell r="AC17" t="str">
            <v>التخصصية</v>
          </cell>
        </row>
        <row r="18">
          <cell r="A18">
            <v>28004182500101</v>
          </cell>
          <cell r="B18">
            <v>10</v>
          </cell>
          <cell r="C18" t="str">
            <v>رويدا عبد الوكيل إبراهيم محمد</v>
          </cell>
          <cell r="D18">
            <v>1467.87</v>
          </cell>
          <cell r="E18">
            <v>208.17</v>
          </cell>
          <cell r="F18">
            <v>49.7</v>
          </cell>
          <cell r="G18"/>
          <cell r="H18">
            <v>140</v>
          </cell>
          <cell r="I18"/>
          <cell r="J18"/>
          <cell r="K18"/>
          <cell r="L18"/>
          <cell r="M18"/>
          <cell r="N18"/>
          <cell r="O18">
            <v>140</v>
          </cell>
          <cell r="P18"/>
          <cell r="Q18"/>
          <cell r="R18">
            <v>403.27</v>
          </cell>
          <cell r="S18">
            <v>21623.75</v>
          </cell>
          <cell r="T18"/>
          <cell r="U18"/>
          <cell r="V18">
            <v>0</v>
          </cell>
          <cell r="W18">
            <v>12.2</v>
          </cell>
          <cell r="X18">
            <v>13.45</v>
          </cell>
          <cell r="Y18"/>
          <cell r="Z18">
            <v>53.63</v>
          </cell>
          <cell r="AA18">
            <v>12.86</v>
          </cell>
          <cell r="AB18"/>
          <cell r="AC18" t="str">
            <v>التخصصية</v>
          </cell>
        </row>
        <row r="19">
          <cell r="A19">
            <v>26911302500062</v>
          </cell>
          <cell r="B19">
            <v>11</v>
          </cell>
          <cell r="C19" t="str">
            <v>ريم محمد مأمون محمد</v>
          </cell>
          <cell r="D19">
            <v>1777.99</v>
          </cell>
          <cell r="E19">
            <v>417.11</v>
          </cell>
          <cell r="F19">
            <v>82.69</v>
          </cell>
          <cell r="G19">
            <v>53.23</v>
          </cell>
          <cell r="H19">
            <v>145</v>
          </cell>
          <cell r="I19"/>
          <cell r="J19"/>
          <cell r="K19"/>
          <cell r="L19"/>
          <cell r="M19"/>
          <cell r="N19"/>
          <cell r="O19">
            <v>145</v>
          </cell>
          <cell r="P19"/>
          <cell r="Q19"/>
          <cell r="R19">
            <v>532.36</v>
          </cell>
          <cell r="S19">
            <v>28338.23</v>
          </cell>
          <cell r="T19"/>
          <cell r="U19"/>
          <cell r="V19">
            <v>0</v>
          </cell>
          <cell r="W19">
            <v>16.25</v>
          </cell>
          <cell r="X19">
            <v>18.45</v>
          </cell>
          <cell r="Y19"/>
          <cell r="Z19">
            <v>107.57</v>
          </cell>
          <cell r="AA19">
            <v>26.08</v>
          </cell>
          <cell r="AB19"/>
          <cell r="AC19" t="str">
            <v>التخصصية</v>
          </cell>
        </row>
        <row r="20">
          <cell r="A20">
            <v>27212112501371</v>
          </cell>
          <cell r="B20">
            <v>12</v>
          </cell>
          <cell r="C20" t="str">
            <v>زكريا عبد الله حسين أحمد</v>
          </cell>
          <cell r="D20">
            <v>1578.28</v>
          </cell>
          <cell r="E20">
            <v>334.08</v>
          </cell>
          <cell r="F20">
            <v>72.38</v>
          </cell>
          <cell r="G20"/>
          <cell r="H20">
            <v>140</v>
          </cell>
          <cell r="I20"/>
          <cell r="J20"/>
          <cell r="K20"/>
          <cell r="L20"/>
          <cell r="M20"/>
          <cell r="N20"/>
          <cell r="O20">
            <v>140</v>
          </cell>
          <cell r="P20"/>
          <cell r="Q20"/>
          <cell r="R20">
            <v>463.82</v>
          </cell>
          <cell r="S20">
            <v>25398.230000000003</v>
          </cell>
          <cell r="T20">
            <v>2.31</v>
          </cell>
          <cell r="U20"/>
          <cell r="V20">
            <v>2.31</v>
          </cell>
          <cell r="W20">
            <v>13.95</v>
          </cell>
          <cell r="X20">
            <v>15.25</v>
          </cell>
          <cell r="Y20"/>
          <cell r="Z20">
            <v>76.28</v>
          </cell>
          <cell r="AA20">
            <v>17.62</v>
          </cell>
          <cell r="AB20"/>
          <cell r="AC20" t="str">
            <v>التخصصية</v>
          </cell>
        </row>
        <row r="21">
          <cell r="A21">
            <v>28301132500091</v>
          </cell>
          <cell r="B21">
            <v>2</v>
          </cell>
          <cell r="C21" t="str">
            <v>اسامه مصطفى محمد عبد الرحمن</v>
          </cell>
          <cell r="D21">
            <v>1096.17</v>
          </cell>
          <cell r="E21"/>
          <cell r="F21">
            <v>5.47</v>
          </cell>
          <cell r="G21"/>
          <cell r="H21">
            <v>50</v>
          </cell>
          <cell r="I21"/>
          <cell r="J21">
            <v>219.37</v>
          </cell>
          <cell r="K21"/>
          <cell r="L21"/>
          <cell r="M21"/>
          <cell r="N21"/>
          <cell r="O21">
            <v>269.37</v>
          </cell>
          <cell r="P21">
            <v>2206.1999999999998</v>
          </cell>
          <cell r="Q21">
            <v>1569.48</v>
          </cell>
          <cell r="R21">
            <v>260</v>
          </cell>
          <cell r="S21">
            <v>15638.889999999998</v>
          </cell>
          <cell r="T21">
            <v>5.26</v>
          </cell>
          <cell r="U21"/>
          <cell r="V21">
            <v>5.26</v>
          </cell>
          <cell r="W21">
            <v>7.35</v>
          </cell>
          <cell r="X21">
            <v>9.75</v>
          </cell>
          <cell r="Y21">
            <v>9.4999999999999982</v>
          </cell>
          <cell r="Z21"/>
          <cell r="AA21">
            <v>3.04</v>
          </cell>
          <cell r="AB21">
            <v>57.080000000000005</v>
          </cell>
          <cell r="AC21" t="str">
            <v>التخصصية الثالثة</v>
          </cell>
        </row>
        <row r="22">
          <cell r="A22">
            <v>26911102500106</v>
          </cell>
          <cell r="B22">
            <v>14</v>
          </cell>
          <cell r="C22" t="str">
            <v>سامية طه محمد محمود</v>
          </cell>
          <cell r="D22">
            <v>1826.19</v>
          </cell>
          <cell r="E22">
            <v>444.27</v>
          </cell>
          <cell r="F22">
            <v>86.02</v>
          </cell>
          <cell r="G22"/>
          <cell r="H22">
            <v>100</v>
          </cell>
          <cell r="I22"/>
          <cell r="J22"/>
          <cell r="K22">
            <v>10</v>
          </cell>
          <cell r="L22">
            <v>30</v>
          </cell>
          <cell r="M22"/>
          <cell r="N22"/>
          <cell r="O22">
            <v>140</v>
          </cell>
          <cell r="P22"/>
          <cell r="Q22"/>
          <cell r="R22">
            <v>553.74</v>
          </cell>
          <cell r="S22">
            <v>29160</v>
          </cell>
          <cell r="T22"/>
          <cell r="U22"/>
          <cell r="V22">
            <v>0</v>
          </cell>
          <cell r="W22">
            <v>16.399999999999999</v>
          </cell>
          <cell r="X22">
            <v>17.899999999999999</v>
          </cell>
          <cell r="Y22"/>
          <cell r="Z22">
            <v>108.95</v>
          </cell>
          <cell r="AA22">
            <v>24.69</v>
          </cell>
          <cell r="AB22"/>
          <cell r="AC22" t="str">
            <v>التخصصية</v>
          </cell>
        </row>
        <row r="23">
          <cell r="A23">
            <v>27205302500145</v>
          </cell>
          <cell r="B23">
            <v>15</v>
          </cell>
          <cell r="C23" t="str">
            <v>سوسن خليل عبد المعطي العطار</v>
          </cell>
          <cell r="D23">
            <v>1557.42</v>
          </cell>
          <cell r="E23">
            <v>320.12</v>
          </cell>
          <cell r="F23">
            <v>70.92</v>
          </cell>
          <cell r="G23"/>
          <cell r="H23">
            <v>145</v>
          </cell>
          <cell r="I23"/>
          <cell r="J23"/>
          <cell r="K23"/>
          <cell r="L23"/>
          <cell r="M23"/>
          <cell r="N23"/>
          <cell r="O23">
            <v>145</v>
          </cell>
          <cell r="P23"/>
          <cell r="Q23"/>
          <cell r="R23">
            <v>455.98</v>
          </cell>
          <cell r="S23">
            <v>25915.89</v>
          </cell>
          <cell r="T23">
            <v>2.23</v>
          </cell>
          <cell r="U23"/>
          <cell r="V23">
            <v>2.23</v>
          </cell>
          <cell r="W23">
            <v>13.7</v>
          </cell>
          <cell r="X23">
            <v>14.9</v>
          </cell>
          <cell r="Y23"/>
          <cell r="Z23">
            <v>73.58</v>
          </cell>
          <cell r="AA23">
            <v>16.71</v>
          </cell>
          <cell r="AB23"/>
          <cell r="AC23" t="str">
            <v>التخصصية</v>
          </cell>
        </row>
        <row r="24">
          <cell r="A24">
            <v>25802082501359</v>
          </cell>
          <cell r="B24">
            <v>16</v>
          </cell>
          <cell r="C24" t="str">
            <v>صلاح عبد العزيز على محمد</v>
          </cell>
          <cell r="D24">
            <v>2285.12</v>
          </cell>
          <cell r="E24">
            <v>785.92</v>
          </cell>
          <cell r="F24">
            <v>120.46</v>
          </cell>
          <cell r="G24">
            <v>225.8</v>
          </cell>
          <cell r="H24">
            <v>150</v>
          </cell>
          <cell r="I24"/>
          <cell r="J24"/>
          <cell r="K24"/>
          <cell r="L24"/>
          <cell r="M24"/>
          <cell r="N24"/>
          <cell r="O24">
            <v>150</v>
          </cell>
          <cell r="P24"/>
          <cell r="Q24"/>
          <cell r="R24">
            <v>752.67</v>
          </cell>
          <cell r="S24">
            <v>29160</v>
          </cell>
          <cell r="T24">
            <v>15.92</v>
          </cell>
          <cell r="U24">
            <v>9.74</v>
          </cell>
          <cell r="V24">
            <v>25.66</v>
          </cell>
          <cell r="W24">
            <v>23.65</v>
          </cell>
          <cell r="X24">
            <v>25.35</v>
          </cell>
          <cell r="Y24"/>
          <cell r="Z24">
            <v>206.47</v>
          </cell>
          <cell r="AA24">
            <v>142.72</v>
          </cell>
          <cell r="AB24"/>
          <cell r="AC24" t="str">
            <v>التخصصية</v>
          </cell>
        </row>
        <row r="25">
          <cell r="A25">
            <v>26709142500199</v>
          </cell>
          <cell r="B25">
            <v>17</v>
          </cell>
          <cell r="C25" t="str">
            <v>طارق أحمد أحمد حسن</v>
          </cell>
          <cell r="D25">
            <v>1708.39</v>
          </cell>
          <cell r="E25">
            <v>392.88</v>
          </cell>
          <cell r="F25">
            <v>79.45</v>
          </cell>
          <cell r="G25"/>
          <cell r="H25">
            <v>150</v>
          </cell>
          <cell r="I25"/>
          <cell r="J25"/>
          <cell r="K25"/>
          <cell r="L25"/>
          <cell r="M25"/>
          <cell r="N25"/>
          <cell r="O25">
            <v>150</v>
          </cell>
          <cell r="P25"/>
          <cell r="Q25"/>
          <cell r="R25">
            <v>510.13</v>
          </cell>
          <cell r="S25">
            <v>27560.809999999998</v>
          </cell>
          <cell r="T25">
            <v>1.39</v>
          </cell>
          <cell r="U25"/>
          <cell r="V25">
            <v>1.39</v>
          </cell>
          <cell r="W25">
            <v>15.3</v>
          </cell>
          <cell r="X25">
            <v>16.75</v>
          </cell>
          <cell r="Y25"/>
          <cell r="Z25">
            <v>94.69</v>
          </cell>
          <cell r="AA25">
            <v>21.58</v>
          </cell>
          <cell r="AB25"/>
          <cell r="AC25" t="str">
            <v>التخصصية</v>
          </cell>
        </row>
        <row r="26">
          <cell r="A26">
            <v>25808252500474</v>
          </cell>
          <cell r="B26">
            <v>18</v>
          </cell>
          <cell r="C26" t="str">
            <v>عبد الكريم محمد محمد أحمد</v>
          </cell>
          <cell r="D26">
            <v>2296.5700000000002</v>
          </cell>
          <cell r="E26">
            <v>663.02</v>
          </cell>
          <cell r="F26">
            <v>113.8</v>
          </cell>
          <cell r="G26"/>
          <cell r="H26">
            <v>150</v>
          </cell>
          <cell r="I26"/>
          <cell r="J26"/>
          <cell r="K26"/>
          <cell r="L26"/>
          <cell r="M26"/>
          <cell r="N26"/>
          <cell r="O26">
            <v>150</v>
          </cell>
          <cell r="P26"/>
          <cell r="Q26"/>
          <cell r="R26">
            <v>722.83</v>
          </cell>
          <cell r="S26">
            <v>29160.010000000002</v>
          </cell>
          <cell r="T26">
            <v>0.56000000000000005</v>
          </cell>
          <cell r="U26">
            <v>2.84</v>
          </cell>
          <cell r="V26">
            <v>3.4</v>
          </cell>
          <cell r="W26">
            <v>21.25</v>
          </cell>
          <cell r="X26">
            <v>23</v>
          </cell>
          <cell r="Y26"/>
          <cell r="Z26">
            <v>173.34</v>
          </cell>
          <cell r="AA26">
            <v>114.54</v>
          </cell>
          <cell r="AB26"/>
          <cell r="AC26" t="str">
            <v>التخصصية</v>
          </cell>
        </row>
        <row r="27">
          <cell r="A27">
            <v>27703012500133</v>
          </cell>
          <cell r="B27">
            <v>19</v>
          </cell>
          <cell r="C27" t="str">
            <v>عبد الله نور الدين مطاوع عبد الحافظ</v>
          </cell>
          <cell r="D27">
            <v>1500.56</v>
          </cell>
          <cell r="E27">
            <v>298.57</v>
          </cell>
          <cell r="F27">
            <v>63.67</v>
          </cell>
          <cell r="G27"/>
          <cell r="H27">
            <v>150</v>
          </cell>
          <cell r="I27"/>
          <cell r="J27"/>
          <cell r="K27"/>
          <cell r="L27"/>
          <cell r="M27"/>
          <cell r="N27"/>
          <cell r="O27">
            <v>150</v>
          </cell>
          <cell r="P27"/>
          <cell r="Q27"/>
          <cell r="R27">
            <v>435.86</v>
          </cell>
          <cell r="S27">
            <v>24451.599999999999</v>
          </cell>
          <cell r="T27"/>
          <cell r="U27"/>
          <cell r="V27">
            <v>0</v>
          </cell>
          <cell r="W27">
            <v>13.2</v>
          </cell>
          <cell r="X27">
            <v>14.45</v>
          </cell>
          <cell r="Y27"/>
          <cell r="Z27">
            <v>66.73</v>
          </cell>
          <cell r="AA27">
            <v>15.54</v>
          </cell>
          <cell r="AB27"/>
          <cell r="AC27" t="str">
            <v>التخصصية</v>
          </cell>
        </row>
        <row r="28">
          <cell r="A28">
            <v>25811052501779</v>
          </cell>
          <cell r="B28">
            <v>20</v>
          </cell>
          <cell r="C28" t="str">
            <v>عبده أحمد محمد مصطفى</v>
          </cell>
          <cell r="D28">
            <v>2507.92</v>
          </cell>
          <cell r="E28">
            <v>889.65</v>
          </cell>
          <cell r="F28">
            <v>130.85</v>
          </cell>
          <cell r="G28">
            <v>83.43</v>
          </cell>
          <cell r="H28">
            <v>150</v>
          </cell>
          <cell r="I28"/>
          <cell r="J28"/>
          <cell r="K28"/>
          <cell r="L28"/>
          <cell r="M28"/>
          <cell r="N28"/>
          <cell r="O28">
            <v>150</v>
          </cell>
          <cell r="P28"/>
          <cell r="Q28"/>
          <cell r="R28">
            <v>834.34</v>
          </cell>
          <cell r="S28">
            <v>29160</v>
          </cell>
          <cell r="T28"/>
          <cell r="U28"/>
          <cell r="V28">
            <v>0</v>
          </cell>
          <cell r="W28">
            <v>25.05</v>
          </cell>
          <cell r="X28">
            <v>27</v>
          </cell>
          <cell r="Y28"/>
          <cell r="Z28">
            <v>237.33</v>
          </cell>
          <cell r="AA28">
            <v>162.46</v>
          </cell>
          <cell r="AB28"/>
          <cell r="AC28" t="str">
            <v>التخصصية</v>
          </cell>
        </row>
        <row r="29">
          <cell r="A29">
            <v>26702152500371</v>
          </cell>
          <cell r="B29">
            <v>21</v>
          </cell>
          <cell r="C29" t="str">
            <v>علاء الدين احمد ايراهيم احمد</v>
          </cell>
          <cell r="D29">
            <v>1754.49</v>
          </cell>
          <cell r="E29">
            <v>413.96</v>
          </cell>
          <cell r="F29">
            <v>82.37</v>
          </cell>
          <cell r="G29"/>
          <cell r="H29">
            <v>150</v>
          </cell>
          <cell r="I29"/>
          <cell r="J29"/>
          <cell r="K29"/>
          <cell r="L29"/>
          <cell r="M29"/>
          <cell r="N29"/>
          <cell r="O29">
            <v>150</v>
          </cell>
          <cell r="P29"/>
          <cell r="Q29"/>
          <cell r="R29">
            <v>526.74</v>
          </cell>
          <cell r="S29">
            <v>29160</v>
          </cell>
          <cell r="T29"/>
          <cell r="U29"/>
          <cell r="V29">
            <v>0</v>
          </cell>
          <cell r="W29">
            <v>15.8</v>
          </cell>
          <cell r="X29">
            <v>17.25</v>
          </cell>
          <cell r="Y29"/>
          <cell r="Z29">
            <v>101.01</v>
          </cell>
          <cell r="AA29">
            <v>22.95</v>
          </cell>
          <cell r="AB29"/>
          <cell r="AC29" t="str">
            <v>التخصصية</v>
          </cell>
        </row>
        <row r="30">
          <cell r="A30">
            <v>26410192500194</v>
          </cell>
          <cell r="B30">
            <v>22</v>
          </cell>
          <cell r="C30" t="str">
            <v>علاءالدين محمد محمد سرحان</v>
          </cell>
          <cell r="D30">
            <v>1832.36</v>
          </cell>
          <cell r="E30">
            <v>446.05</v>
          </cell>
          <cell r="F30">
            <v>86.51</v>
          </cell>
          <cell r="G30">
            <v>55.19</v>
          </cell>
          <cell r="H30">
            <v>100</v>
          </cell>
          <cell r="I30"/>
          <cell r="J30"/>
          <cell r="K30"/>
          <cell r="L30"/>
          <cell r="M30"/>
          <cell r="N30"/>
          <cell r="O30">
            <v>100</v>
          </cell>
          <cell r="P30"/>
          <cell r="Q30"/>
          <cell r="R30">
            <v>551.99</v>
          </cell>
          <cell r="S30">
            <v>29160</v>
          </cell>
          <cell r="T30"/>
          <cell r="U30"/>
          <cell r="V30">
            <v>0</v>
          </cell>
          <cell r="W30">
            <v>16.55</v>
          </cell>
          <cell r="X30">
            <v>18.75</v>
          </cell>
          <cell r="Y30"/>
          <cell r="Z30">
            <v>110.98</v>
          </cell>
          <cell r="AA30">
            <v>26.86</v>
          </cell>
          <cell r="AB30"/>
          <cell r="AC30" t="str">
            <v>التخصصية</v>
          </cell>
        </row>
        <row r="31">
          <cell r="A31">
            <v>26509222500395</v>
          </cell>
          <cell r="B31">
            <v>23</v>
          </cell>
          <cell r="C31" t="str">
            <v>علي احمد عبدالجواد احمد</v>
          </cell>
          <cell r="D31">
            <v>1694.71</v>
          </cell>
          <cell r="E31">
            <v>387.57</v>
          </cell>
          <cell r="F31">
            <v>79.41</v>
          </cell>
          <cell r="G31"/>
          <cell r="H31">
            <v>150</v>
          </cell>
          <cell r="I31"/>
          <cell r="J31"/>
          <cell r="K31"/>
          <cell r="L31"/>
          <cell r="M31"/>
          <cell r="N31"/>
          <cell r="O31">
            <v>150</v>
          </cell>
          <cell r="P31"/>
          <cell r="Q31"/>
          <cell r="R31">
            <v>505.95</v>
          </cell>
          <cell r="S31">
            <v>28436.250000000004</v>
          </cell>
          <cell r="T31">
            <v>5.68</v>
          </cell>
          <cell r="U31"/>
          <cell r="V31">
            <v>5.68</v>
          </cell>
          <cell r="W31">
            <v>15.2</v>
          </cell>
          <cell r="X31">
            <v>16.55</v>
          </cell>
          <cell r="Y31"/>
          <cell r="Z31">
            <v>92.57</v>
          </cell>
          <cell r="AA31">
            <v>21.13</v>
          </cell>
          <cell r="AB31"/>
          <cell r="AC31" t="str">
            <v>التخصصية</v>
          </cell>
        </row>
        <row r="32">
          <cell r="A32">
            <v>25807152500756</v>
          </cell>
          <cell r="B32">
            <v>24</v>
          </cell>
          <cell r="C32" t="str">
            <v>علي عبد البديع عبد الله محفوظ</v>
          </cell>
          <cell r="D32">
            <v>2278.46</v>
          </cell>
          <cell r="E32">
            <v>784.12</v>
          </cell>
          <cell r="F32">
            <v>116.98</v>
          </cell>
          <cell r="G32">
            <v>75.12</v>
          </cell>
          <cell r="H32">
            <v>150</v>
          </cell>
          <cell r="I32"/>
          <cell r="J32"/>
          <cell r="K32"/>
          <cell r="L32"/>
          <cell r="M32"/>
          <cell r="N32"/>
          <cell r="O32">
            <v>150</v>
          </cell>
          <cell r="P32"/>
          <cell r="Q32"/>
          <cell r="R32">
            <v>751.26</v>
          </cell>
          <cell r="S32">
            <v>29160.000000000004</v>
          </cell>
          <cell r="T32"/>
          <cell r="U32">
            <v>0.45</v>
          </cell>
          <cell r="V32">
            <v>0.45</v>
          </cell>
          <cell r="W32">
            <v>22.5</v>
          </cell>
          <cell r="X32">
            <v>24.3</v>
          </cell>
          <cell r="Y32"/>
          <cell r="Z32">
            <v>189.62</v>
          </cell>
          <cell r="AA32">
            <v>130.43</v>
          </cell>
          <cell r="AB32"/>
          <cell r="AC32" t="str">
            <v>التخصصية</v>
          </cell>
        </row>
        <row r="33">
          <cell r="A33">
            <v>27604102501777</v>
          </cell>
          <cell r="B33">
            <v>25</v>
          </cell>
          <cell r="C33" t="str">
            <v>عنتر محمد أحمد محمد</v>
          </cell>
          <cell r="D33">
            <v>1488.77</v>
          </cell>
          <cell r="E33">
            <v>292.22000000000003</v>
          </cell>
          <cell r="F33">
            <v>61.8</v>
          </cell>
          <cell r="G33"/>
          <cell r="H33">
            <v>145</v>
          </cell>
          <cell r="I33"/>
          <cell r="J33"/>
          <cell r="K33"/>
          <cell r="L33"/>
          <cell r="M33"/>
          <cell r="N33"/>
          <cell r="O33">
            <v>145</v>
          </cell>
          <cell r="P33"/>
          <cell r="Q33"/>
          <cell r="R33">
            <v>430.86</v>
          </cell>
          <cell r="S33"/>
          <cell r="T33"/>
          <cell r="U33"/>
          <cell r="V33">
            <v>0</v>
          </cell>
          <cell r="W33">
            <v>13</v>
          </cell>
          <cell r="X33"/>
          <cell r="Y33"/>
          <cell r="Z33">
            <v>64.47</v>
          </cell>
          <cell r="AA33"/>
          <cell r="AB33"/>
          <cell r="AC33" t="str">
            <v>التخصصية</v>
          </cell>
        </row>
        <row r="34">
          <cell r="A34">
            <v>26912302500123</v>
          </cell>
          <cell r="B34">
            <v>26</v>
          </cell>
          <cell r="C34" t="str">
            <v>غادة احمد عبدالرحيم الرضيوي</v>
          </cell>
          <cell r="D34">
            <v>1849.46</v>
          </cell>
          <cell r="E34">
            <v>449.58</v>
          </cell>
          <cell r="F34">
            <v>86.85</v>
          </cell>
          <cell r="G34">
            <v>55.79</v>
          </cell>
          <cell r="H34">
            <v>100</v>
          </cell>
          <cell r="I34"/>
          <cell r="J34"/>
          <cell r="K34"/>
          <cell r="L34"/>
          <cell r="M34"/>
          <cell r="N34"/>
          <cell r="O34">
            <v>100</v>
          </cell>
          <cell r="P34"/>
          <cell r="Q34"/>
          <cell r="R34">
            <v>557.92999999999995</v>
          </cell>
          <cell r="S34">
            <v>28739.030000000002</v>
          </cell>
          <cell r="T34"/>
          <cell r="U34"/>
          <cell r="V34">
            <v>0</v>
          </cell>
          <cell r="W34">
            <v>16.649999999999999</v>
          </cell>
          <cell r="X34">
            <v>18.2</v>
          </cell>
          <cell r="Y34"/>
          <cell r="Z34">
            <v>112.58</v>
          </cell>
          <cell r="AA34">
            <v>25.49</v>
          </cell>
          <cell r="AB34"/>
          <cell r="AC34" t="str">
            <v>التخصصية</v>
          </cell>
        </row>
        <row r="35">
          <cell r="A35">
            <v>27208012500329</v>
          </cell>
          <cell r="B35">
            <v>27</v>
          </cell>
          <cell r="C35" t="str">
            <v>فاطمه الزهراء حماد الشحات حماد</v>
          </cell>
          <cell r="D35">
            <v>1653.81</v>
          </cell>
          <cell r="E35">
            <v>292.52999999999997</v>
          </cell>
          <cell r="F35">
            <v>74.040000000000006</v>
          </cell>
          <cell r="G35"/>
          <cell r="H35">
            <v>95</v>
          </cell>
          <cell r="I35"/>
          <cell r="J35"/>
          <cell r="K35"/>
          <cell r="L35"/>
          <cell r="M35"/>
          <cell r="N35"/>
          <cell r="O35">
            <v>95</v>
          </cell>
          <cell r="P35"/>
          <cell r="Q35"/>
          <cell r="R35">
            <v>469.7</v>
          </cell>
          <cell r="S35">
            <v>22315.679999999997</v>
          </cell>
          <cell r="T35"/>
          <cell r="U35"/>
          <cell r="V35">
            <v>0</v>
          </cell>
          <cell r="W35">
            <v>13.85</v>
          </cell>
          <cell r="X35">
            <v>15.25</v>
          </cell>
          <cell r="Y35"/>
          <cell r="Z35">
            <v>75.28</v>
          </cell>
          <cell r="AA35">
            <v>17.600000000000001</v>
          </cell>
          <cell r="AB35"/>
          <cell r="AC35" t="str">
            <v>التخصصية</v>
          </cell>
        </row>
        <row r="36">
          <cell r="A36">
            <v>25811172501322</v>
          </cell>
          <cell r="B36">
            <v>28</v>
          </cell>
          <cell r="C36" t="str">
            <v>ليلى احمد محمد محمد المهدي</v>
          </cell>
          <cell r="D36">
            <v>2710.19</v>
          </cell>
          <cell r="E36">
            <v>947.48</v>
          </cell>
          <cell r="F36">
            <v>150.28</v>
          </cell>
          <cell r="G36">
            <v>88.3</v>
          </cell>
          <cell r="H36">
            <v>50</v>
          </cell>
          <cell r="I36"/>
          <cell r="J36"/>
          <cell r="K36"/>
          <cell r="L36"/>
          <cell r="M36"/>
          <cell r="N36"/>
          <cell r="O36">
            <v>50</v>
          </cell>
          <cell r="P36"/>
          <cell r="Q36"/>
          <cell r="R36">
            <v>883.04</v>
          </cell>
          <cell r="S36">
            <v>29160</v>
          </cell>
          <cell r="T36">
            <v>0.96</v>
          </cell>
          <cell r="U36"/>
          <cell r="V36">
            <v>0.96</v>
          </cell>
          <cell r="W36">
            <v>26.35</v>
          </cell>
          <cell r="X36">
            <v>28.45</v>
          </cell>
          <cell r="Y36"/>
          <cell r="Z36">
            <v>263.48</v>
          </cell>
          <cell r="AA36">
            <v>179.32</v>
          </cell>
          <cell r="AB36"/>
          <cell r="AC36" t="str">
            <v>التخصصية</v>
          </cell>
        </row>
        <row r="37">
          <cell r="A37">
            <v>26507132500113</v>
          </cell>
          <cell r="B37">
            <v>29</v>
          </cell>
          <cell r="C37" t="str">
            <v>محسن محمود محمد محمود</v>
          </cell>
          <cell r="D37">
            <v>2101.14</v>
          </cell>
          <cell r="E37">
            <v>701.5</v>
          </cell>
          <cell r="F37">
            <v>106.48</v>
          </cell>
          <cell r="G37">
            <v>68.62</v>
          </cell>
          <cell r="H37">
            <v>145</v>
          </cell>
          <cell r="I37"/>
          <cell r="J37"/>
          <cell r="K37"/>
          <cell r="L37"/>
          <cell r="M37"/>
          <cell r="N37"/>
          <cell r="O37">
            <v>145</v>
          </cell>
          <cell r="P37"/>
          <cell r="Q37"/>
          <cell r="R37">
            <v>686.21</v>
          </cell>
          <cell r="S37">
            <v>29160</v>
          </cell>
          <cell r="T37"/>
          <cell r="U37"/>
          <cell r="V37">
            <v>0</v>
          </cell>
          <cell r="W37">
            <v>20.6</v>
          </cell>
          <cell r="X37">
            <v>22.25</v>
          </cell>
          <cell r="Y37"/>
          <cell r="Z37">
            <v>164.7</v>
          </cell>
          <cell r="AA37">
            <v>36.1</v>
          </cell>
          <cell r="AB37"/>
          <cell r="AC37" t="str">
            <v>التخصصية</v>
          </cell>
        </row>
        <row r="38">
          <cell r="A38">
            <v>25712082502151</v>
          </cell>
          <cell r="B38">
            <v>30</v>
          </cell>
          <cell r="C38" t="str">
            <v>محمد أحمد عبد المحسن محمود</v>
          </cell>
          <cell r="D38">
            <v>2506.0100000000002</v>
          </cell>
          <cell r="E38">
            <v>886.2</v>
          </cell>
          <cell r="F38">
            <v>134.99</v>
          </cell>
          <cell r="G38">
            <v>83.16</v>
          </cell>
          <cell r="H38">
            <v>100</v>
          </cell>
          <cell r="I38"/>
          <cell r="J38"/>
          <cell r="K38"/>
          <cell r="L38">
            <v>30</v>
          </cell>
          <cell r="M38"/>
          <cell r="N38">
            <v>37.5</v>
          </cell>
          <cell r="O38">
            <v>167.5</v>
          </cell>
          <cell r="P38"/>
          <cell r="Q38"/>
          <cell r="R38">
            <v>831.66</v>
          </cell>
          <cell r="S38"/>
          <cell r="T38">
            <v>0.8</v>
          </cell>
          <cell r="U38">
            <v>23.09</v>
          </cell>
          <cell r="V38">
            <v>23.89</v>
          </cell>
          <cell r="W38">
            <v>25.15</v>
          </cell>
          <cell r="X38">
            <v>26.95</v>
          </cell>
          <cell r="Y38"/>
          <cell r="Z38">
            <v>236.19</v>
          </cell>
          <cell r="AA38">
            <v>161.79</v>
          </cell>
          <cell r="AB38"/>
          <cell r="AC38" t="str">
            <v>التخصصية</v>
          </cell>
        </row>
        <row r="39">
          <cell r="A39">
            <v>27202262500032</v>
          </cell>
          <cell r="B39">
            <v>31</v>
          </cell>
          <cell r="C39" t="str">
            <v>محمد حازم محمود فراج عيسى</v>
          </cell>
          <cell r="D39">
            <v>1762.71</v>
          </cell>
          <cell r="E39">
            <v>414.06</v>
          </cell>
          <cell r="F39">
            <v>101.84</v>
          </cell>
          <cell r="G39">
            <v>52.68</v>
          </cell>
          <cell r="H39">
            <v>150</v>
          </cell>
          <cell r="I39"/>
          <cell r="J39"/>
          <cell r="K39"/>
          <cell r="L39"/>
          <cell r="M39"/>
          <cell r="N39"/>
          <cell r="O39">
            <v>150</v>
          </cell>
          <cell r="P39"/>
          <cell r="Q39"/>
          <cell r="R39">
            <v>526.82000000000005</v>
          </cell>
          <cell r="S39">
            <v>25036.499999999996</v>
          </cell>
          <cell r="T39"/>
          <cell r="U39">
            <v>152.4</v>
          </cell>
          <cell r="V39">
            <v>152.4</v>
          </cell>
          <cell r="W39">
            <v>16.3</v>
          </cell>
          <cell r="X39">
            <v>17.3</v>
          </cell>
          <cell r="Y39"/>
          <cell r="Z39">
            <v>92.88</v>
          </cell>
          <cell r="AA39">
            <v>23.12</v>
          </cell>
          <cell r="AB39"/>
          <cell r="AC39" t="str">
            <v>التخصصية</v>
          </cell>
        </row>
        <row r="40">
          <cell r="A40">
            <v>26709072500978</v>
          </cell>
          <cell r="B40">
            <v>32</v>
          </cell>
          <cell r="C40" t="str">
            <v>محمد عبدالمنعم عمار محمد</v>
          </cell>
          <cell r="D40">
            <v>1602.58</v>
          </cell>
          <cell r="E40">
            <v>326.66000000000003</v>
          </cell>
          <cell r="F40">
            <v>72.53</v>
          </cell>
          <cell r="G40"/>
          <cell r="H40">
            <v>150</v>
          </cell>
          <cell r="I40"/>
          <cell r="J40"/>
          <cell r="K40"/>
          <cell r="L40"/>
          <cell r="M40"/>
          <cell r="N40"/>
          <cell r="O40">
            <v>150</v>
          </cell>
          <cell r="P40"/>
          <cell r="Q40"/>
          <cell r="R40">
            <v>457.98</v>
          </cell>
          <cell r="S40">
            <v>25305.91</v>
          </cell>
          <cell r="T40">
            <v>6.13</v>
          </cell>
          <cell r="U40"/>
          <cell r="V40">
            <v>6.13</v>
          </cell>
          <cell r="W40">
            <v>14.1</v>
          </cell>
          <cell r="X40">
            <v>15.45</v>
          </cell>
          <cell r="Y40"/>
          <cell r="Z40">
            <v>78.08</v>
          </cell>
          <cell r="AA40">
            <v>18.100000000000001</v>
          </cell>
          <cell r="AB40"/>
          <cell r="AC40" t="str">
            <v>التخصصية</v>
          </cell>
        </row>
        <row r="41">
          <cell r="A41">
            <v>27003112500155</v>
          </cell>
          <cell r="B41">
            <v>33</v>
          </cell>
          <cell r="C41" t="str">
            <v>محمد مسعود عبد الله مسعود</v>
          </cell>
          <cell r="D41">
            <v>1453.1</v>
          </cell>
          <cell r="E41">
            <v>204.29</v>
          </cell>
          <cell r="F41">
            <v>47.82</v>
          </cell>
          <cell r="G41"/>
          <cell r="H41">
            <v>50</v>
          </cell>
          <cell r="I41"/>
          <cell r="J41"/>
          <cell r="K41"/>
          <cell r="L41"/>
          <cell r="M41"/>
          <cell r="N41"/>
          <cell r="O41">
            <v>50</v>
          </cell>
          <cell r="P41"/>
          <cell r="Q41"/>
          <cell r="R41">
            <v>397.07</v>
          </cell>
          <cell r="S41">
            <v>21690.69</v>
          </cell>
          <cell r="T41"/>
          <cell r="U41"/>
          <cell r="V41">
            <v>0</v>
          </cell>
          <cell r="W41">
            <v>11.4</v>
          </cell>
          <cell r="X41">
            <v>12.6</v>
          </cell>
          <cell r="Y41"/>
          <cell r="Z41">
            <v>42.89</v>
          </cell>
          <cell r="AA41">
            <v>10.68</v>
          </cell>
          <cell r="AB41"/>
          <cell r="AC41" t="str">
            <v>التخصصية</v>
          </cell>
        </row>
        <row r="42">
          <cell r="A42">
            <v>26006172500176</v>
          </cell>
          <cell r="B42">
            <v>34</v>
          </cell>
          <cell r="C42" t="str">
            <v>مختار فتحى محمود محمد</v>
          </cell>
          <cell r="D42">
            <v>1721.82</v>
          </cell>
          <cell r="E42">
            <v>399.44</v>
          </cell>
          <cell r="F42">
            <v>81.709999999999994</v>
          </cell>
          <cell r="G42"/>
          <cell r="H42">
            <v>150</v>
          </cell>
          <cell r="I42"/>
          <cell r="J42"/>
          <cell r="K42"/>
          <cell r="L42"/>
          <cell r="M42"/>
          <cell r="N42"/>
          <cell r="O42">
            <v>150</v>
          </cell>
          <cell r="P42"/>
          <cell r="Q42"/>
          <cell r="R42">
            <v>515.29999999999995</v>
          </cell>
          <cell r="S42">
            <v>27605.35</v>
          </cell>
          <cell r="T42">
            <v>13.25</v>
          </cell>
          <cell r="U42"/>
          <cell r="V42">
            <v>13.25</v>
          </cell>
          <cell r="W42">
            <v>15.45</v>
          </cell>
          <cell r="X42">
            <v>16.8</v>
          </cell>
          <cell r="Y42"/>
          <cell r="Z42">
            <v>95.46</v>
          </cell>
          <cell r="AA42">
            <v>21.77</v>
          </cell>
          <cell r="AB42"/>
          <cell r="AC42" t="str">
            <v>التخصصية</v>
          </cell>
        </row>
        <row r="43">
          <cell r="A43">
            <v>26712042500044</v>
          </cell>
          <cell r="B43">
            <v>35</v>
          </cell>
          <cell r="C43" t="str">
            <v>منال محمد حسن سليمان</v>
          </cell>
          <cell r="D43">
            <v>1603.78</v>
          </cell>
          <cell r="E43">
            <v>323.17</v>
          </cell>
          <cell r="F43">
            <v>72.23</v>
          </cell>
          <cell r="G43"/>
          <cell r="H43"/>
          <cell r="I43"/>
          <cell r="J43"/>
          <cell r="K43"/>
          <cell r="L43"/>
          <cell r="M43"/>
          <cell r="N43"/>
          <cell r="O43">
            <v>0</v>
          </cell>
          <cell r="P43"/>
          <cell r="Q43"/>
          <cell r="R43">
            <v>458.38</v>
          </cell>
          <cell r="S43">
            <v>26267.9</v>
          </cell>
          <cell r="T43">
            <v>6.98</v>
          </cell>
          <cell r="U43"/>
          <cell r="V43">
            <v>6.98</v>
          </cell>
          <cell r="W43">
            <v>12.95</v>
          </cell>
          <cell r="X43">
            <v>14.3</v>
          </cell>
          <cell r="Y43"/>
          <cell r="Z43">
            <v>62.87</v>
          </cell>
          <cell r="AA43">
            <v>15.07</v>
          </cell>
          <cell r="AB43"/>
          <cell r="AC43" t="str">
            <v>التخصصية</v>
          </cell>
        </row>
        <row r="44">
          <cell r="A44">
            <v>26405042400627</v>
          </cell>
          <cell r="B44">
            <v>36</v>
          </cell>
          <cell r="C44" t="str">
            <v>منى يوسف كامل ابوطالب حسن</v>
          </cell>
          <cell r="D44">
            <v>1533.78</v>
          </cell>
          <cell r="E44">
            <v>237.27</v>
          </cell>
          <cell r="F44">
            <v>59.65</v>
          </cell>
          <cell r="G44"/>
          <cell r="H44">
            <v>50</v>
          </cell>
          <cell r="I44"/>
          <cell r="J44"/>
          <cell r="K44"/>
          <cell r="L44"/>
          <cell r="M44"/>
          <cell r="N44"/>
          <cell r="O44">
            <v>50</v>
          </cell>
          <cell r="P44"/>
          <cell r="Q44"/>
          <cell r="R44">
            <v>426.17</v>
          </cell>
          <cell r="S44">
            <v>24053.089999999997</v>
          </cell>
          <cell r="T44"/>
          <cell r="U44"/>
          <cell r="V44">
            <v>0</v>
          </cell>
          <cell r="W44">
            <v>12.2</v>
          </cell>
          <cell r="X44">
            <v>13.55</v>
          </cell>
          <cell r="Y44"/>
          <cell r="Z44">
            <v>53.98</v>
          </cell>
          <cell r="AA44">
            <v>13.07</v>
          </cell>
          <cell r="AB44"/>
          <cell r="AC44" t="str">
            <v>التخصصية</v>
          </cell>
        </row>
        <row r="45">
          <cell r="A45">
            <v>25908082800189</v>
          </cell>
          <cell r="B45">
            <v>37</v>
          </cell>
          <cell r="C45" t="str">
            <v>ناهد عبده محمود حسن</v>
          </cell>
          <cell r="D45">
            <v>2254.15</v>
          </cell>
          <cell r="E45">
            <v>768.89</v>
          </cell>
          <cell r="F45">
            <v>115.32</v>
          </cell>
          <cell r="G45">
            <v>74.239999999999995</v>
          </cell>
          <cell r="H45">
            <v>50</v>
          </cell>
          <cell r="I45"/>
          <cell r="J45"/>
          <cell r="K45"/>
          <cell r="L45"/>
          <cell r="M45"/>
          <cell r="N45"/>
          <cell r="O45">
            <v>50</v>
          </cell>
          <cell r="P45"/>
          <cell r="Q45"/>
          <cell r="R45">
            <v>742.41</v>
          </cell>
          <cell r="S45">
            <v>29160</v>
          </cell>
          <cell r="T45"/>
          <cell r="U45"/>
          <cell r="V45">
            <v>0</v>
          </cell>
          <cell r="W45">
            <v>21.45</v>
          </cell>
          <cell r="X45">
            <v>23.25</v>
          </cell>
          <cell r="Y45"/>
          <cell r="Z45">
            <v>175.9</v>
          </cell>
          <cell r="AA45">
            <v>117.77</v>
          </cell>
          <cell r="AB45"/>
          <cell r="AC45" t="str">
            <v>التخصصية</v>
          </cell>
        </row>
        <row r="46">
          <cell r="A46">
            <v>26910272600605</v>
          </cell>
          <cell r="B46">
            <v>38</v>
          </cell>
          <cell r="C46" t="str">
            <v>نجلاء السيد عبد الوهاب عبد ربه</v>
          </cell>
          <cell r="D46">
            <v>1622.07</v>
          </cell>
          <cell r="E46">
            <v>350.23</v>
          </cell>
          <cell r="F46">
            <v>75.260000000000005</v>
          </cell>
          <cell r="G46"/>
          <cell r="H46">
            <v>100</v>
          </cell>
          <cell r="I46"/>
          <cell r="J46"/>
          <cell r="K46"/>
          <cell r="L46"/>
          <cell r="M46"/>
          <cell r="N46"/>
          <cell r="O46">
            <v>100</v>
          </cell>
          <cell r="P46"/>
          <cell r="Q46"/>
          <cell r="R46">
            <v>479.7</v>
          </cell>
          <cell r="S46">
            <v>26045.31</v>
          </cell>
          <cell r="T46">
            <v>8.0500000000000007</v>
          </cell>
          <cell r="U46"/>
          <cell r="V46">
            <v>8.0500000000000007</v>
          </cell>
          <cell r="W46">
            <v>14.05</v>
          </cell>
          <cell r="X46">
            <v>15.35</v>
          </cell>
          <cell r="Y46"/>
          <cell r="Z46">
            <v>77.19</v>
          </cell>
          <cell r="AA46">
            <v>17.89</v>
          </cell>
          <cell r="AB46"/>
          <cell r="AC46" t="str">
            <v>التخصصية</v>
          </cell>
        </row>
        <row r="47">
          <cell r="A47">
            <v>27311092500281</v>
          </cell>
          <cell r="B47">
            <v>39</v>
          </cell>
          <cell r="C47" t="str">
            <v>نرمين ثروت صليب اسكندر</v>
          </cell>
          <cell r="D47">
            <v>1680.69</v>
          </cell>
          <cell r="E47">
            <v>377.39</v>
          </cell>
          <cell r="F47">
            <v>77.849999999999994</v>
          </cell>
          <cell r="G47"/>
          <cell r="H47">
            <v>150</v>
          </cell>
          <cell r="I47"/>
          <cell r="J47"/>
          <cell r="K47"/>
          <cell r="L47"/>
          <cell r="M47"/>
          <cell r="N47"/>
          <cell r="O47">
            <v>150</v>
          </cell>
          <cell r="P47"/>
          <cell r="Q47"/>
          <cell r="R47">
            <v>501.09</v>
          </cell>
          <cell r="S47">
            <v>27895.059999999994</v>
          </cell>
          <cell r="T47"/>
          <cell r="U47"/>
          <cell r="V47">
            <v>0</v>
          </cell>
          <cell r="W47">
            <v>15</v>
          </cell>
          <cell r="X47">
            <v>16.45</v>
          </cell>
          <cell r="Y47"/>
          <cell r="Z47">
            <v>90.86</v>
          </cell>
          <cell r="AA47">
            <v>20.76</v>
          </cell>
          <cell r="AB47"/>
          <cell r="AC47" t="str">
            <v>التخصصية</v>
          </cell>
        </row>
        <row r="48">
          <cell r="A48">
            <v>27503022500183</v>
          </cell>
          <cell r="B48">
            <v>40</v>
          </cell>
          <cell r="C48" t="str">
            <v>نرمين عبد المحسن عباس أحمد</v>
          </cell>
          <cell r="D48">
            <v>1680.95</v>
          </cell>
          <cell r="E48">
            <v>375.95</v>
          </cell>
          <cell r="F48">
            <v>78.08</v>
          </cell>
          <cell r="G48"/>
          <cell r="H48">
            <v>50</v>
          </cell>
          <cell r="I48"/>
          <cell r="J48"/>
          <cell r="K48"/>
          <cell r="L48"/>
          <cell r="M48"/>
          <cell r="N48"/>
          <cell r="O48">
            <v>50</v>
          </cell>
          <cell r="P48"/>
          <cell r="Q48"/>
          <cell r="R48">
            <v>499.95</v>
          </cell>
          <cell r="S48">
            <v>28044.870000000003</v>
          </cell>
          <cell r="T48"/>
          <cell r="U48"/>
          <cell r="V48">
            <v>0</v>
          </cell>
          <cell r="W48">
            <v>14.25</v>
          </cell>
          <cell r="X48">
            <v>16.3</v>
          </cell>
          <cell r="Y48"/>
          <cell r="Z48">
            <v>80.849999999999994</v>
          </cell>
          <cell r="AA48">
            <v>20.45</v>
          </cell>
          <cell r="AB48"/>
          <cell r="AC48" t="str">
            <v>التخصصية</v>
          </cell>
        </row>
        <row r="49">
          <cell r="A49">
            <v>27111242102329</v>
          </cell>
          <cell r="B49">
            <v>41</v>
          </cell>
          <cell r="C49" t="str">
            <v>نهله رضا محمد عمر</v>
          </cell>
          <cell r="D49">
            <v>1680.69</v>
          </cell>
          <cell r="E49">
            <v>377.39</v>
          </cell>
          <cell r="F49">
            <v>77.849999999999994</v>
          </cell>
          <cell r="G49"/>
          <cell r="H49">
            <v>100</v>
          </cell>
          <cell r="I49"/>
          <cell r="J49"/>
          <cell r="K49"/>
          <cell r="L49"/>
          <cell r="M49"/>
          <cell r="N49"/>
          <cell r="O49">
            <v>100</v>
          </cell>
          <cell r="P49"/>
          <cell r="Q49"/>
          <cell r="R49">
            <v>501.09</v>
          </cell>
          <cell r="S49">
            <v>28009.059999999994</v>
          </cell>
          <cell r="T49"/>
          <cell r="U49"/>
          <cell r="V49">
            <v>0</v>
          </cell>
          <cell r="W49">
            <v>14.65</v>
          </cell>
          <cell r="X49">
            <v>16.05</v>
          </cell>
          <cell r="Y49"/>
          <cell r="Z49">
            <v>85.8</v>
          </cell>
          <cell r="AA49">
            <v>19.739999999999998</v>
          </cell>
          <cell r="AB49"/>
          <cell r="AC49" t="str">
            <v>التخصصية</v>
          </cell>
        </row>
        <row r="50">
          <cell r="A50">
            <v>27007302500254</v>
          </cell>
          <cell r="B50">
            <v>42</v>
          </cell>
          <cell r="C50" t="str">
            <v>هشام جلال ثابت على</v>
          </cell>
          <cell r="D50">
            <v>1887.89</v>
          </cell>
          <cell r="E50">
            <v>471.93</v>
          </cell>
          <cell r="F50">
            <v>89.24</v>
          </cell>
          <cell r="G50">
            <v>57.23</v>
          </cell>
          <cell r="H50">
            <v>150</v>
          </cell>
          <cell r="I50"/>
          <cell r="J50"/>
          <cell r="K50">
            <v>12.5</v>
          </cell>
          <cell r="L50">
            <v>30</v>
          </cell>
          <cell r="M50"/>
          <cell r="N50"/>
          <cell r="O50">
            <v>192.5</v>
          </cell>
          <cell r="P50"/>
          <cell r="Q50"/>
          <cell r="R50">
            <v>572.37</v>
          </cell>
          <cell r="S50">
            <v>28652.760000000002</v>
          </cell>
          <cell r="T50"/>
          <cell r="U50"/>
          <cell r="V50">
            <v>0</v>
          </cell>
          <cell r="W50">
            <v>17.75</v>
          </cell>
          <cell r="X50">
            <v>19.350000000000001</v>
          </cell>
          <cell r="Y50"/>
          <cell r="Z50">
            <v>127.36</v>
          </cell>
          <cell r="AA50">
            <v>28.45</v>
          </cell>
          <cell r="AB50"/>
          <cell r="AC50" t="str">
            <v>التخصصية</v>
          </cell>
        </row>
        <row r="51">
          <cell r="A51">
            <v>26508032500732</v>
          </cell>
          <cell r="B51">
            <v>43</v>
          </cell>
          <cell r="C51" t="str">
            <v>هشام عيد على مطاوع</v>
          </cell>
          <cell r="D51">
            <v>1691.34</v>
          </cell>
          <cell r="E51">
            <v>386.3</v>
          </cell>
          <cell r="F51">
            <v>79.91</v>
          </cell>
          <cell r="G51"/>
          <cell r="H51">
            <v>150</v>
          </cell>
          <cell r="I51"/>
          <cell r="J51"/>
          <cell r="K51"/>
          <cell r="L51"/>
          <cell r="M51"/>
          <cell r="N51"/>
          <cell r="O51">
            <v>150</v>
          </cell>
          <cell r="P51"/>
          <cell r="Q51"/>
          <cell r="R51">
            <v>504.95</v>
          </cell>
          <cell r="S51">
            <v>27521.660000000003</v>
          </cell>
          <cell r="T51">
            <v>11.15</v>
          </cell>
          <cell r="U51"/>
          <cell r="V51">
            <v>11.15</v>
          </cell>
          <cell r="W51">
            <v>15.15</v>
          </cell>
          <cell r="X51">
            <v>16.5</v>
          </cell>
          <cell r="Y51"/>
          <cell r="Z51">
            <v>91.66</v>
          </cell>
          <cell r="AA51">
            <v>20.94</v>
          </cell>
          <cell r="AB51"/>
          <cell r="AC51" t="str">
            <v>التخصصية</v>
          </cell>
        </row>
        <row r="52">
          <cell r="A52">
            <v>26807052500078</v>
          </cell>
          <cell r="B52">
            <v>44</v>
          </cell>
          <cell r="C52" t="str">
            <v>هيثم فرغلى عبد العال عبد الحافظ</v>
          </cell>
          <cell r="D52">
            <v>1909.03</v>
          </cell>
          <cell r="E52">
            <v>459.7</v>
          </cell>
          <cell r="F52">
            <v>88.11</v>
          </cell>
          <cell r="G52">
            <v>56.27</v>
          </cell>
          <cell r="H52">
            <v>150</v>
          </cell>
          <cell r="I52"/>
          <cell r="J52"/>
          <cell r="K52"/>
          <cell r="L52"/>
          <cell r="M52"/>
          <cell r="N52"/>
          <cell r="O52">
            <v>150</v>
          </cell>
          <cell r="P52"/>
          <cell r="Q52"/>
          <cell r="R52">
            <v>562.73</v>
          </cell>
          <cell r="S52">
            <v>28590.260000000002</v>
          </cell>
          <cell r="T52"/>
          <cell r="U52"/>
          <cell r="V52">
            <v>0</v>
          </cell>
          <cell r="W52">
            <v>17.5</v>
          </cell>
          <cell r="X52">
            <v>19.100000000000001</v>
          </cell>
          <cell r="Y52"/>
          <cell r="Z52">
            <v>123.78</v>
          </cell>
          <cell r="AA52">
            <v>27.86</v>
          </cell>
          <cell r="AB52"/>
          <cell r="AC52" t="str">
            <v>التخصصية</v>
          </cell>
        </row>
        <row r="53">
          <cell r="A53">
            <v>27110032500066</v>
          </cell>
          <cell r="B53">
            <v>45</v>
          </cell>
          <cell r="C53" t="str">
            <v>وفاء حسين يونس بدوي</v>
          </cell>
          <cell r="D53">
            <v>1754.49</v>
          </cell>
          <cell r="E53">
            <v>407.96</v>
          </cell>
          <cell r="F53">
            <v>81.59</v>
          </cell>
          <cell r="G53"/>
          <cell r="H53">
            <v>50</v>
          </cell>
          <cell r="I53"/>
          <cell r="J53"/>
          <cell r="K53"/>
          <cell r="L53"/>
          <cell r="M53"/>
          <cell r="N53"/>
          <cell r="O53">
            <v>50</v>
          </cell>
          <cell r="P53"/>
          <cell r="Q53"/>
          <cell r="R53">
            <v>526.74</v>
          </cell>
          <cell r="S53">
            <v>28711.280000000002</v>
          </cell>
          <cell r="T53"/>
          <cell r="U53"/>
          <cell r="V53">
            <v>0</v>
          </cell>
          <cell r="W53">
            <v>15</v>
          </cell>
          <cell r="X53">
            <v>16.45</v>
          </cell>
          <cell r="Y53"/>
          <cell r="Z53">
            <v>90.48</v>
          </cell>
          <cell r="AA53">
            <v>20.84</v>
          </cell>
          <cell r="AB53"/>
          <cell r="AC53" t="str">
            <v>التخصصية</v>
          </cell>
        </row>
        <row r="54">
          <cell r="A54">
            <v>27309212500049</v>
          </cell>
          <cell r="B54">
            <v>46</v>
          </cell>
          <cell r="C54" t="str">
            <v>وفاء ربيع محمد أبو العلا</v>
          </cell>
          <cell r="D54">
            <v>1537.88</v>
          </cell>
          <cell r="E54">
            <v>238.99</v>
          </cell>
          <cell r="F54">
            <v>60.23</v>
          </cell>
          <cell r="G54"/>
          <cell r="H54">
            <v>145</v>
          </cell>
          <cell r="I54"/>
          <cell r="J54"/>
          <cell r="K54"/>
          <cell r="L54">
            <v>15</v>
          </cell>
          <cell r="M54"/>
          <cell r="N54"/>
          <cell r="O54">
            <v>160</v>
          </cell>
          <cell r="P54"/>
          <cell r="Q54"/>
          <cell r="R54">
            <v>427.54</v>
          </cell>
          <cell r="S54">
            <v>23598.269999999997</v>
          </cell>
          <cell r="T54"/>
          <cell r="U54"/>
          <cell r="V54">
            <v>0</v>
          </cell>
          <cell r="W54">
            <v>13.1</v>
          </cell>
          <cell r="X54">
            <v>14.4</v>
          </cell>
          <cell r="Y54"/>
          <cell r="Z54">
            <v>65.31</v>
          </cell>
          <cell r="AA54">
            <v>15.35</v>
          </cell>
          <cell r="AB54"/>
          <cell r="AC54" t="str">
            <v>التخصصية</v>
          </cell>
        </row>
        <row r="55">
          <cell r="A55">
            <v>27211072500051</v>
          </cell>
          <cell r="B55">
            <v>47</v>
          </cell>
          <cell r="C55" t="str">
            <v>ياسر عبدالناصر حسن مرسى</v>
          </cell>
          <cell r="D55">
            <v>1641.95</v>
          </cell>
          <cell r="E55">
            <v>363.63</v>
          </cell>
          <cell r="F55">
            <v>75.67</v>
          </cell>
          <cell r="G55"/>
          <cell r="H55">
            <v>140</v>
          </cell>
          <cell r="I55"/>
          <cell r="J55"/>
          <cell r="K55"/>
          <cell r="L55"/>
          <cell r="M55"/>
          <cell r="N55"/>
          <cell r="O55">
            <v>140</v>
          </cell>
          <cell r="P55"/>
          <cell r="Q55"/>
          <cell r="R55">
            <v>487.1</v>
          </cell>
          <cell r="S55">
            <v>26114.1</v>
          </cell>
          <cell r="T55"/>
          <cell r="U55"/>
          <cell r="V55">
            <v>0</v>
          </cell>
          <cell r="W55">
            <v>14.55</v>
          </cell>
          <cell r="X55">
            <v>15.95</v>
          </cell>
          <cell r="Y55"/>
          <cell r="Z55">
            <v>85.04</v>
          </cell>
          <cell r="AA55">
            <v>19.510000000000002</v>
          </cell>
          <cell r="AB55"/>
          <cell r="AC55" t="str">
            <v>التخصصية</v>
          </cell>
        </row>
        <row r="56">
          <cell r="A56">
            <v>28606128800361</v>
          </cell>
          <cell r="B56">
            <v>3</v>
          </cell>
          <cell r="C56" t="str">
            <v>اسراء أسامة محمد طلبه</v>
          </cell>
          <cell r="D56">
            <v>1117.3699999999999</v>
          </cell>
          <cell r="E56"/>
          <cell r="F56">
            <v>5.54</v>
          </cell>
          <cell r="G56"/>
          <cell r="H56">
            <v>50</v>
          </cell>
          <cell r="I56">
            <v>97</v>
          </cell>
          <cell r="J56"/>
          <cell r="K56"/>
          <cell r="L56"/>
          <cell r="M56"/>
          <cell r="N56"/>
          <cell r="O56">
            <v>147</v>
          </cell>
          <cell r="P56">
            <v>2283.42</v>
          </cell>
          <cell r="Q56">
            <v>1606.38</v>
          </cell>
          <cell r="R56">
            <v>266</v>
          </cell>
          <cell r="S56">
            <v>16620.080000000002</v>
          </cell>
          <cell r="T56"/>
          <cell r="U56"/>
          <cell r="V56">
            <v>0</v>
          </cell>
          <cell r="W56">
            <v>8.15</v>
          </cell>
          <cell r="X56">
            <v>9.1</v>
          </cell>
          <cell r="Y56">
            <v>10</v>
          </cell>
          <cell r="Z56">
            <v>0.16</v>
          </cell>
          <cell r="AA56">
            <v>1.39</v>
          </cell>
          <cell r="AB56">
            <v>107.35000000000002</v>
          </cell>
          <cell r="AC56" t="str">
            <v>التخصصية الثانية</v>
          </cell>
        </row>
        <row r="57">
          <cell r="A57">
            <v>28312138800447</v>
          </cell>
          <cell r="B57">
            <v>4</v>
          </cell>
          <cell r="C57" t="str">
            <v>اسماء ابو زيد فؤاد ابو زيد</v>
          </cell>
          <cell r="D57">
            <v>1144.27</v>
          </cell>
          <cell r="E57"/>
          <cell r="F57">
            <v>5.68</v>
          </cell>
          <cell r="G57"/>
          <cell r="H57">
            <v>50</v>
          </cell>
          <cell r="I57"/>
          <cell r="J57"/>
          <cell r="K57"/>
          <cell r="L57">
            <v>19.2</v>
          </cell>
          <cell r="M57"/>
          <cell r="N57"/>
          <cell r="O57">
            <v>69.2</v>
          </cell>
          <cell r="P57">
            <v>2199.16</v>
          </cell>
          <cell r="Q57">
            <v>1618.68</v>
          </cell>
          <cell r="R57">
            <v>268</v>
          </cell>
          <cell r="S57">
            <v>15498.200000000003</v>
          </cell>
          <cell r="T57">
            <v>2.44</v>
          </cell>
          <cell r="U57"/>
          <cell r="V57">
            <v>2.44</v>
          </cell>
          <cell r="W57">
            <v>7.8</v>
          </cell>
          <cell r="X57">
            <v>8.8000000000000007</v>
          </cell>
          <cell r="Y57">
            <v>9.9</v>
          </cell>
          <cell r="Z57"/>
          <cell r="AA57">
            <v>0.51</v>
          </cell>
          <cell r="AB57">
            <v>82.880000000000024</v>
          </cell>
          <cell r="AC57" t="str">
            <v>التخصصية الثانية</v>
          </cell>
        </row>
        <row r="58">
          <cell r="A58">
            <v>28712162500142</v>
          </cell>
          <cell r="B58">
            <v>5</v>
          </cell>
          <cell r="C58" t="str">
            <v>الشيماء نور الدين مطاوع عبد الحافظ</v>
          </cell>
          <cell r="D58">
            <v>1096.17</v>
          </cell>
          <cell r="E58"/>
          <cell r="F58">
            <v>5.47</v>
          </cell>
          <cell r="G58"/>
          <cell r="H58">
            <v>50</v>
          </cell>
          <cell r="I58"/>
          <cell r="J58"/>
          <cell r="K58"/>
          <cell r="L58"/>
          <cell r="M58"/>
          <cell r="N58"/>
          <cell r="O58">
            <v>50</v>
          </cell>
          <cell r="P58">
            <v>2276.1999999999998</v>
          </cell>
          <cell r="Q58">
            <v>1569.48</v>
          </cell>
          <cell r="R58">
            <v>260</v>
          </cell>
          <cell r="S58">
            <v>14727.03</v>
          </cell>
          <cell r="T58"/>
          <cell r="U58"/>
          <cell r="V58">
            <v>0</v>
          </cell>
          <cell r="W58">
            <v>7.35</v>
          </cell>
          <cell r="X58">
            <v>8.3000000000000007</v>
          </cell>
          <cell r="Y58">
            <v>9.6499999999999986</v>
          </cell>
          <cell r="Z58"/>
          <cell r="AA58"/>
          <cell r="AB58">
            <v>64.78</v>
          </cell>
          <cell r="AC58" t="str">
            <v>التخصصية الثالثة</v>
          </cell>
        </row>
        <row r="59">
          <cell r="A59">
            <v>28604152500066</v>
          </cell>
          <cell r="B59">
            <v>6</v>
          </cell>
          <cell r="C59" t="str">
            <v>اميره بدر توفيق حسن</v>
          </cell>
          <cell r="D59">
            <v>1096.17</v>
          </cell>
          <cell r="E59"/>
          <cell r="F59">
            <v>5.47</v>
          </cell>
          <cell r="G59"/>
          <cell r="H59">
            <v>140</v>
          </cell>
          <cell r="I59"/>
          <cell r="J59"/>
          <cell r="K59"/>
          <cell r="L59"/>
          <cell r="M59"/>
          <cell r="N59"/>
          <cell r="O59">
            <v>140</v>
          </cell>
          <cell r="P59">
            <v>3028.09</v>
          </cell>
          <cell r="Q59">
            <v>1569.48</v>
          </cell>
          <cell r="R59">
            <v>260</v>
          </cell>
          <cell r="S59">
            <v>17317.37</v>
          </cell>
          <cell r="T59"/>
          <cell r="U59"/>
          <cell r="V59">
            <v>0</v>
          </cell>
          <cell r="W59">
            <v>8.0500000000000007</v>
          </cell>
          <cell r="X59">
            <v>9</v>
          </cell>
          <cell r="Y59">
            <v>13.799999999999999</v>
          </cell>
          <cell r="Z59"/>
          <cell r="AA59">
            <v>1.06</v>
          </cell>
          <cell r="AB59">
            <v>112.61000000000001</v>
          </cell>
          <cell r="AC59" t="str">
            <v>التخصصية الثالثة</v>
          </cell>
        </row>
        <row r="60">
          <cell r="A60">
            <v>28501302500228</v>
          </cell>
          <cell r="B60">
            <v>48.428571428571402</v>
          </cell>
          <cell r="C60" t="str">
            <v>إسراء يحيى محروس محمود</v>
          </cell>
          <cell r="D60">
            <v>961.72</v>
          </cell>
          <cell r="E60"/>
          <cell r="F60">
            <v>5.14</v>
          </cell>
          <cell r="G60"/>
          <cell r="H60">
            <v>50</v>
          </cell>
          <cell r="I60"/>
          <cell r="J60"/>
          <cell r="K60"/>
          <cell r="L60"/>
          <cell r="M60"/>
          <cell r="N60"/>
          <cell r="O60">
            <v>50</v>
          </cell>
          <cell r="P60"/>
          <cell r="Q60"/>
          <cell r="R60">
            <v>255</v>
          </cell>
          <cell r="S60"/>
          <cell r="T60"/>
          <cell r="U60"/>
          <cell r="V60">
            <v>0</v>
          </cell>
          <cell r="W60">
            <v>6.05</v>
          </cell>
          <cell r="X60">
            <v>7.3</v>
          </cell>
          <cell r="Y60"/>
          <cell r="Z60"/>
          <cell r="AA60"/>
          <cell r="AB60"/>
          <cell r="AC60" t="str">
            <v>التخصصية الثالثة</v>
          </cell>
        </row>
        <row r="61">
          <cell r="A61">
            <v>28208232500315</v>
          </cell>
          <cell r="B61">
            <v>49.263736263736199</v>
          </cell>
          <cell r="C61" t="str">
            <v>إسماعيل محمد جابر عبد المحسن</v>
          </cell>
          <cell r="D61">
            <v>1032.52</v>
          </cell>
          <cell r="E61"/>
          <cell r="F61">
            <v>5.14</v>
          </cell>
          <cell r="G61"/>
          <cell r="H61">
            <v>50</v>
          </cell>
          <cell r="I61"/>
          <cell r="J61">
            <v>217.02</v>
          </cell>
          <cell r="K61"/>
          <cell r="L61"/>
          <cell r="M61"/>
          <cell r="N61"/>
          <cell r="O61">
            <v>267.02</v>
          </cell>
          <cell r="P61"/>
          <cell r="Q61"/>
          <cell r="R61">
            <v>255</v>
          </cell>
          <cell r="S61">
            <v>21511.88</v>
          </cell>
          <cell r="T61">
            <v>37</v>
          </cell>
          <cell r="U61"/>
          <cell r="V61">
            <v>37</v>
          </cell>
          <cell r="W61">
            <v>4.8</v>
          </cell>
          <cell r="X61">
            <v>7.55</v>
          </cell>
          <cell r="Y61"/>
          <cell r="Z61"/>
          <cell r="AA61"/>
          <cell r="AB61"/>
          <cell r="AC61" t="str">
            <v>التخصصية الثالثة</v>
          </cell>
        </row>
        <row r="62">
          <cell r="A62">
            <v>28109162500128</v>
          </cell>
          <cell r="B62">
            <v>7</v>
          </cell>
          <cell r="C62" t="str">
            <v>اميره محمد حنفي يوسف</v>
          </cell>
          <cell r="D62">
            <v>1145.97</v>
          </cell>
          <cell r="E62"/>
          <cell r="F62">
            <v>5.58</v>
          </cell>
          <cell r="G62"/>
          <cell r="H62">
            <v>50</v>
          </cell>
          <cell r="I62"/>
          <cell r="J62"/>
          <cell r="K62"/>
          <cell r="L62"/>
          <cell r="M62"/>
          <cell r="N62"/>
          <cell r="O62">
            <v>50</v>
          </cell>
          <cell r="P62">
            <v>2396.38</v>
          </cell>
          <cell r="Q62">
            <v>1655.58</v>
          </cell>
          <cell r="R62">
            <v>274</v>
          </cell>
          <cell r="S62">
            <v>15463.269999999999</v>
          </cell>
          <cell r="T62">
            <v>3.04</v>
          </cell>
          <cell r="U62"/>
          <cell r="V62">
            <v>3.04</v>
          </cell>
          <cell r="W62">
            <v>7.7</v>
          </cell>
          <cell r="X62">
            <v>8.65</v>
          </cell>
          <cell r="Y62">
            <v>10.55</v>
          </cell>
          <cell r="Z62"/>
          <cell r="AA62">
            <v>0.19</v>
          </cell>
          <cell r="AB62">
            <v>84.880000000000024</v>
          </cell>
          <cell r="AC62" t="str">
            <v>التخصصية الثانية</v>
          </cell>
        </row>
        <row r="63">
          <cell r="A63">
            <v>28706042500173</v>
          </cell>
          <cell r="B63">
            <v>50.934065934065899</v>
          </cell>
          <cell r="C63" t="str">
            <v>أحمد مصطفى محمد مصطفى على</v>
          </cell>
          <cell r="D63">
            <v>961.72</v>
          </cell>
          <cell r="E63"/>
          <cell r="F63">
            <v>5.14</v>
          </cell>
          <cell r="G63"/>
          <cell r="H63">
            <v>50</v>
          </cell>
          <cell r="I63"/>
          <cell r="J63">
            <v>213.02</v>
          </cell>
          <cell r="K63"/>
          <cell r="L63"/>
          <cell r="M63"/>
          <cell r="N63"/>
          <cell r="O63">
            <v>263.02</v>
          </cell>
          <cell r="P63"/>
          <cell r="Q63"/>
          <cell r="R63">
            <v>255</v>
          </cell>
          <cell r="S63">
            <v>12108.97</v>
          </cell>
          <cell r="T63"/>
          <cell r="U63"/>
          <cell r="V63">
            <v>0</v>
          </cell>
          <cell r="W63">
            <v>6.05</v>
          </cell>
          <cell r="X63">
            <v>7.3</v>
          </cell>
          <cell r="Y63"/>
          <cell r="Z63"/>
          <cell r="AA63"/>
          <cell r="AB63"/>
          <cell r="AC63" t="str">
            <v>التخصصية الثالثة</v>
          </cell>
        </row>
        <row r="64">
          <cell r="A64">
            <v>27108062500783</v>
          </cell>
          <cell r="B64">
            <v>8</v>
          </cell>
          <cell r="C64" t="str">
            <v>انعام احمد ابراهيم مهران</v>
          </cell>
          <cell r="D64">
            <v>1600.23</v>
          </cell>
          <cell r="E64">
            <v>270.77999999999997</v>
          </cell>
          <cell r="F64">
            <v>70.06</v>
          </cell>
          <cell r="G64"/>
          <cell r="H64">
            <v>100</v>
          </cell>
          <cell r="I64"/>
          <cell r="J64"/>
          <cell r="K64"/>
          <cell r="L64"/>
          <cell r="M64"/>
          <cell r="N64"/>
          <cell r="O64">
            <v>100</v>
          </cell>
          <cell r="P64">
            <v>5176.57</v>
          </cell>
          <cell r="Q64">
            <v>2647.95</v>
          </cell>
          <cell r="R64">
            <v>452.58</v>
          </cell>
          <cell r="S64">
            <v>26504.720000000001</v>
          </cell>
          <cell r="T64"/>
          <cell r="U64"/>
          <cell r="V64">
            <v>0</v>
          </cell>
          <cell r="W64">
            <v>13.35</v>
          </cell>
          <cell r="X64">
            <v>15.15</v>
          </cell>
          <cell r="Y64">
            <v>27.75</v>
          </cell>
          <cell r="Z64">
            <v>68.760000000000005</v>
          </cell>
          <cell r="AA64">
            <v>17.37</v>
          </cell>
          <cell r="AB64">
            <v>221.23</v>
          </cell>
          <cell r="AC64" t="str">
            <v>التخصصية الثانية</v>
          </cell>
        </row>
        <row r="65">
          <cell r="A65">
            <v>27412022500064</v>
          </cell>
          <cell r="B65">
            <v>9</v>
          </cell>
          <cell r="C65" t="str">
            <v>اوميمه جمال حلمى حسن</v>
          </cell>
          <cell r="D65">
            <v>1162.82</v>
          </cell>
          <cell r="E65">
            <v>6.74</v>
          </cell>
          <cell r="F65">
            <v>5.69</v>
          </cell>
          <cell r="G65"/>
          <cell r="H65">
            <v>95</v>
          </cell>
          <cell r="I65"/>
          <cell r="J65"/>
          <cell r="K65"/>
          <cell r="L65"/>
          <cell r="M65"/>
          <cell r="N65"/>
          <cell r="O65">
            <v>95</v>
          </cell>
          <cell r="P65">
            <v>2468.36</v>
          </cell>
          <cell r="Q65">
            <v>2647.95</v>
          </cell>
          <cell r="R65">
            <v>283</v>
          </cell>
          <cell r="S65">
            <v>16058.650000000001</v>
          </cell>
          <cell r="T65"/>
          <cell r="U65"/>
          <cell r="V65">
            <v>0</v>
          </cell>
          <cell r="W65">
            <v>8.1999999999999993</v>
          </cell>
          <cell r="X65">
            <v>9.15</v>
          </cell>
          <cell r="Y65">
            <v>11.300000000000002</v>
          </cell>
          <cell r="Z65">
            <v>0.56000000000000005</v>
          </cell>
          <cell r="AA65">
            <v>1.52</v>
          </cell>
          <cell r="AB65">
            <v>128.54999999999998</v>
          </cell>
          <cell r="AC65" t="str">
            <v>التخصصية الثانية</v>
          </cell>
        </row>
        <row r="66">
          <cell r="A66">
            <v>27811202502229</v>
          </cell>
          <cell r="B66">
            <v>10</v>
          </cell>
          <cell r="C66" t="str">
            <v>ايفيلين ربيل بطرس اسكاروس</v>
          </cell>
          <cell r="D66">
            <v>1152.69</v>
          </cell>
          <cell r="E66">
            <v>0.17</v>
          </cell>
          <cell r="F66">
            <v>5.71</v>
          </cell>
          <cell r="G66"/>
          <cell r="H66">
            <v>95</v>
          </cell>
          <cell r="I66"/>
          <cell r="J66"/>
          <cell r="K66"/>
          <cell r="L66"/>
          <cell r="M66"/>
          <cell r="N66"/>
          <cell r="O66">
            <v>95</v>
          </cell>
          <cell r="P66">
            <v>2445.77</v>
          </cell>
          <cell r="Q66">
            <v>1637.13</v>
          </cell>
          <cell r="R66">
            <v>271</v>
          </cell>
          <cell r="S66">
            <v>15459.829999999998</v>
          </cell>
          <cell r="T66">
            <v>14.28</v>
          </cell>
          <cell r="U66"/>
          <cell r="V66">
            <v>14.28</v>
          </cell>
          <cell r="W66">
            <v>8.1</v>
          </cell>
          <cell r="X66">
            <v>8.9499999999999993</v>
          </cell>
          <cell r="Y66">
            <v>10.8</v>
          </cell>
          <cell r="Z66"/>
          <cell r="AA66">
            <v>1</v>
          </cell>
          <cell r="AB66">
            <v>99.499999999999986</v>
          </cell>
          <cell r="AC66" t="str">
            <v>التخصصية الثانية</v>
          </cell>
        </row>
        <row r="67">
          <cell r="A67">
            <v>28504212500228</v>
          </cell>
          <cell r="B67">
            <v>54.274725274725199</v>
          </cell>
          <cell r="C67" t="str">
            <v>جهاد فرج محمد محمد</v>
          </cell>
          <cell r="D67">
            <v>1089.32</v>
          </cell>
          <cell r="E67"/>
          <cell r="F67">
            <v>5.44</v>
          </cell>
          <cell r="G67"/>
          <cell r="H67">
            <v>50</v>
          </cell>
          <cell r="I67">
            <v>97</v>
          </cell>
          <cell r="J67"/>
          <cell r="K67"/>
          <cell r="L67"/>
          <cell r="M67"/>
          <cell r="N67"/>
          <cell r="O67">
            <v>147</v>
          </cell>
          <cell r="P67"/>
          <cell r="Q67"/>
          <cell r="R67">
            <v>258</v>
          </cell>
          <cell r="S67">
            <v>15005.780000000002</v>
          </cell>
          <cell r="T67"/>
          <cell r="U67"/>
          <cell r="V67">
            <v>0</v>
          </cell>
          <cell r="W67">
            <v>7.95</v>
          </cell>
          <cell r="X67">
            <v>8.9</v>
          </cell>
          <cell r="Y67">
            <v>0.3</v>
          </cell>
          <cell r="Z67"/>
          <cell r="AA67">
            <v>0.85</v>
          </cell>
          <cell r="AB67">
            <v>6.23</v>
          </cell>
          <cell r="AC67" t="str">
            <v>التخصصية الثالثة</v>
          </cell>
        </row>
        <row r="68">
          <cell r="A68">
            <v>28009172501861</v>
          </cell>
          <cell r="B68">
            <v>11</v>
          </cell>
          <cell r="C68" t="str">
            <v>ايمان عبدالحميد عبد اللطيف</v>
          </cell>
          <cell r="D68">
            <v>1145.97</v>
          </cell>
          <cell r="E68">
            <v>2.69</v>
          </cell>
          <cell r="F68">
            <v>5.63</v>
          </cell>
          <cell r="G68"/>
          <cell r="H68">
            <v>50</v>
          </cell>
          <cell r="I68"/>
          <cell r="J68"/>
          <cell r="K68"/>
          <cell r="L68"/>
          <cell r="M68"/>
          <cell r="N68"/>
          <cell r="O68">
            <v>50</v>
          </cell>
          <cell r="P68">
            <v>2252.8599999999997</v>
          </cell>
          <cell r="Q68">
            <v>1680.18</v>
          </cell>
          <cell r="R68">
            <v>278</v>
          </cell>
          <cell r="S68">
            <v>15888.800000000001</v>
          </cell>
          <cell r="T68"/>
          <cell r="U68"/>
          <cell r="V68">
            <v>0</v>
          </cell>
          <cell r="W68">
            <v>7.7</v>
          </cell>
          <cell r="X68">
            <v>9.15</v>
          </cell>
          <cell r="Y68">
            <v>10.150000000000002</v>
          </cell>
          <cell r="Z68"/>
          <cell r="AA68">
            <v>1.45</v>
          </cell>
          <cell r="AB68">
            <v>88.080000000000013</v>
          </cell>
          <cell r="AC68" t="str">
            <v>التخصصية الثانية</v>
          </cell>
        </row>
        <row r="69">
          <cell r="A69">
            <v>28401292500181</v>
          </cell>
          <cell r="B69">
            <v>12</v>
          </cell>
          <cell r="C69" t="str">
            <v>ايمان محمد عبد المعطي محمد</v>
          </cell>
          <cell r="D69">
            <v>1163.53</v>
          </cell>
          <cell r="E69"/>
          <cell r="F69">
            <v>5.69</v>
          </cell>
          <cell r="G69"/>
          <cell r="H69">
            <v>140</v>
          </cell>
          <cell r="I69"/>
          <cell r="J69"/>
          <cell r="K69"/>
          <cell r="L69"/>
          <cell r="M69"/>
          <cell r="N69"/>
          <cell r="O69">
            <v>140</v>
          </cell>
          <cell r="P69">
            <v>2272.6800000000003</v>
          </cell>
          <cell r="Q69">
            <v>1680.18</v>
          </cell>
          <cell r="R69">
            <v>264</v>
          </cell>
          <cell r="S69">
            <v>15522.649999999998</v>
          </cell>
          <cell r="T69"/>
          <cell r="U69"/>
          <cell r="V69">
            <v>0</v>
          </cell>
          <cell r="W69">
            <v>8.5</v>
          </cell>
          <cell r="X69">
            <v>9.5</v>
          </cell>
          <cell r="Y69">
            <v>9.9500000000000011</v>
          </cell>
          <cell r="Z69">
            <v>4.57</v>
          </cell>
          <cell r="AA69">
            <v>2.4</v>
          </cell>
          <cell r="AB69">
            <v>111.73000000000002</v>
          </cell>
          <cell r="AC69" t="str">
            <v>التخصصية الثانية</v>
          </cell>
        </row>
        <row r="70">
          <cell r="A70">
            <v>29109012503131</v>
          </cell>
          <cell r="B70">
            <v>13</v>
          </cell>
          <cell r="C70" t="str">
            <v>أحمد إبراهيم جلال إبراهيم</v>
          </cell>
          <cell r="D70">
            <v>1041.98</v>
          </cell>
          <cell r="E70"/>
          <cell r="F70">
            <v>5.24</v>
          </cell>
          <cell r="G70"/>
          <cell r="H70">
            <v>100</v>
          </cell>
          <cell r="I70"/>
          <cell r="J70"/>
          <cell r="K70"/>
          <cell r="L70"/>
          <cell r="M70"/>
          <cell r="N70"/>
          <cell r="O70">
            <v>100</v>
          </cell>
          <cell r="P70">
            <v>1612.5</v>
          </cell>
          <cell r="Q70">
            <v>1507.98</v>
          </cell>
          <cell r="R70">
            <v>250</v>
          </cell>
          <cell r="S70">
            <v>12508.539999999999</v>
          </cell>
          <cell r="T70"/>
          <cell r="U70"/>
          <cell r="V70">
            <v>0</v>
          </cell>
          <cell r="W70">
            <v>6.1</v>
          </cell>
          <cell r="X70">
            <v>8.25</v>
          </cell>
          <cell r="Y70">
            <v>7.2000000000000011</v>
          </cell>
          <cell r="Z70"/>
          <cell r="AA70"/>
          <cell r="AB70">
            <v>19.34</v>
          </cell>
          <cell r="AC70" t="str">
            <v>التخصصية الثالثة</v>
          </cell>
        </row>
        <row r="71">
          <cell r="A71">
            <v>28006112500051</v>
          </cell>
          <cell r="B71">
            <v>14</v>
          </cell>
          <cell r="C71" t="str">
            <v>أحمد محمد عبد العال أحمد</v>
          </cell>
          <cell r="D71">
            <v>1145.97</v>
          </cell>
          <cell r="E71"/>
          <cell r="F71">
            <v>5.7</v>
          </cell>
          <cell r="G71"/>
          <cell r="H71">
            <v>95</v>
          </cell>
          <cell r="I71"/>
          <cell r="J71"/>
          <cell r="K71"/>
          <cell r="L71"/>
          <cell r="M71"/>
          <cell r="N71"/>
          <cell r="O71">
            <v>95</v>
          </cell>
          <cell r="P71"/>
          <cell r="Q71"/>
          <cell r="R71">
            <v>275</v>
          </cell>
          <cell r="S71">
            <v>16071.709999999997</v>
          </cell>
          <cell r="T71">
            <v>8.67</v>
          </cell>
          <cell r="U71"/>
          <cell r="V71">
            <v>8.67</v>
          </cell>
          <cell r="W71">
            <v>8.15</v>
          </cell>
          <cell r="X71">
            <v>9.1</v>
          </cell>
          <cell r="Y71">
            <v>1.45</v>
          </cell>
          <cell r="Z71"/>
          <cell r="AA71">
            <v>1.31</v>
          </cell>
          <cell r="AB71">
            <v>20.94</v>
          </cell>
          <cell r="AC71" t="str">
            <v>التخصصية الثانية</v>
          </cell>
        </row>
        <row r="72">
          <cell r="A72">
            <v>26712172501956</v>
          </cell>
          <cell r="B72">
            <v>15</v>
          </cell>
          <cell r="C72" t="str">
            <v>أحمد محمد عبد النعيم محمد</v>
          </cell>
          <cell r="D72">
            <v>1736.75</v>
          </cell>
          <cell r="E72">
            <v>407.13</v>
          </cell>
          <cell r="F72">
            <v>82.52</v>
          </cell>
          <cell r="G72"/>
          <cell r="H72">
            <v>150</v>
          </cell>
          <cell r="I72"/>
          <cell r="J72"/>
          <cell r="K72"/>
          <cell r="L72"/>
          <cell r="M72"/>
          <cell r="N72"/>
          <cell r="O72">
            <v>150</v>
          </cell>
          <cell r="P72"/>
          <cell r="Q72"/>
          <cell r="R72">
            <v>521.35</v>
          </cell>
          <cell r="S72">
            <v>29160</v>
          </cell>
          <cell r="T72">
            <v>6.13</v>
          </cell>
          <cell r="U72"/>
          <cell r="V72">
            <v>6.13</v>
          </cell>
          <cell r="W72">
            <v>15.6</v>
          </cell>
          <cell r="X72">
            <v>17.05</v>
          </cell>
          <cell r="Y72">
            <v>0.3</v>
          </cell>
          <cell r="Z72">
            <v>98.25</v>
          </cell>
          <cell r="AA72">
            <v>22.35</v>
          </cell>
          <cell r="AB72">
            <v>0.25</v>
          </cell>
          <cell r="AC72" t="str">
            <v>التخصصية</v>
          </cell>
        </row>
        <row r="73">
          <cell r="A73">
            <v>28510032502061</v>
          </cell>
          <cell r="B73">
            <v>16</v>
          </cell>
          <cell r="C73" t="str">
            <v>أمل محمد عبد المجيد تمام</v>
          </cell>
          <cell r="D73">
            <v>1109.45</v>
          </cell>
          <cell r="E73"/>
          <cell r="F73">
            <v>5.51</v>
          </cell>
          <cell r="G73"/>
          <cell r="H73">
            <v>95</v>
          </cell>
          <cell r="I73"/>
          <cell r="J73"/>
          <cell r="K73"/>
          <cell r="L73"/>
          <cell r="M73"/>
          <cell r="N73"/>
          <cell r="O73">
            <v>95</v>
          </cell>
          <cell r="P73">
            <v>2267.3100000000004</v>
          </cell>
          <cell r="Q73">
            <v>1587.93</v>
          </cell>
          <cell r="R73">
            <v>263</v>
          </cell>
          <cell r="S73">
            <v>14827.150000000001</v>
          </cell>
          <cell r="T73"/>
          <cell r="U73"/>
          <cell r="V73">
            <v>0</v>
          </cell>
          <cell r="W73">
            <v>7.8</v>
          </cell>
          <cell r="X73">
            <v>8.75</v>
          </cell>
          <cell r="Y73">
            <v>9.9500000000000011</v>
          </cell>
          <cell r="Z73"/>
          <cell r="AA73">
            <v>0.41</v>
          </cell>
          <cell r="AB73">
            <v>80.820000000000007</v>
          </cell>
          <cell r="AC73" t="str">
            <v>التخصصية الثانية</v>
          </cell>
        </row>
        <row r="74">
          <cell r="A74">
            <v>27610262501447</v>
          </cell>
          <cell r="B74">
            <v>72</v>
          </cell>
          <cell r="C74" t="str">
            <v>رابعة أحمد محمد عطيه</v>
          </cell>
          <cell r="D74">
            <v>1238.3</v>
          </cell>
          <cell r="E74">
            <v>43.06</v>
          </cell>
          <cell r="F74">
            <v>8.64</v>
          </cell>
          <cell r="G74"/>
          <cell r="H74">
            <v>150</v>
          </cell>
          <cell r="I74"/>
          <cell r="J74">
            <v>235.17</v>
          </cell>
          <cell r="K74"/>
          <cell r="L74"/>
          <cell r="M74"/>
          <cell r="N74"/>
          <cell r="O74">
            <v>385.16999999999996</v>
          </cell>
          <cell r="P74"/>
          <cell r="Q74"/>
          <cell r="R74">
            <v>304.76</v>
          </cell>
          <cell r="S74">
            <v>28360.39</v>
          </cell>
          <cell r="T74"/>
          <cell r="U74"/>
          <cell r="V74">
            <v>0</v>
          </cell>
          <cell r="W74">
            <v>9.35</v>
          </cell>
          <cell r="X74">
            <v>10.45</v>
          </cell>
          <cell r="Y74">
            <v>0.3</v>
          </cell>
          <cell r="Z74">
            <v>16.25</v>
          </cell>
          <cell r="AA74">
            <v>4.9000000000000004</v>
          </cell>
          <cell r="AB74">
            <v>1.7</v>
          </cell>
          <cell r="AC74" t="str">
            <v>التخصصية الثالثة</v>
          </cell>
        </row>
        <row r="75">
          <cell r="A75">
            <v>28008162500321</v>
          </cell>
          <cell r="B75">
            <v>73</v>
          </cell>
          <cell r="C75" t="str">
            <v>رانيا رأفت فؤاد أسعد</v>
          </cell>
          <cell r="D75">
            <v>1131.7</v>
          </cell>
          <cell r="E75"/>
          <cell r="F75">
            <v>5.51</v>
          </cell>
          <cell r="G75"/>
          <cell r="H75"/>
          <cell r="I75"/>
          <cell r="J75">
            <v>223.18</v>
          </cell>
          <cell r="K75"/>
          <cell r="L75"/>
          <cell r="M75"/>
          <cell r="N75"/>
          <cell r="O75">
            <v>223.18</v>
          </cell>
          <cell r="P75"/>
          <cell r="Q75"/>
          <cell r="R75">
            <v>263</v>
          </cell>
          <cell r="S75">
            <v>26843.649999999998</v>
          </cell>
          <cell r="T75"/>
          <cell r="U75"/>
          <cell r="V75">
            <v>0</v>
          </cell>
          <cell r="W75">
            <v>7.2</v>
          </cell>
          <cell r="X75">
            <v>8.1999999999999993</v>
          </cell>
          <cell r="Y75">
            <v>1.45</v>
          </cell>
          <cell r="Z75"/>
          <cell r="AA75"/>
          <cell r="AB75">
            <v>4.8499999999999996</v>
          </cell>
          <cell r="AC75" t="str">
            <v>التخصصية الثالثة</v>
          </cell>
        </row>
        <row r="76">
          <cell r="A76">
            <v>28806242500229</v>
          </cell>
          <cell r="B76">
            <v>17</v>
          </cell>
          <cell r="C76" t="str">
            <v>أميرة إسماعيل تهامى إسماعيل</v>
          </cell>
          <cell r="D76">
            <v>1096.17</v>
          </cell>
          <cell r="E76"/>
          <cell r="F76">
            <v>5.47</v>
          </cell>
          <cell r="G76"/>
          <cell r="H76">
            <v>50</v>
          </cell>
          <cell r="I76"/>
          <cell r="J76">
            <v>221.37</v>
          </cell>
          <cell r="K76"/>
          <cell r="L76"/>
          <cell r="M76"/>
          <cell r="N76"/>
          <cell r="O76">
            <v>271.37</v>
          </cell>
          <cell r="P76">
            <v>1769.8500000000001</v>
          </cell>
          <cell r="Q76">
            <v>1569.48</v>
          </cell>
          <cell r="R76">
            <v>260</v>
          </cell>
          <cell r="S76">
            <v>13540.750000000002</v>
          </cell>
          <cell r="T76"/>
          <cell r="U76"/>
          <cell r="V76">
            <v>0</v>
          </cell>
          <cell r="W76"/>
          <cell r="X76">
            <v>8.3000000000000007</v>
          </cell>
          <cell r="Y76">
            <v>6.6999999999999993</v>
          </cell>
          <cell r="Z76"/>
          <cell r="AA76"/>
          <cell r="AB76">
            <v>36.18</v>
          </cell>
          <cell r="AC76" t="str">
            <v>التخصصية الثالثة</v>
          </cell>
        </row>
        <row r="77">
          <cell r="A77">
            <v>28711042500088</v>
          </cell>
          <cell r="B77">
            <v>75</v>
          </cell>
          <cell r="C77" t="str">
            <v>رحاب محمد سمير عبد الفتاح علي</v>
          </cell>
          <cell r="D77">
            <v>1032.52</v>
          </cell>
          <cell r="E77"/>
          <cell r="F77">
            <v>5.14</v>
          </cell>
          <cell r="G77"/>
          <cell r="H77">
            <v>50</v>
          </cell>
          <cell r="I77"/>
          <cell r="J77"/>
          <cell r="K77"/>
          <cell r="L77"/>
          <cell r="M77"/>
          <cell r="N77"/>
          <cell r="O77">
            <v>50</v>
          </cell>
          <cell r="P77"/>
          <cell r="Q77"/>
          <cell r="R77">
            <v>255</v>
          </cell>
          <cell r="S77">
            <v>11319.57</v>
          </cell>
          <cell r="T77"/>
          <cell r="U77"/>
          <cell r="V77">
            <v>0</v>
          </cell>
          <cell r="W77">
            <v>6.45</v>
          </cell>
          <cell r="X77">
            <v>7.85</v>
          </cell>
          <cell r="Y77">
            <v>0.3</v>
          </cell>
          <cell r="Z77"/>
          <cell r="AA77"/>
          <cell r="AB77">
            <v>1.7</v>
          </cell>
          <cell r="AC77" t="str">
            <v>التخصصية الثالثة</v>
          </cell>
        </row>
        <row r="78">
          <cell r="A78">
            <v>28504252500204</v>
          </cell>
          <cell r="B78">
            <v>18</v>
          </cell>
          <cell r="C78" t="str">
            <v>أميرة محمد عبد المعطى محمد</v>
          </cell>
          <cell r="D78">
            <v>1021.91</v>
          </cell>
          <cell r="E78"/>
          <cell r="F78">
            <v>5.13</v>
          </cell>
          <cell r="G78"/>
          <cell r="H78">
            <v>50</v>
          </cell>
          <cell r="I78"/>
          <cell r="J78">
            <v>184.45</v>
          </cell>
          <cell r="K78"/>
          <cell r="L78"/>
          <cell r="M78"/>
          <cell r="N78"/>
          <cell r="O78">
            <v>234.45</v>
          </cell>
          <cell r="P78">
            <v>2158.52</v>
          </cell>
          <cell r="Q78">
            <v>1406.51</v>
          </cell>
          <cell r="R78">
            <v>232.5</v>
          </cell>
          <cell r="S78">
            <v>23603.920000000002</v>
          </cell>
          <cell r="T78"/>
          <cell r="U78"/>
          <cell r="V78">
            <v>0</v>
          </cell>
          <cell r="W78">
            <v>6.4</v>
          </cell>
          <cell r="X78">
            <v>7.75</v>
          </cell>
          <cell r="Y78">
            <v>10.200000000000001</v>
          </cell>
          <cell r="Z78"/>
          <cell r="AA78"/>
          <cell r="AB78">
            <v>42.41</v>
          </cell>
          <cell r="AC78" t="str">
            <v>التخصصية الثالثة</v>
          </cell>
        </row>
        <row r="79">
          <cell r="A79">
            <v>28302182500226</v>
          </cell>
          <cell r="B79">
            <v>19</v>
          </cell>
          <cell r="C79" t="str">
            <v>بسمة عبد العزيز ابو العلا</v>
          </cell>
          <cell r="D79">
            <v>1145.97</v>
          </cell>
          <cell r="E79"/>
          <cell r="F79">
            <v>5.5</v>
          </cell>
          <cell r="G79"/>
          <cell r="H79">
            <v>50</v>
          </cell>
          <cell r="I79"/>
          <cell r="J79"/>
          <cell r="K79"/>
          <cell r="L79"/>
          <cell r="M79"/>
          <cell r="N79"/>
          <cell r="O79">
            <v>50</v>
          </cell>
          <cell r="P79">
            <v>2410.38</v>
          </cell>
          <cell r="Q79">
            <v>1655.58</v>
          </cell>
          <cell r="R79">
            <v>265.16000000000003</v>
          </cell>
          <cell r="S79">
            <v>14686.810000000001</v>
          </cell>
          <cell r="T79"/>
          <cell r="U79"/>
          <cell r="V79">
            <v>0</v>
          </cell>
          <cell r="W79">
            <v>7.55</v>
          </cell>
          <cell r="X79">
            <v>8.8000000000000007</v>
          </cell>
          <cell r="Y79">
            <v>11.3</v>
          </cell>
          <cell r="Z79"/>
          <cell r="AA79">
            <v>0.51</v>
          </cell>
          <cell r="AB79">
            <v>101.04</v>
          </cell>
          <cell r="AC79" t="str">
            <v>التخصصية الثانية</v>
          </cell>
        </row>
        <row r="80">
          <cell r="A80">
            <v>28409302500186</v>
          </cell>
          <cell r="B80">
            <v>78</v>
          </cell>
          <cell r="C80" t="str">
            <v>روزالين رأفت فؤاد أسعد</v>
          </cell>
          <cell r="D80">
            <v>1032.52</v>
          </cell>
          <cell r="E80"/>
          <cell r="F80">
            <v>5.14</v>
          </cell>
          <cell r="G80"/>
          <cell r="H80">
            <v>50</v>
          </cell>
          <cell r="I80"/>
          <cell r="J80">
            <v>201.59</v>
          </cell>
          <cell r="K80"/>
          <cell r="L80"/>
          <cell r="M80"/>
          <cell r="N80"/>
          <cell r="O80">
            <v>251.59</v>
          </cell>
          <cell r="P80"/>
          <cell r="Q80"/>
          <cell r="R80">
            <v>255</v>
          </cell>
          <cell r="S80">
            <v>14329.259999999998</v>
          </cell>
          <cell r="T80"/>
          <cell r="U80"/>
          <cell r="V80">
            <v>0</v>
          </cell>
          <cell r="W80">
            <v>6</v>
          </cell>
          <cell r="X80">
            <v>7.45</v>
          </cell>
          <cell r="Y80">
            <v>0.3</v>
          </cell>
          <cell r="Z80"/>
          <cell r="AA80"/>
          <cell r="AB80">
            <v>1.7</v>
          </cell>
          <cell r="AC80" t="str">
            <v>التخصصية الثالثة</v>
          </cell>
        </row>
        <row r="81">
          <cell r="A81">
            <v>28009152500311</v>
          </cell>
          <cell r="B81">
            <v>20</v>
          </cell>
          <cell r="C81" t="str">
            <v>بيتر عاطف كمال متري</v>
          </cell>
          <cell r="D81">
            <v>1126.3599999999999</v>
          </cell>
          <cell r="E81">
            <v>0.9</v>
          </cell>
          <cell r="F81">
            <v>5.53</v>
          </cell>
          <cell r="G81"/>
          <cell r="H81">
            <v>100</v>
          </cell>
          <cell r="I81"/>
          <cell r="J81"/>
          <cell r="K81"/>
          <cell r="L81"/>
          <cell r="M81"/>
          <cell r="N81"/>
          <cell r="O81">
            <v>100</v>
          </cell>
          <cell r="P81">
            <v>2304.8999999999996</v>
          </cell>
          <cell r="Q81">
            <v>1630.98</v>
          </cell>
          <cell r="R81">
            <v>270</v>
          </cell>
          <cell r="S81">
            <v>15043.490000000002</v>
          </cell>
          <cell r="T81"/>
          <cell r="U81">
            <v>6.48</v>
          </cell>
          <cell r="V81">
            <v>6.48</v>
          </cell>
          <cell r="W81">
            <v>7.95</v>
          </cell>
          <cell r="X81">
            <v>8.85</v>
          </cell>
          <cell r="Y81">
            <v>10.200000000000001</v>
          </cell>
          <cell r="Z81"/>
          <cell r="AA81">
            <v>0.74</v>
          </cell>
          <cell r="AB81">
            <v>91.660000000000025</v>
          </cell>
          <cell r="AC81" t="str">
            <v>التخصصية الثانية</v>
          </cell>
        </row>
        <row r="82">
          <cell r="A82">
            <v>29005272502634</v>
          </cell>
          <cell r="B82">
            <v>21</v>
          </cell>
          <cell r="C82" t="str">
            <v>تهامى أنور تهامى محمد</v>
          </cell>
          <cell r="D82">
            <v>903.04</v>
          </cell>
          <cell r="E82"/>
          <cell r="F82">
            <v>4.54</v>
          </cell>
          <cell r="G82"/>
          <cell r="H82">
            <v>50</v>
          </cell>
          <cell r="I82"/>
          <cell r="J82"/>
          <cell r="K82"/>
          <cell r="L82"/>
          <cell r="M82"/>
          <cell r="N82"/>
          <cell r="O82">
            <v>50</v>
          </cell>
          <cell r="P82">
            <v>2152.5</v>
          </cell>
          <cell r="Q82">
            <v>1507.98</v>
          </cell>
          <cell r="R82">
            <v>216.67</v>
          </cell>
          <cell r="S82">
            <v>13492.669999999998</v>
          </cell>
          <cell r="T82"/>
          <cell r="U82"/>
          <cell r="V82">
            <v>0</v>
          </cell>
          <cell r="W82">
            <v>6.55</v>
          </cell>
          <cell r="X82">
            <v>6.4</v>
          </cell>
          <cell r="Y82">
            <v>8.7000000000000011</v>
          </cell>
          <cell r="Z82"/>
          <cell r="AA82"/>
          <cell r="AB82">
            <v>40.17</v>
          </cell>
          <cell r="AC82" t="str">
            <v>التخصصية الثالثة</v>
          </cell>
        </row>
        <row r="83">
          <cell r="A83">
            <v>28511172500374</v>
          </cell>
          <cell r="B83">
            <v>22</v>
          </cell>
          <cell r="C83" t="str">
            <v>جرجس فيليب عزيز نخله</v>
          </cell>
          <cell r="D83">
            <v>1109.45</v>
          </cell>
          <cell r="E83"/>
          <cell r="F83">
            <v>5.51</v>
          </cell>
          <cell r="G83"/>
          <cell r="H83">
            <v>50</v>
          </cell>
          <cell r="I83"/>
          <cell r="J83"/>
          <cell r="K83"/>
          <cell r="L83"/>
          <cell r="M83"/>
          <cell r="N83"/>
          <cell r="O83">
            <v>50</v>
          </cell>
          <cell r="P83">
            <v>2172.3100000000004</v>
          </cell>
          <cell r="Q83">
            <v>1587.93</v>
          </cell>
          <cell r="R83">
            <v>263</v>
          </cell>
          <cell r="S83">
            <v>15353.150000000001</v>
          </cell>
          <cell r="T83"/>
          <cell r="U83"/>
          <cell r="V83">
            <v>0</v>
          </cell>
          <cell r="W83">
            <v>7.45</v>
          </cell>
          <cell r="X83">
            <v>8.4</v>
          </cell>
          <cell r="Y83">
            <v>9.6499999999999986</v>
          </cell>
          <cell r="Z83"/>
          <cell r="AA83"/>
          <cell r="AB83">
            <v>62.2</v>
          </cell>
          <cell r="AC83" t="str">
            <v>التخصصية الثانية</v>
          </cell>
        </row>
        <row r="84">
          <cell r="A84">
            <v>28606012505753</v>
          </cell>
          <cell r="B84">
            <v>23</v>
          </cell>
          <cell r="C84" t="str">
            <v>حازم عبد الرحمن دوينى عبدالرحمن</v>
          </cell>
          <cell r="D84">
            <v>1096.17</v>
          </cell>
          <cell r="E84"/>
          <cell r="F84">
            <v>5.47</v>
          </cell>
          <cell r="G84"/>
          <cell r="H84">
            <v>50</v>
          </cell>
          <cell r="I84"/>
          <cell r="J84">
            <v>219.37</v>
          </cell>
          <cell r="K84"/>
          <cell r="L84"/>
          <cell r="M84"/>
          <cell r="N84"/>
          <cell r="O84">
            <v>269.37</v>
          </cell>
          <cell r="P84">
            <v>3317.0199999999995</v>
          </cell>
          <cell r="Q84">
            <v>1569.48</v>
          </cell>
          <cell r="R84">
            <v>260</v>
          </cell>
          <cell r="S84">
            <v>17865.169999999998</v>
          </cell>
          <cell r="T84"/>
          <cell r="U84"/>
          <cell r="V84">
            <v>0</v>
          </cell>
          <cell r="W84">
            <v>7.35</v>
          </cell>
          <cell r="X84">
            <v>8.3000000000000007</v>
          </cell>
          <cell r="Y84">
            <v>15.45</v>
          </cell>
          <cell r="Z84"/>
          <cell r="AA84"/>
          <cell r="AB84">
            <v>78.37</v>
          </cell>
          <cell r="AC84" t="str">
            <v>التخصصية الثالثة</v>
          </cell>
        </row>
        <row r="85">
          <cell r="A85">
            <v>28710202500351</v>
          </cell>
          <cell r="B85">
            <v>24</v>
          </cell>
          <cell r="C85" t="str">
            <v>حسام جمال الدين محمد محمود</v>
          </cell>
          <cell r="D85">
            <v>1159.31</v>
          </cell>
          <cell r="E85"/>
          <cell r="F85">
            <v>5.51</v>
          </cell>
          <cell r="G85"/>
          <cell r="H85">
            <v>100</v>
          </cell>
          <cell r="I85"/>
          <cell r="J85">
            <v>223.18</v>
          </cell>
          <cell r="K85"/>
          <cell r="L85"/>
          <cell r="M85"/>
          <cell r="N85"/>
          <cell r="O85">
            <v>323.18</v>
          </cell>
          <cell r="P85">
            <v>3537.3100000000004</v>
          </cell>
          <cell r="Q85">
            <v>1587.93</v>
          </cell>
          <cell r="R85">
            <v>263</v>
          </cell>
          <cell r="S85">
            <v>27391.87</v>
          </cell>
          <cell r="T85"/>
          <cell r="U85"/>
          <cell r="V85">
            <v>0</v>
          </cell>
          <cell r="W85">
            <v>7.8</v>
          </cell>
          <cell r="X85">
            <v>9.15</v>
          </cell>
          <cell r="Y85">
            <v>14.499999999999998</v>
          </cell>
          <cell r="Z85"/>
          <cell r="AA85">
            <v>1.53</v>
          </cell>
          <cell r="AB85">
            <v>138.15999999999997</v>
          </cell>
          <cell r="AC85" t="str">
            <v>التخصصية الثالثة</v>
          </cell>
        </row>
        <row r="86">
          <cell r="A86">
            <v>28102032500229</v>
          </cell>
          <cell r="B86">
            <v>25</v>
          </cell>
          <cell r="C86" t="str">
            <v>حنان فاروق محمد طلبه</v>
          </cell>
          <cell r="D86">
            <v>1145.97</v>
          </cell>
          <cell r="E86">
            <v>4.6900000000000004</v>
          </cell>
          <cell r="F86">
            <v>5.63</v>
          </cell>
          <cell r="G86"/>
          <cell r="H86">
            <v>50</v>
          </cell>
          <cell r="I86"/>
          <cell r="J86"/>
          <cell r="K86"/>
          <cell r="L86"/>
          <cell r="M86"/>
          <cell r="N86"/>
          <cell r="O86">
            <v>50</v>
          </cell>
          <cell r="P86">
            <v>2486.8599999999997</v>
          </cell>
          <cell r="Q86">
            <v>1680.18</v>
          </cell>
          <cell r="R86">
            <v>278</v>
          </cell>
          <cell r="S86">
            <v>15385.400000000001</v>
          </cell>
          <cell r="T86"/>
          <cell r="U86"/>
          <cell r="V86">
            <v>0</v>
          </cell>
          <cell r="W86">
            <v>7.7</v>
          </cell>
          <cell r="X86">
            <v>8.6999999999999993</v>
          </cell>
          <cell r="Y86">
            <v>11.000000000000004</v>
          </cell>
          <cell r="Z86"/>
          <cell r="AA86">
            <v>0.33</v>
          </cell>
          <cell r="AB86">
            <v>84.080000000000013</v>
          </cell>
          <cell r="AC86" t="str">
            <v>التخصصية الثانية</v>
          </cell>
        </row>
        <row r="87">
          <cell r="A87">
            <v>29208022500243</v>
          </cell>
          <cell r="B87">
            <v>26</v>
          </cell>
          <cell r="C87" t="str">
            <v>حنان محمود محمد أحمد</v>
          </cell>
          <cell r="D87">
            <v>942.46</v>
          </cell>
          <cell r="E87"/>
          <cell r="F87">
            <v>5.08</v>
          </cell>
          <cell r="G87"/>
          <cell r="H87">
            <v>50</v>
          </cell>
          <cell r="I87"/>
          <cell r="J87"/>
          <cell r="K87"/>
          <cell r="L87"/>
          <cell r="M87"/>
          <cell r="N87"/>
          <cell r="O87">
            <v>50</v>
          </cell>
          <cell r="P87">
            <v>1411.02</v>
          </cell>
          <cell r="Q87">
            <v>1483.38</v>
          </cell>
          <cell r="R87">
            <v>246</v>
          </cell>
          <cell r="S87">
            <v>10904.46</v>
          </cell>
          <cell r="T87"/>
          <cell r="U87"/>
          <cell r="V87">
            <v>0</v>
          </cell>
          <cell r="W87">
            <v>5.9</v>
          </cell>
          <cell r="X87">
            <v>6.65</v>
          </cell>
          <cell r="Y87">
            <v>6.6499999999999995</v>
          </cell>
          <cell r="Z87"/>
          <cell r="AA87"/>
          <cell r="AB87">
            <v>7.55</v>
          </cell>
          <cell r="AC87" t="str">
            <v>التخصصية الثالثة</v>
          </cell>
        </row>
        <row r="88">
          <cell r="A88">
            <v>28606212500276</v>
          </cell>
          <cell r="B88">
            <v>27</v>
          </cell>
          <cell r="C88" t="str">
            <v>خالد فتحي عبد العزيز اسماعيل</v>
          </cell>
          <cell r="D88">
            <v>1104.0999999999999</v>
          </cell>
          <cell r="E88"/>
          <cell r="F88">
            <v>5.51</v>
          </cell>
          <cell r="G88"/>
          <cell r="H88">
            <v>50</v>
          </cell>
          <cell r="I88"/>
          <cell r="J88"/>
          <cell r="K88"/>
          <cell r="L88"/>
          <cell r="M88"/>
          <cell r="N88"/>
          <cell r="O88">
            <v>50</v>
          </cell>
          <cell r="P88">
            <v>2222.3100000000004</v>
          </cell>
          <cell r="Q88">
            <v>1587.93</v>
          </cell>
          <cell r="R88">
            <v>263</v>
          </cell>
          <cell r="S88">
            <v>14639.31</v>
          </cell>
          <cell r="T88"/>
          <cell r="U88"/>
          <cell r="V88">
            <v>0</v>
          </cell>
          <cell r="W88">
            <v>7.4</v>
          </cell>
          <cell r="X88">
            <v>8.35</v>
          </cell>
          <cell r="Y88">
            <v>9.4999999999999982</v>
          </cell>
          <cell r="Z88"/>
          <cell r="AA88"/>
          <cell r="AB88">
            <v>61.650000000000006</v>
          </cell>
          <cell r="AC88" t="str">
            <v>التخصصية الثالثة</v>
          </cell>
        </row>
        <row r="89">
          <cell r="A89">
            <v>28211082500321</v>
          </cell>
          <cell r="B89">
            <v>28</v>
          </cell>
          <cell r="C89" t="str">
            <v>داليا محي عبد العليم عبد الحافظ</v>
          </cell>
          <cell r="D89">
            <v>955.3</v>
          </cell>
          <cell r="E89"/>
          <cell r="F89">
            <v>5.0999999999999996</v>
          </cell>
          <cell r="G89"/>
          <cell r="H89"/>
          <cell r="I89"/>
          <cell r="J89"/>
          <cell r="K89"/>
          <cell r="L89"/>
          <cell r="M89"/>
          <cell r="N89"/>
          <cell r="O89">
            <v>0</v>
          </cell>
          <cell r="P89">
            <v>1641.2399999999998</v>
          </cell>
          <cell r="Q89">
            <v>1520.28</v>
          </cell>
          <cell r="R89">
            <v>252</v>
          </cell>
          <cell r="S89">
            <v>11944.93</v>
          </cell>
          <cell r="T89"/>
          <cell r="U89"/>
          <cell r="V89">
            <v>0</v>
          </cell>
          <cell r="W89">
            <v>5.65</v>
          </cell>
          <cell r="X89">
            <v>6.4</v>
          </cell>
          <cell r="Y89">
            <v>7.0500000000000007</v>
          </cell>
          <cell r="Z89"/>
          <cell r="AA89"/>
          <cell r="AB89">
            <v>11.290000000000001</v>
          </cell>
          <cell r="AC89" t="str">
            <v>التخصصية الثالثة</v>
          </cell>
        </row>
        <row r="90">
          <cell r="A90">
            <v>27808192500183</v>
          </cell>
          <cell r="B90">
            <v>29</v>
          </cell>
          <cell r="C90" t="str">
            <v>دعاء احمد جمال عبدالفتاح حسن</v>
          </cell>
          <cell r="D90">
            <v>1191.8900000000001</v>
          </cell>
          <cell r="E90"/>
          <cell r="F90">
            <v>5.69</v>
          </cell>
          <cell r="G90"/>
          <cell r="H90">
            <v>50</v>
          </cell>
          <cell r="I90"/>
          <cell r="J90"/>
          <cell r="K90"/>
          <cell r="L90"/>
          <cell r="M90"/>
          <cell r="N90"/>
          <cell r="O90">
            <v>50</v>
          </cell>
          <cell r="P90">
            <v>2347.8599999999997</v>
          </cell>
          <cell r="Q90">
            <v>1680.18</v>
          </cell>
          <cell r="R90">
            <v>278</v>
          </cell>
          <cell r="S90">
            <v>16346.539999999999</v>
          </cell>
          <cell r="T90"/>
          <cell r="U90"/>
          <cell r="V90">
            <v>0</v>
          </cell>
          <cell r="W90">
            <v>8</v>
          </cell>
          <cell r="X90">
            <v>8.9499999999999993</v>
          </cell>
          <cell r="Y90">
            <v>10.450000000000003</v>
          </cell>
          <cell r="Z90"/>
          <cell r="AA90">
            <v>0.92</v>
          </cell>
          <cell r="AB90">
            <v>95.860000000000014</v>
          </cell>
          <cell r="AC90" t="str">
            <v>التخصصية الثانية</v>
          </cell>
        </row>
        <row r="91">
          <cell r="A91">
            <v>28110182500181</v>
          </cell>
          <cell r="B91">
            <v>30</v>
          </cell>
          <cell r="C91" t="str">
            <v>دعاء محمد عباس عامر</v>
          </cell>
          <cell r="D91">
            <v>1104.0999999999999</v>
          </cell>
          <cell r="E91"/>
          <cell r="F91">
            <v>5.51</v>
          </cell>
          <cell r="G91"/>
          <cell r="H91">
            <v>50</v>
          </cell>
          <cell r="I91"/>
          <cell r="J91"/>
          <cell r="K91"/>
          <cell r="L91"/>
          <cell r="M91"/>
          <cell r="N91"/>
          <cell r="O91">
            <v>50</v>
          </cell>
          <cell r="P91">
            <v>2485.3100000000004</v>
          </cell>
          <cell r="Q91">
            <v>1587.93</v>
          </cell>
          <cell r="R91">
            <v>263</v>
          </cell>
          <cell r="S91">
            <v>14902.32</v>
          </cell>
          <cell r="T91"/>
          <cell r="U91"/>
          <cell r="V91">
            <v>0</v>
          </cell>
          <cell r="W91">
            <v>7.4</v>
          </cell>
          <cell r="X91">
            <v>8.35</v>
          </cell>
          <cell r="Y91">
            <v>10.899999999999999</v>
          </cell>
          <cell r="Z91"/>
          <cell r="AA91"/>
          <cell r="AB91">
            <v>66.350000000000009</v>
          </cell>
          <cell r="AC91" t="str">
            <v>التخصصية الثالثة</v>
          </cell>
        </row>
        <row r="92">
          <cell r="A92">
            <v>28209102500301</v>
          </cell>
          <cell r="B92">
            <v>31</v>
          </cell>
          <cell r="C92" t="str">
            <v>دينا حسين اسماعيل احمد</v>
          </cell>
          <cell r="D92">
            <v>687.76</v>
          </cell>
          <cell r="E92"/>
          <cell r="F92">
            <v>3.29</v>
          </cell>
          <cell r="G92"/>
          <cell r="H92"/>
          <cell r="I92">
            <v>63.05</v>
          </cell>
          <cell r="J92"/>
          <cell r="K92"/>
          <cell r="L92"/>
          <cell r="M92"/>
          <cell r="N92"/>
          <cell r="O92">
            <v>63.05</v>
          </cell>
          <cell r="P92">
            <v>1420.06</v>
          </cell>
          <cell r="Q92">
            <v>1612.53</v>
          </cell>
          <cell r="R92">
            <v>267</v>
          </cell>
          <cell r="S92">
            <v>15195.82</v>
          </cell>
          <cell r="T92"/>
          <cell r="U92"/>
          <cell r="V92">
            <v>0</v>
          </cell>
          <cell r="W92">
            <v>4</v>
          </cell>
          <cell r="X92">
            <v>5.6</v>
          </cell>
          <cell r="Y92">
            <v>5.0499999999999989</v>
          </cell>
          <cell r="Z92"/>
          <cell r="AA92"/>
          <cell r="AB92">
            <v>0</v>
          </cell>
          <cell r="AC92" t="str">
            <v>التخصصية الثانية</v>
          </cell>
        </row>
        <row r="93">
          <cell r="A93">
            <v>28412312500207</v>
          </cell>
          <cell r="B93">
            <v>32</v>
          </cell>
          <cell r="C93" t="str">
            <v>دينا مصطفى سيد محمد البهنساوى</v>
          </cell>
          <cell r="D93">
            <v>1126.3599999999999</v>
          </cell>
          <cell r="E93"/>
          <cell r="F93">
            <v>5.53</v>
          </cell>
          <cell r="G93"/>
          <cell r="H93">
            <v>95</v>
          </cell>
          <cell r="I93"/>
          <cell r="J93"/>
          <cell r="K93"/>
          <cell r="L93"/>
          <cell r="M93"/>
          <cell r="N93"/>
          <cell r="O93">
            <v>95</v>
          </cell>
          <cell r="P93">
            <v>2304.8999999999996</v>
          </cell>
          <cell r="Q93">
            <v>1630.98</v>
          </cell>
          <cell r="R93">
            <v>270</v>
          </cell>
          <cell r="S93">
            <v>15032.69</v>
          </cell>
          <cell r="T93"/>
          <cell r="U93"/>
          <cell r="V93">
            <v>0</v>
          </cell>
          <cell r="W93">
            <v>7.9</v>
          </cell>
          <cell r="X93">
            <v>8.85</v>
          </cell>
          <cell r="Y93">
            <v>10.200000000000001</v>
          </cell>
          <cell r="Z93"/>
          <cell r="AA93">
            <v>0.75</v>
          </cell>
          <cell r="AB93">
            <v>88.560000000000016</v>
          </cell>
          <cell r="AC93" t="str">
            <v>التخصصية الثانية</v>
          </cell>
        </row>
        <row r="94">
          <cell r="A94">
            <v>28110092500107</v>
          </cell>
          <cell r="B94">
            <v>33</v>
          </cell>
          <cell r="C94" t="str">
            <v>رانيا محمود نشأت عباس محمد</v>
          </cell>
          <cell r="D94">
            <v>1104.0999999999999</v>
          </cell>
          <cell r="E94"/>
          <cell r="F94">
            <v>5.51</v>
          </cell>
          <cell r="G94"/>
          <cell r="H94">
            <v>50</v>
          </cell>
          <cell r="I94"/>
          <cell r="J94">
            <v>225.18</v>
          </cell>
          <cell r="K94"/>
          <cell r="L94"/>
          <cell r="M94">
            <v>14.4</v>
          </cell>
          <cell r="N94"/>
          <cell r="O94">
            <v>289.58</v>
          </cell>
          <cell r="P94">
            <v>3537.3100000000004</v>
          </cell>
          <cell r="Q94">
            <v>1587.93</v>
          </cell>
          <cell r="R94">
            <v>263</v>
          </cell>
          <cell r="S94">
            <v>27304.16</v>
          </cell>
          <cell r="T94">
            <v>7.54</v>
          </cell>
          <cell r="U94"/>
          <cell r="V94">
            <v>7.54</v>
          </cell>
          <cell r="W94">
            <v>7.5</v>
          </cell>
          <cell r="X94">
            <v>8.85</v>
          </cell>
          <cell r="Y94">
            <v>16.5</v>
          </cell>
          <cell r="Z94"/>
          <cell r="AA94">
            <v>0.64</v>
          </cell>
          <cell r="AB94">
            <v>152.70000000000002</v>
          </cell>
          <cell r="AC94" t="str">
            <v>التخصصية الثالثة</v>
          </cell>
        </row>
        <row r="95">
          <cell r="A95">
            <v>28611182500091</v>
          </cell>
          <cell r="B95">
            <v>93</v>
          </cell>
          <cell r="C95" t="str">
            <v>محمد رفعت فؤاد هريدى</v>
          </cell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>
            <v>0</v>
          </cell>
          <cell r="P95"/>
          <cell r="Q95"/>
          <cell r="R95"/>
          <cell r="S95">
            <v>10344.1</v>
          </cell>
          <cell r="T95"/>
          <cell r="U95"/>
          <cell r="V95">
            <v>0</v>
          </cell>
          <cell r="W95">
            <v>6.65</v>
          </cell>
          <cell r="X95"/>
          <cell r="Y95">
            <v>0.25</v>
          </cell>
          <cell r="Z95"/>
          <cell r="AA95"/>
          <cell r="AB95">
            <v>1.61</v>
          </cell>
          <cell r="AC95" t="str">
            <v>التخصصية الثالثة</v>
          </cell>
        </row>
        <row r="96">
          <cell r="A96">
            <v>28303132500264</v>
          </cell>
          <cell r="B96">
            <v>34</v>
          </cell>
          <cell r="C96" t="str">
            <v>رشا رفعت عبد العزيز عبد الرحيم</v>
          </cell>
          <cell r="D96">
            <v>1096.17</v>
          </cell>
          <cell r="E96"/>
          <cell r="F96">
            <v>5.47</v>
          </cell>
          <cell r="G96"/>
          <cell r="H96">
            <v>50</v>
          </cell>
          <cell r="I96"/>
          <cell r="J96"/>
          <cell r="K96"/>
          <cell r="L96"/>
          <cell r="M96"/>
          <cell r="N96"/>
          <cell r="O96">
            <v>50</v>
          </cell>
          <cell r="P96">
            <v>2186.1999999999998</v>
          </cell>
          <cell r="Q96">
            <v>1569.48</v>
          </cell>
          <cell r="R96">
            <v>260</v>
          </cell>
          <cell r="S96">
            <v>14477.03</v>
          </cell>
          <cell r="T96"/>
          <cell r="U96"/>
          <cell r="V96">
            <v>0</v>
          </cell>
          <cell r="W96">
            <v>7.35</v>
          </cell>
          <cell r="X96">
            <v>8.3000000000000007</v>
          </cell>
          <cell r="Y96">
            <v>9.3999999999999986</v>
          </cell>
          <cell r="Z96"/>
          <cell r="AA96"/>
          <cell r="AB96">
            <v>64.78</v>
          </cell>
          <cell r="AC96" t="str">
            <v>التخصصية الثالثة</v>
          </cell>
        </row>
        <row r="97">
          <cell r="A97">
            <v>28309012505066</v>
          </cell>
          <cell r="B97">
            <v>35</v>
          </cell>
          <cell r="C97" t="str">
            <v>رشا طلعت صادق مقار</v>
          </cell>
          <cell r="D97">
            <v>1106.06</v>
          </cell>
          <cell r="E97"/>
          <cell r="F97">
            <v>5.52</v>
          </cell>
          <cell r="G97"/>
          <cell r="H97">
            <v>140</v>
          </cell>
          <cell r="I97"/>
          <cell r="J97">
            <v>226.45</v>
          </cell>
          <cell r="K97"/>
          <cell r="L97"/>
          <cell r="M97"/>
          <cell r="N97"/>
          <cell r="O97">
            <v>366.45</v>
          </cell>
          <cell r="P97">
            <v>2227.6800000000003</v>
          </cell>
          <cell r="Q97">
            <v>1594.08</v>
          </cell>
          <cell r="R97">
            <v>264</v>
          </cell>
          <cell r="S97">
            <v>15041.169999999998</v>
          </cell>
          <cell r="T97">
            <v>9.06</v>
          </cell>
          <cell r="U97"/>
          <cell r="V97">
            <v>9.06</v>
          </cell>
          <cell r="W97">
            <v>8.1</v>
          </cell>
          <cell r="X97">
            <v>9.4</v>
          </cell>
          <cell r="Y97">
            <v>9.4999999999999982</v>
          </cell>
          <cell r="Z97"/>
          <cell r="AA97">
            <v>2.19</v>
          </cell>
          <cell r="AB97">
            <v>92.4</v>
          </cell>
          <cell r="AC97" t="str">
            <v>التخصصية الثالثة</v>
          </cell>
        </row>
        <row r="98">
          <cell r="A98">
            <v>26804232500107</v>
          </cell>
          <cell r="B98">
            <v>36</v>
          </cell>
          <cell r="C98" t="str">
            <v>زينب شعبان عجمى يوسف</v>
          </cell>
          <cell r="D98">
            <v>1575.3</v>
          </cell>
          <cell r="E98">
            <v>329.01</v>
          </cell>
          <cell r="F98">
            <v>71.38</v>
          </cell>
          <cell r="G98"/>
          <cell r="H98">
            <v>150</v>
          </cell>
          <cell r="I98"/>
          <cell r="J98"/>
          <cell r="K98"/>
          <cell r="L98"/>
          <cell r="M98"/>
          <cell r="N98"/>
          <cell r="O98">
            <v>150</v>
          </cell>
          <cell r="P98">
            <v>5100.82</v>
          </cell>
          <cell r="Q98">
            <v>2706.86</v>
          </cell>
          <cell r="R98">
            <v>462.98</v>
          </cell>
          <cell r="S98">
            <v>26683.53</v>
          </cell>
          <cell r="T98"/>
          <cell r="U98"/>
          <cell r="V98">
            <v>0</v>
          </cell>
          <cell r="W98">
            <v>13.95</v>
          </cell>
          <cell r="X98">
            <v>15.25</v>
          </cell>
          <cell r="Y98">
            <v>27.1</v>
          </cell>
          <cell r="Z98">
            <v>76.7</v>
          </cell>
          <cell r="AA98">
            <v>17.690000000000001</v>
          </cell>
          <cell r="AB98">
            <v>230.69000000000003</v>
          </cell>
          <cell r="AC98" t="str">
            <v>التخصصية</v>
          </cell>
        </row>
        <row r="99">
          <cell r="A99">
            <v>28610262500215</v>
          </cell>
          <cell r="B99">
            <v>97</v>
          </cell>
          <cell r="C99" t="str">
            <v>محمود جابر قرنى عطوان</v>
          </cell>
          <cell r="D99">
            <v>1096.17</v>
          </cell>
          <cell r="E99"/>
          <cell r="F99">
            <v>5.47</v>
          </cell>
          <cell r="G99"/>
          <cell r="H99">
            <v>50</v>
          </cell>
          <cell r="I99"/>
          <cell r="J99"/>
          <cell r="K99"/>
          <cell r="L99"/>
          <cell r="M99"/>
          <cell r="N99"/>
          <cell r="O99">
            <v>50</v>
          </cell>
          <cell r="P99"/>
          <cell r="Q99"/>
          <cell r="R99">
            <v>260</v>
          </cell>
          <cell r="S99">
            <v>14372.03</v>
          </cell>
          <cell r="T99"/>
          <cell r="U99"/>
          <cell r="V99">
            <v>0</v>
          </cell>
          <cell r="W99">
            <v>7.35</v>
          </cell>
          <cell r="X99">
            <v>8.3000000000000007</v>
          </cell>
          <cell r="Y99">
            <v>2.0499999999999998</v>
          </cell>
          <cell r="Z99"/>
          <cell r="AA99"/>
          <cell r="AB99">
            <v>19.86</v>
          </cell>
          <cell r="AC99" t="str">
            <v>التخصصية الثالثة</v>
          </cell>
        </row>
        <row r="100">
          <cell r="A100">
            <v>28008042500107</v>
          </cell>
          <cell r="B100">
            <v>37</v>
          </cell>
          <cell r="C100" t="str">
            <v>شيماء حسن زكى حسين</v>
          </cell>
          <cell r="D100">
            <v>1104.0999999999999</v>
          </cell>
          <cell r="E100"/>
          <cell r="F100">
            <v>5.51</v>
          </cell>
          <cell r="G100"/>
          <cell r="H100">
            <v>50</v>
          </cell>
          <cell r="I100"/>
          <cell r="J100">
            <v>223.18</v>
          </cell>
          <cell r="K100"/>
          <cell r="L100"/>
          <cell r="M100"/>
          <cell r="N100"/>
          <cell r="O100">
            <v>273.18</v>
          </cell>
          <cell r="P100">
            <v>1630.2</v>
          </cell>
          <cell r="Q100">
            <v>1587.93</v>
          </cell>
          <cell r="R100">
            <v>263</v>
          </cell>
          <cell r="S100">
            <v>29160</v>
          </cell>
          <cell r="T100">
            <v>10.69</v>
          </cell>
          <cell r="U100"/>
          <cell r="V100">
            <v>10.69</v>
          </cell>
          <cell r="W100">
            <v>6.05</v>
          </cell>
          <cell r="X100">
            <v>9.8000000000000007</v>
          </cell>
          <cell r="Y100">
            <v>6.6999999999999993</v>
          </cell>
          <cell r="Z100"/>
          <cell r="AA100">
            <v>3.16</v>
          </cell>
          <cell r="AB100">
            <v>35.129999999999995</v>
          </cell>
          <cell r="AC100" t="str">
            <v>التخصصية الثالثة</v>
          </cell>
        </row>
        <row r="101">
          <cell r="A101">
            <v>28602182503687</v>
          </cell>
          <cell r="B101">
            <v>99</v>
          </cell>
          <cell r="C101" t="str">
            <v>مروة سيد حسن سيد</v>
          </cell>
          <cell r="D101">
            <v>1064.22</v>
          </cell>
          <cell r="E101"/>
          <cell r="F101">
            <v>5.24</v>
          </cell>
          <cell r="G101"/>
          <cell r="H101">
            <v>50</v>
          </cell>
          <cell r="I101"/>
          <cell r="J101"/>
          <cell r="K101"/>
          <cell r="L101"/>
          <cell r="M101"/>
          <cell r="N101"/>
          <cell r="O101">
            <v>50</v>
          </cell>
          <cell r="P101"/>
          <cell r="Q101"/>
          <cell r="R101">
            <v>259</v>
          </cell>
          <cell r="S101">
            <v>13341.830000000002</v>
          </cell>
          <cell r="T101"/>
          <cell r="U101"/>
          <cell r="V101">
            <v>0</v>
          </cell>
          <cell r="W101">
            <v>3.7</v>
          </cell>
          <cell r="X101">
            <v>8.0500000000000007</v>
          </cell>
          <cell r="Y101">
            <v>0.3</v>
          </cell>
          <cell r="Z101"/>
          <cell r="AA101"/>
          <cell r="AB101">
            <v>0.44</v>
          </cell>
          <cell r="AC101" t="str">
            <v>التخصصية الثالثة</v>
          </cell>
        </row>
        <row r="102">
          <cell r="A102">
            <v>28308012503041</v>
          </cell>
          <cell r="B102">
            <v>38</v>
          </cell>
          <cell r="C102" t="str">
            <v>شيماء سيد علي حسن</v>
          </cell>
          <cell r="D102">
            <v>1126.3599999999999</v>
          </cell>
          <cell r="E102"/>
          <cell r="F102">
            <v>5.53</v>
          </cell>
          <cell r="G102"/>
          <cell r="H102">
            <v>50</v>
          </cell>
          <cell r="I102"/>
          <cell r="J102"/>
          <cell r="K102"/>
          <cell r="L102"/>
          <cell r="M102"/>
          <cell r="N102"/>
          <cell r="O102">
            <v>50</v>
          </cell>
          <cell r="P102">
            <v>2164.6799999999998</v>
          </cell>
          <cell r="Q102">
            <v>1630.98</v>
          </cell>
          <cell r="R102">
            <v>270</v>
          </cell>
          <cell r="S102">
            <v>14670.46</v>
          </cell>
          <cell r="T102"/>
          <cell r="U102"/>
          <cell r="V102">
            <v>0</v>
          </cell>
          <cell r="W102">
            <v>7.55</v>
          </cell>
          <cell r="X102">
            <v>8.5500000000000007</v>
          </cell>
          <cell r="Y102">
            <v>8.85</v>
          </cell>
          <cell r="Z102"/>
          <cell r="AA102"/>
          <cell r="AB102">
            <v>44.37</v>
          </cell>
          <cell r="AC102" t="str">
            <v>التخصصية الثانية</v>
          </cell>
        </row>
        <row r="103">
          <cell r="A103">
            <v>28402062500227</v>
          </cell>
          <cell r="B103">
            <v>39</v>
          </cell>
          <cell r="C103" t="str">
            <v>شيماء فواز عبد الرحمن مهران</v>
          </cell>
          <cell r="D103">
            <v>1145.97</v>
          </cell>
          <cell r="E103"/>
          <cell r="F103">
            <v>5.71</v>
          </cell>
          <cell r="G103"/>
          <cell r="H103">
            <v>50</v>
          </cell>
          <cell r="I103"/>
          <cell r="J103"/>
          <cell r="K103"/>
          <cell r="L103"/>
          <cell r="M103"/>
          <cell r="N103"/>
          <cell r="O103">
            <v>50</v>
          </cell>
          <cell r="P103">
            <v>1859.74</v>
          </cell>
          <cell r="Q103">
            <v>1637.12</v>
          </cell>
          <cell r="R103">
            <v>271</v>
          </cell>
          <cell r="S103">
            <v>15112.97</v>
          </cell>
          <cell r="T103"/>
          <cell r="U103"/>
          <cell r="V103">
            <v>0</v>
          </cell>
          <cell r="W103">
            <v>7.7</v>
          </cell>
          <cell r="X103">
            <v>9</v>
          </cell>
          <cell r="Y103">
            <v>8.75</v>
          </cell>
          <cell r="Z103"/>
          <cell r="AA103">
            <v>1.1499999999999999</v>
          </cell>
          <cell r="AB103">
            <v>82.050000000000011</v>
          </cell>
          <cell r="AC103" t="str">
            <v>التخصصية الثانية</v>
          </cell>
        </row>
        <row r="104">
          <cell r="A104">
            <v>28311190104789</v>
          </cell>
          <cell r="B104">
            <v>40</v>
          </cell>
          <cell r="C104" t="str">
            <v>شيماء محسن محمد فرغلى</v>
          </cell>
          <cell r="D104">
            <v>880</v>
          </cell>
          <cell r="E104"/>
          <cell r="F104"/>
          <cell r="G104"/>
          <cell r="H104">
            <v>145</v>
          </cell>
          <cell r="I104"/>
          <cell r="J104"/>
          <cell r="K104"/>
          <cell r="L104"/>
          <cell r="M104"/>
          <cell r="N104"/>
          <cell r="O104">
            <v>145</v>
          </cell>
          <cell r="P104">
            <v>2199.3599999999997</v>
          </cell>
          <cell r="Q104">
            <v>1483.38</v>
          </cell>
          <cell r="R104">
            <v>246</v>
          </cell>
          <cell r="S104">
            <v>11838.34</v>
          </cell>
          <cell r="T104"/>
          <cell r="U104"/>
          <cell r="V104">
            <v>0</v>
          </cell>
          <cell r="W104">
            <v>6.15</v>
          </cell>
          <cell r="X104">
            <v>7.4</v>
          </cell>
          <cell r="Y104">
            <v>8.65</v>
          </cell>
          <cell r="Z104"/>
          <cell r="AA104"/>
          <cell r="AB104">
            <v>25.999999999999996</v>
          </cell>
          <cell r="AC104" t="str">
            <v>التخصصية الثالثة</v>
          </cell>
        </row>
        <row r="105">
          <cell r="A105">
            <v>28501112500035</v>
          </cell>
          <cell r="B105">
            <v>103</v>
          </cell>
          <cell r="C105" t="str">
            <v>مصطفى محمود علي عبد العزيز</v>
          </cell>
          <cell r="D105">
            <v>1064.22</v>
          </cell>
          <cell r="E105"/>
          <cell r="F105">
            <v>5.24</v>
          </cell>
          <cell r="G105"/>
          <cell r="H105">
            <v>95</v>
          </cell>
          <cell r="I105"/>
          <cell r="J105"/>
          <cell r="K105"/>
          <cell r="L105"/>
          <cell r="M105"/>
          <cell r="N105"/>
          <cell r="O105">
            <v>95</v>
          </cell>
          <cell r="P105"/>
          <cell r="Q105"/>
          <cell r="R105">
            <v>259</v>
          </cell>
          <cell r="S105">
            <v>13871.850000000002</v>
          </cell>
          <cell r="T105"/>
          <cell r="U105"/>
          <cell r="V105">
            <v>0</v>
          </cell>
          <cell r="W105">
            <v>7.5</v>
          </cell>
          <cell r="X105">
            <v>8.4</v>
          </cell>
          <cell r="Y105">
            <v>0.3</v>
          </cell>
          <cell r="Z105"/>
          <cell r="AA105"/>
          <cell r="AB105">
            <v>7.02</v>
          </cell>
          <cell r="AC105" t="str">
            <v>التخصصية الثالثة</v>
          </cell>
        </row>
        <row r="106">
          <cell r="A106">
            <v>28406092500049</v>
          </cell>
          <cell r="B106">
            <v>104</v>
          </cell>
          <cell r="C106" t="str">
            <v>مها بدر محمد احمد</v>
          </cell>
          <cell r="D106">
            <v>961.72</v>
          </cell>
          <cell r="E106"/>
          <cell r="F106">
            <v>5.14</v>
          </cell>
          <cell r="G106"/>
          <cell r="H106">
            <v>50</v>
          </cell>
          <cell r="I106"/>
          <cell r="J106">
            <v>215.02</v>
          </cell>
          <cell r="K106"/>
          <cell r="L106"/>
          <cell r="M106"/>
          <cell r="N106"/>
          <cell r="O106">
            <v>265.02</v>
          </cell>
          <cell r="P106"/>
          <cell r="Q106"/>
          <cell r="R106">
            <v>255</v>
          </cell>
          <cell r="S106">
            <v>14023.69</v>
          </cell>
          <cell r="T106">
            <v>29</v>
          </cell>
          <cell r="U106"/>
          <cell r="V106">
            <v>29</v>
          </cell>
          <cell r="W106">
            <v>6.05</v>
          </cell>
          <cell r="X106">
            <v>8.5</v>
          </cell>
          <cell r="Y106">
            <v>0.2</v>
          </cell>
          <cell r="Z106"/>
          <cell r="AA106"/>
          <cell r="AB106">
            <v>5.0199999999999996</v>
          </cell>
          <cell r="AC106" t="str">
            <v>التخصصية الثالثة</v>
          </cell>
        </row>
        <row r="107">
          <cell r="A107">
            <v>27706242500131</v>
          </cell>
          <cell r="B107">
            <v>41</v>
          </cell>
          <cell r="C107" t="str">
            <v>عبد الحميد حسنين محمد حسنين</v>
          </cell>
          <cell r="D107">
            <v>1039.5999999999999</v>
          </cell>
          <cell r="E107"/>
          <cell r="F107">
            <v>5.1100000000000003</v>
          </cell>
          <cell r="G107"/>
          <cell r="H107">
            <v>140</v>
          </cell>
          <cell r="I107"/>
          <cell r="J107"/>
          <cell r="K107"/>
          <cell r="L107"/>
          <cell r="M107"/>
          <cell r="N107"/>
          <cell r="O107">
            <v>140</v>
          </cell>
          <cell r="P107">
            <v>2105.46</v>
          </cell>
          <cell r="Q107">
            <v>1557.18</v>
          </cell>
          <cell r="R107">
            <v>258</v>
          </cell>
          <cell r="S107">
            <v>13724.77</v>
          </cell>
          <cell r="T107"/>
          <cell r="U107"/>
          <cell r="V107">
            <v>0</v>
          </cell>
          <cell r="W107">
            <v>7.65</v>
          </cell>
          <cell r="X107">
            <v>8.5500000000000007</v>
          </cell>
          <cell r="Y107">
            <v>9.0500000000000007</v>
          </cell>
          <cell r="Z107"/>
          <cell r="AA107"/>
          <cell r="AB107">
            <v>70.87</v>
          </cell>
          <cell r="AC107" t="str">
            <v>التخصصية الثالثة</v>
          </cell>
        </row>
        <row r="108">
          <cell r="A108">
            <v>28709052605142</v>
          </cell>
          <cell r="B108">
            <v>106</v>
          </cell>
          <cell r="C108" t="str">
            <v>مى عطا الله ذكى حسن عطا الله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>
            <v>14.4</v>
          </cell>
          <cell r="N108"/>
          <cell r="O108">
            <v>14.4</v>
          </cell>
          <cell r="P108"/>
          <cell r="Q108"/>
          <cell r="R108"/>
          <cell r="S108">
            <v>8887.2900000000009</v>
          </cell>
          <cell r="T108"/>
          <cell r="U108"/>
          <cell r="V108">
            <v>0</v>
          </cell>
          <cell r="W108">
            <v>6.1</v>
          </cell>
          <cell r="X108"/>
          <cell r="Y108">
            <v>1.45</v>
          </cell>
          <cell r="Z108"/>
          <cell r="AA108"/>
          <cell r="AB108">
            <v>21.75</v>
          </cell>
          <cell r="AC108" t="str">
            <v>التخصصية الثالثة</v>
          </cell>
        </row>
        <row r="109">
          <cell r="A109">
            <v>28410222500183</v>
          </cell>
          <cell r="B109">
            <v>42</v>
          </cell>
          <cell r="C109" t="str">
            <v>عبير فاروق مصطفي إسماعيل</v>
          </cell>
          <cell r="D109">
            <v>1137.06</v>
          </cell>
          <cell r="E109"/>
          <cell r="F109">
            <v>5.51</v>
          </cell>
          <cell r="G109"/>
          <cell r="H109">
            <v>50</v>
          </cell>
          <cell r="I109"/>
          <cell r="J109"/>
          <cell r="K109"/>
          <cell r="L109"/>
          <cell r="M109"/>
          <cell r="N109"/>
          <cell r="O109">
            <v>50</v>
          </cell>
          <cell r="P109">
            <v>2340.3100000000004</v>
          </cell>
          <cell r="Q109">
            <v>1587.93</v>
          </cell>
          <cell r="R109">
            <v>263</v>
          </cell>
          <cell r="S109">
            <v>15350.539999999999</v>
          </cell>
          <cell r="T109"/>
          <cell r="U109"/>
          <cell r="V109">
            <v>0</v>
          </cell>
          <cell r="W109">
            <v>7.65</v>
          </cell>
          <cell r="X109">
            <v>8.6</v>
          </cell>
          <cell r="Y109">
            <v>10.750000000000002</v>
          </cell>
          <cell r="Z109"/>
          <cell r="AA109">
            <v>0.08</v>
          </cell>
          <cell r="AB109">
            <v>86.000000000000014</v>
          </cell>
          <cell r="AC109" t="str">
            <v>التخصصية الثانية</v>
          </cell>
        </row>
        <row r="110">
          <cell r="A110">
            <v>28607031900244</v>
          </cell>
          <cell r="B110">
            <v>43</v>
          </cell>
          <cell r="C110" t="str">
            <v>عبير نصير كامل محمد</v>
          </cell>
          <cell r="D110">
            <v>1088.25</v>
          </cell>
          <cell r="E110"/>
          <cell r="F110">
            <v>5.43</v>
          </cell>
          <cell r="G110"/>
          <cell r="H110">
            <v>140</v>
          </cell>
          <cell r="I110"/>
          <cell r="J110"/>
          <cell r="K110"/>
          <cell r="L110"/>
          <cell r="M110"/>
          <cell r="N110"/>
          <cell r="O110">
            <v>140</v>
          </cell>
          <cell r="P110">
            <v>1740.0900000000001</v>
          </cell>
          <cell r="Q110">
            <v>1551.03</v>
          </cell>
          <cell r="R110">
            <v>257</v>
          </cell>
          <cell r="S110">
            <v>13835.04</v>
          </cell>
          <cell r="T110"/>
          <cell r="U110"/>
          <cell r="V110">
            <v>0</v>
          </cell>
          <cell r="W110">
            <v>8</v>
          </cell>
          <cell r="X110">
            <v>8.9499999999999993</v>
          </cell>
          <cell r="Y110">
            <v>8.0500000000000007</v>
          </cell>
          <cell r="Z110"/>
          <cell r="AA110">
            <v>0.9</v>
          </cell>
          <cell r="AB110">
            <v>67.87</v>
          </cell>
          <cell r="AC110" t="str">
            <v>التخصصية الثالثة</v>
          </cell>
        </row>
        <row r="111">
          <cell r="A111">
            <v>26712062501837</v>
          </cell>
          <cell r="B111">
            <v>44</v>
          </cell>
          <cell r="C111" t="str">
            <v>عثمان محمد عبده محمد</v>
          </cell>
          <cell r="D111">
            <v>1088.25</v>
          </cell>
          <cell r="E111"/>
          <cell r="F111">
            <v>5.43</v>
          </cell>
          <cell r="G111"/>
          <cell r="H111">
            <v>145</v>
          </cell>
          <cell r="I111"/>
          <cell r="J111">
            <v>221.56</v>
          </cell>
          <cell r="K111"/>
          <cell r="L111"/>
          <cell r="M111">
            <v>14.4</v>
          </cell>
          <cell r="N111"/>
          <cell r="O111">
            <v>380.96</v>
          </cell>
          <cell r="P111">
            <v>3475.09</v>
          </cell>
          <cell r="Q111">
            <v>1551.03</v>
          </cell>
          <cell r="R111">
            <v>257</v>
          </cell>
          <cell r="S111">
            <v>26011.699999999997</v>
          </cell>
          <cell r="T111">
            <v>34.03</v>
          </cell>
          <cell r="U111"/>
          <cell r="V111">
            <v>34.03</v>
          </cell>
          <cell r="W111">
            <v>8.1</v>
          </cell>
          <cell r="X111">
            <v>8.8000000000000007</v>
          </cell>
          <cell r="Y111">
            <v>16.05</v>
          </cell>
          <cell r="Z111"/>
          <cell r="AA111">
            <v>0.57999999999999996</v>
          </cell>
          <cell r="AB111">
            <v>161.54999999999998</v>
          </cell>
          <cell r="AC111" t="str">
            <v>التخصصية الثالثة</v>
          </cell>
        </row>
        <row r="112">
          <cell r="A112">
            <v>28707062500061</v>
          </cell>
          <cell r="B112">
            <v>45</v>
          </cell>
          <cell r="C112" t="str">
            <v>عزة سيد تمام مصطفى</v>
          </cell>
          <cell r="D112">
            <v>1080.3399999999999</v>
          </cell>
          <cell r="E112"/>
          <cell r="F112">
            <v>5.45</v>
          </cell>
          <cell r="G112"/>
          <cell r="H112">
            <v>50</v>
          </cell>
          <cell r="I112"/>
          <cell r="J112"/>
          <cell r="K112"/>
          <cell r="L112"/>
          <cell r="M112"/>
          <cell r="N112"/>
          <cell r="O112">
            <v>50</v>
          </cell>
          <cell r="P112">
            <v>2173.98</v>
          </cell>
          <cell r="Q112">
            <v>1532.58</v>
          </cell>
          <cell r="R112">
            <v>254</v>
          </cell>
          <cell r="S112">
            <v>14348.71</v>
          </cell>
          <cell r="T112"/>
          <cell r="U112"/>
          <cell r="V112">
            <v>0</v>
          </cell>
          <cell r="W112">
            <v>7.25</v>
          </cell>
          <cell r="X112">
            <v>8.1999999999999993</v>
          </cell>
          <cell r="Y112">
            <v>9.2000000000000011</v>
          </cell>
          <cell r="Z112"/>
          <cell r="AA112"/>
          <cell r="AB112">
            <v>52.809999999999995</v>
          </cell>
          <cell r="AC112" t="str">
            <v>التخصصية الثالثة</v>
          </cell>
        </row>
        <row r="113">
          <cell r="A113">
            <v>26106032500111</v>
          </cell>
          <cell r="B113">
            <v>46</v>
          </cell>
          <cell r="C113" t="str">
            <v>عزت سيد حسن محمد</v>
          </cell>
          <cell r="D113">
            <v>1162.82</v>
          </cell>
          <cell r="E113">
            <v>50.68</v>
          </cell>
          <cell r="F113">
            <v>5.98</v>
          </cell>
          <cell r="G113"/>
          <cell r="H113">
            <v>150</v>
          </cell>
          <cell r="I113"/>
          <cell r="J113"/>
          <cell r="K113"/>
          <cell r="L113"/>
          <cell r="M113"/>
          <cell r="N113"/>
          <cell r="O113">
            <v>150</v>
          </cell>
          <cell r="P113">
            <v>2401.5600000000004</v>
          </cell>
          <cell r="Q113">
            <v>1741.68</v>
          </cell>
          <cell r="R113">
            <v>288</v>
          </cell>
          <cell r="S113">
            <v>16494.75</v>
          </cell>
          <cell r="T113"/>
          <cell r="U113"/>
          <cell r="V113">
            <v>0</v>
          </cell>
          <cell r="W113">
            <v>8.9</v>
          </cell>
          <cell r="X113">
            <v>9.85</v>
          </cell>
          <cell r="Y113">
            <v>10.800000000000002</v>
          </cell>
          <cell r="Z113">
            <v>9.9499999999999993</v>
          </cell>
          <cell r="AA113">
            <v>3.39</v>
          </cell>
          <cell r="AB113">
            <v>118.12000000000002</v>
          </cell>
          <cell r="AC113" t="str">
            <v>التخصصية الثانية</v>
          </cell>
        </row>
        <row r="114">
          <cell r="A114">
            <v>27203062500221</v>
          </cell>
          <cell r="B114">
            <v>47</v>
          </cell>
          <cell r="C114" t="str">
            <v>عزه عبد الحميد زكى محمد</v>
          </cell>
          <cell r="D114">
            <v>1145.97</v>
          </cell>
          <cell r="E114"/>
          <cell r="F114">
            <v>5.64</v>
          </cell>
          <cell r="G114"/>
          <cell r="H114">
            <v>50</v>
          </cell>
          <cell r="I114"/>
          <cell r="J114"/>
          <cell r="K114"/>
          <cell r="L114"/>
          <cell r="M114"/>
          <cell r="N114"/>
          <cell r="O114">
            <v>50</v>
          </cell>
          <cell r="P114">
            <v>2326.38</v>
          </cell>
          <cell r="Q114">
            <v>1655.58</v>
          </cell>
          <cell r="R114">
            <v>274</v>
          </cell>
          <cell r="S114">
            <v>15730.039999999997</v>
          </cell>
          <cell r="T114">
            <v>49.96</v>
          </cell>
          <cell r="U114"/>
          <cell r="V114">
            <v>49.96</v>
          </cell>
          <cell r="W114">
            <v>7.7</v>
          </cell>
          <cell r="X114">
            <v>8.3000000000000007</v>
          </cell>
          <cell r="Y114">
            <v>10.4</v>
          </cell>
          <cell r="Z114"/>
          <cell r="AA114"/>
          <cell r="AB114">
            <v>61.420000000000016</v>
          </cell>
          <cell r="AC114" t="str">
            <v>التخصصية الثانية</v>
          </cell>
        </row>
        <row r="115">
          <cell r="A115">
            <v>28305182401049</v>
          </cell>
          <cell r="B115">
            <v>113</v>
          </cell>
          <cell r="C115" t="str">
            <v>هبة على حسين عبد العزيز</v>
          </cell>
          <cell r="D115">
            <v>961.72</v>
          </cell>
          <cell r="E115"/>
          <cell r="F115">
            <v>5.14</v>
          </cell>
          <cell r="G115"/>
          <cell r="H115">
            <v>50</v>
          </cell>
          <cell r="I115"/>
          <cell r="J115"/>
          <cell r="K115"/>
          <cell r="L115"/>
          <cell r="M115"/>
          <cell r="N115"/>
          <cell r="O115">
            <v>50</v>
          </cell>
          <cell r="P115"/>
          <cell r="Q115"/>
          <cell r="R115">
            <v>255</v>
          </cell>
          <cell r="S115">
            <v>12655.27</v>
          </cell>
          <cell r="T115"/>
          <cell r="U115"/>
          <cell r="V115">
            <v>0</v>
          </cell>
          <cell r="W115">
            <v>6.05</v>
          </cell>
          <cell r="X115">
            <v>7.3</v>
          </cell>
          <cell r="Y115">
            <v>0.25</v>
          </cell>
          <cell r="Z115"/>
          <cell r="AA115"/>
          <cell r="AB115">
            <v>8.52</v>
          </cell>
          <cell r="AC115" t="str">
            <v>التخصصية الثالثة</v>
          </cell>
        </row>
        <row r="116">
          <cell r="A116">
            <v>28310292500283</v>
          </cell>
          <cell r="B116">
            <v>114</v>
          </cell>
          <cell r="C116" t="str">
            <v>هبه محمد صلاح الدين أحمد محروس</v>
          </cell>
          <cell r="D116">
            <v>1096.17</v>
          </cell>
          <cell r="E116"/>
          <cell r="F116">
            <v>5.47</v>
          </cell>
          <cell r="G116"/>
          <cell r="H116">
            <v>95</v>
          </cell>
          <cell r="I116"/>
          <cell r="J116">
            <v>221.37</v>
          </cell>
          <cell r="K116"/>
          <cell r="L116"/>
          <cell r="M116"/>
          <cell r="N116"/>
          <cell r="O116">
            <v>316.37</v>
          </cell>
          <cell r="P116"/>
          <cell r="Q116"/>
          <cell r="R116">
            <v>260</v>
          </cell>
          <cell r="S116">
            <v>22025.7</v>
          </cell>
          <cell r="T116"/>
          <cell r="U116"/>
          <cell r="V116">
            <v>0</v>
          </cell>
          <cell r="W116">
            <v>7.7</v>
          </cell>
          <cell r="X116">
            <v>8.65</v>
          </cell>
          <cell r="Y116">
            <v>2</v>
          </cell>
          <cell r="Z116"/>
          <cell r="AA116">
            <v>0.16</v>
          </cell>
          <cell r="AB116">
            <v>8.52</v>
          </cell>
          <cell r="AC116" t="str">
            <v>التخصصية الثالثة</v>
          </cell>
        </row>
        <row r="117">
          <cell r="A117">
            <v>28412162501722</v>
          </cell>
          <cell r="B117">
            <v>115</v>
          </cell>
          <cell r="C117" t="str">
            <v>هدى عبد اللاه احمد بهنساوى</v>
          </cell>
          <cell r="D117">
            <v>1088.25</v>
          </cell>
          <cell r="E117"/>
          <cell r="F117">
            <v>5.43</v>
          </cell>
          <cell r="G117"/>
          <cell r="H117">
            <v>145</v>
          </cell>
          <cell r="I117"/>
          <cell r="J117">
            <v>217.56</v>
          </cell>
          <cell r="K117"/>
          <cell r="L117"/>
          <cell r="M117"/>
          <cell r="N117"/>
          <cell r="O117"/>
          <cell r="P117"/>
          <cell r="Q117"/>
          <cell r="R117">
            <v>257</v>
          </cell>
          <cell r="S117">
            <v>21919.48</v>
          </cell>
          <cell r="T117"/>
          <cell r="U117"/>
          <cell r="V117">
            <v>0</v>
          </cell>
          <cell r="W117"/>
          <cell r="X117">
            <v>8.9499999999999993</v>
          </cell>
          <cell r="Y117">
            <v>1.35</v>
          </cell>
          <cell r="Z117"/>
          <cell r="AA117">
            <v>1</v>
          </cell>
          <cell r="AB117">
            <v>35.54</v>
          </cell>
          <cell r="AC117" t="str">
            <v>التخصصية الثالثة</v>
          </cell>
        </row>
        <row r="118">
          <cell r="A118">
            <v>28505012500157</v>
          </cell>
          <cell r="B118">
            <v>48</v>
          </cell>
          <cell r="C118" t="str">
            <v>علاء رمضان توفيق على</v>
          </cell>
          <cell r="D118">
            <v>1191.8900000000001</v>
          </cell>
          <cell r="E118"/>
          <cell r="F118">
            <v>5.69</v>
          </cell>
          <cell r="G118"/>
          <cell r="H118">
            <v>95</v>
          </cell>
          <cell r="I118"/>
          <cell r="J118"/>
          <cell r="K118"/>
          <cell r="L118"/>
          <cell r="M118"/>
          <cell r="N118"/>
          <cell r="O118">
            <v>95</v>
          </cell>
          <cell r="P118">
            <v>3128.8199999999997</v>
          </cell>
          <cell r="Q118">
            <v>1680.18</v>
          </cell>
          <cell r="R118">
            <v>278</v>
          </cell>
          <cell r="S118">
            <v>18854.530000000002</v>
          </cell>
          <cell r="T118"/>
          <cell r="U118"/>
          <cell r="V118">
            <v>0</v>
          </cell>
          <cell r="W118">
            <v>8.35</v>
          </cell>
          <cell r="X118">
            <v>9.3000000000000007</v>
          </cell>
          <cell r="Y118">
            <v>14.850000000000001</v>
          </cell>
          <cell r="Z118">
            <v>2.58</v>
          </cell>
          <cell r="AA118">
            <v>1.85</v>
          </cell>
          <cell r="AB118">
            <v>61.420000000000016</v>
          </cell>
          <cell r="AC118" t="str">
            <v>التخصصية الثانية</v>
          </cell>
        </row>
        <row r="119">
          <cell r="A119">
            <v>28206262500473</v>
          </cell>
          <cell r="B119">
            <v>49</v>
          </cell>
          <cell r="C119" t="str">
            <v>عمر اسماعيل عمر اسماعيل</v>
          </cell>
          <cell r="D119">
            <v>1145.97</v>
          </cell>
          <cell r="E119"/>
          <cell r="F119">
            <v>5.58</v>
          </cell>
          <cell r="G119"/>
          <cell r="H119">
            <v>95</v>
          </cell>
          <cell r="I119"/>
          <cell r="J119"/>
          <cell r="K119"/>
          <cell r="L119"/>
          <cell r="M119">
            <v>21</v>
          </cell>
          <cell r="N119"/>
          <cell r="O119">
            <v>116</v>
          </cell>
          <cell r="P119">
            <v>3689.61</v>
          </cell>
          <cell r="Q119">
            <v>1655.58</v>
          </cell>
          <cell r="R119">
            <v>274</v>
          </cell>
          <cell r="S119">
            <v>16078.269999999999</v>
          </cell>
          <cell r="T119"/>
          <cell r="U119"/>
          <cell r="V119">
            <v>0</v>
          </cell>
          <cell r="W119">
            <v>8.15</v>
          </cell>
          <cell r="X119">
            <v>9.15</v>
          </cell>
          <cell r="Y119">
            <v>17.850000000000001</v>
          </cell>
          <cell r="Z119">
            <v>0.36</v>
          </cell>
          <cell r="AA119">
            <v>1.51</v>
          </cell>
          <cell r="AB119">
            <v>189.05</v>
          </cell>
          <cell r="AC119" t="str">
            <v>التخصصية الثانية</v>
          </cell>
        </row>
        <row r="120">
          <cell r="A120">
            <v>28912102500266</v>
          </cell>
          <cell r="B120">
            <v>118</v>
          </cell>
          <cell r="C120" t="str">
            <v>ولاء وحيد زكي عمار</v>
          </cell>
          <cell r="D120">
            <v>636.86</v>
          </cell>
          <cell r="E120"/>
          <cell r="F120">
            <v>3.4</v>
          </cell>
          <cell r="G120"/>
          <cell r="H120">
            <v>50</v>
          </cell>
          <cell r="I120"/>
          <cell r="J120"/>
          <cell r="K120"/>
          <cell r="L120"/>
          <cell r="M120"/>
          <cell r="N120"/>
          <cell r="O120"/>
          <cell r="P120"/>
          <cell r="Q120"/>
          <cell r="R120">
            <v>168</v>
          </cell>
          <cell r="S120">
            <v>11344.529999999999</v>
          </cell>
          <cell r="T120"/>
          <cell r="U120"/>
          <cell r="V120">
            <v>0</v>
          </cell>
          <cell r="W120"/>
          <cell r="X120">
            <v>4.55</v>
          </cell>
          <cell r="Y120">
            <v>0.25</v>
          </cell>
          <cell r="Z120"/>
          <cell r="AA120"/>
          <cell r="AB120">
            <v>1.55</v>
          </cell>
          <cell r="AC120" t="str">
            <v>التخصصية الثالثة</v>
          </cell>
        </row>
        <row r="121">
          <cell r="A121">
            <v>28307182502212</v>
          </cell>
          <cell r="B121">
            <v>50</v>
          </cell>
          <cell r="C121" t="str">
            <v>عمر عبد الرحمن دوينى عبدالرحمن</v>
          </cell>
          <cell r="D121">
            <v>1096.17</v>
          </cell>
          <cell r="E121"/>
          <cell r="F121">
            <v>5.47</v>
          </cell>
          <cell r="G121"/>
          <cell r="H121">
            <v>50</v>
          </cell>
          <cell r="I121"/>
          <cell r="J121">
            <v>221.37</v>
          </cell>
          <cell r="K121"/>
          <cell r="L121"/>
          <cell r="M121"/>
          <cell r="N121"/>
          <cell r="O121">
            <v>271.37</v>
          </cell>
          <cell r="P121">
            <v>2206.1999999999998</v>
          </cell>
          <cell r="Q121">
            <v>1569.48</v>
          </cell>
          <cell r="R121">
            <v>260</v>
          </cell>
          <cell r="S121">
            <v>15648.88</v>
          </cell>
          <cell r="T121">
            <v>16</v>
          </cell>
          <cell r="U121"/>
          <cell r="V121">
            <v>16</v>
          </cell>
          <cell r="W121">
            <v>7.35</v>
          </cell>
          <cell r="X121">
            <v>9.65</v>
          </cell>
          <cell r="Y121">
            <v>9.4999999999999982</v>
          </cell>
          <cell r="Z121"/>
          <cell r="AA121">
            <v>2.86</v>
          </cell>
          <cell r="AB121">
            <v>57.819999999999993</v>
          </cell>
          <cell r="AC121" t="str">
            <v>التخصصية الثالثة</v>
          </cell>
        </row>
        <row r="122">
          <cell r="A122">
            <v>27012092500071</v>
          </cell>
          <cell r="B122">
            <v>120</v>
          </cell>
          <cell r="C122" t="str">
            <v>احمد جمعة عبد العزيز بدوى</v>
          </cell>
          <cell r="D122">
            <v>1399.23</v>
          </cell>
          <cell r="E122">
            <v>183.44</v>
          </cell>
          <cell r="F122">
            <v>40.549999999999997</v>
          </cell>
          <cell r="G122"/>
          <cell r="H122">
            <v>150</v>
          </cell>
          <cell r="I122"/>
          <cell r="J122"/>
          <cell r="K122"/>
          <cell r="L122"/>
          <cell r="M122"/>
          <cell r="N122"/>
          <cell r="O122">
            <v>150</v>
          </cell>
          <cell r="P122"/>
          <cell r="Q122"/>
          <cell r="R122">
            <v>380.65</v>
          </cell>
          <cell r="S122">
            <v>19459.760000000002</v>
          </cell>
          <cell r="T122"/>
          <cell r="U122"/>
          <cell r="V122">
            <v>0</v>
          </cell>
          <cell r="W122">
            <v>11.6</v>
          </cell>
          <cell r="X122">
            <v>12.8</v>
          </cell>
          <cell r="Y122">
            <v>2.0499999999999998</v>
          </cell>
          <cell r="Z122">
            <v>45.63</v>
          </cell>
          <cell r="AA122">
            <v>11.11</v>
          </cell>
          <cell r="AB122">
            <v>5.15</v>
          </cell>
          <cell r="AC122" t="str">
            <v>التخصصية الثانية</v>
          </cell>
        </row>
        <row r="123">
          <cell r="A123">
            <v>28507012500494</v>
          </cell>
          <cell r="B123">
            <v>51</v>
          </cell>
          <cell r="C123" t="str">
            <v>عمر محى عبد العليم عبد الحافظ</v>
          </cell>
          <cell r="D123">
            <v>1088.25</v>
          </cell>
          <cell r="E123"/>
          <cell r="F123">
            <v>5.43</v>
          </cell>
          <cell r="G123"/>
          <cell r="H123">
            <v>100</v>
          </cell>
          <cell r="I123">
            <v>97</v>
          </cell>
          <cell r="J123">
            <v>217.56</v>
          </cell>
          <cell r="K123"/>
          <cell r="L123"/>
          <cell r="M123">
            <v>14.4</v>
          </cell>
          <cell r="N123"/>
          <cell r="O123">
            <v>428.96</v>
          </cell>
          <cell r="P123">
            <v>3475.09</v>
          </cell>
          <cell r="Q123">
            <v>1551.03</v>
          </cell>
          <cell r="R123">
            <v>257</v>
          </cell>
          <cell r="S123">
            <v>27055.699999999997</v>
          </cell>
          <cell r="T123"/>
          <cell r="U123"/>
          <cell r="V123">
            <v>0</v>
          </cell>
          <cell r="W123">
            <v>8.4499999999999993</v>
          </cell>
          <cell r="X123">
            <v>9.35</v>
          </cell>
          <cell r="Y123">
            <v>16.05</v>
          </cell>
          <cell r="Z123">
            <v>3.9</v>
          </cell>
          <cell r="AA123">
            <v>2.0699999999999998</v>
          </cell>
          <cell r="AB123">
            <v>181.51999999999998</v>
          </cell>
          <cell r="AC123" t="str">
            <v>التخصصية الثالثة</v>
          </cell>
        </row>
        <row r="124">
          <cell r="A124">
            <v>28112020101791</v>
          </cell>
          <cell r="B124">
            <v>52</v>
          </cell>
          <cell r="C124" t="str">
            <v>عمرو حامد حسن محمد</v>
          </cell>
          <cell r="D124">
            <v>774.39</v>
          </cell>
          <cell r="E124"/>
          <cell r="F124">
            <v>3.34</v>
          </cell>
          <cell r="G124"/>
          <cell r="H124">
            <v>150</v>
          </cell>
          <cell r="I124">
            <v>58.2</v>
          </cell>
          <cell r="J124">
            <v>215.21</v>
          </cell>
          <cell r="K124"/>
          <cell r="L124"/>
          <cell r="M124">
            <v>8.64</v>
          </cell>
          <cell r="N124"/>
          <cell r="O124">
            <v>432.04999999999995</v>
          </cell>
          <cell r="P124">
            <v>2208.0699999999997</v>
          </cell>
          <cell r="Q124">
            <v>1538.73</v>
          </cell>
          <cell r="R124">
            <v>255</v>
          </cell>
          <cell r="S124">
            <v>22713.969999999998</v>
          </cell>
          <cell r="T124"/>
          <cell r="U124"/>
          <cell r="V124">
            <v>0</v>
          </cell>
          <cell r="W124">
            <v>5.8</v>
          </cell>
          <cell r="X124">
            <v>5.55</v>
          </cell>
          <cell r="Y124">
            <v>7.6499999999999986</v>
          </cell>
          <cell r="Z124"/>
          <cell r="AA124"/>
          <cell r="AB124">
            <v>7.0299999999999994</v>
          </cell>
          <cell r="AC124" t="str">
            <v>التخصصية الثالثة</v>
          </cell>
        </row>
        <row r="125">
          <cell r="A125">
            <v>27912222500339</v>
          </cell>
          <cell r="B125">
            <v>53</v>
          </cell>
          <cell r="C125" t="str">
            <v>عمرو محمد محمد عبد المجيد</v>
          </cell>
          <cell r="D125">
            <v>1162.82</v>
          </cell>
          <cell r="E125">
            <v>14.66</v>
          </cell>
          <cell r="F125">
            <v>5.7</v>
          </cell>
          <cell r="G125"/>
          <cell r="H125">
            <v>145</v>
          </cell>
          <cell r="I125">
            <v>297</v>
          </cell>
          <cell r="J125"/>
          <cell r="K125"/>
          <cell r="L125"/>
          <cell r="M125"/>
          <cell r="N125"/>
          <cell r="O125">
            <v>442</v>
          </cell>
          <cell r="P125">
            <v>2285.08</v>
          </cell>
          <cell r="Q125">
            <v>1717.08</v>
          </cell>
          <cell r="R125">
            <v>284</v>
          </cell>
          <cell r="S125">
            <v>19792.75</v>
          </cell>
          <cell r="T125"/>
          <cell r="U125"/>
          <cell r="V125">
            <v>0</v>
          </cell>
          <cell r="W125">
            <v>9.25</v>
          </cell>
          <cell r="X125">
            <v>11.55</v>
          </cell>
          <cell r="Y125">
            <v>10.450000000000003</v>
          </cell>
          <cell r="Z125">
            <v>14.9</v>
          </cell>
          <cell r="AA125">
            <v>7.9</v>
          </cell>
          <cell r="AB125">
            <v>100.54000000000002</v>
          </cell>
          <cell r="AC125" t="str">
            <v>التخصصية الثانية</v>
          </cell>
        </row>
        <row r="126">
          <cell r="A126">
            <v>28109012500413</v>
          </cell>
          <cell r="B126">
            <v>54</v>
          </cell>
          <cell r="C126" t="str">
            <v>عمرو محمود أحمد حسان</v>
          </cell>
          <cell r="D126">
            <v>694.91</v>
          </cell>
          <cell r="E126"/>
          <cell r="F126">
            <v>3.7</v>
          </cell>
          <cell r="G126"/>
          <cell r="H126">
            <v>100</v>
          </cell>
          <cell r="I126"/>
          <cell r="J126">
            <v>226.45</v>
          </cell>
          <cell r="K126"/>
          <cell r="L126"/>
          <cell r="M126">
            <v>8.64</v>
          </cell>
          <cell r="N126"/>
          <cell r="O126">
            <v>335.09</v>
          </cell>
          <cell r="P126">
            <v>2034.52</v>
          </cell>
          <cell r="Q126">
            <v>1594.08</v>
          </cell>
          <cell r="R126">
            <v>264</v>
          </cell>
          <cell r="S126">
            <v>14891.46</v>
          </cell>
          <cell r="T126"/>
          <cell r="U126"/>
          <cell r="V126">
            <v>0</v>
          </cell>
          <cell r="W126">
            <v>4.4000000000000004</v>
          </cell>
          <cell r="X126">
            <v>5.35</v>
          </cell>
          <cell r="Y126">
            <v>7.1000000000000005</v>
          </cell>
          <cell r="Z126"/>
          <cell r="AA126"/>
          <cell r="AB126">
            <v>0.18</v>
          </cell>
          <cell r="AC126" t="str">
            <v>التخصصية الثالثة</v>
          </cell>
        </row>
        <row r="127">
          <cell r="A127">
            <v>27909242500041</v>
          </cell>
          <cell r="B127">
            <v>55</v>
          </cell>
          <cell r="C127" t="str">
            <v>غادة أحمد سيد عبد العال</v>
          </cell>
          <cell r="D127">
            <v>1126.3599999999999</v>
          </cell>
          <cell r="E127"/>
          <cell r="F127">
            <v>5.53</v>
          </cell>
          <cell r="G127"/>
          <cell r="H127">
            <v>145</v>
          </cell>
          <cell r="I127"/>
          <cell r="J127"/>
          <cell r="K127"/>
          <cell r="L127"/>
          <cell r="M127"/>
          <cell r="N127"/>
          <cell r="O127">
            <v>145</v>
          </cell>
          <cell r="P127">
            <v>2776.47</v>
          </cell>
          <cell r="Q127">
            <v>1630.98</v>
          </cell>
          <cell r="R127">
            <v>270</v>
          </cell>
          <cell r="S127">
            <v>15239.259999999998</v>
          </cell>
          <cell r="T127"/>
          <cell r="U127"/>
          <cell r="V127">
            <v>0</v>
          </cell>
          <cell r="W127">
            <v>8.25</v>
          </cell>
          <cell r="X127">
            <v>9.25</v>
          </cell>
          <cell r="Y127">
            <v>12.15</v>
          </cell>
          <cell r="Z127">
            <v>1.71</v>
          </cell>
          <cell r="AA127">
            <v>1.74</v>
          </cell>
          <cell r="AB127">
            <v>124.17</v>
          </cell>
          <cell r="AC127" t="str">
            <v>التخصصية الثانية</v>
          </cell>
        </row>
        <row r="128">
          <cell r="A128">
            <v>28004262500242</v>
          </cell>
          <cell r="B128">
            <v>56</v>
          </cell>
          <cell r="C128" t="str">
            <v>فاطمة أحمد فواز خلف الله عثمان علي</v>
          </cell>
          <cell r="D128">
            <v>1145.97</v>
          </cell>
          <cell r="E128"/>
          <cell r="F128">
            <v>5.58</v>
          </cell>
          <cell r="G128"/>
          <cell r="H128">
            <v>50</v>
          </cell>
          <cell r="I128"/>
          <cell r="J128"/>
          <cell r="K128"/>
          <cell r="L128"/>
          <cell r="M128"/>
          <cell r="N128"/>
          <cell r="O128">
            <v>50</v>
          </cell>
          <cell r="P128">
            <v>3287.0000000000005</v>
          </cell>
          <cell r="Q128">
            <v>1655.58</v>
          </cell>
          <cell r="R128">
            <v>274</v>
          </cell>
          <cell r="S128">
            <v>17455.089999999997</v>
          </cell>
          <cell r="T128">
            <v>5.19</v>
          </cell>
          <cell r="U128"/>
          <cell r="V128">
            <v>5.19</v>
          </cell>
          <cell r="W128">
            <v>7.7</v>
          </cell>
          <cell r="X128">
            <v>9</v>
          </cell>
          <cell r="Y128">
            <v>15.3</v>
          </cell>
          <cell r="Z128"/>
          <cell r="AA128">
            <v>1.1399999999999999</v>
          </cell>
          <cell r="AB128">
            <v>131.66999999999999</v>
          </cell>
          <cell r="AC128" t="str">
            <v>التخصصية الثانية</v>
          </cell>
        </row>
        <row r="129">
          <cell r="A129">
            <v>28603178800223</v>
          </cell>
          <cell r="B129">
            <v>57</v>
          </cell>
          <cell r="C129" t="str">
            <v>فاطمه حسانين احمد محمد</v>
          </cell>
          <cell r="D129">
            <v>1145.17</v>
          </cell>
          <cell r="E129"/>
          <cell r="F129">
            <v>5.54</v>
          </cell>
          <cell r="G129"/>
          <cell r="H129">
            <v>50</v>
          </cell>
          <cell r="I129"/>
          <cell r="J129"/>
          <cell r="K129"/>
          <cell r="L129"/>
          <cell r="M129"/>
          <cell r="N129"/>
          <cell r="O129">
            <v>50</v>
          </cell>
          <cell r="P129">
            <v>2283.42</v>
          </cell>
          <cell r="Q129">
            <v>1606.38</v>
          </cell>
          <cell r="R129">
            <v>266</v>
          </cell>
          <cell r="S129">
            <v>15281.56</v>
          </cell>
          <cell r="T129"/>
          <cell r="U129"/>
          <cell r="V129">
            <v>0</v>
          </cell>
          <cell r="W129">
            <v>7.7</v>
          </cell>
          <cell r="X129">
            <v>8.6999999999999993</v>
          </cell>
          <cell r="Y129">
            <v>10</v>
          </cell>
          <cell r="Z129"/>
          <cell r="AA129">
            <v>0.24</v>
          </cell>
          <cell r="AB129">
            <v>76.310000000000016</v>
          </cell>
          <cell r="AC129" t="str">
            <v>التخصصية الثانية</v>
          </cell>
        </row>
        <row r="130">
          <cell r="A130">
            <v>28612082503685</v>
          </cell>
          <cell r="B130">
            <v>58</v>
          </cell>
          <cell r="C130" t="str">
            <v>ليلى محمد فرحان أحمد</v>
          </cell>
          <cell r="D130">
            <v>1096.17</v>
          </cell>
          <cell r="E130"/>
          <cell r="F130">
            <v>5.47</v>
          </cell>
          <cell r="G130"/>
          <cell r="H130">
            <v>50</v>
          </cell>
          <cell r="I130"/>
          <cell r="J130"/>
          <cell r="K130"/>
          <cell r="L130">
            <v>19.2</v>
          </cell>
          <cell r="M130"/>
          <cell r="N130"/>
          <cell r="O130">
            <v>69.2</v>
          </cell>
          <cell r="P130">
            <v>2116.1999999999998</v>
          </cell>
          <cell r="Q130">
            <v>1569.48</v>
          </cell>
          <cell r="R130">
            <v>260</v>
          </cell>
          <cell r="S130">
            <v>14682.429999999998</v>
          </cell>
          <cell r="T130"/>
          <cell r="U130"/>
          <cell r="V130">
            <v>0</v>
          </cell>
          <cell r="W130">
            <v>7.5</v>
          </cell>
          <cell r="X130">
            <v>8.4499999999999993</v>
          </cell>
          <cell r="Y130">
            <v>9.2499999999999982</v>
          </cell>
          <cell r="Z130"/>
          <cell r="AA130"/>
          <cell r="AB130">
            <v>60.519999999999989</v>
          </cell>
          <cell r="AC130" t="str">
            <v>التخصصية الثالثة</v>
          </cell>
        </row>
        <row r="131">
          <cell r="A131">
            <v>28004192500037</v>
          </cell>
          <cell r="B131">
            <v>129</v>
          </cell>
          <cell r="C131" t="str">
            <v>أحمد عصمت سيف الدولة سيد سالم</v>
          </cell>
          <cell r="D131">
            <v>1338.78</v>
          </cell>
          <cell r="E131">
            <v>156.02000000000001</v>
          </cell>
          <cell r="F131">
            <v>31.38</v>
          </cell>
          <cell r="G131"/>
          <cell r="H131">
            <v>140</v>
          </cell>
          <cell r="I131"/>
          <cell r="J131"/>
          <cell r="K131"/>
          <cell r="L131"/>
          <cell r="M131"/>
          <cell r="N131"/>
          <cell r="O131">
            <v>140</v>
          </cell>
          <cell r="P131"/>
          <cell r="Q131"/>
          <cell r="R131">
            <v>359.06</v>
          </cell>
          <cell r="S131">
            <v>25113.22</v>
          </cell>
          <cell r="T131"/>
          <cell r="U131"/>
          <cell r="V131">
            <v>0</v>
          </cell>
          <cell r="W131">
            <v>10.85</v>
          </cell>
          <cell r="X131">
            <v>12</v>
          </cell>
          <cell r="Y131">
            <v>1.4</v>
          </cell>
          <cell r="Z131">
            <v>36.06</v>
          </cell>
          <cell r="AA131">
            <v>9.07</v>
          </cell>
          <cell r="AB131">
            <v>0</v>
          </cell>
          <cell r="AC131" t="str">
            <v>التخصصية الثانية</v>
          </cell>
        </row>
        <row r="132">
          <cell r="A132">
            <v>28109172500291</v>
          </cell>
          <cell r="B132">
            <v>59</v>
          </cell>
          <cell r="C132" t="str">
            <v>محمد احمد عبد العال عبد السلام</v>
          </cell>
          <cell r="D132">
            <v>1096.17</v>
          </cell>
          <cell r="E132"/>
          <cell r="F132">
            <v>5.47</v>
          </cell>
          <cell r="G132"/>
          <cell r="H132">
            <v>50</v>
          </cell>
          <cell r="I132"/>
          <cell r="J132">
            <v>219.37</v>
          </cell>
          <cell r="K132"/>
          <cell r="L132"/>
          <cell r="M132"/>
          <cell r="N132"/>
          <cell r="O132">
            <v>269.37</v>
          </cell>
          <cell r="P132">
            <v>2206.1999999999998</v>
          </cell>
          <cell r="Q132">
            <v>1569.48</v>
          </cell>
          <cell r="R132">
            <v>260</v>
          </cell>
          <cell r="S132">
            <v>25106.190000000002</v>
          </cell>
          <cell r="T132"/>
          <cell r="U132"/>
          <cell r="V132">
            <v>0</v>
          </cell>
          <cell r="W132">
            <v>7.35</v>
          </cell>
          <cell r="X132">
            <v>8.3000000000000007</v>
          </cell>
          <cell r="Y132">
            <v>9.4999999999999982</v>
          </cell>
          <cell r="Z132"/>
          <cell r="AA132"/>
          <cell r="AB132">
            <v>58.68</v>
          </cell>
          <cell r="AC132" t="str">
            <v>التخصصية الثالثة</v>
          </cell>
        </row>
        <row r="133">
          <cell r="A133">
            <v>27503308800273</v>
          </cell>
          <cell r="B133">
            <v>131</v>
          </cell>
          <cell r="C133" t="str">
            <v>أحمد محمود أحمد فارس</v>
          </cell>
          <cell r="D133">
            <v>1145.97</v>
          </cell>
          <cell r="E133"/>
          <cell r="F133">
            <v>5.64</v>
          </cell>
          <cell r="G133"/>
          <cell r="H133">
            <v>50</v>
          </cell>
          <cell r="I133"/>
          <cell r="J133"/>
          <cell r="K133"/>
          <cell r="L133"/>
          <cell r="M133"/>
          <cell r="N133"/>
          <cell r="O133">
            <v>50</v>
          </cell>
          <cell r="P133"/>
          <cell r="Q133"/>
          <cell r="R133">
            <v>274</v>
          </cell>
          <cell r="S133">
            <v>15828.449999999997</v>
          </cell>
          <cell r="T133">
            <v>24.34</v>
          </cell>
          <cell r="U133"/>
          <cell r="V133">
            <v>24.34</v>
          </cell>
          <cell r="W133">
            <v>7.7</v>
          </cell>
          <cell r="X133">
            <v>8.5</v>
          </cell>
          <cell r="Y133">
            <v>0</v>
          </cell>
          <cell r="Z133"/>
          <cell r="AA133"/>
          <cell r="AB133">
            <v>0</v>
          </cell>
          <cell r="AC133" t="str">
            <v>التخصصية الثانية</v>
          </cell>
        </row>
        <row r="134">
          <cell r="A134">
            <v>27011242500117</v>
          </cell>
          <cell r="B134">
            <v>132</v>
          </cell>
          <cell r="C134" t="str">
            <v>أشرف أحمد على محمد</v>
          </cell>
          <cell r="D134">
            <v>1398</v>
          </cell>
          <cell r="E134">
            <v>180.17</v>
          </cell>
          <cell r="F134">
            <v>40.06</v>
          </cell>
          <cell r="G134"/>
          <cell r="H134">
            <v>95</v>
          </cell>
          <cell r="I134"/>
          <cell r="J134"/>
          <cell r="K134"/>
          <cell r="L134"/>
          <cell r="M134"/>
          <cell r="N134"/>
          <cell r="O134">
            <v>95</v>
          </cell>
          <cell r="P134"/>
          <cell r="Q134"/>
          <cell r="R134">
            <v>379.65</v>
          </cell>
          <cell r="S134">
            <v>21282.01</v>
          </cell>
          <cell r="T134"/>
          <cell r="U134"/>
          <cell r="V134">
            <v>0</v>
          </cell>
          <cell r="W134">
            <v>11.15</v>
          </cell>
          <cell r="X134">
            <v>12</v>
          </cell>
          <cell r="Y134">
            <v>0.25</v>
          </cell>
          <cell r="Z134">
            <v>39.729999999999997</v>
          </cell>
          <cell r="AA134">
            <v>9.08</v>
          </cell>
          <cell r="AB134">
            <v>1.61</v>
          </cell>
          <cell r="AC134" t="str">
            <v>التخصصية الثانية</v>
          </cell>
        </row>
        <row r="135">
          <cell r="A135">
            <v>28508292500032</v>
          </cell>
          <cell r="B135">
            <v>60</v>
          </cell>
          <cell r="C135" t="str">
            <v>محمد أحمد رضى محمود محمد عبد المنعم</v>
          </cell>
          <cell r="D135">
            <v>1025.45</v>
          </cell>
          <cell r="E135"/>
          <cell r="F135">
            <v>5.0999999999999996</v>
          </cell>
          <cell r="G135"/>
          <cell r="H135">
            <v>50</v>
          </cell>
          <cell r="I135"/>
          <cell r="J135">
            <v>209.09</v>
          </cell>
          <cell r="K135"/>
          <cell r="L135"/>
          <cell r="M135">
            <v>14.4</v>
          </cell>
          <cell r="N135"/>
          <cell r="O135">
            <v>273.49</v>
          </cell>
          <cell r="P135">
            <v>3423.24</v>
          </cell>
          <cell r="Q135">
            <v>1520.28</v>
          </cell>
          <cell r="R135">
            <v>252</v>
          </cell>
          <cell r="S135">
            <v>24742.949999999997</v>
          </cell>
          <cell r="T135"/>
          <cell r="U135"/>
          <cell r="V135">
            <v>0</v>
          </cell>
          <cell r="W135">
            <v>6.5</v>
          </cell>
          <cell r="X135">
            <v>7.85</v>
          </cell>
          <cell r="Y135">
            <v>15.899999999999999</v>
          </cell>
          <cell r="Z135"/>
          <cell r="AA135"/>
          <cell r="AB135">
            <v>110.72</v>
          </cell>
          <cell r="AC135" t="str">
            <v>التخصصية الثالثة</v>
          </cell>
        </row>
        <row r="136">
          <cell r="A136">
            <v>28801012517392</v>
          </cell>
          <cell r="B136">
            <v>61</v>
          </cell>
          <cell r="C136" t="str">
            <v>محمد حسنى نفادى أحمد</v>
          </cell>
          <cell r="D136">
            <v>1080.3399999999999</v>
          </cell>
          <cell r="E136"/>
          <cell r="F136">
            <v>5.45</v>
          </cell>
          <cell r="G136"/>
          <cell r="H136">
            <v>100</v>
          </cell>
          <cell r="I136"/>
          <cell r="J136">
            <v>213.75</v>
          </cell>
          <cell r="K136"/>
          <cell r="L136"/>
          <cell r="M136"/>
          <cell r="N136"/>
          <cell r="O136">
            <v>313.75</v>
          </cell>
          <cell r="P136">
            <v>2173.98</v>
          </cell>
          <cell r="Q136">
            <v>1630.98</v>
          </cell>
          <cell r="R136">
            <v>254</v>
          </cell>
          <cell r="S136">
            <v>24744.269999999997</v>
          </cell>
          <cell r="T136"/>
          <cell r="U136"/>
          <cell r="V136">
            <v>0</v>
          </cell>
          <cell r="W136">
            <v>7.65</v>
          </cell>
          <cell r="X136">
            <v>8.5500000000000007</v>
          </cell>
          <cell r="Y136">
            <v>9.2000000000000011</v>
          </cell>
          <cell r="Z136"/>
          <cell r="AA136"/>
          <cell r="AB136">
            <v>68.989999999999995</v>
          </cell>
          <cell r="AC136" t="str">
            <v>التخصصية الثالثة</v>
          </cell>
        </row>
        <row r="137">
          <cell r="A137">
            <v>28008252500151</v>
          </cell>
          <cell r="B137">
            <v>62</v>
          </cell>
          <cell r="C137" t="str">
            <v>محمد سيد محمود سيد</v>
          </cell>
          <cell r="D137">
            <v>1126.3599999999999</v>
          </cell>
          <cell r="E137">
            <v>2.9</v>
          </cell>
          <cell r="F137">
            <v>5.53</v>
          </cell>
          <cell r="G137"/>
          <cell r="H137">
            <v>145</v>
          </cell>
          <cell r="I137"/>
          <cell r="J137"/>
          <cell r="K137"/>
          <cell r="L137"/>
          <cell r="M137"/>
          <cell r="N137"/>
          <cell r="O137">
            <v>145</v>
          </cell>
          <cell r="P137">
            <v>2565.8699999999994</v>
          </cell>
          <cell r="Q137">
            <v>1630.98</v>
          </cell>
          <cell r="R137">
            <v>270</v>
          </cell>
          <cell r="S137">
            <v>15423.46</v>
          </cell>
          <cell r="T137"/>
          <cell r="U137"/>
          <cell r="V137">
            <v>0</v>
          </cell>
          <cell r="W137">
            <v>8.3000000000000007</v>
          </cell>
          <cell r="X137">
            <v>9.25</v>
          </cell>
          <cell r="Y137">
            <v>11.6</v>
          </cell>
          <cell r="Z137">
            <v>1.96</v>
          </cell>
          <cell r="AA137">
            <v>1.79</v>
          </cell>
          <cell r="AB137">
            <v>123.66000000000001</v>
          </cell>
          <cell r="AC137" t="str">
            <v>التخصصية الثانية</v>
          </cell>
        </row>
        <row r="138">
          <cell r="A138">
            <v>28301222500171</v>
          </cell>
          <cell r="B138">
            <v>63</v>
          </cell>
          <cell r="C138" t="str">
            <v>محمد فتحي محمود فرج</v>
          </cell>
          <cell r="D138">
            <v>1096.17</v>
          </cell>
          <cell r="E138"/>
          <cell r="F138">
            <v>5.47</v>
          </cell>
          <cell r="G138"/>
          <cell r="H138">
            <v>50</v>
          </cell>
          <cell r="I138"/>
          <cell r="J138"/>
          <cell r="K138"/>
          <cell r="L138"/>
          <cell r="M138"/>
          <cell r="N138"/>
          <cell r="O138">
            <v>50</v>
          </cell>
          <cell r="P138">
            <v>2711.4199999999996</v>
          </cell>
          <cell r="Q138">
            <v>1569.48</v>
          </cell>
          <cell r="R138">
            <v>260</v>
          </cell>
          <cell r="S138">
            <v>15047.250000000002</v>
          </cell>
          <cell r="T138">
            <v>5.1100000000000003</v>
          </cell>
          <cell r="U138"/>
          <cell r="V138">
            <v>5.1100000000000003</v>
          </cell>
          <cell r="W138">
            <v>7.35</v>
          </cell>
          <cell r="X138">
            <v>8.25</v>
          </cell>
          <cell r="Y138">
            <v>11.799999999999999</v>
          </cell>
          <cell r="Z138"/>
          <cell r="AA138"/>
          <cell r="AB138">
            <v>80.05</v>
          </cell>
          <cell r="AC138" t="str">
            <v>التخصصية الثالثة</v>
          </cell>
        </row>
        <row r="139">
          <cell r="A139">
            <v>26702232501874</v>
          </cell>
          <cell r="B139">
            <v>137</v>
          </cell>
          <cell r="C139" t="str">
            <v>حامد أحمد عبد اللطيف أحمد</v>
          </cell>
          <cell r="D139">
            <v>1466.5</v>
          </cell>
          <cell r="E139">
            <v>213.51</v>
          </cell>
          <cell r="F139">
            <v>50.74</v>
          </cell>
          <cell r="G139"/>
          <cell r="H139">
            <v>150</v>
          </cell>
          <cell r="I139"/>
          <cell r="J139"/>
          <cell r="K139"/>
          <cell r="L139"/>
          <cell r="M139"/>
          <cell r="N139"/>
          <cell r="O139">
            <v>150</v>
          </cell>
          <cell r="P139"/>
          <cell r="Q139"/>
          <cell r="R139">
            <v>404.33</v>
          </cell>
          <cell r="S139">
            <v>22431.9</v>
          </cell>
          <cell r="T139">
            <v>9.5299999999999994</v>
          </cell>
          <cell r="U139"/>
          <cell r="V139">
            <v>9.5299999999999994</v>
          </cell>
          <cell r="W139">
            <v>12.3</v>
          </cell>
          <cell r="X139">
            <v>13.55</v>
          </cell>
          <cell r="Y139">
            <v>0.3</v>
          </cell>
          <cell r="Z139">
            <v>54.19</v>
          </cell>
          <cell r="AA139">
            <v>13.17</v>
          </cell>
          <cell r="AB139">
            <v>6.34</v>
          </cell>
          <cell r="AC139" t="str">
            <v>التخصصية الثانية</v>
          </cell>
        </row>
        <row r="140">
          <cell r="A140">
            <v>28309102500411</v>
          </cell>
          <cell r="B140">
            <v>64</v>
          </cell>
          <cell r="C140" t="str">
            <v>محمد كمال الدين عبد العال مرسى</v>
          </cell>
          <cell r="D140">
            <v>1032.52</v>
          </cell>
          <cell r="E140"/>
          <cell r="F140">
            <v>5.14</v>
          </cell>
          <cell r="G140"/>
          <cell r="H140"/>
          <cell r="I140"/>
          <cell r="J140">
            <v>203.59</v>
          </cell>
          <cell r="K140"/>
          <cell r="L140"/>
          <cell r="M140"/>
          <cell r="N140"/>
          <cell r="O140">
            <v>203.59</v>
          </cell>
          <cell r="P140">
            <v>1909.3500000000001</v>
          </cell>
          <cell r="Q140">
            <v>1538.73</v>
          </cell>
          <cell r="R140">
            <v>255</v>
          </cell>
          <cell r="S140">
            <v>13093.5</v>
          </cell>
          <cell r="T140"/>
          <cell r="U140"/>
          <cell r="V140">
            <v>0</v>
          </cell>
          <cell r="W140">
            <v>6.1</v>
          </cell>
          <cell r="X140">
            <v>7.45</v>
          </cell>
          <cell r="Y140">
            <v>8.5500000000000007</v>
          </cell>
          <cell r="Z140"/>
          <cell r="AA140"/>
          <cell r="AB140">
            <v>25.549999999999997</v>
          </cell>
          <cell r="AC140" t="str">
            <v>التخصصية الثالثة</v>
          </cell>
        </row>
        <row r="141">
          <cell r="A141">
            <v>28409242500254</v>
          </cell>
          <cell r="B141">
            <v>65</v>
          </cell>
          <cell r="C141" t="str">
            <v>محمد محمود محمد قاسم</v>
          </cell>
          <cell r="D141">
            <v>1096.17</v>
          </cell>
          <cell r="E141"/>
          <cell r="F141">
            <v>5.47</v>
          </cell>
          <cell r="G141"/>
          <cell r="H141">
            <v>50</v>
          </cell>
          <cell r="I141"/>
          <cell r="J141"/>
          <cell r="K141"/>
          <cell r="L141"/>
          <cell r="M141"/>
          <cell r="N141"/>
          <cell r="O141">
            <v>50</v>
          </cell>
          <cell r="P141">
            <v>2206.1999999999998</v>
          </cell>
          <cell r="Q141">
            <v>1569.48</v>
          </cell>
          <cell r="R141">
            <v>260</v>
          </cell>
          <cell r="S141">
            <v>14542.03</v>
          </cell>
          <cell r="T141"/>
          <cell r="U141"/>
          <cell r="V141">
            <v>0</v>
          </cell>
          <cell r="W141">
            <v>7.35</v>
          </cell>
          <cell r="X141">
            <v>8.3000000000000007</v>
          </cell>
          <cell r="Y141">
            <v>9.4999999999999982</v>
          </cell>
          <cell r="Z141"/>
          <cell r="AA141"/>
          <cell r="AB141">
            <v>58.68</v>
          </cell>
          <cell r="AC141" t="str">
            <v>التخصصية الثالثة</v>
          </cell>
        </row>
        <row r="142">
          <cell r="A142">
            <v>28201012501162</v>
          </cell>
          <cell r="B142">
            <v>140</v>
          </cell>
          <cell r="C142" t="str">
            <v>دعاء محمد بكر محمد مصطفى</v>
          </cell>
          <cell r="D142">
            <v>1357.69</v>
          </cell>
          <cell r="E142">
            <v>159.11000000000001</v>
          </cell>
          <cell r="F142">
            <v>33.619999999999997</v>
          </cell>
          <cell r="G142"/>
          <cell r="H142">
            <v>95</v>
          </cell>
          <cell r="I142"/>
          <cell r="J142"/>
          <cell r="K142">
            <v>10</v>
          </cell>
          <cell r="L142"/>
          <cell r="M142"/>
          <cell r="N142"/>
          <cell r="O142">
            <v>105</v>
          </cell>
          <cell r="P142"/>
          <cell r="Q142"/>
          <cell r="R142">
            <v>364.64</v>
          </cell>
          <cell r="S142">
            <v>20017.440000000002</v>
          </cell>
          <cell r="T142"/>
          <cell r="U142"/>
          <cell r="V142">
            <v>0</v>
          </cell>
          <cell r="W142">
            <v>10.75</v>
          </cell>
          <cell r="X142">
            <v>11.9</v>
          </cell>
          <cell r="Y142">
            <v>0.3</v>
          </cell>
          <cell r="Z142">
            <v>34.630000000000003</v>
          </cell>
          <cell r="AA142">
            <v>8.82</v>
          </cell>
          <cell r="AB142">
            <v>1.7</v>
          </cell>
          <cell r="AC142" t="str">
            <v>التخصصية الثانية</v>
          </cell>
        </row>
        <row r="143">
          <cell r="A143">
            <v>28602042500319</v>
          </cell>
          <cell r="B143">
            <v>66</v>
          </cell>
          <cell r="C143" t="str">
            <v>محمود محمد عبد العال احمد</v>
          </cell>
          <cell r="D143">
            <v>1056.81</v>
          </cell>
          <cell r="E143"/>
          <cell r="F143">
            <v>5.26</v>
          </cell>
          <cell r="G143"/>
          <cell r="H143">
            <v>50</v>
          </cell>
          <cell r="I143"/>
          <cell r="J143"/>
          <cell r="K143"/>
          <cell r="L143"/>
          <cell r="M143"/>
          <cell r="N143"/>
          <cell r="O143">
            <v>50</v>
          </cell>
          <cell r="P143">
            <v>2184.7199999999998</v>
          </cell>
          <cell r="Q143">
            <v>1544.88</v>
          </cell>
          <cell r="R143">
            <v>256</v>
          </cell>
          <cell r="S143">
            <v>14040.999999999998</v>
          </cell>
          <cell r="T143"/>
          <cell r="U143"/>
          <cell r="V143">
            <v>0</v>
          </cell>
          <cell r="W143">
            <v>6.65</v>
          </cell>
          <cell r="X143">
            <v>8</v>
          </cell>
          <cell r="Y143">
            <v>9.3000000000000007</v>
          </cell>
          <cell r="Z143"/>
          <cell r="AA143"/>
          <cell r="AB143">
            <v>46.83</v>
          </cell>
          <cell r="AC143" t="str">
            <v>التخصصية الثالثة</v>
          </cell>
        </row>
        <row r="144">
          <cell r="A144">
            <v>27804112500107</v>
          </cell>
          <cell r="B144">
            <v>67</v>
          </cell>
          <cell r="C144" t="str">
            <v>مرفت فؤاد حنين أرمانيوس</v>
          </cell>
          <cell r="D144">
            <v>1559.79</v>
          </cell>
          <cell r="E144">
            <v>188.74</v>
          </cell>
          <cell r="F144">
            <v>56.73</v>
          </cell>
          <cell r="G144"/>
          <cell r="H144">
            <v>50</v>
          </cell>
          <cell r="I144"/>
          <cell r="J144"/>
          <cell r="K144"/>
          <cell r="L144"/>
          <cell r="M144"/>
          <cell r="N144"/>
          <cell r="O144">
            <v>50</v>
          </cell>
          <cell r="P144">
            <v>3107.55</v>
          </cell>
          <cell r="Q144">
            <v>2455.27</v>
          </cell>
          <cell r="R144">
            <v>419.47</v>
          </cell>
          <cell r="S144">
            <v>23128.32</v>
          </cell>
          <cell r="T144"/>
          <cell r="U144"/>
          <cell r="V144">
            <v>0</v>
          </cell>
          <cell r="W144">
            <v>12.05</v>
          </cell>
          <cell r="X144">
            <v>13.4</v>
          </cell>
          <cell r="Y144">
            <v>15.700000000000005</v>
          </cell>
          <cell r="Z144">
            <v>51.81</v>
          </cell>
          <cell r="AA144">
            <v>12.71</v>
          </cell>
          <cell r="AB144">
            <v>146.24999999999997</v>
          </cell>
          <cell r="AC144" t="str">
            <v>التخصصية الثانية</v>
          </cell>
        </row>
        <row r="145">
          <cell r="A145">
            <v>26405312500203</v>
          </cell>
          <cell r="B145">
            <v>143</v>
          </cell>
          <cell r="C145" t="str">
            <v>سامية شاكر على عبد الهادى</v>
          </cell>
          <cell r="D145">
            <v>1441.24</v>
          </cell>
          <cell r="E145">
            <v>196.52</v>
          </cell>
          <cell r="F145">
            <v>46.23</v>
          </cell>
          <cell r="G145"/>
          <cell r="H145">
            <v>50</v>
          </cell>
          <cell r="I145"/>
          <cell r="J145"/>
          <cell r="K145"/>
          <cell r="L145"/>
          <cell r="M145"/>
          <cell r="N145"/>
          <cell r="O145">
            <v>50</v>
          </cell>
          <cell r="P145"/>
          <cell r="Q145"/>
          <cell r="R145">
            <v>395.67</v>
          </cell>
          <cell r="S145">
            <v>21834.71</v>
          </cell>
          <cell r="T145"/>
          <cell r="U145"/>
          <cell r="V145">
            <v>0</v>
          </cell>
          <cell r="W145">
            <v>11.25</v>
          </cell>
          <cell r="X145">
            <v>11.85</v>
          </cell>
          <cell r="Y145">
            <v>0.25</v>
          </cell>
          <cell r="Z145">
            <v>41.07</v>
          </cell>
          <cell r="AA145">
            <v>8.59</v>
          </cell>
          <cell r="AB145">
            <v>1.61</v>
          </cell>
          <cell r="AC145" t="str">
            <v>التخصصية الثانية</v>
          </cell>
        </row>
        <row r="146">
          <cell r="A146">
            <v>27405112501756</v>
          </cell>
          <cell r="B146">
            <v>144</v>
          </cell>
          <cell r="C146" t="str">
            <v>سعد الدين محمد مصطفى حسن</v>
          </cell>
          <cell r="D146">
            <v>1543.62</v>
          </cell>
          <cell r="E146">
            <v>249.81</v>
          </cell>
          <cell r="F146">
            <v>62.52</v>
          </cell>
          <cell r="G146"/>
          <cell r="H146">
            <v>140</v>
          </cell>
          <cell r="I146"/>
          <cell r="J146"/>
          <cell r="K146"/>
          <cell r="L146"/>
          <cell r="M146"/>
          <cell r="N146"/>
          <cell r="O146">
            <v>140</v>
          </cell>
          <cell r="P146"/>
          <cell r="Q146"/>
          <cell r="R146">
            <v>432.9</v>
          </cell>
          <cell r="S146">
            <v>23356.639999999999</v>
          </cell>
          <cell r="T146"/>
          <cell r="U146"/>
          <cell r="V146">
            <v>0</v>
          </cell>
          <cell r="W146">
            <v>13.05</v>
          </cell>
          <cell r="X146">
            <v>14.4</v>
          </cell>
          <cell r="Y146">
            <v>0.25</v>
          </cell>
          <cell r="Z146">
            <v>65.22</v>
          </cell>
          <cell r="AA146">
            <v>15.34</v>
          </cell>
          <cell r="AB146">
            <v>0</v>
          </cell>
          <cell r="AC146" t="str">
            <v>التخصصية الثانية</v>
          </cell>
        </row>
        <row r="147">
          <cell r="A147">
            <v>26710122500263</v>
          </cell>
          <cell r="B147">
            <v>145</v>
          </cell>
          <cell r="C147" t="str">
            <v>سلوى محمد موسى على</v>
          </cell>
          <cell r="D147">
            <v>1415.02</v>
          </cell>
          <cell r="E147">
            <v>188.04</v>
          </cell>
          <cell r="F147">
            <v>42.66</v>
          </cell>
          <cell r="G147"/>
          <cell r="H147">
            <v>150</v>
          </cell>
          <cell r="I147"/>
          <cell r="J147"/>
          <cell r="K147"/>
          <cell r="L147"/>
          <cell r="M147"/>
          <cell r="N147"/>
          <cell r="O147">
            <v>150</v>
          </cell>
          <cell r="P147"/>
          <cell r="Q147"/>
          <cell r="R147">
            <v>385.85</v>
          </cell>
          <cell r="S147">
            <v>21054.22</v>
          </cell>
          <cell r="T147">
            <v>17.45</v>
          </cell>
          <cell r="U147"/>
          <cell r="V147">
            <v>17.45</v>
          </cell>
          <cell r="W147">
            <v>11.75</v>
          </cell>
          <cell r="X147">
            <v>12.5</v>
          </cell>
          <cell r="Y147">
            <v>0.25</v>
          </cell>
          <cell r="Z147">
            <v>45.88</v>
          </cell>
          <cell r="AA147">
            <v>10.35</v>
          </cell>
          <cell r="AB147">
            <v>8.08</v>
          </cell>
          <cell r="AC147" t="str">
            <v>التخصصية الثانية</v>
          </cell>
        </row>
        <row r="148">
          <cell r="A148">
            <v>28009142501786</v>
          </cell>
          <cell r="B148">
            <v>146</v>
          </cell>
          <cell r="C148" t="str">
            <v>سميحه فاروق احمد شاهين</v>
          </cell>
          <cell r="D148">
            <v>1109.45</v>
          </cell>
          <cell r="E148"/>
          <cell r="F148">
            <v>5.51</v>
          </cell>
          <cell r="G148"/>
          <cell r="H148">
            <v>50</v>
          </cell>
          <cell r="I148"/>
          <cell r="J148"/>
          <cell r="K148"/>
          <cell r="L148"/>
          <cell r="M148"/>
          <cell r="N148"/>
          <cell r="O148">
            <v>50</v>
          </cell>
          <cell r="P148"/>
          <cell r="Q148"/>
          <cell r="R148">
            <v>263</v>
          </cell>
          <cell r="S148">
            <v>14250.730000000003</v>
          </cell>
          <cell r="T148"/>
          <cell r="U148"/>
          <cell r="V148">
            <v>0</v>
          </cell>
          <cell r="W148">
            <v>7.45</v>
          </cell>
          <cell r="X148">
            <v>8.4</v>
          </cell>
          <cell r="Y148">
            <v>1.4</v>
          </cell>
          <cell r="Z148"/>
          <cell r="AA148"/>
          <cell r="AB148">
            <v>11.03</v>
          </cell>
          <cell r="AC148" t="str">
            <v>التخصصية الثانية</v>
          </cell>
        </row>
        <row r="149">
          <cell r="A149">
            <v>28607162500063</v>
          </cell>
          <cell r="B149">
            <v>68</v>
          </cell>
          <cell r="C149" t="str">
            <v>مروة مجدى عبد الحافظ سيد</v>
          </cell>
          <cell r="D149">
            <v>1096.17</v>
          </cell>
          <cell r="E149"/>
          <cell r="F149">
            <v>5.47</v>
          </cell>
          <cell r="G149"/>
          <cell r="H149">
            <v>50</v>
          </cell>
          <cell r="I149"/>
          <cell r="J149"/>
          <cell r="K149"/>
          <cell r="L149"/>
          <cell r="M149"/>
          <cell r="N149"/>
          <cell r="O149">
            <v>50</v>
          </cell>
          <cell r="P149">
            <v>2466.1999999999998</v>
          </cell>
          <cell r="Q149">
            <v>1569.48</v>
          </cell>
          <cell r="R149">
            <v>260</v>
          </cell>
          <cell r="S149">
            <v>15322.030000000004</v>
          </cell>
          <cell r="T149"/>
          <cell r="U149"/>
          <cell r="V149">
            <v>0</v>
          </cell>
          <cell r="W149">
            <v>7.35</v>
          </cell>
          <cell r="X149">
            <v>8.3000000000000007</v>
          </cell>
          <cell r="Y149">
            <v>10.9</v>
          </cell>
          <cell r="Z149"/>
          <cell r="AA149"/>
          <cell r="AB149">
            <v>79.25</v>
          </cell>
          <cell r="AC149" t="str">
            <v>التخصصية الثالثة</v>
          </cell>
        </row>
        <row r="150">
          <cell r="A150">
            <v>28501142500382</v>
          </cell>
          <cell r="B150">
            <v>69</v>
          </cell>
          <cell r="C150" t="str">
            <v>مروة محمد على محمد</v>
          </cell>
          <cell r="D150">
            <v>1096.17</v>
          </cell>
          <cell r="E150"/>
          <cell r="F150">
            <v>5.47</v>
          </cell>
          <cell r="G150"/>
          <cell r="H150">
            <v>50</v>
          </cell>
          <cell r="I150"/>
          <cell r="J150"/>
          <cell r="K150"/>
          <cell r="L150"/>
          <cell r="M150"/>
          <cell r="N150"/>
          <cell r="O150">
            <v>50</v>
          </cell>
          <cell r="P150">
            <v>2206.1999999999998</v>
          </cell>
          <cell r="Q150">
            <v>1569.48</v>
          </cell>
          <cell r="R150">
            <v>260</v>
          </cell>
          <cell r="S150">
            <v>14542.03</v>
          </cell>
          <cell r="T150"/>
          <cell r="U150"/>
          <cell r="V150">
            <v>0</v>
          </cell>
          <cell r="W150">
            <v>7.35</v>
          </cell>
          <cell r="X150">
            <v>8.3000000000000007</v>
          </cell>
          <cell r="Y150">
            <v>9.4999999999999982</v>
          </cell>
          <cell r="Z150"/>
          <cell r="AA150"/>
          <cell r="AB150">
            <v>58.68</v>
          </cell>
          <cell r="AC150" t="str">
            <v>التخصصية الثالثة</v>
          </cell>
        </row>
        <row r="151">
          <cell r="A151">
            <v>28304192500162</v>
          </cell>
          <cell r="B151">
            <v>149</v>
          </cell>
          <cell r="C151" t="str">
            <v>صفاء مختار محمود ضاحى</v>
          </cell>
          <cell r="D151">
            <v>1300.98</v>
          </cell>
          <cell r="E151">
            <v>67.010000000000005</v>
          </cell>
          <cell r="F151">
            <v>17.010000000000002</v>
          </cell>
          <cell r="G151"/>
          <cell r="H151">
            <v>50</v>
          </cell>
          <cell r="I151"/>
          <cell r="J151"/>
          <cell r="K151"/>
          <cell r="L151"/>
          <cell r="M151"/>
          <cell r="N151"/>
          <cell r="O151">
            <v>50</v>
          </cell>
          <cell r="P151"/>
          <cell r="Q151"/>
          <cell r="R151">
            <v>325.2</v>
          </cell>
          <cell r="S151">
            <v>18672.61</v>
          </cell>
          <cell r="T151"/>
          <cell r="U151"/>
          <cell r="V151">
            <v>0</v>
          </cell>
          <cell r="W151">
            <v>9.25</v>
          </cell>
          <cell r="X151">
            <v>10.35</v>
          </cell>
          <cell r="Y151">
            <v>1.4</v>
          </cell>
          <cell r="Z151">
            <v>14.66</v>
          </cell>
          <cell r="AA151">
            <v>4.72</v>
          </cell>
          <cell r="AB151">
            <v>11.99</v>
          </cell>
          <cell r="AC151" t="str">
            <v>التخصصية الثانية</v>
          </cell>
        </row>
        <row r="152">
          <cell r="A152">
            <v>28310042500156</v>
          </cell>
          <cell r="B152">
            <v>150</v>
          </cell>
          <cell r="C152" t="str">
            <v>عاصم جمال قطب حسن</v>
          </cell>
          <cell r="D152">
            <v>1117.3699999999999</v>
          </cell>
          <cell r="E152"/>
          <cell r="F152">
            <v>5.54</v>
          </cell>
          <cell r="G152"/>
          <cell r="H152">
            <v>50</v>
          </cell>
          <cell r="I152"/>
          <cell r="J152"/>
          <cell r="K152"/>
          <cell r="L152"/>
          <cell r="M152"/>
          <cell r="N152"/>
          <cell r="O152">
            <v>50</v>
          </cell>
          <cell r="P152"/>
          <cell r="Q152"/>
          <cell r="R152">
            <v>266</v>
          </cell>
          <cell r="S152">
            <v>14650.85</v>
          </cell>
          <cell r="T152"/>
          <cell r="U152"/>
          <cell r="V152">
            <v>0</v>
          </cell>
          <cell r="W152">
            <v>7.5</v>
          </cell>
          <cell r="X152">
            <v>7.9</v>
          </cell>
          <cell r="Y152">
            <v>0.25</v>
          </cell>
          <cell r="Z152"/>
          <cell r="AA152"/>
          <cell r="AB152">
            <v>0.44</v>
          </cell>
          <cell r="AC152" t="str">
            <v>التخصصية الثانية</v>
          </cell>
        </row>
        <row r="153">
          <cell r="A153">
            <v>28201032504214</v>
          </cell>
          <cell r="B153">
            <v>70</v>
          </cell>
          <cell r="C153" t="str">
            <v>مصطفى صلاح الدين سيد عبد الرحمن</v>
          </cell>
          <cell r="D153">
            <v>687.58</v>
          </cell>
          <cell r="E153"/>
          <cell r="F153">
            <v>3.35</v>
          </cell>
          <cell r="G153"/>
          <cell r="H153">
            <v>100</v>
          </cell>
          <cell r="I153"/>
          <cell r="J153"/>
          <cell r="K153"/>
          <cell r="L153"/>
          <cell r="M153"/>
          <cell r="N153"/>
          <cell r="O153">
            <v>100</v>
          </cell>
          <cell r="P153">
            <v>2027.38</v>
          </cell>
          <cell r="Q153">
            <v>1655.58</v>
          </cell>
          <cell r="R153">
            <v>274</v>
          </cell>
          <cell r="S153">
            <v>15329.209999999997</v>
          </cell>
          <cell r="T153"/>
          <cell r="U153"/>
          <cell r="V153">
            <v>0</v>
          </cell>
          <cell r="W153">
            <v>4.3</v>
          </cell>
          <cell r="X153">
            <v>9.0500000000000007</v>
          </cell>
          <cell r="Y153">
            <v>8.2999999999999989</v>
          </cell>
          <cell r="Z153"/>
          <cell r="AA153">
            <v>1.24</v>
          </cell>
          <cell r="AB153">
            <v>23.69</v>
          </cell>
          <cell r="AC153" t="str">
            <v>التخصصية الثانية</v>
          </cell>
        </row>
        <row r="154">
          <cell r="A154">
            <v>28403242500051</v>
          </cell>
          <cell r="B154">
            <v>71</v>
          </cell>
          <cell r="C154" t="str">
            <v>مصطفى عيد سيد محمد</v>
          </cell>
          <cell r="D154">
            <v>1104.0999999999999</v>
          </cell>
          <cell r="E154"/>
          <cell r="F154">
            <v>5.51</v>
          </cell>
          <cell r="G154"/>
          <cell r="H154">
            <v>50</v>
          </cell>
          <cell r="I154"/>
          <cell r="J154">
            <v>223.18</v>
          </cell>
          <cell r="K154"/>
          <cell r="L154"/>
          <cell r="M154"/>
          <cell r="N154"/>
          <cell r="O154">
            <v>273.18</v>
          </cell>
          <cell r="P154">
            <v>2292.3100000000004</v>
          </cell>
          <cell r="Q154">
            <v>1587.93</v>
          </cell>
          <cell r="R154">
            <v>263</v>
          </cell>
          <cell r="S154">
            <v>14824.32</v>
          </cell>
          <cell r="T154"/>
          <cell r="U154"/>
          <cell r="V154">
            <v>0</v>
          </cell>
          <cell r="W154">
            <v>7.4</v>
          </cell>
          <cell r="X154">
            <v>8.35</v>
          </cell>
          <cell r="Y154">
            <v>9.6499999999999986</v>
          </cell>
          <cell r="Z154"/>
          <cell r="AA154"/>
          <cell r="AB154">
            <v>69.2</v>
          </cell>
          <cell r="AC154" t="str">
            <v>التخصصية الثالثة</v>
          </cell>
        </row>
        <row r="155">
          <cell r="A155">
            <v>27807022501821</v>
          </cell>
          <cell r="B155">
            <v>72</v>
          </cell>
          <cell r="C155" t="str">
            <v>منى قاسم أحمد على</v>
          </cell>
          <cell r="D155">
            <v>1145.97</v>
          </cell>
          <cell r="E155">
            <v>34.42</v>
          </cell>
          <cell r="F155">
            <v>5.82</v>
          </cell>
          <cell r="G155"/>
          <cell r="H155">
            <v>50</v>
          </cell>
          <cell r="I155"/>
          <cell r="J155"/>
          <cell r="K155"/>
          <cell r="L155"/>
          <cell r="M155"/>
          <cell r="N155"/>
          <cell r="O155">
            <v>50</v>
          </cell>
          <cell r="P155">
            <v>2428.6000000000004</v>
          </cell>
          <cell r="Q155">
            <v>1693.48</v>
          </cell>
          <cell r="R155">
            <v>280</v>
          </cell>
          <cell r="S155">
            <v>16266.08</v>
          </cell>
          <cell r="T155">
            <v>8.44</v>
          </cell>
          <cell r="U155"/>
          <cell r="V155">
            <v>8.44</v>
          </cell>
          <cell r="W155">
            <v>7.9</v>
          </cell>
          <cell r="X155">
            <v>9.3000000000000007</v>
          </cell>
          <cell r="Y155">
            <v>10.650000000000002</v>
          </cell>
          <cell r="Z155"/>
          <cell r="AA155">
            <v>1.84</v>
          </cell>
          <cell r="AB155">
            <v>98.910000000000025</v>
          </cell>
          <cell r="AC155" t="str">
            <v>التخصصية الثانية</v>
          </cell>
        </row>
        <row r="156">
          <cell r="A156">
            <v>28409202500227</v>
          </cell>
          <cell r="B156">
            <v>73</v>
          </cell>
          <cell r="C156" t="str">
            <v>مها مراد احمد شوكت</v>
          </cell>
          <cell r="D156">
            <v>712.51</v>
          </cell>
          <cell r="E156"/>
          <cell r="F156">
            <v>3.56</v>
          </cell>
          <cell r="G156"/>
          <cell r="H156">
            <v>50</v>
          </cell>
          <cell r="I156"/>
          <cell r="J156"/>
          <cell r="K156"/>
          <cell r="L156"/>
          <cell r="M156"/>
          <cell r="N156"/>
          <cell r="O156">
            <v>50</v>
          </cell>
          <cell r="P156">
            <v>1637.9999999999998</v>
          </cell>
          <cell r="Q156">
            <v>1569.48</v>
          </cell>
          <cell r="R156">
            <v>260</v>
          </cell>
          <cell r="S156">
            <v>13831.89</v>
          </cell>
          <cell r="T156"/>
          <cell r="U156"/>
          <cell r="V156">
            <v>0</v>
          </cell>
          <cell r="W156">
            <v>7.35</v>
          </cell>
          <cell r="X156">
            <v>4.7</v>
          </cell>
          <cell r="Y156">
            <v>7.6499999999999995</v>
          </cell>
          <cell r="Z156"/>
          <cell r="AA156"/>
          <cell r="AB156">
            <v>50.860000000000007</v>
          </cell>
          <cell r="AC156" t="str">
            <v>التخصصية الثالثة</v>
          </cell>
        </row>
        <row r="157">
          <cell r="A157">
            <v>28003102503168</v>
          </cell>
          <cell r="B157">
            <v>74</v>
          </cell>
          <cell r="C157" t="str">
            <v>ناهد عبد الموجود محمود</v>
          </cell>
          <cell r="D157">
            <v>1032.52</v>
          </cell>
          <cell r="E157"/>
          <cell r="F157">
            <v>5.14</v>
          </cell>
          <cell r="G157"/>
          <cell r="H157">
            <v>50</v>
          </cell>
          <cell r="I157"/>
          <cell r="J157">
            <v>215.02</v>
          </cell>
          <cell r="K157"/>
          <cell r="L157"/>
          <cell r="M157"/>
          <cell r="N157"/>
          <cell r="O157">
            <v>265.02</v>
          </cell>
          <cell r="P157">
            <v>2179.3500000000004</v>
          </cell>
          <cell r="Q157">
            <v>1538.73</v>
          </cell>
          <cell r="R157">
            <v>255</v>
          </cell>
          <cell r="S157">
            <v>13729.39</v>
          </cell>
          <cell r="T157"/>
          <cell r="U157"/>
          <cell r="V157">
            <v>0</v>
          </cell>
          <cell r="W157">
            <v>6.45</v>
          </cell>
          <cell r="X157">
            <v>7.85</v>
          </cell>
          <cell r="Y157">
            <v>9.3000000000000007</v>
          </cell>
          <cell r="Z157"/>
          <cell r="AA157"/>
          <cell r="AB157">
            <v>40.419999999999995</v>
          </cell>
          <cell r="AC157" t="str">
            <v>التخصصية الثالثة</v>
          </cell>
        </row>
        <row r="158">
          <cell r="A158">
            <v>27806222500083</v>
          </cell>
          <cell r="B158">
            <v>75</v>
          </cell>
          <cell r="C158" t="str">
            <v>نجلاء احمد دياب سلامة</v>
          </cell>
          <cell r="D158">
            <v>1162.82</v>
          </cell>
          <cell r="E158">
            <v>4.74</v>
          </cell>
          <cell r="F158">
            <v>5.69</v>
          </cell>
          <cell r="G158"/>
          <cell r="H158">
            <v>50</v>
          </cell>
          <cell r="I158"/>
          <cell r="J158"/>
          <cell r="K158"/>
          <cell r="L158"/>
          <cell r="M158"/>
          <cell r="N158"/>
          <cell r="O158">
            <v>50</v>
          </cell>
          <cell r="P158">
            <v>2374.71</v>
          </cell>
          <cell r="Q158">
            <v>1710.93</v>
          </cell>
          <cell r="R158">
            <v>283</v>
          </cell>
          <cell r="S158">
            <v>15516.510000000002</v>
          </cell>
          <cell r="T158"/>
          <cell r="U158"/>
          <cell r="V158">
            <v>0</v>
          </cell>
          <cell r="W158">
            <v>7.85</v>
          </cell>
          <cell r="X158">
            <v>8.8000000000000007</v>
          </cell>
          <cell r="Y158">
            <v>10.750000000000002</v>
          </cell>
          <cell r="Z158"/>
          <cell r="AA158">
            <v>0.59</v>
          </cell>
          <cell r="AB158">
            <v>91.28</v>
          </cell>
          <cell r="AC158" t="str">
            <v>التخصصية الثانية</v>
          </cell>
        </row>
        <row r="159">
          <cell r="A159">
            <v>27512112500165</v>
          </cell>
          <cell r="B159">
            <v>76</v>
          </cell>
          <cell r="C159" t="str">
            <v>نجوان رضا محمد عمر</v>
          </cell>
          <cell r="D159">
            <v>1162.82</v>
          </cell>
          <cell r="E159">
            <v>46.68</v>
          </cell>
          <cell r="F159">
            <v>5.92</v>
          </cell>
          <cell r="G159"/>
          <cell r="H159">
            <v>150</v>
          </cell>
          <cell r="I159"/>
          <cell r="J159"/>
          <cell r="K159"/>
          <cell r="L159"/>
          <cell r="M159"/>
          <cell r="N159"/>
          <cell r="O159">
            <v>150</v>
          </cell>
          <cell r="P159">
            <v>2545.5600000000004</v>
          </cell>
          <cell r="Q159">
            <v>1741.68</v>
          </cell>
          <cell r="R159">
            <v>288</v>
          </cell>
          <cell r="S159">
            <v>16058.349999999999</v>
          </cell>
          <cell r="T159">
            <v>5.52</v>
          </cell>
          <cell r="U159"/>
          <cell r="V159">
            <v>5.52</v>
          </cell>
          <cell r="W159">
            <v>8.85</v>
          </cell>
          <cell r="X159">
            <v>9.8000000000000007</v>
          </cell>
          <cell r="Y159">
            <v>11.400000000000002</v>
          </cell>
          <cell r="Z159">
            <v>9.0399999999999991</v>
          </cell>
          <cell r="AA159">
            <v>3.21</v>
          </cell>
          <cell r="AB159">
            <v>120.87000000000002</v>
          </cell>
          <cell r="AC159" t="str">
            <v>التخصصية الثانية</v>
          </cell>
        </row>
        <row r="160">
          <cell r="A160">
            <v>28108052500126</v>
          </cell>
          <cell r="B160">
            <v>77</v>
          </cell>
          <cell r="C160" t="str">
            <v>نجوى إبراهيم عبد العال مهران</v>
          </cell>
          <cell r="D160">
            <v>1145.97</v>
          </cell>
          <cell r="E160">
            <v>15.97</v>
          </cell>
          <cell r="F160">
            <v>5.7</v>
          </cell>
          <cell r="G160"/>
          <cell r="H160">
            <v>50</v>
          </cell>
          <cell r="I160"/>
          <cell r="J160"/>
          <cell r="K160"/>
          <cell r="L160"/>
          <cell r="M160"/>
          <cell r="N160"/>
          <cell r="O160">
            <v>50</v>
          </cell>
          <cell r="P160">
            <v>2331.75</v>
          </cell>
          <cell r="Q160">
            <v>1661.73</v>
          </cell>
          <cell r="R160">
            <v>275</v>
          </cell>
          <cell r="S160">
            <v>15481.709999999995</v>
          </cell>
          <cell r="T160">
            <v>2.5299999999999998</v>
          </cell>
          <cell r="U160"/>
          <cell r="V160">
            <v>2.5299999999999998</v>
          </cell>
          <cell r="W160">
            <v>7.8</v>
          </cell>
          <cell r="X160">
            <v>8.8000000000000007</v>
          </cell>
          <cell r="Y160">
            <v>10.4</v>
          </cell>
          <cell r="Z160"/>
          <cell r="AA160">
            <v>0.54</v>
          </cell>
          <cell r="AB160">
            <v>85.510000000000019</v>
          </cell>
          <cell r="AC160" t="str">
            <v>التخصصية الثانية</v>
          </cell>
        </row>
        <row r="161">
          <cell r="A161">
            <v>26701012500404</v>
          </cell>
          <cell r="B161">
            <v>78</v>
          </cell>
          <cell r="C161" t="str">
            <v>نجوى عزت عبد المجيد القرنى</v>
          </cell>
          <cell r="D161">
            <v>1145.97</v>
          </cell>
          <cell r="E161">
            <v>2.69</v>
          </cell>
          <cell r="F161">
            <v>5.63</v>
          </cell>
          <cell r="G161"/>
          <cell r="H161">
            <v>50</v>
          </cell>
          <cell r="I161"/>
          <cell r="J161"/>
          <cell r="K161"/>
          <cell r="L161"/>
          <cell r="M161"/>
          <cell r="N161"/>
          <cell r="O161">
            <v>50</v>
          </cell>
          <cell r="P161">
            <v>3029.1000000000004</v>
          </cell>
          <cell r="Q161">
            <v>1680.18</v>
          </cell>
          <cell r="R161">
            <v>278</v>
          </cell>
          <cell r="S161">
            <v>16130.04</v>
          </cell>
          <cell r="T161">
            <v>29.76</v>
          </cell>
          <cell r="U161"/>
          <cell r="V161">
            <v>29.76</v>
          </cell>
          <cell r="W161">
            <v>7.7</v>
          </cell>
          <cell r="X161">
            <v>8.9</v>
          </cell>
          <cell r="Y161">
            <v>13.800000000000002</v>
          </cell>
          <cell r="Z161"/>
          <cell r="AA161">
            <v>0.86</v>
          </cell>
          <cell r="AB161">
            <v>100.30000000000003</v>
          </cell>
          <cell r="AC161" t="str">
            <v>التخصصية الثانية</v>
          </cell>
        </row>
        <row r="162">
          <cell r="A162">
            <v>28409082500082</v>
          </cell>
          <cell r="B162">
            <v>79</v>
          </cell>
          <cell r="C162" t="str">
            <v>نهال محمد عصمت محمد بيومى</v>
          </cell>
          <cell r="D162">
            <v>1145.97</v>
          </cell>
          <cell r="E162"/>
          <cell r="F162">
            <v>5.58</v>
          </cell>
          <cell r="G162"/>
          <cell r="H162">
            <v>95</v>
          </cell>
          <cell r="I162"/>
          <cell r="J162"/>
          <cell r="K162"/>
          <cell r="L162"/>
          <cell r="M162"/>
          <cell r="N162"/>
          <cell r="O162">
            <v>95</v>
          </cell>
          <cell r="P162">
            <v>2035.7299999999998</v>
          </cell>
          <cell r="Q162">
            <v>1655.58</v>
          </cell>
          <cell r="R162">
            <v>274</v>
          </cell>
          <cell r="S162">
            <v>14973.56</v>
          </cell>
          <cell r="T162"/>
          <cell r="U162"/>
          <cell r="V162">
            <v>0</v>
          </cell>
          <cell r="W162">
            <v>8.0500000000000007</v>
          </cell>
          <cell r="X162">
            <v>9</v>
          </cell>
          <cell r="Y162">
            <v>8.7999999999999989</v>
          </cell>
          <cell r="Z162"/>
          <cell r="AA162">
            <v>1.1399999999999999</v>
          </cell>
          <cell r="AB162">
            <v>86.79</v>
          </cell>
          <cell r="AC162" t="str">
            <v>التخصصية الثانية</v>
          </cell>
        </row>
        <row r="163">
          <cell r="A163">
            <v>27003302500151</v>
          </cell>
          <cell r="B163">
            <v>161</v>
          </cell>
          <cell r="C163" t="str">
            <v>محمد محمود عبد الله عبد الرحيم</v>
          </cell>
          <cell r="D163">
            <v>1795.4</v>
          </cell>
          <cell r="E163">
            <v>304.05</v>
          </cell>
          <cell r="F163">
            <v>79.790000000000006</v>
          </cell>
          <cell r="G163"/>
          <cell r="H163">
            <v>150</v>
          </cell>
          <cell r="I163"/>
          <cell r="J163"/>
          <cell r="K163"/>
          <cell r="L163"/>
          <cell r="M163"/>
          <cell r="N163"/>
          <cell r="O163">
            <v>150</v>
          </cell>
          <cell r="P163"/>
          <cell r="Q163">
            <v>0</v>
          </cell>
          <cell r="R163">
            <v>507.11</v>
          </cell>
          <cell r="S163">
            <v>29160</v>
          </cell>
          <cell r="T163"/>
          <cell r="U163">
            <v>11.33</v>
          </cell>
          <cell r="V163">
            <v>11.33</v>
          </cell>
          <cell r="W163">
            <v>15.3</v>
          </cell>
          <cell r="X163">
            <v>16.649999999999999</v>
          </cell>
          <cell r="Y163">
            <v>1.55</v>
          </cell>
          <cell r="Z163">
            <v>93.71</v>
          </cell>
          <cell r="AA163">
            <v>21.39</v>
          </cell>
          <cell r="AB163">
            <v>20.22</v>
          </cell>
          <cell r="AC163" t="str">
            <v>التخصصية الثانية</v>
          </cell>
        </row>
        <row r="164">
          <cell r="A164">
            <v>28310112500426</v>
          </cell>
          <cell r="B164">
            <v>80</v>
          </cell>
          <cell r="C164" t="str">
            <v>نهى عثمان عبدالحافظ ابراهيم</v>
          </cell>
          <cell r="D164">
            <v>1011.29</v>
          </cell>
          <cell r="E164"/>
          <cell r="F164">
            <v>5.08</v>
          </cell>
          <cell r="G164"/>
          <cell r="H164">
            <v>50</v>
          </cell>
          <cell r="I164"/>
          <cell r="J164"/>
          <cell r="K164"/>
          <cell r="L164"/>
          <cell r="M164"/>
          <cell r="N164"/>
          <cell r="O164">
            <v>50</v>
          </cell>
          <cell r="P164">
            <v>2131.02</v>
          </cell>
          <cell r="Q164">
            <v>1483.38</v>
          </cell>
          <cell r="R164">
            <v>246</v>
          </cell>
          <cell r="S164">
            <v>13971.300000000001</v>
          </cell>
          <cell r="T164"/>
          <cell r="U164">
            <v>216.5</v>
          </cell>
          <cell r="V164">
            <v>216.5</v>
          </cell>
          <cell r="W164">
            <v>6.35</v>
          </cell>
          <cell r="X164">
            <v>5.65</v>
          </cell>
          <cell r="Y164">
            <v>8.65</v>
          </cell>
          <cell r="Z164"/>
          <cell r="AA164"/>
          <cell r="AB164">
            <v>1.96</v>
          </cell>
          <cell r="AC164" t="str">
            <v>التخصصية الثالثة</v>
          </cell>
        </row>
        <row r="165">
          <cell r="A165">
            <v>28712152500268</v>
          </cell>
          <cell r="B165">
            <v>81</v>
          </cell>
          <cell r="C165" t="str">
            <v>نهى فتحى محمد الصغير</v>
          </cell>
          <cell r="D165">
            <v>955.3</v>
          </cell>
          <cell r="E165"/>
          <cell r="F165">
            <v>5.0999999999999996</v>
          </cell>
          <cell r="G165"/>
          <cell r="H165">
            <v>50</v>
          </cell>
          <cell r="I165"/>
          <cell r="J165"/>
          <cell r="K165"/>
          <cell r="L165"/>
          <cell r="M165"/>
          <cell r="N165">
            <v>14.4</v>
          </cell>
          <cell r="O165">
            <v>64.400000000000006</v>
          </cell>
          <cell r="P165">
            <v>2168.31</v>
          </cell>
          <cell r="Q165">
            <v>1520.28</v>
          </cell>
          <cell r="R165">
            <v>252</v>
          </cell>
          <cell r="S165">
            <v>12679.77</v>
          </cell>
          <cell r="T165"/>
          <cell r="U165"/>
          <cell r="V165">
            <v>0</v>
          </cell>
          <cell r="W165">
            <v>6.1</v>
          </cell>
          <cell r="X165">
            <v>7.35</v>
          </cell>
          <cell r="Y165">
            <v>9.2000000000000011</v>
          </cell>
          <cell r="Z165"/>
          <cell r="AA165"/>
          <cell r="AB165">
            <v>25.099999999999998</v>
          </cell>
          <cell r="AC165" t="str">
            <v>التخصصية الثالثة</v>
          </cell>
        </row>
        <row r="166">
          <cell r="A166">
            <v>27201270103488</v>
          </cell>
          <cell r="B166">
            <v>164</v>
          </cell>
          <cell r="C166" t="str">
            <v>منال موسى على قوشتى</v>
          </cell>
          <cell r="D166">
            <v>1355.44</v>
          </cell>
          <cell r="E166">
            <v>159.19</v>
          </cell>
          <cell r="F166">
            <v>33.36</v>
          </cell>
          <cell r="G166"/>
          <cell r="H166">
            <v>50</v>
          </cell>
          <cell r="I166"/>
          <cell r="J166"/>
          <cell r="K166"/>
          <cell r="L166"/>
          <cell r="M166"/>
          <cell r="N166"/>
          <cell r="O166">
            <v>50</v>
          </cell>
          <cell r="P166"/>
          <cell r="Q166">
            <v>0</v>
          </cell>
          <cell r="R166">
            <v>364.71</v>
          </cell>
          <cell r="S166">
            <v>20245.64</v>
          </cell>
          <cell r="T166">
            <v>9.83</v>
          </cell>
          <cell r="U166"/>
          <cell r="V166">
            <v>9.83</v>
          </cell>
          <cell r="W166">
            <v>10.35</v>
          </cell>
          <cell r="X166">
            <v>11.4</v>
          </cell>
          <cell r="Y166">
            <v>0.25</v>
          </cell>
          <cell r="Z166">
            <v>28.07</v>
          </cell>
          <cell r="AA166">
            <v>7.51</v>
          </cell>
          <cell r="AB166">
            <v>1.7</v>
          </cell>
          <cell r="AC166" t="str">
            <v>التخصصية الثانية</v>
          </cell>
        </row>
        <row r="167">
          <cell r="A167">
            <v>28708232500181</v>
          </cell>
          <cell r="B167">
            <v>82</v>
          </cell>
          <cell r="C167" t="str">
            <v>نهى محمد عفيفى محمود</v>
          </cell>
          <cell r="D167">
            <v>671.14</v>
          </cell>
          <cell r="E167"/>
          <cell r="F167">
            <v>3.34</v>
          </cell>
          <cell r="G167"/>
          <cell r="H167">
            <v>50</v>
          </cell>
          <cell r="I167"/>
          <cell r="J167">
            <v>213.02</v>
          </cell>
          <cell r="K167"/>
          <cell r="L167"/>
          <cell r="M167"/>
          <cell r="N167"/>
          <cell r="O167">
            <v>263.02</v>
          </cell>
          <cell r="P167">
            <v>2266.37</v>
          </cell>
          <cell r="Q167">
            <v>1538.73</v>
          </cell>
          <cell r="R167">
            <v>255</v>
          </cell>
          <cell r="S167">
            <v>24072.710000000003</v>
          </cell>
          <cell r="T167"/>
          <cell r="U167"/>
          <cell r="V167">
            <v>0</v>
          </cell>
          <cell r="W167">
            <v>6.45</v>
          </cell>
          <cell r="X167">
            <v>4.4000000000000004</v>
          </cell>
          <cell r="Y167">
            <v>10.749999999999998</v>
          </cell>
          <cell r="Z167"/>
          <cell r="AA167"/>
          <cell r="AB167">
            <v>49.52</v>
          </cell>
          <cell r="AC167" t="str">
            <v>التخصصية الثالثة</v>
          </cell>
        </row>
        <row r="168">
          <cell r="A168">
            <v>28309202500125</v>
          </cell>
          <cell r="B168">
            <v>83</v>
          </cell>
          <cell r="C168" t="str">
            <v>نهى محمد نبيل كامل محمود</v>
          </cell>
          <cell r="D168">
            <v>1145.97</v>
          </cell>
          <cell r="E168">
            <v>15.97</v>
          </cell>
          <cell r="F168">
            <v>5.7</v>
          </cell>
          <cell r="G168"/>
          <cell r="H168">
            <v>50</v>
          </cell>
          <cell r="I168"/>
          <cell r="J168"/>
          <cell r="K168"/>
          <cell r="L168"/>
          <cell r="M168"/>
          <cell r="N168"/>
          <cell r="O168">
            <v>50</v>
          </cell>
          <cell r="P168">
            <v>2331.75</v>
          </cell>
          <cell r="Q168">
            <v>1661.73</v>
          </cell>
          <cell r="R168">
            <v>275</v>
          </cell>
          <cell r="S168">
            <v>15481.709999999995</v>
          </cell>
          <cell r="T168"/>
          <cell r="U168"/>
          <cell r="V168">
            <v>0</v>
          </cell>
          <cell r="W168">
            <v>7.8</v>
          </cell>
          <cell r="X168">
            <v>8.8000000000000007</v>
          </cell>
          <cell r="Y168">
            <v>10.4</v>
          </cell>
          <cell r="Z168"/>
          <cell r="AA168">
            <v>0.59</v>
          </cell>
          <cell r="AB168">
            <v>86.810000000000031</v>
          </cell>
          <cell r="AC168" t="str">
            <v>التخصصية الثانية</v>
          </cell>
        </row>
        <row r="169">
          <cell r="A169">
            <v>28204210100288</v>
          </cell>
          <cell r="B169">
            <v>84</v>
          </cell>
          <cell r="C169" t="str">
            <v>نيفين عبد اللاه محمد عبد الرحيم</v>
          </cell>
          <cell r="D169">
            <v>1159.31</v>
          </cell>
          <cell r="E169"/>
          <cell r="F169">
            <v>5.51</v>
          </cell>
          <cell r="G169"/>
          <cell r="H169"/>
          <cell r="I169"/>
          <cell r="J169"/>
          <cell r="K169"/>
          <cell r="L169"/>
          <cell r="M169"/>
          <cell r="N169"/>
          <cell r="O169"/>
          <cell r="P169">
            <v>1878.21</v>
          </cell>
          <cell r="Q169">
            <v>1587.93</v>
          </cell>
          <cell r="R169">
            <v>263</v>
          </cell>
          <cell r="S169">
            <v>13919.679999999998</v>
          </cell>
          <cell r="T169"/>
          <cell r="U169"/>
          <cell r="V169">
            <v>0</v>
          </cell>
          <cell r="W169"/>
          <cell r="X169">
            <v>8.4</v>
          </cell>
          <cell r="Y169">
            <v>7.9</v>
          </cell>
          <cell r="Z169"/>
          <cell r="AA169"/>
          <cell r="AB169">
            <v>57.83</v>
          </cell>
          <cell r="AC169" t="str">
            <v>التخصصية الثالثة</v>
          </cell>
        </row>
        <row r="170">
          <cell r="A170">
            <v>28707172500121</v>
          </cell>
          <cell r="B170">
            <v>85</v>
          </cell>
          <cell r="C170" t="str">
            <v>هاله علي الدين محمود سيد</v>
          </cell>
          <cell r="D170">
            <v>1096.17</v>
          </cell>
          <cell r="E170"/>
          <cell r="F170">
            <v>5.47</v>
          </cell>
          <cell r="G170"/>
          <cell r="H170">
            <v>50</v>
          </cell>
          <cell r="I170"/>
          <cell r="J170">
            <v>221.37</v>
          </cell>
          <cell r="K170"/>
          <cell r="L170"/>
          <cell r="M170"/>
          <cell r="N170"/>
          <cell r="O170">
            <v>271.37</v>
          </cell>
          <cell r="P170">
            <v>1846.2</v>
          </cell>
          <cell r="Q170">
            <v>1569.48</v>
          </cell>
          <cell r="R170">
            <v>260</v>
          </cell>
          <cell r="S170">
            <v>14177.03</v>
          </cell>
          <cell r="T170"/>
          <cell r="U170"/>
          <cell r="V170">
            <v>0</v>
          </cell>
          <cell r="W170">
            <v>7.35</v>
          </cell>
          <cell r="X170">
            <v>8.3000000000000007</v>
          </cell>
          <cell r="Y170">
            <v>8.4999999999999982</v>
          </cell>
          <cell r="Z170"/>
          <cell r="AA170"/>
          <cell r="AB170">
            <v>55.750000000000007</v>
          </cell>
          <cell r="AC170" t="str">
            <v>التخصصية الثالثة</v>
          </cell>
        </row>
        <row r="171">
          <cell r="A171">
            <v>28610012513826</v>
          </cell>
          <cell r="B171">
            <v>86</v>
          </cell>
          <cell r="C171" t="str">
            <v>هناء بيومى على بيومى</v>
          </cell>
          <cell r="D171">
            <v>1096.17</v>
          </cell>
          <cell r="E171"/>
          <cell r="F171">
            <v>5.47</v>
          </cell>
          <cell r="G171"/>
          <cell r="H171">
            <v>50</v>
          </cell>
          <cell r="I171"/>
          <cell r="J171"/>
          <cell r="K171"/>
          <cell r="L171"/>
          <cell r="M171"/>
          <cell r="N171"/>
          <cell r="O171">
            <v>50</v>
          </cell>
          <cell r="P171">
            <v>2196.1999999999998</v>
          </cell>
          <cell r="Q171">
            <v>1569.48</v>
          </cell>
          <cell r="R171">
            <v>260</v>
          </cell>
          <cell r="S171">
            <v>13300.84</v>
          </cell>
          <cell r="T171"/>
          <cell r="U171"/>
          <cell r="V171">
            <v>0</v>
          </cell>
          <cell r="W171">
            <v>7.35</v>
          </cell>
          <cell r="X171">
            <v>8.3000000000000007</v>
          </cell>
          <cell r="Y171">
            <v>10.149999999999999</v>
          </cell>
          <cell r="Z171"/>
          <cell r="AA171"/>
          <cell r="AB171">
            <v>78.83</v>
          </cell>
          <cell r="AC171" t="str">
            <v>التخصصية الثالثة</v>
          </cell>
        </row>
        <row r="172">
          <cell r="A172">
            <v>27601152500187</v>
          </cell>
          <cell r="B172">
            <v>87</v>
          </cell>
          <cell r="C172" t="str">
            <v>هند مسعود عبد الله مسعود</v>
          </cell>
          <cell r="D172">
            <v>1174.6199999999999</v>
          </cell>
          <cell r="E172"/>
          <cell r="F172">
            <v>5.71</v>
          </cell>
          <cell r="G172"/>
          <cell r="H172">
            <v>50</v>
          </cell>
          <cell r="I172"/>
          <cell r="J172"/>
          <cell r="K172"/>
          <cell r="L172"/>
          <cell r="M172"/>
          <cell r="N172"/>
          <cell r="O172">
            <v>50</v>
          </cell>
          <cell r="P172">
            <v>2310.27</v>
          </cell>
          <cell r="Q172">
            <v>1637.13</v>
          </cell>
          <cell r="R172">
            <v>271</v>
          </cell>
          <cell r="S172">
            <v>16084.73</v>
          </cell>
          <cell r="T172">
            <v>21</v>
          </cell>
          <cell r="U172"/>
          <cell r="V172">
            <v>21</v>
          </cell>
          <cell r="W172">
            <v>7.95</v>
          </cell>
          <cell r="X172">
            <v>8.8000000000000007</v>
          </cell>
          <cell r="Y172">
            <v>10.25</v>
          </cell>
          <cell r="Z172"/>
          <cell r="AA172">
            <v>0.61</v>
          </cell>
          <cell r="AB172">
            <v>83.139999999999986</v>
          </cell>
          <cell r="AC172" t="str">
            <v>التخصصية الثانية</v>
          </cell>
        </row>
        <row r="173">
          <cell r="A173">
            <v>28703202500168</v>
          </cell>
          <cell r="B173">
            <v>88</v>
          </cell>
          <cell r="C173" t="str">
            <v>ولاء عبد الناصر حسين أحمد</v>
          </cell>
          <cell r="D173">
            <v>1096.17</v>
          </cell>
          <cell r="E173"/>
          <cell r="F173">
            <v>5.47</v>
          </cell>
          <cell r="G173"/>
          <cell r="H173">
            <v>50</v>
          </cell>
          <cell r="I173"/>
          <cell r="J173">
            <v>221.37</v>
          </cell>
          <cell r="K173"/>
          <cell r="L173"/>
          <cell r="M173"/>
          <cell r="N173"/>
          <cell r="O173">
            <v>271.37</v>
          </cell>
          <cell r="P173">
            <v>2206.1999999999998</v>
          </cell>
          <cell r="Q173">
            <v>1569.48</v>
          </cell>
          <cell r="R173">
            <v>260</v>
          </cell>
          <cell r="S173">
            <v>14452.03</v>
          </cell>
          <cell r="T173"/>
          <cell r="U173"/>
          <cell r="V173">
            <v>0</v>
          </cell>
          <cell r="W173">
            <v>7.35</v>
          </cell>
          <cell r="X173">
            <v>8.3000000000000007</v>
          </cell>
          <cell r="Y173">
            <v>9.4999999999999982</v>
          </cell>
          <cell r="Z173"/>
          <cell r="AA173"/>
          <cell r="AB173">
            <v>58.68</v>
          </cell>
          <cell r="AC173" t="str">
            <v>التخصصية الثالثة</v>
          </cell>
        </row>
        <row r="174">
          <cell r="A174">
            <v>28505042500224</v>
          </cell>
          <cell r="B174">
            <v>172</v>
          </cell>
          <cell r="C174" t="str">
            <v>هبه إبراهيم عبد العال مهران</v>
          </cell>
          <cell r="D174">
            <v>1109.45</v>
          </cell>
          <cell r="E174"/>
          <cell r="F174">
            <v>5.51</v>
          </cell>
          <cell r="G174"/>
          <cell r="H174">
            <v>50</v>
          </cell>
          <cell r="I174"/>
          <cell r="J174"/>
          <cell r="K174"/>
          <cell r="L174"/>
          <cell r="M174"/>
          <cell r="N174"/>
          <cell r="O174">
            <v>50</v>
          </cell>
          <cell r="P174"/>
          <cell r="Q174">
            <v>0</v>
          </cell>
          <cell r="R174">
            <v>263</v>
          </cell>
          <cell r="S174">
            <v>14659.160000000003</v>
          </cell>
          <cell r="T174"/>
          <cell r="U174"/>
          <cell r="V174">
            <v>0</v>
          </cell>
          <cell r="W174">
            <v>7.45</v>
          </cell>
          <cell r="X174">
            <v>8.4</v>
          </cell>
          <cell r="Y174">
            <v>0.25</v>
          </cell>
          <cell r="Z174"/>
          <cell r="AA174"/>
          <cell r="AB174">
            <v>0</v>
          </cell>
          <cell r="AC174" t="str">
            <v>التخصصية الثانية</v>
          </cell>
        </row>
        <row r="175">
          <cell r="A175">
            <v>26810012701225</v>
          </cell>
          <cell r="B175">
            <v>173</v>
          </cell>
          <cell r="C175" t="str">
            <v>هناء الصادق عبد الظاهر مصطفى</v>
          </cell>
          <cell r="D175">
            <v>1639.31</v>
          </cell>
          <cell r="E175">
            <v>289.19</v>
          </cell>
          <cell r="F175">
            <v>71.67</v>
          </cell>
          <cell r="G175"/>
          <cell r="H175">
            <v>150</v>
          </cell>
          <cell r="I175"/>
          <cell r="J175"/>
          <cell r="K175"/>
          <cell r="L175"/>
          <cell r="M175"/>
          <cell r="N175"/>
          <cell r="O175">
            <v>150</v>
          </cell>
          <cell r="P175"/>
          <cell r="Q175">
            <v>0</v>
          </cell>
          <cell r="R175">
            <v>467.07</v>
          </cell>
          <cell r="S175">
            <v>26701.960000000003</v>
          </cell>
          <cell r="T175"/>
          <cell r="U175"/>
          <cell r="V175">
            <v>0</v>
          </cell>
          <cell r="W175">
            <v>14.1</v>
          </cell>
          <cell r="X175">
            <v>15.5</v>
          </cell>
          <cell r="Y175">
            <v>0.25</v>
          </cell>
          <cell r="Z175">
            <v>78.88</v>
          </cell>
          <cell r="AA175">
            <v>18.28</v>
          </cell>
          <cell r="AB175">
            <v>0</v>
          </cell>
          <cell r="AC175" t="str">
            <v>التخصصية الثانية</v>
          </cell>
        </row>
        <row r="176">
          <cell r="A176">
            <v>27809202501643</v>
          </cell>
          <cell r="B176">
            <v>176</v>
          </cell>
          <cell r="C176" t="str">
            <v>ياسمين عبد القادر حسن محمد</v>
          </cell>
          <cell r="D176">
            <v>1535.61</v>
          </cell>
          <cell r="E176">
            <v>176.45</v>
          </cell>
          <cell r="F176">
            <v>52.9</v>
          </cell>
          <cell r="G176"/>
          <cell r="H176">
            <v>100</v>
          </cell>
          <cell r="I176"/>
          <cell r="J176"/>
          <cell r="K176"/>
          <cell r="L176"/>
          <cell r="M176"/>
          <cell r="N176"/>
          <cell r="O176">
            <v>100</v>
          </cell>
          <cell r="P176"/>
          <cell r="Q176">
            <v>0</v>
          </cell>
          <cell r="R176">
            <v>409.81</v>
          </cell>
          <cell r="S176">
            <v>22180.039999999997</v>
          </cell>
          <cell r="T176"/>
          <cell r="U176"/>
          <cell r="V176">
            <v>0</v>
          </cell>
          <cell r="W176">
            <v>12.15</v>
          </cell>
          <cell r="X176">
            <v>13.45</v>
          </cell>
          <cell r="Y176">
            <v>0.25</v>
          </cell>
          <cell r="Z176">
            <v>53.21</v>
          </cell>
          <cell r="AA176">
            <v>12.94</v>
          </cell>
          <cell r="AB176">
            <v>8.08</v>
          </cell>
          <cell r="AC176" t="str">
            <v>التخصصية الثانية</v>
          </cell>
        </row>
        <row r="177">
          <cell r="A177">
            <v>27510292500181</v>
          </cell>
          <cell r="B177">
            <v>175</v>
          </cell>
          <cell r="C177" t="str">
            <v>وردة جلال على عبدالحافظ</v>
          </cell>
          <cell r="D177">
            <v>1357.24</v>
          </cell>
          <cell r="E177">
            <v>160.38</v>
          </cell>
          <cell r="F177">
            <v>33.68</v>
          </cell>
          <cell r="G177"/>
          <cell r="H177">
            <v>145</v>
          </cell>
          <cell r="I177"/>
          <cell r="J177"/>
          <cell r="K177"/>
          <cell r="L177"/>
          <cell r="M177"/>
          <cell r="N177"/>
          <cell r="O177">
            <v>145</v>
          </cell>
          <cell r="P177"/>
          <cell r="Q177">
            <v>0</v>
          </cell>
          <cell r="R177">
            <v>365.64</v>
          </cell>
          <cell r="S177">
            <v>20120.27</v>
          </cell>
          <cell r="T177">
            <v>5.89</v>
          </cell>
          <cell r="U177"/>
          <cell r="V177">
            <v>5.89</v>
          </cell>
          <cell r="W177">
            <v>11.05</v>
          </cell>
          <cell r="X177">
            <v>12.2</v>
          </cell>
          <cell r="Y177">
            <v>1.95</v>
          </cell>
          <cell r="Z177">
            <v>38.19</v>
          </cell>
          <cell r="AA177">
            <v>9.5299999999999994</v>
          </cell>
          <cell r="AB177">
            <v>13.95</v>
          </cell>
          <cell r="AC177" t="str">
            <v>التخصصية الثانية</v>
          </cell>
        </row>
        <row r="178">
          <cell r="A178">
            <v>28607202503745</v>
          </cell>
          <cell r="B178">
            <v>89</v>
          </cell>
          <cell r="C178" t="str">
            <v>ياسمين محمد رفعت محمد</v>
          </cell>
          <cell r="D178">
            <v>1096.17</v>
          </cell>
          <cell r="E178"/>
          <cell r="F178">
            <v>5.47</v>
          </cell>
          <cell r="G178"/>
          <cell r="H178">
            <v>50</v>
          </cell>
          <cell r="I178"/>
          <cell r="J178">
            <v>221.37</v>
          </cell>
          <cell r="K178"/>
          <cell r="L178"/>
          <cell r="M178"/>
          <cell r="N178"/>
          <cell r="O178">
            <v>271.37</v>
          </cell>
          <cell r="P178">
            <v>2006.2</v>
          </cell>
          <cell r="Q178">
            <v>1569.48</v>
          </cell>
          <cell r="R178">
            <v>260</v>
          </cell>
          <cell r="S178">
            <v>13485.84</v>
          </cell>
          <cell r="T178"/>
          <cell r="U178"/>
          <cell r="V178">
            <v>0</v>
          </cell>
          <cell r="W178">
            <v>7.35</v>
          </cell>
          <cell r="X178">
            <v>8.3000000000000007</v>
          </cell>
          <cell r="Y178">
            <v>8.8999999999999986</v>
          </cell>
          <cell r="Z178"/>
          <cell r="AA178"/>
          <cell r="AB178">
            <v>60.680000000000007</v>
          </cell>
          <cell r="AC178" t="str">
            <v>التخصصية الثالثة</v>
          </cell>
        </row>
        <row r="179">
          <cell r="A179">
            <v>28203062500356</v>
          </cell>
          <cell r="B179">
            <v>1</v>
          </cell>
          <cell r="C179" t="str">
            <v>ابراهيم كامل محمد عبد المنعم</v>
          </cell>
          <cell r="D179">
            <v>1115.5899999999999</v>
          </cell>
          <cell r="E179"/>
          <cell r="F179">
            <v>5.35</v>
          </cell>
          <cell r="G179"/>
          <cell r="H179">
            <v>95</v>
          </cell>
          <cell r="I179"/>
          <cell r="J179"/>
          <cell r="K179"/>
          <cell r="L179"/>
          <cell r="M179"/>
          <cell r="N179"/>
          <cell r="O179">
            <v>95</v>
          </cell>
          <cell r="P179"/>
          <cell r="Q179"/>
          <cell r="R179">
            <v>236.5</v>
          </cell>
          <cell r="S179">
            <v>14787.35</v>
          </cell>
          <cell r="T179"/>
          <cell r="U179"/>
          <cell r="V179">
            <v>0</v>
          </cell>
          <cell r="W179">
            <v>6.65</v>
          </cell>
          <cell r="X179">
            <v>8.3000000000000007</v>
          </cell>
          <cell r="Y179"/>
          <cell r="Z179"/>
          <cell r="AA179"/>
          <cell r="AB179"/>
          <cell r="AC179" t="str">
            <v>الفنية الثالثة</v>
          </cell>
        </row>
        <row r="180">
          <cell r="A180">
            <v>27110092502131</v>
          </cell>
          <cell r="B180">
            <v>2</v>
          </cell>
          <cell r="C180" t="str">
            <v>ابو المجد علي عبد الحفيظ أحمد</v>
          </cell>
          <cell r="D180">
            <v>1177.24</v>
          </cell>
          <cell r="E180"/>
          <cell r="F180">
            <v>6.07</v>
          </cell>
          <cell r="G180"/>
          <cell r="H180">
            <v>100</v>
          </cell>
          <cell r="I180"/>
          <cell r="J180"/>
          <cell r="K180"/>
          <cell r="L180"/>
          <cell r="M180"/>
          <cell r="N180"/>
          <cell r="O180">
            <v>100</v>
          </cell>
          <cell r="P180"/>
          <cell r="Q180"/>
          <cell r="R180">
            <v>264.5</v>
          </cell>
          <cell r="S180">
            <v>15443.3</v>
          </cell>
          <cell r="T180"/>
          <cell r="U180"/>
          <cell r="V180">
            <v>0</v>
          </cell>
          <cell r="W180">
            <v>7.95</v>
          </cell>
          <cell r="X180">
            <v>9.3000000000000007</v>
          </cell>
          <cell r="Y180"/>
          <cell r="Z180"/>
          <cell r="AA180">
            <v>1.9</v>
          </cell>
          <cell r="AB180"/>
          <cell r="AC180" t="str">
            <v>الفنية الثالثة</v>
          </cell>
        </row>
        <row r="181">
          <cell r="A181">
            <v>28207182501891</v>
          </cell>
          <cell r="B181">
            <v>3</v>
          </cell>
          <cell r="C181" t="str">
            <v>احمد /علي زغلول/ حسن علي زرزور</v>
          </cell>
          <cell r="D181">
            <v>1109.46</v>
          </cell>
          <cell r="E181"/>
          <cell r="F181">
            <v>5.33</v>
          </cell>
          <cell r="G181"/>
          <cell r="H181">
            <v>50</v>
          </cell>
          <cell r="I181"/>
          <cell r="J181">
            <v>186.99</v>
          </cell>
          <cell r="K181"/>
          <cell r="L181"/>
          <cell r="M181"/>
          <cell r="N181"/>
          <cell r="O181">
            <v>236.99</v>
          </cell>
          <cell r="P181"/>
          <cell r="Q181"/>
          <cell r="R181">
            <v>234.5</v>
          </cell>
          <cell r="S181">
            <v>29160.000000000004</v>
          </cell>
          <cell r="T181">
            <v>8</v>
          </cell>
          <cell r="U181"/>
          <cell r="V181">
            <v>8</v>
          </cell>
          <cell r="W181">
            <v>6.65</v>
          </cell>
          <cell r="X181">
            <v>9.6</v>
          </cell>
          <cell r="Y181"/>
          <cell r="Z181"/>
          <cell r="AA181">
            <v>2.7</v>
          </cell>
          <cell r="AB181"/>
          <cell r="AC181" t="str">
            <v>الفنية الثالثة</v>
          </cell>
        </row>
        <row r="182">
          <cell r="A182">
            <v>28809262500119</v>
          </cell>
          <cell r="B182">
            <v>4</v>
          </cell>
          <cell r="C182" t="str">
            <v>احمد جاد المولى سيد عابدين</v>
          </cell>
          <cell r="D182">
            <v>1040.56</v>
          </cell>
          <cell r="E182"/>
          <cell r="F182">
            <v>5.65</v>
          </cell>
          <cell r="G182"/>
          <cell r="H182">
            <v>100</v>
          </cell>
          <cell r="I182"/>
          <cell r="J182"/>
          <cell r="K182"/>
          <cell r="L182"/>
          <cell r="M182"/>
          <cell r="N182"/>
          <cell r="O182">
            <v>100</v>
          </cell>
          <cell r="P182"/>
          <cell r="Q182"/>
          <cell r="R182">
            <v>220.5</v>
          </cell>
          <cell r="S182">
            <v>13752.29</v>
          </cell>
          <cell r="T182"/>
          <cell r="U182"/>
          <cell r="V182">
            <v>0</v>
          </cell>
          <cell r="W182">
            <v>6.55</v>
          </cell>
          <cell r="X182">
            <v>8.25</v>
          </cell>
          <cell r="Y182"/>
          <cell r="Z182"/>
          <cell r="AA182"/>
          <cell r="AB182"/>
          <cell r="AC182" t="str">
            <v>الفنية الثالثة</v>
          </cell>
        </row>
        <row r="183">
          <cell r="A183">
            <v>27908152500053</v>
          </cell>
          <cell r="B183">
            <v>5</v>
          </cell>
          <cell r="C183" t="str">
            <v>احمد جلال سيد مصطفى</v>
          </cell>
          <cell r="D183">
            <v>1341.36</v>
          </cell>
          <cell r="E183">
            <v>79.78</v>
          </cell>
          <cell r="F183">
            <v>19.86</v>
          </cell>
          <cell r="G183"/>
          <cell r="H183">
            <v>140</v>
          </cell>
          <cell r="I183"/>
          <cell r="J183"/>
          <cell r="K183"/>
          <cell r="L183"/>
          <cell r="M183"/>
          <cell r="N183"/>
          <cell r="O183">
            <v>140</v>
          </cell>
          <cell r="P183"/>
          <cell r="Q183"/>
          <cell r="R183">
            <v>330.53</v>
          </cell>
          <cell r="S183">
            <v>18935.8</v>
          </cell>
          <cell r="T183"/>
          <cell r="U183"/>
          <cell r="V183">
            <v>0</v>
          </cell>
          <cell r="W183">
            <v>9.9499999999999993</v>
          </cell>
          <cell r="X183">
            <v>11.45</v>
          </cell>
          <cell r="Y183"/>
          <cell r="Z183">
            <v>23.87</v>
          </cell>
          <cell r="AA183">
            <v>7.6</v>
          </cell>
          <cell r="AB183"/>
          <cell r="AC183" t="str">
            <v>الفنية الثالثة</v>
          </cell>
        </row>
        <row r="184">
          <cell r="A184">
            <v>27806102500055</v>
          </cell>
          <cell r="B184">
            <v>6</v>
          </cell>
          <cell r="C184" t="str">
            <v>احمد عبد الخالق سيد عبد الحافظ</v>
          </cell>
          <cell r="D184">
            <v>1074.5999999999999</v>
          </cell>
          <cell r="E184"/>
          <cell r="F184">
            <v>5.84</v>
          </cell>
          <cell r="G184"/>
          <cell r="H184">
            <v>145</v>
          </cell>
          <cell r="I184"/>
          <cell r="J184">
            <v>93.16</v>
          </cell>
          <cell r="K184"/>
          <cell r="L184"/>
          <cell r="M184"/>
          <cell r="N184"/>
          <cell r="O184">
            <v>238.16</v>
          </cell>
          <cell r="P184"/>
          <cell r="Q184"/>
          <cell r="R184">
            <v>222.5</v>
          </cell>
          <cell r="S184">
            <v>13361.079999999998</v>
          </cell>
          <cell r="T184"/>
          <cell r="U184"/>
          <cell r="V184">
            <v>0</v>
          </cell>
          <cell r="W184">
            <v>7.25</v>
          </cell>
          <cell r="X184">
            <v>9.5</v>
          </cell>
          <cell r="Y184"/>
          <cell r="Z184"/>
          <cell r="AA184">
            <v>2.4</v>
          </cell>
          <cell r="AB184"/>
          <cell r="AC184" t="str">
            <v>الفنية الثالثة</v>
          </cell>
        </row>
        <row r="185">
          <cell r="A185">
            <v>28809162500278</v>
          </cell>
          <cell r="B185">
            <v>7</v>
          </cell>
          <cell r="C185" t="str">
            <v>احمد عبد العظيم عبد اللطيف حسن</v>
          </cell>
          <cell r="D185">
            <v>1014.91</v>
          </cell>
          <cell r="E185"/>
          <cell r="F185">
            <v>5.49</v>
          </cell>
          <cell r="G185"/>
          <cell r="H185">
            <v>95</v>
          </cell>
          <cell r="I185"/>
          <cell r="J185"/>
          <cell r="K185"/>
          <cell r="L185"/>
          <cell r="M185"/>
          <cell r="N185"/>
          <cell r="O185">
            <v>95</v>
          </cell>
          <cell r="P185"/>
          <cell r="Q185"/>
          <cell r="R185">
            <v>220.5</v>
          </cell>
          <cell r="S185">
            <v>13623.65</v>
          </cell>
          <cell r="T185"/>
          <cell r="U185"/>
          <cell r="V185">
            <v>0</v>
          </cell>
          <cell r="W185">
            <v>6.2</v>
          </cell>
          <cell r="X185">
            <v>8.0500000000000007</v>
          </cell>
          <cell r="Y185"/>
          <cell r="Z185"/>
          <cell r="AA185"/>
          <cell r="AB185"/>
          <cell r="AC185" t="str">
            <v>الفنية الثالثة</v>
          </cell>
        </row>
        <row r="186">
          <cell r="A186">
            <v>28008262500256</v>
          </cell>
          <cell r="B186">
            <v>8</v>
          </cell>
          <cell r="C186" t="str">
            <v>احمد علي أحمد علي الشريف</v>
          </cell>
          <cell r="D186">
            <v>1398.6</v>
          </cell>
          <cell r="E186">
            <v>183.44</v>
          </cell>
          <cell r="F186">
            <v>40.43</v>
          </cell>
          <cell r="G186"/>
          <cell r="H186">
            <v>145</v>
          </cell>
          <cell r="I186"/>
          <cell r="J186"/>
          <cell r="K186"/>
          <cell r="L186"/>
          <cell r="M186"/>
          <cell r="N186"/>
          <cell r="O186">
            <v>145</v>
          </cell>
          <cell r="P186"/>
          <cell r="Q186"/>
          <cell r="R186">
            <v>380.66</v>
          </cell>
          <cell r="S186">
            <v>20868.29</v>
          </cell>
          <cell r="T186"/>
          <cell r="U186"/>
          <cell r="V186">
            <v>0</v>
          </cell>
          <cell r="W186">
            <v>11.45</v>
          </cell>
          <cell r="X186">
            <v>12.65</v>
          </cell>
          <cell r="Y186"/>
          <cell r="Z186">
            <v>43.8</v>
          </cell>
          <cell r="AA186">
            <v>10.72</v>
          </cell>
          <cell r="AB186"/>
          <cell r="AC186" t="str">
            <v>الفنية</v>
          </cell>
        </row>
        <row r="187">
          <cell r="A187">
            <v>28503062501275</v>
          </cell>
          <cell r="B187">
            <v>9</v>
          </cell>
          <cell r="C187" t="str">
            <v>احمد محمد احمد منصور</v>
          </cell>
          <cell r="D187">
            <v>1015.95</v>
          </cell>
          <cell r="E187"/>
          <cell r="F187">
            <v>5.16</v>
          </cell>
          <cell r="G187"/>
          <cell r="H187">
            <v>145</v>
          </cell>
          <cell r="I187"/>
          <cell r="J187">
            <v>185.9</v>
          </cell>
          <cell r="K187"/>
          <cell r="L187"/>
          <cell r="M187"/>
          <cell r="N187"/>
          <cell r="O187">
            <v>330.9</v>
          </cell>
          <cell r="P187"/>
          <cell r="Q187"/>
          <cell r="R187">
            <v>230.5</v>
          </cell>
          <cell r="S187">
            <v>23644.170000000002</v>
          </cell>
          <cell r="T187"/>
          <cell r="U187"/>
          <cell r="V187">
            <v>0</v>
          </cell>
          <cell r="W187">
            <v>7.55</v>
          </cell>
          <cell r="X187">
            <v>9.65</v>
          </cell>
          <cell r="Y187"/>
          <cell r="Z187"/>
          <cell r="AA187">
            <v>2.84</v>
          </cell>
          <cell r="AB187"/>
          <cell r="AC187" t="str">
            <v>الفنية الثالثة</v>
          </cell>
        </row>
        <row r="188">
          <cell r="A188">
            <v>27305022500039</v>
          </cell>
          <cell r="B188">
            <v>10</v>
          </cell>
          <cell r="C188" t="str">
            <v>احمد محمد حسن جاد</v>
          </cell>
          <cell r="D188">
            <v>1315.91</v>
          </cell>
          <cell r="E188">
            <v>82.75</v>
          </cell>
          <cell r="F188">
            <v>20.96</v>
          </cell>
          <cell r="G188"/>
          <cell r="H188">
            <v>150</v>
          </cell>
          <cell r="I188"/>
          <cell r="J188">
            <v>183</v>
          </cell>
          <cell r="K188"/>
          <cell r="L188"/>
          <cell r="M188"/>
          <cell r="N188"/>
          <cell r="O188">
            <v>333</v>
          </cell>
          <cell r="P188"/>
          <cell r="Q188"/>
          <cell r="R188">
            <v>332.87</v>
          </cell>
          <cell r="S188">
            <v>19897.39</v>
          </cell>
          <cell r="T188"/>
          <cell r="U188"/>
          <cell r="V188">
            <v>0</v>
          </cell>
          <cell r="W188">
            <v>10.25</v>
          </cell>
          <cell r="X188">
            <v>12.6</v>
          </cell>
          <cell r="Y188"/>
          <cell r="Z188">
            <v>27.71</v>
          </cell>
          <cell r="AA188">
            <v>10.59</v>
          </cell>
          <cell r="AB188"/>
          <cell r="AC188" t="str">
            <v>الفنية الثالثة</v>
          </cell>
        </row>
        <row r="189">
          <cell r="A189">
            <v>28710262500058</v>
          </cell>
          <cell r="B189">
            <v>11</v>
          </cell>
          <cell r="C189" t="str">
            <v>احمد محمد عبد الحميد حسين</v>
          </cell>
          <cell r="D189">
            <v>941.6</v>
          </cell>
          <cell r="E189"/>
          <cell r="F189">
            <v>5.31</v>
          </cell>
          <cell r="G189"/>
          <cell r="H189">
            <v>100</v>
          </cell>
          <cell r="I189"/>
          <cell r="J189"/>
          <cell r="K189"/>
          <cell r="L189"/>
          <cell r="M189"/>
          <cell r="N189"/>
          <cell r="O189">
            <v>100</v>
          </cell>
          <cell r="P189"/>
          <cell r="Q189"/>
          <cell r="R189">
            <v>214.5</v>
          </cell>
          <cell r="S189">
            <v>12522.910000000002</v>
          </cell>
          <cell r="T189"/>
          <cell r="U189"/>
          <cell r="V189">
            <v>0</v>
          </cell>
          <cell r="W189">
            <v>5.9</v>
          </cell>
          <cell r="X189">
            <v>7.5</v>
          </cell>
          <cell r="Y189"/>
          <cell r="Z189"/>
          <cell r="AA189"/>
          <cell r="AB189"/>
          <cell r="AC189" t="str">
            <v>الفنية الثالثة</v>
          </cell>
        </row>
        <row r="190">
          <cell r="A190">
            <v>27712312500151</v>
          </cell>
          <cell r="B190">
            <v>12</v>
          </cell>
          <cell r="C190" t="str">
            <v>احمد يوسف عبد الحليم محمد</v>
          </cell>
          <cell r="D190">
            <v>1071.46</v>
          </cell>
          <cell r="E190"/>
          <cell r="F190">
            <v>5.4</v>
          </cell>
          <cell r="G190"/>
          <cell r="H190">
            <v>150</v>
          </cell>
          <cell r="I190"/>
          <cell r="J190">
            <v>200</v>
          </cell>
          <cell r="K190"/>
          <cell r="L190"/>
          <cell r="M190"/>
          <cell r="N190"/>
          <cell r="O190">
            <v>350</v>
          </cell>
          <cell r="P190"/>
          <cell r="Q190"/>
          <cell r="R190">
            <v>240.5</v>
          </cell>
          <cell r="S190">
            <v>24784.46</v>
          </cell>
          <cell r="T190">
            <v>4.54</v>
          </cell>
          <cell r="U190"/>
          <cell r="V190">
            <v>4.54</v>
          </cell>
          <cell r="W190">
            <v>7.95</v>
          </cell>
          <cell r="X190">
            <v>10.199999999999999</v>
          </cell>
          <cell r="Y190"/>
          <cell r="Z190"/>
          <cell r="AA190">
            <v>4.21</v>
          </cell>
          <cell r="AB190"/>
          <cell r="AC190" t="str">
            <v>الفنية الثالثة</v>
          </cell>
        </row>
        <row r="191">
          <cell r="A191">
            <v>27906092500331</v>
          </cell>
          <cell r="B191">
            <v>13</v>
          </cell>
          <cell r="C191" t="str">
            <v>اسامة محمد كامل احمد</v>
          </cell>
          <cell r="D191">
            <v>1071.46</v>
          </cell>
          <cell r="E191"/>
          <cell r="F191">
            <v>5.4</v>
          </cell>
          <cell r="G191"/>
          <cell r="H191">
            <v>150</v>
          </cell>
          <cell r="I191"/>
          <cell r="J191"/>
          <cell r="K191"/>
          <cell r="L191"/>
          <cell r="M191"/>
          <cell r="N191"/>
          <cell r="O191">
            <v>150</v>
          </cell>
          <cell r="P191"/>
          <cell r="Q191"/>
          <cell r="R191">
            <v>240.5</v>
          </cell>
          <cell r="S191">
            <v>14533.249999999998</v>
          </cell>
          <cell r="T191"/>
          <cell r="U191"/>
          <cell r="V191">
            <v>0</v>
          </cell>
          <cell r="W191">
            <v>7.95</v>
          </cell>
          <cell r="X191">
            <v>8.9</v>
          </cell>
          <cell r="Y191"/>
          <cell r="Z191"/>
          <cell r="AA191">
            <v>0.77</v>
          </cell>
          <cell r="AB191"/>
          <cell r="AC191" t="str">
            <v>الفنية الثالثة</v>
          </cell>
        </row>
        <row r="192">
          <cell r="A192">
            <v>28307062500119</v>
          </cell>
          <cell r="B192">
            <v>14</v>
          </cell>
          <cell r="C192" t="str">
            <v>اسامه السيد مصطفى محفوظ</v>
          </cell>
          <cell r="D192">
            <v>1177.24</v>
          </cell>
          <cell r="E192"/>
          <cell r="F192">
            <v>6.07</v>
          </cell>
          <cell r="G192"/>
          <cell r="H192">
            <v>150</v>
          </cell>
          <cell r="I192"/>
          <cell r="J192">
            <v>199.58</v>
          </cell>
          <cell r="K192"/>
          <cell r="L192"/>
          <cell r="M192"/>
          <cell r="N192"/>
          <cell r="O192">
            <v>349.58000000000004</v>
          </cell>
          <cell r="P192"/>
          <cell r="Q192"/>
          <cell r="R192">
            <v>264.5</v>
          </cell>
          <cell r="S192">
            <v>25819.33</v>
          </cell>
          <cell r="T192"/>
          <cell r="U192"/>
          <cell r="V192">
            <v>0</v>
          </cell>
          <cell r="W192">
            <v>8.3000000000000007</v>
          </cell>
          <cell r="X192">
            <v>11</v>
          </cell>
          <cell r="Y192"/>
          <cell r="Z192">
            <v>2.34</v>
          </cell>
          <cell r="AA192">
            <v>6.42</v>
          </cell>
          <cell r="AB192"/>
          <cell r="AC192" t="str">
            <v>الفنية الثالثة</v>
          </cell>
        </row>
        <row r="193">
          <cell r="A193">
            <v>29305262501382</v>
          </cell>
          <cell r="B193">
            <v>15</v>
          </cell>
          <cell r="C193" t="str">
            <v>اسراء سيد اسماعيل سيد سويفي</v>
          </cell>
          <cell r="D193">
            <v>977.3</v>
          </cell>
          <cell r="E193"/>
          <cell r="F193">
            <v>5.28</v>
          </cell>
          <cell r="G193"/>
          <cell r="H193">
            <v>4.07</v>
          </cell>
          <cell r="I193"/>
          <cell r="J193"/>
          <cell r="K193"/>
          <cell r="L193">
            <v>10</v>
          </cell>
          <cell r="M193">
            <v>5</v>
          </cell>
          <cell r="N193"/>
          <cell r="O193">
            <v>19.07</v>
          </cell>
          <cell r="P193"/>
          <cell r="Q193"/>
          <cell r="R193">
            <v>212.5</v>
          </cell>
          <cell r="S193">
            <v>13171.11</v>
          </cell>
          <cell r="T193"/>
          <cell r="U193"/>
          <cell r="V193">
            <v>0</v>
          </cell>
          <cell r="W193"/>
          <cell r="X193">
            <v>6.2</v>
          </cell>
          <cell r="Y193"/>
          <cell r="Z193"/>
          <cell r="AA193"/>
          <cell r="AB193"/>
          <cell r="AC193" t="str">
            <v>الفنية الثالثة</v>
          </cell>
        </row>
        <row r="194">
          <cell r="A194">
            <v>28408012505021</v>
          </cell>
          <cell r="B194">
            <v>16</v>
          </cell>
          <cell r="C194" t="str">
            <v>اسماء محمد زغلول رضوان</v>
          </cell>
          <cell r="D194">
            <v>1077.8499999999999</v>
          </cell>
          <cell r="E194"/>
          <cell r="F194">
            <v>5.16</v>
          </cell>
          <cell r="G194"/>
          <cell r="H194">
            <v>50</v>
          </cell>
          <cell r="I194"/>
          <cell r="J194"/>
          <cell r="K194"/>
          <cell r="L194"/>
          <cell r="M194"/>
          <cell r="N194"/>
          <cell r="O194">
            <v>50</v>
          </cell>
          <cell r="P194"/>
          <cell r="Q194"/>
          <cell r="R194">
            <v>234.5</v>
          </cell>
          <cell r="S194">
            <v>13818.89</v>
          </cell>
          <cell r="T194"/>
          <cell r="U194"/>
          <cell r="V194">
            <v>0</v>
          </cell>
          <cell r="W194">
            <v>6.45</v>
          </cell>
          <cell r="X194">
            <v>8.1999999999999993</v>
          </cell>
          <cell r="Y194"/>
          <cell r="Z194"/>
          <cell r="AA194"/>
          <cell r="AB194"/>
          <cell r="AC194" t="str">
            <v>الفنية الثالثة</v>
          </cell>
        </row>
        <row r="195">
          <cell r="A195">
            <v>28310122500289</v>
          </cell>
          <cell r="B195">
            <v>17</v>
          </cell>
          <cell r="C195" t="str">
            <v>اسماء مصطفى نصر حمدان</v>
          </cell>
          <cell r="D195">
            <v>1010.68</v>
          </cell>
          <cell r="E195"/>
          <cell r="F195">
            <v>5.09</v>
          </cell>
          <cell r="G195"/>
          <cell r="H195">
            <v>100</v>
          </cell>
          <cell r="I195"/>
          <cell r="J195"/>
          <cell r="K195"/>
          <cell r="L195"/>
          <cell r="M195"/>
          <cell r="N195"/>
          <cell r="O195">
            <v>100</v>
          </cell>
          <cell r="P195"/>
          <cell r="Q195"/>
          <cell r="R195">
            <v>228.5</v>
          </cell>
          <cell r="S195">
            <v>13814.37</v>
          </cell>
          <cell r="T195"/>
          <cell r="U195"/>
          <cell r="V195">
            <v>0</v>
          </cell>
          <cell r="W195">
            <v>6.65</v>
          </cell>
          <cell r="X195">
            <v>8.0500000000000007</v>
          </cell>
          <cell r="Y195"/>
          <cell r="Z195"/>
          <cell r="AA195"/>
          <cell r="AB195"/>
          <cell r="AC195" t="str">
            <v>الفنية الثالثة</v>
          </cell>
        </row>
        <row r="196">
          <cell r="A196">
            <v>28806112500332</v>
          </cell>
          <cell r="B196">
            <v>18</v>
          </cell>
          <cell r="C196" t="str">
            <v>اشرف سيد محمد عبد الرحيم</v>
          </cell>
          <cell r="D196">
            <v>1010.2</v>
          </cell>
          <cell r="E196"/>
          <cell r="F196">
            <v>5.49</v>
          </cell>
          <cell r="G196"/>
          <cell r="H196">
            <v>100</v>
          </cell>
          <cell r="I196"/>
          <cell r="J196">
            <v>83.54</v>
          </cell>
          <cell r="K196"/>
          <cell r="L196"/>
          <cell r="M196"/>
          <cell r="N196"/>
          <cell r="O196">
            <v>183.54000000000002</v>
          </cell>
          <cell r="P196"/>
          <cell r="Q196"/>
          <cell r="R196">
            <v>216.5</v>
          </cell>
          <cell r="S196">
            <v>19379.719999999998</v>
          </cell>
          <cell r="T196"/>
          <cell r="U196"/>
          <cell r="V196">
            <v>0</v>
          </cell>
          <cell r="W196">
            <v>5.9</v>
          </cell>
          <cell r="X196">
            <v>8.6</v>
          </cell>
          <cell r="Y196"/>
          <cell r="Z196"/>
          <cell r="AA196">
            <v>0.04</v>
          </cell>
          <cell r="AB196"/>
          <cell r="AC196" t="str">
            <v>الفنية الثالثة</v>
          </cell>
        </row>
        <row r="197">
          <cell r="A197">
            <v>28109222501862</v>
          </cell>
          <cell r="B197">
            <v>19</v>
          </cell>
          <cell r="C197" t="str">
            <v>الشيماء جابر خلاف عبد الحميد</v>
          </cell>
          <cell r="D197">
            <v>1040.56</v>
          </cell>
          <cell r="E197"/>
          <cell r="F197">
            <v>5.65</v>
          </cell>
          <cell r="G197"/>
          <cell r="H197">
            <v>50</v>
          </cell>
          <cell r="I197"/>
          <cell r="J197">
            <v>88.62</v>
          </cell>
          <cell r="K197"/>
          <cell r="L197"/>
          <cell r="M197"/>
          <cell r="N197"/>
          <cell r="O197">
            <v>138.62</v>
          </cell>
          <cell r="P197"/>
          <cell r="Q197"/>
          <cell r="R197">
            <v>220.5</v>
          </cell>
          <cell r="S197">
            <v>20599.349999999999</v>
          </cell>
          <cell r="T197">
            <v>9.9600000000000009</v>
          </cell>
          <cell r="U197"/>
          <cell r="V197">
            <v>9.9600000000000009</v>
          </cell>
          <cell r="W197">
            <v>6.2</v>
          </cell>
          <cell r="X197">
            <v>7.8</v>
          </cell>
          <cell r="Y197"/>
          <cell r="Z197"/>
          <cell r="AA197"/>
          <cell r="AB197"/>
          <cell r="AC197" t="str">
            <v>الفنية الثالثة</v>
          </cell>
        </row>
        <row r="198">
          <cell r="A198">
            <v>25808060201244</v>
          </cell>
          <cell r="B198">
            <v>20</v>
          </cell>
          <cell r="C198" t="str">
            <v>امال ابراهيم سعد الشبشيرى</v>
          </cell>
          <cell r="D198">
            <v>2854.4</v>
          </cell>
          <cell r="E198">
            <v>1046.0899999999999</v>
          </cell>
          <cell r="F198">
            <v>179.63</v>
          </cell>
          <cell r="G198">
            <v>96.06</v>
          </cell>
          <cell r="H198">
            <v>100</v>
          </cell>
          <cell r="I198"/>
          <cell r="J198"/>
          <cell r="K198"/>
          <cell r="L198">
            <v>15</v>
          </cell>
          <cell r="M198">
            <v>5</v>
          </cell>
          <cell r="N198"/>
          <cell r="O198">
            <v>120</v>
          </cell>
          <cell r="P198"/>
          <cell r="Q198"/>
          <cell r="R198">
            <v>960.69</v>
          </cell>
          <cell r="S198">
            <v>29160</v>
          </cell>
          <cell r="T198"/>
          <cell r="U198"/>
          <cell r="V198">
            <v>0</v>
          </cell>
          <cell r="W198">
            <v>28.9</v>
          </cell>
          <cell r="X198">
            <v>31.05</v>
          </cell>
          <cell r="Y198"/>
          <cell r="Z198">
            <v>313.86</v>
          </cell>
          <cell r="AA198">
            <v>210.31</v>
          </cell>
          <cell r="AB198"/>
          <cell r="AC198" t="str">
            <v>الفنية</v>
          </cell>
        </row>
        <row r="199">
          <cell r="A199">
            <v>25906202500106</v>
          </cell>
          <cell r="B199">
            <v>21</v>
          </cell>
          <cell r="C199" t="str">
            <v>امال احمد صالح حسن</v>
          </cell>
          <cell r="D199">
            <v>2292.73</v>
          </cell>
          <cell r="E199">
            <v>760.61</v>
          </cell>
          <cell r="F199">
            <v>114.9</v>
          </cell>
          <cell r="G199">
            <v>73.59</v>
          </cell>
          <cell r="H199">
            <v>50</v>
          </cell>
          <cell r="I199"/>
          <cell r="J199"/>
          <cell r="K199"/>
          <cell r="L199">
            <v>30</v>
          </cell>
          <cell r="M199"/>
          <cell r="N199"/>
          <cell r="O199">
            <v>80</v>
          </cell>
          <cell r="P199"/>
          <cell r="Q199"/>
          <cell r="R199">
            <v>735.91</v>
          </cell>
          <cell r="S199">
            <v>29160</v>
          </cell>
          <cell r="T199"/>
          <cell r="U199"/>
          <cell r="V199">
            <v>0</v>
          </cell>
          <cell r="W199">
            <v>21.85</v>
          </cell>
          <cell r="X199">
            <v>23.75</v>
          </cell>
          <cell r="Y199"/>
          <cell r="Z199">
            <v>181.39</v>
          </cell>
          <cell r="AA199">
            <v>123.4</v>
          </cell>
          <cell r="AB199"/>
          <cell r="AC199" t="str">
            <v>الفنية</v>
          </cell>
        </row>
        <row r="200">
          <cell r="A200">
            <v>25811262501143</v>
          </cell>
          <cell r="B200">
            <v>22</v>
          </cell>
          <cell r="C200" t="str">
            <v>امال سيد محمد احمد</v>
          </cell>
          <cell r="D200">
            <v>2245.54</v>
          </cell>
          <cell r="E200">
            <v>765.41</v>
          </cell>
          <cell r="F200">
            <v>115.21</v>
          </cell>
          <cell r="G200">
            <v>73.959999999999994</v>
          </cell>
          <cell r="H200">
            <v>150</v>
          </cell>
          <cell r="I200"/>
          <cell r="J200"/>
          <cell r="K200"/>
          <cell r="L200">
            <v>15</v>
          </cell>
          <cell r="M200"/>
          <cell r="N200"/>
          <cell r="O200">
            <v>165</v>
          </cell>
          <cell r="P200"/>
          <cell r="Q200"/>
          <cell r="R200">
            <v>739.68</v>
          </cell>
          <cell r="S200">
            <v>29160</v>
          </cell>
          <cell r="T200"/>
          <cell r="U200"/>
          <cell r="V200">
            <v>0</v>
          </cell>
          <cell r="W200">
            <v>22.2</v>
          </cell>
          <cell r="X200">
            <v>24.05</v>
          </cell>
          <cell r="Y200"/>
          <cell r="Z200">
            <v>186.19</v>
          </cell>
          <cell r="AA200">
            <v>126.91</v>
          </cell>
          <cell r="AB200"/>
          <cell r="AC200" t="str">
            <v>الفنية</v>
          </cell>
        </row>
        <row r="201">
          <cell r="A201">
            <v>27209090101488</v>
          </cell>
          <cell r="B201">
            <v>23</v>
          </cell>
          <cell r="C201" t="str">
            <v>ايمان عبد الله حسن أحمد</v>
          </cell>
          <cell r="D201">
            <v>1437.6</v>
          </cell>
          <cell r="E201">
            <v>195.97</v>
          </cell>
          <cell r="F201">
            <v>45.85</v>
          </cell>
          <cell r="G201"/>
          <cell r="H201">
            <v>95</v>
          </cell>
          <cell r="I201"/>
          <cell r="J201"/>
          <cell r="K201"/>
          <cell r="L201">
            <v>15</v>
          </cell>
          <cell r="M201"/>
          <cell r="N201"/>
          <cell r="O201">
            <v>110</v>
          </cell>
          <cell r="P201"/>
          <cell r="Q201"/>
          <cell r="R201">
            <v>393.67</v>
          </cell>
          <cell r="S201">
            <v>22032.71</v>
          </cell>
          <cell r="T201"/>
          <cell r="U201"/>
          <cell r="V201">
            <v>0</v>
          </cell>
          <cell r="W201">
            <v>11.65</v>
          </cell>
          <cell r="X201">
            <v>12.9</v>
          </cell>
          <cell r="Y201"/>
          <cell r="Z201">
            <v>46.48</v>
          </cell>
          <cell r="AA201">
            <v>11.36</v>
          </cell>
          <cell r="AB201"/>
          <cell r="AC201" t="str">
            <v>الفنية</v>
          </cell>
        </row>
        <row r="202">
          <cell r="A202">
            <v>27003152500212</v>
          </cell>
          <cell r="B202">
            <v>24</v>
          </cell>
          <cell r="C202" t="str">
            <v>ايمن رمضان حسن حمدان</v>
          </cell>
          <cell r="D202">
            <v>1301.17</v>
          </cell>
          <cell r="E202">
            <v>7.3</v>
          </cell>
          <cell r="F202">
            <v>10.92</v>
          </cell>
          <cell r="G202"/>
          <cell r="H202">
            <v>150</v>
          </cell>
          <cell r="I202"/>
          <cell r="J202"/>
          <cell r="K202"/>
          <cell r="L202"/>
          <cell r="M202"/>
          <cell r="N202"/>
          <cell r="O202">
            <v>150</v>
          </cell>
          <cell r="P202"/>
          <cell r="Q202"/>
          <cell r="R202">
            <v>308.89999999999998</v>
          </cell>
          <cell r="S202">
            <v>22385.43</v>
          </cell>
          <cell r="T202">
            <v>3.96</v>
          </cell>
          <cell r="U202"/>
          <cell r="V202">
            <v>3.96</v>
          </cell>
          <cell r="W202">
            <v>9.5500000000000007</v>
          </cell>
          <cell r="X202">
            <v>10.65</v>
          </cell>
          <cell r="Y202"/>
          <cell r="Z202">
            <v>17.96</v>
          </cell>
          <cell r="AA202">
            <v>5.49</v>
          </cell>
          <cell r="AB202"/>
          <cell r="AC202" t="str">
            <v>الفنية الثالثة</v>
          </cell>
        </row>
        <row r="203">
          <cell r="A203">
            <v>27010222502559</v>
          </cell>
          <cell r="B203">
            <v>25</v>
          </cell>
          <cell r="C203" t="str">
            <v>ثروت إبراهيم سيد على</v>
          </cell>
          <cell r="D203">
            <v>1328.95</v>
          </cell>
          <cell r="E203">
            <v>20.350000000000001</v>
          </cell>
          <cell r="F203">
            <v>15.2</v>
          </cell>
          <cell r="G203"/>
          <cell r="H203">
            <v>150</v>
          </cell>
          <cell r="I203"/>
          <cell r="J203">
            <v>235.17</v>
          </cell>
          <cell r="K203"/>
          <cell r="L203"/>
          <cell r="M203"/>
          <cell r="N203"/>
          <cell r="O203">
            <v>385.16999999999996</v>
          </cell>
          <cell r="P203"/>
          <cell r="Q203"/>
          <cell r="R203">
            <v>319.14999999999998</v>
          </cell>
          <cell r="S203">
            <v>18390</v>
          </cell>
          <cell r="T203">
            <v>2.97</v>
          </cell>
          <cell r="U203"/>
          <cell r="V203">
            <v>2.97</v>
          </cell>
          <cell r="W203">
            <v>9.85</v>
          </cell>
          <cell r="X203">
            <v>12.55</v>
          </cell>
          <cell r="Y203"/>
          <cell r="Z203">
            <v>22.05</v>
          </cell>
          <cell r="AA203">
            <v>10.52</v>
          </cell>
          <cell r="AB203"/>
          <cell r="AC203" t="str">
            <v>الفنية الثالثة</v>
          </cell>
        </row>
        <row r="204">
          <cell r="A204">
            <v>26703132501601</v>
          </cell>
          <cell r="B204">
            <v>26</v>
          </cell>
          <cell r="C204" t="str">
            <v>ثناء محمد أحمد محمد</v>
          </cell>
          <cell r="D204">
            <v>1519.96</v>
          </cell>
          <cell r="E204">
            <v>232.16</v>
          </cell>
          <cell r="F204">
            <v>57.62</v>
          </cell>
          <cell r="G204"/>
          <cell r="H204">
            <v>150</v>
          </cell>
          <cell r="I204"/>
          <cell r="J204"/>
          <cell r="K204"/>
          <cell r="L204"/>
          <cell r="M204"/>
          <cell r="N204"/>
          <cell r="O204">
            <v>150</v>
          </cell>
          <cell r="P204"/>
          <cell r="Q204"/>
          <cell r="R204">
            <v>422.16</v>
          </cell>
          <cell r="S204">
            <v>23574.18</v>
          </cell>
          <cell r="T204">
            <v>46</v>
          </cell>
          <cell r="U204"/>
          <cell r="V204">
            <v>46</v>
          </cell>
          <cell r="W204">
            <v>12.85</v>
          </cell>
          <cell r="X204">
            <v>13.8</v>
          </cell>
          <cell r="Y204"/>
          <cell r="Z204">
            <v>57.45</v>
          </cell>
          <cell r="AA204">
            <v>13.74</v>
          </cell>
          <cell r="AB204"/>
          <cell r="AC204" t="str">
            <v>الفنية</v>
          </cell>
        </row>
        <row r="205">
          <cell r="A205">
            <v>28210152500335</v>
          </cell>
          <cell r="B205">
            <v>27</v>
          </cell>
          <cell r="C205" t="str">
            <v>جمال احمد علي حسانين</v>
          </cell>
          <cell r="D205">
            <v>1015.95</v>
          </cell>
          <cell r="E205"/>
          <cell r="F205">
            <v>5.16</v>
          </cell>
          <cell r="G205"/>
          <cell r="H205">
            <v>145</v>
          </cell>
          <cell r="I205"/>
          <cell r="J205"/>
          <cell r="K205"/>
          <cell r="L205"/>
          <cell r="M205"/>
          <cell r="N205"/>
          <cell r="O205">
            <v>145</v>
          </cell>
          <cell r="P205"/>
          <cell r="Q205"/>
          <cell r="R205">
            <v>230.5</v>
          </cell>
          <cell r="S205">
            <v>13834.669999999998</v>
          </cell>
          <cell r="T205"/>
          <cell r="U205"/>
          <cell r="V205">
            <v>0</v>
          </cell>
          <cell r="W205">
            <v>7.55</v>
          </cell>
          <cell r="X205">
            <v>7.9</v>
          </cell>
          <cell r="Y205"/>
          <cell r="Z205"/>
          <cell r="AA205"/>
          <cell r="AB205"/>
          <cell r="AC205" t="str">
            <v>الفنية الثالثة</v>
          </cell>
        </row>
        <row r="206">
          <cell r="A206">
            <v>26705262500081</v>
          </cell>
          <cell r="B206">
            <v>28</v>
          </cell>
          <cell r="C206" t="str">
            <v>جملات حسين سيد محمد</v>
          </cell>
          <cell r="D206">
            <v>1676.69</v>
          </cell>
          <cell r="E206">
            <v>303.89999999999998</v>
          </cell>
          <cell r="F206">
            <v>75.17</v>
          </cell>
          <cell r="G206"/>
          <cell r="H206">
            <v>50</v>
          </cell>
          <cell r="I206"/>
          <cell r="J206"/>
          <cell r="K206"/>
          <cell r="L206"/>
          <cell r="M206"/>
          <cell r="N206"/>
          <cell r="O206">
            <v>50</v>
          </cell>
          <cell r="P206"/>
          <cell r="Q206"/>
          <cell r="R206">
            <v>478.65</v>
          </cell>
          <cell r="S206">
            <v>27020.84</v>
          </cell>
          <cell r="T206"/>
          <cell r="U206"/>
          <cell r="V206">
            <v>0</v>
          </cell>
          <cell r="W206">
            <v>13.75</v>
          </cell>
          <cell r="X206">
            <v>15.15</v>
          </cell>
          <cell r="Y206"/>
          <cell r="Z206">
            <v>73.86</v>
          </cell>
          <cell r="AA206">
            <v>17.36</v>
          </cell>
          <cell r="AB206"/>
          <cell r="AC206" t="str">
            <v>الفنية</v>
          </cell>
        </row>
        <row r="207">
          <cell r="A207">
            <v>26604242500157</v>
          </cell>
          <cell r="B207">
            <v>29</v>
          </cell>
          <cell r="C207" t="str">
            <v>حسين سيد حسين عيسى</v>
          </cell>
          <cell r="D207">
            <v>1517.66</v>
          </cell>
          <cell r="E207">
            <v>233.93</v>
          </cell>
          <cell r="F207">
            <v>57.64</v>
          </cell>
          <cell r="G207"/>
          <cell r="H207">
            <v>150</v>
          </cell>
          <cell r="I207"/>
          <cell r="J207"/>
          <cell r="K207"/>
          <cell r="L207"/>
          <cell r="M207"/>
          <cell r="N207"/>
          <cell r="O207">
            <v>150</v>
          </cell>
          <cell r="P207"/>
          <cell r="Q207"/>
          <cell r="R207">
            <v>420.4</v>
          </cell>
          <cell r="S207">
            <v>24756.1</v>
          </cell>
          <cell r="T207"/>
          <cell r="U207"/>
          <cell r="V207">
            <v>0</v>
          </cell>
          <cell r="W207">
            <v>12.85</v>
          </cell>
          <cell r="X207">
            <v>14.7</v>
          </cell>
          <cell r="Y207"/>
          <cell r="Z207">
            <v>62.01</v>
          </cell>
          <cell r="AA207">
            <v>16.170000000000002</v>
          </cell>
          <cell r="AB207"/>
          <cell r="AC207" t="str">
            <v>الفنية</v>
          </cell>
        </row>
        <row r="208">
          <cell r="A208">
            <v>29207152500036</v>
          </cell>
          <cell r="B208">
            <v>30</v>
          </cell>
          <cell r="C208" t="str">
            <v>حسين عبد الناصر عبد الرحيم محمد مرسى</v>
          </cell>
          <cell r="D208">
            <v>1000.31</v>
          </cell>
          <cell r="E208"/>
          <cell r="F208">
            <v>5.5</v>
          </cell>
          <cell r="G208"/>
          <cell r="H208">
            <v>50</v>
          </cell>
          <cell r="I208"/>
          <cell r="J208">
            <v>75.92</v>
          </cell>
          <cell r="K208"/>
          <cell r="L208"/>
          <cell r="M208"/>
          <cell r="N208"/>
          <cell r="O208">
            <v>125.92</v>
          </cell>
          <cell r="P208"/>
          <cell r="Q208"/>
          <cell r="R208">
            <v>212.5</v>
          </cell>
          <cell r="S208">
            <v>25318.920000000002</v>
          </cell>
          <cell r="T208"/>
          <cell r="U208"/>
          <cell r="V208">
            <v>0</v>
          </cell>
          <cell r="W208">
            <v>6.3</v>
          </cell>
          <cell r="X208">
            <v>8.1</v>
          </cell>
          <cell r="Y208"/>
          <cell r="Z208"/>
          <cell r="AA208"/>
          <cell r="AB208"/>
          <cell r="AC208" t="str">
            <v>الفنية الثالثة</v>
          </cell>
        </row>
        <row r="209">
          <cell r="A209">
            <v>27604152501832</v>
          </cell>
          <cell r="B209">
            <v>31</v>
          </cell>
          <cell r="C209" t="str">
            <v>حسين فرغلى سيد اسماعيل</v>
          </cell>
          <cell r="D209">
            <v>1376.02</v>
          </cell>
          <cell r="E209">
            <v>95.35</v>
          </cell>
          <cell r="F209">
            <v>24.99</v>
          </cell>
          <cell r="G209"/>
          <cell r="H209">
            <v>150</v>
          </cell>
          <cell r="I209"/>
          <cell r="J209"/>
          <cell r="K209"/>
          <cell r="L209"/>
          <cell r="M209"/>
          <cell r="N209"/>
          <cell r="O209">
            <v>150</v>
          </cell>
          <cell r="P209"/>
          <cell r="Q209"/>
          <cell r="R209">
            <v>342.79</v>
          </cell>
          <cell r="S209">
            <v>19461.39</v>
          </cell>
          <cell r="T209"/>
          <cell r="U209"/>
          <cell r="V209">
            <v>0</v>
          </cell>
          <cell r="W209">
            <v>10.75</v>
          </cell>
          <cell r="X209">
            <v>11.95</v>
          </cell>
          <cell r="Y209"/>
          <cell r="Z209">
            <v>34.21</v>
          </cell>
          <cell r="AA209">
            <v>8.86</v>
          </cell>
          <cell r="AB209"/>
          <cell r="AC209" t="str">
            <v>الفنية الثالثة</v>
          </cell>
        </row>
        <row r="210">
          <cell r="A210">
            <v>28408072500339</v>
          </cell>
          <cell r="B210">
            <v>32</v>
          </cell>
          <cell r="C210" t="str">
            <v>حسين محمد حسين مصطفي</v>
          </cell>
          <cell r="D210">
            <v>941.6</v>
          </cell>
          <cell r="E210"/>
          <cell r="F210">
            <v>5.31</v>
          </cell>
          <cell r="G210"/>
          <cell r="H210">
            <v>145</v>
          </cell>
          <cell r="I210"/>
          <cell r="J210"/>
          <cell r="K210"/>
          <cell r="L210"/>
          <cell r="M210"/>
          <cell r="N210"/>
          <cell r="O210">
            <v>145</v>
          </cell>
          <cell r="P210"/>
          <cell r="Q210"/>
          <cell r="R210">
            <v>214.5</v>
          </cell>
          <cell r="S210">
            <v>13050.440000000002</v>
          </cell>
          <cell r="T210"/>
          <cell r="U210"/>
          <cell r="V210">
            <v>0</v>
          </cell>
          <cell r="W210">
            <v>6.6</v>
          </cell>
          <cell r="X210">
            <v>7.85</v>
          </cell>
          <cell r="Y210"/>
          <cell r="Z210"/>
          <cell r="AA210"/>
          <cell r="AB210"/>
          <cell r="AC210" t="str">
            <v>الفنية الثالثة</v>
          </cell>
        </row>
        <row r="211">
          <cell r="A211">
            <v>26610302501751</v>
          </cell>
          <cell r="B211">
            <v>33</v>
          </cell>
          <cell r="C211" t="str">
            <v>حسين محمود حسن محمد</v>
          </cell>
          <cell r="D211">
            <v>1270.82</v>
          </cell>
          <cell r="E211">
            <v>48.08</v>
          </cell>
          <cell r="F211">
            <v>9.34</v>
          </cell>
          <cell r="G211"/>
          <cell r="H211">
            <v>150</v>
          </cell>
          <cell r="I211"/>
          <cell r="J211"/>
          <cell r="K211"/>
          <cell r="L211"/>
          <cell r="M211"/>
          <cell r="N211"/>
          <cell r="O211">
            <v>150</v>
          </cell>
          <cell r="P211"/>
          <cell r="Q211"/>
          <cell r="R211">
            <v>305.56</v>
          </cell>
          <cell r="S211">
            <v>17234.04</v>
          </cell>
          <cell r="T211"/>
          <cell r="U211"/>
          <cell r="V211">
            <v>0</v>
          </cell>
          <cell r="W211">
            <v>9.6</v>
          </cell>
          <cell r="X211">
            <v>10.7</v>
          </cell>
          <cell r="Y211"/>
          <cell r="Z211">
            <v>19.37</v>
          </cell>
          <cell r="AA211">
            <v>5.66</v>
          </cell>
          <cell r="AB211"/>
          <cell r="AC211" t="str">
            <v>الفنية الثالثة</v>
          </cell>
        </row>
        <row r="212">
          <cell r="A212">
            <v>27010312500091</v>
          </cell>
          <cell r="B212">
            <v>34</v>
          </cell>
          <cell r="C212" t="str">
            <v>حمدى فرغلى عبدالمعطى عبد السيمع</v>
          </cell>
          <cell r="D212">
            <v>1459.35</v>
          </cell>
          <cell r="E212">
            <v>149.85</v>
          </cell>
          <cell r="F212">
            <v>42.92</v>
          </cell>
          <cell r="G212"/>
          <cell r="H212">
            <v>150</v>
          </cell>
          <cell r="I212"/>
          <cell r="J212"/>
          <cell r="K212"/>
          <cell r="L212"/>
          <cell r="M212"/>
          <cell r="N212"/>
          <cell r="O212">
            <v>150</v>
          </cell>
          <cell r="P212"/>
          <cell r="Q212"/>
          <cell r="R212">
            <v>385.69</v>
          </cell>
          <cell r="S212">
            <v>21424.17</v>
          </cell>
          <cell r="T212"/>
          <cell r="U212"/>
          <cell r="V212">
            <v>0</v>
          </cell>
          <cell r="W212">
            <v>11.8</v>
          </cell>
          <cell r="X212">
            <v>13.05</v>
          </cell>
          <cell r="Y212"/>
          <cell r="Z212">
            <v>48.26</v>
          </cell>
          <cell r="AA212">
            <v>11.78</v>
          </cell>
          <cell r="AB212"/>
          <cell r="AC212" t="str">
            <v>الفنية الثالثة</v>
          </cell>
        </row>
        <row r="213">
          <cell r="A213">
            <v>27909152500271</v>
          </cell>
          <cell r="B213">
            <v>35</v>
          </cell>
          <cell r="C213" t="str">
            <v>خالد عبدالله محمد علي</v>
          </cell>
          <cell r="D213">
            <v>1056.6300000000001</v>
          </cell>
          <cell r="E213"/>
          <cell r="F213">
            <v>5.33</v>
          </cell>
          <cell r="G213"/>
          <cell r="H213">
            <v>150</v>
          </cell>
          <cell r="I213"/>
          <cell r="J213"/>
          <cell r="K213"/>
          <cell r="L213"/>
          <cell r="M213"/>
          <cell r="N213"/>
          <cell r="O213">
            <v>150</v>
          </cell>
          <cell r="P213"/>
          <cell r="Q213"/>
          <cell r="R213">
            <v>234.5</v>
          </cell>
          <cell r="S213">
            <v>12530.9</v>
          </cell>
          <cell r="T213"/>
          <cell r="U213"/>
          <cell r="V213">
            <v>0</v>
          </cell>
          <cell r="W213">
            <v>7.85</v>
          </cell>
          <cell r="X213">
            <v>8.75</v>
          </cell>
          <cell r="Y213"/>
          <cell r="Z213"/>
          <cell r="AA213">
            <v>0.48</v>
          </cell>
          <cell r="AB213"/>
          <cell r="AC213" t="str">
            <v>الفنية الثالثة</v>
          </cell>
        </row>
        <row r="214">
          <cell r="A214">
            <v>27601072502375</v>
          </cell>
          <cell r="B214">
            <v>36</v>
          </cell>
          <cell r="C214" t="str">
            <v>دويني سيد دويني محمد</v>
          </cell>
          <cell r="D214">
            <v>1184.05</v>
          </cell>
          <cell r="E214"/>
          <cell r="F214">
            <v>6.03</v>
          </cell>
          <cell r="G214"/>
          <cell r="H214">
            <v>100</v>
          </cell>
          <cell r="I214"/>
          <cell r="J214"/>
          <cell r="K214"/>
          <cell r="L214"/>
          <cell r="M214"/>
          <cell r="N214"/>
          <cell r="O214">
            <v>100</v>
          </cell>
          <cell r="P214"/>
          <cell r="Q214"/>
          <cell r="R214">
            <v>265.12</v>
          </cell>
          <cell r="S214">
            <v>16013.64</v>
          </cell>
          <cell r="T214">
            <v>2.12</v>
          </cell>
          <cell r="U214"/>
          <cell r="V214">
            <v>2.12</v>
          </cell>
          <cell r="W214">
            <v>8.35</v>
          </cell>
          <cell r="X214">
            <v>9.35</v>
          </cell>
          <cell r="Y214"/>
          <cell r="Z214">
            <v>2.31</v>
          </cell>
          <cell r="AA214">
            <v>2</v>
          </cell>
          <cell r="AB214"/>
          <cell r="AC214" t="str">
            <v>الفنية الثالثة</v>
          </cell>
        </row>
        <row r="215">
          <cell r="A215">
            <v>28911252500055</v>
          </cell>
          <cell r="B215">
            <v>37</v>
          </cell>
          <cell r="C215" t="str">
            <v>ديفيد اميل فوزي اقلاديوس</v>
          </cell>
          <cell r="D215">
            <v>1035.8599999999999</v>
          </cell>
          <cell r="E215"/>
          <cell r="F215">
            <v>5.6</v>
          </cell>
          <cell r="G215"/>
          <cell r="H215">
            <v>50</v>
          </cell>
          <cell r="I215"/>
          <cell r="J215">
            <v>83.53</v>
          </cell>
          <cell r="K215"/>
          <cell r="L215"/>
          <cell r="M215"/>
          <cell r="N215"/>
          <cell r="O215">
            <v>133.53</v>
          </cell>
          <cell r="P215"/>
          <cell r="Q215"/>
          <cell r="R215">
            <v>216.5</v>
          </cell>
          <cell r="S215">
            <v>26232.79</v>
          </cell>
          <cell r="T215"/>
          <cell r="U215"/>
          <cell r="V215">
            <v>0</v>
          </cell>
          <cell r="W215">
            <v>6.5</v>
          </cell>
          <cell r="X215">
            <v>8.4</v>
          </cell>
          <cell r="Y215"/>
          <cell r="Z215"/>
          <cell r="AA215"/>
          <cell r="AB215"/>
          <cell r="AC215" t="str">
            <v>الفنية الثالثة</v>
          </cell>
        </row>
        <row r="216">
          <cell r="A216">
            <v>29105122500123</v>
          </cell>
          <cell r="B216">
            <v>38</v>
          </cell>
          <cell r="C216" t="str">
            <v>رحاب عبد الناصر فرغلي محمد</v>
          </cell>
          <cell r="D216">
            <v>1066.58</v>
          </cell>
          <cell r="E216"/>
          <cell r="F216">
            <v>5.65</v>
          </cell>
          <cell r="G216"/>
          <cell r="H216">
            <v>50</v>
          </cell>
          <cell r="I216"/>
          <cell r="J216"/>
          <cell r="K216"/>
          <cell r="L216">
            <v>10</v>
          </cell>
          <cell r="M216">
            <v>5</v>
          </cell>
          <cell r="N216"/>
          <cell r="O216">
            <v>65</v>
          </cell>
          <cell r="P216"/>
          <cell r="Q216"/>
          <cell r="R216">
            <v>220.5</v>
          </cell>
          <cell r="S216">
            <v>14188.96</v>
          </cell>
          <cell r="T216"/>
          <cell r="U216"/>
          <cell r="V216">
            <v>0</v>
          </cell>
          <cell r="W216">
            <v>6.45</v>
          </cell>
          <cell r="X216">
            <v>8.1999999999999993</v>
          </cell>
          <cell r="Y216"/>
          <cell r="Z216"/>
          <cell r="AA216"/>
          <cell r="AB216"/>
          <cell r="AC216" t="str">
            <v>الفنية الثالثة</v>
          </cell>
        </row>
        <row r="217">
          <cell r="A217">
            <v>26606272500162</v>
          </cell>
          <cell r="B217">
            <v>39</v>
          </cell>
          <cell r="C217" t="str">
            <v>رقية محمد عبدالرحيم رفاعى</v>
          </cell>
          <cell r="D217">
            <v>1437</v>
          </cell>
          <cell r="E217">
            <v>135.26</v>
          </cell>
          <cell r="F217">
            <v>39.01</v>
          </cell>
          <cell r="G217"/>
          <cell r="H217">
            <v>50</v>
          </cell>
          <cell r="I217"/>
          <cell r="J217"/>
          <cell r="K217"/>
          <cell r="L217"/>
          <cell r="M217"/>
          <cell r="N217"/>
          <cell r="O217">
            <v>50</v>
          </cell>
          <cell r="P217"/>
          <cell r="Q217"/>
          <cell r="R217">
            <v>377.36</v>
          </cell>
          <cell r="S217">
            <v>20932.29</v>
          </cell>
          <cell r="T217">
            <v>6.35</v>
          </cell>
          <cell r="U217"/>
          <cell r="V217">
            <v>6.35</v>
          </cell>
          <cell r="W217">
            <v>10.75</v>
          </cell>
          <cell r="X217">
            <v>11.4</v>
          </cell>
          <cell r="Y217"/>
          <cell r="Z217">
            <v>34.090000000000003</v>
          </cell>
          <cell r="AA217">
            <v>7.51</v>
          </cell>
          <cell r="AB217"/>
          <cell r="AC217" t="str">
            <v>الفنية الثالثة</v>
          </cell>
        </row>
        <row r="218">
          <cell r="A218">
            <v>25802112500069</v>
          </cell>
          <cell r="B218">
            <v>40</v>
          </cell>
          <cell r="C218" t="str">
            <v>زينب حادى حسين بركات</v>
          </cell>
          <cell r="D218">
            <v>2231.9899999999998</v>
          </cell>
          <cell r="E218">
            <v>759.25</v>
          </cell>
          <cell r="F218">
            <v>147.46</v>
          </cell>
          <cell r="G218">
            <v>73.48</v>
          </cell>
          <cell r="H218">
            <v>100</v>
          </cell>
          <cell r="I218"/>
          <cell r="J218"/>
          <cell r="K218"/>
          <cell r="L218"/>
          <cell r="M218"/>
          <cell r="N218"/>
          <cell r="O218">
            <v>100</v>
          </cell>
          <cell r="P218"/>
          <cell r="Q218"/>
          <cell r="R218">
            <v>734.82</v>
          </cell>
          <cell r="S218">
            <v>29159.999999999996</v>
          </cell>
          <cell r="T218"/>
          <cell r="U218">
            <v>338.64</v>
          </cell>
          <cell r="V218">
            <v>338.64</v>
          </cell>
          <cell r="W218">
            <v>21.8</v>
          </cell>
          <cell r="X218">
            <v>21.2</v>
          </cell>
          <cell r="Y218"/>
          <cell r="Z218">
            <v>147.12</v>
          </cell>
          <cell r="AA218">
            <v>33.39</v>
          </cell>
          <cell r="AB218"/>
          <cell r="AC218" t="str">
            <v>الفنية</v>
          </cell>
        </row>
        <row r="219">
          <cell r="A219">
            <v>26907292500185</v>
          </cell>
          <cell r="B219">
            <v>41</v>
          </cell>
          <cell r="C219" t="str">
            <v>سحر سيد عبد القادر عبدالله</v>
          </cell>
          <cell r="D219">
            <v>1041.3499999999999</v>
          </cell>
          <cell r="E219"/>
          <cell r="F219">
            <v>5.1100000000000003</v>
          </cell>
          <cell r="G219"/>
          <cell r="H219">
            <v>150</v>
          </cell>
          <cell r="I219"/>
          <cell r="J219"/>
          <cell r="K219"/>
          <cell r="L219"/>
          <cell r="M219"/>
          <cell r="N219"/>
          <cell r="O219">
            <v>150</v>
          </cell>
          <cell r="P219"/>
          <cell r="Q219"/>
          <cell r="R219">
            <v>230.5</v>
          </cell>
          <cell r="S219">
            <v>14505.909999999998</v>
          </cell>
          <cell r="T219">
            <v>76.91</v>
          </cell>
          <cell r="U219"/>
          <cell r="V219">
            <v>76.91</v>
          </cell>
          <cell r="W219">
            <v>7.75</v>
          </cell>
          <cell r="X219">
            <v>8.0500000000000007</v>
          </cell>
          <cell r="Y219"/>
          <cell r="Z219"/>
          <cell r="AA219"/>
          <cell r="AB219"/>
          <cell r="AC219" t="str">
            <v>الفنية الثالثة</v>
          </cell>
        </row>
        <row r="220">
          <cell r="A220">
            <v>27402162500051</v>
          </cell>
          <cell r="B220">
            <v>42</v>
          </cell>
          <cell r="C220" t="str">
            <v>سمير على محمود حمدان</v>
          </cell>
          <cell r="D220">
            <v>1298.0899999999999</v>
          </cell>
          <cell r="E220">
            <v>75.28</v>
          </cell>
          <cell r="F220">
            <v>18.28</v>
          </cell>
          <cell r="G220"/>
          <cell r="H220">
            <v>150</v>
          </cell>
          <cell r="I220"/>
          <cell r="J220"/>
          <cell r="K220"/>
          <cell r="L220">
            <v>15</v>
          </cell>
          <cell r="M220"/>
          <cell r="N220"/>
          <cell r="O220">
            <v>165</v>
          </cell>
          <cell r="P220"/>
          <cell r="Q220"/>
          <cell r="R220">
            <v>326.97000000000003</v>
          </cell>
          <cell r="S220">
            <v>18467.23</v>
          </cell>
          <cell r="T220"/>
          <cell r="U220"/>
          <cell r="V220">
            <v>0</v>
          </cell>
          <cell r="W220">
            <v>10.15</v>
          </cell>
          <cell r="X220">
            <v>11.25</v>
          </cell>
          <cell r="Y220"/>
          <cell r="Z220">
            <v>26.58</v>
          </cell>
          <cell r="AA220">
            <v>7.09</v>
          </cell>
          <cell r="AB220"/>
          <cell r="AC220" t="str">
            <v>الفنية الثالثة</v>
          </cell>
        </row>
        <row r="221">
          <cell r="A221">
            <v>28610012500848</v>
          </cell>
          <cell r="B221">
            <v>43</v>
          </cell>
          <cell r="C221" t="str">
            <v>سناء حلمى على موسى</v>
          </cell>
          <cell r="D221">
            <v>1010.68</v>
          </cell>
          <cell r="E221"/>
          <cell r="F221">
            <v>5.09</v>
          </cell>
          <cell r="G221"/>
          <cell r="H221">
            <v>50</v>
          </cell>
          <cell r="I221"/>
          <cell r="J221"/>
          <cell r="K221"/>
          <cell r="L221"/>
          <cell r="M221"/>
          <cell r="N221"/>
          <cell r="O221">
            <v>50</v>
          </cell>
          <cell r="P221"/>
          <cell r="Q221"/>
          <cell r="R221">
            <v>228.5</v>
          </cell>
          <cell r="S221">
            <v>13998.04</v>
          </cell>
          <cell r="T221"/>
          <cell r="U221"/>
          <cell r="V221">
            <v>0</v>
          </cell>
          <cell r="W221">
            <v>6.35</v>
          </cell>
          <cell r="X221">
            <v>6.65</v>
          </cell>
          <cell r="Y221"/>
          <cell r="Z221"/>
          <cell r="AA221"/>
          <cell r="AB221"/>
          <cell r="AC221" t="str">
            <v>الفنية الثالثة</v>
          </cell>
        </row>
        <row r="222">
          <cell r="A222">
            <v>27604072500061</v>
          </cell>
          <cell r="B222">
            <v>44</v>
          </cell>
          <cell r="C222" t="str">
            <v>سهير محمد عاطف حسن</v>
          </cell>
          <cell r="D222">
            <v>1483.03</v>
          </cell>
          <cell r="E222">
            <v>217.77</v>
          </cell>
          <cell r="F222">
            <v>52.84</v>
          </cell>
          <cell r="G222"/>
          <cell r="H222">
            <v>95</v>
          </cell>
          <cell r="I222"/>
          <cell r="J222"/>
          <cell r="K222"/>
          <cell r="L222"/>
          <cell r="M222"/>
          <cell r="N222"/>
          <cell r="O222">
            <v>95</v>
          </cell>
          <cell r="P222"/>
          <cell r="Q222"/>
          <cell r="R222">
            <v>410.85</v>
          </cell>
          <cell r="S222">
            <v>22367.439999999999</v>
          </cell>
          <cell r="T222"/>
          <cell r="U222"/>
          <cell r="V222">
            <v>0</v>
          </cell>
          <cell r="W222">
            <v>12.05</v>
          </cell>
          <cell r="X222">
            <v>13.3</v>
          </cell>
          <cell r="Y222"/>
          <cell r="Z222">
            <v>51.7</v>
          </cell>
          <cell r="AA222">
            <v>12.51</v>
          </cell>
          <cell r="AB222"/>
          <cell r="AC222" t="str">
            <v>الفنية</v>
          </cell>
        </row>
        <row r="223">
          <cell r="A223">
            <v>28812122500128</v>
          </cell>
          <cell r="B223">
            <v>45</v>
          </cell>
          <cell r="C223" t="str">
            <v>شريهان محمد عبد الرؤوف حسن</v>
          </cell>
          <cell r="D223">
            <v>941.6</v>
          </cell>
          <cell r="E223"/>
          <cell r="F223">
            <v>5.31</v>
          </cell>
          <cell r="G223"/>
          <cell r="H223">
            <v>50</v>
          </cell>
          <cell r="I223"/>
          <cell r="J223"/>
          <cell r="K223"/>
          <cell r="L223"/>
          <cell r="M223"/>
          <cell r="N223"/>
          <cell r="O223">
            <v>50</v>
          </cell>
          <cell r="P223"/>
          <cell r="Q223"/>
          <cell r="R223">
            <v>214.5</v>
          </cell>
          <cell r="S223">
            <v>12870.490000000002</v>
          </cell>
          <cell r="T223"/>
          <cell r="U223"/>
          <cell r="V223">
            <v>0</v>
          </cell>
          <cell r="W223">
            <v>5.9</v>
          </cell>
          <cell r="X223">
            <v>7.15</v>
          </cell>
          <cell r="Y223"/>
          <cell r="Z223"/>
          <cell r="AA223"/>
          <cell r="AB223"/>
          <cell r="AC223" t="str">
            <v>الفنية الثالثة</v>
          </cell>
        </row>
        <row r="224">
          <cell r="A224">
            <v>25907092600645</v>
          </cell>
          <cell r="B224">
            <v>46</v>
          </cell>
          <cell r="C224" t="str">
            <v>صباح سيد بكر سليمان</v>
          </cell>
          <cell r="D224">
            <v>2115.02</v>
          </cell>
          <cell r="E224">
            <v>705.73</v>
          </cell>
          <cell r="F224">
            <v>106.97</v>
          </cell>
          <cell r="G224">
            <v>69.260000000000005</v>
          </cell>
          <cell r="H224">
            <v>50</v>
          </cell>
          <cell r="I224"/>
          <cell r="J224"/>
          <cell r="K224"/>
          <cell r="L224"/>
          <cell r="M224"/>
          <cell r="N224"/>
          <cell r="O224">
            <v>50</v>
          </cell>
          <cell r="P224"/>
          <cell r="Q224"/>
          <cell r="R224">
            <v>692.67</v>
          </cell>
          <cell r="S224">
            <v>29160</v>
          </cell>
          <cell r="T224"/>
          <cell r="U224"/>
          <cell r="V224">
            <v>0</v>
          </cell>
          <cell r="W224">
            <v>20</v>
          </cell>
          <cell r="X224">
            <v>21.65</v>
          </cell>
          <cell r="Y224"/>
          <cell r="Z224">
            <v>156.97</v>
          </cell>
          <cell r="AA224">
            <v>34.57</v>
          </cell>
          <cell r="AB224"/>
          <cell r="AC224" t="str">
            <v>الفنية</v>
          </cell>
        </row>
        <row r="225">
          <cell r="A225">
            <v>26104032501042</v>
          </cell>
          <cell r="B225">
            <v>47</v>
          </cell>
          <cell r="C225" t="str">
            <v>صباح محمد محمد محمود</v>
          </cell>
          <cell r="D225">
            <v>2336.4699999999998</v>
          </cell>
          <cell r="E225">
            <v>807.23</v>
          </cell>
          <cell r="F225">
            <v>120.45</v>
          </cell>
          <cell r="G225">
            <v>77.260000000000005</v>
          </cell>
          <cell r="H225">
            <v>50</v>
          </cell>
          <cell r="I225"/>
          <cell r="J225"/>
          <cell r="K225"/>
          <cell r="L225"/>
          <cell r="M225"/>
          <cell r="N225"/>
          <cell r="O225">
            <v>50</v>
          </cell>
          <cell r="P225"/>
          <cell r="Q225"/>
          <cell r="R225">
            <v>772.6</v>
          </cell>
          <cell r="S225">
            <v>29160</v>
          </cell>
          <cell r="T225"/>
          <cell r="U225"/>
          <cell r="V225">
            <v>0</v>
          </cell>
          <cell r="W225">
            <v>22.35</v>
          </cell>
          <cell r="X225">
            <v>24.25</v>
          </cell>
          <cell r="Y225"/>
          <cell r="Z225">
            <v>187.71</v>
          </cell>
          <cell r="AA225">
            <v>129.29</v>
          </cell>
          <cell r="AB225"/>
          <cell r="AC225" t="str">
            <v>الفنية</v>
          </cell>
        </row>
        <row r="226">
          <cell r="A226">
            <v>28601172500284</v>
          </cell>
          <cell r="B226">
            <v>48</v>
          </cell>
          <cell r="C226" t="str">
            <v>صفاء كمال علي امين</v>
          </cell>
          <cell r="D226">
            <v>1015.95</v>
          </cell>
          <cell r="E226"/>
          <cell r="F226">
            <v>5.1100000000000003</v>
          </cell>
          <cell r="G226"/>
          <cell r="H226">
            <v>50</v>
          </cell>
          <cell r="I226"/>
          <cell r="J226">
            <v>183.85</v>
          </cell>
          <cell r="K226"/>
          <cell r="L226"/>
          <cell r="M226"/>
          <cell r="N226"/>
          <cell r="O226">
            <v>233.85</v>
          </cell>
          <cell r="P226"/>
          <cell r="Q226"/>
          <cell r="R226">
            <v>230.5</v>
          </cell>
          <cell r="S226">
            <v>29160.010000000006</v>
          </cell>
          <cell r="T226"/>
          <cell r="U226"/>
          <cell r="V226">
            <v>0</v>
          </cell>
          <cell r="W226">
            <v>6.4</v>
          </cell>
          <cell r="X226">
            <v>8.9499999999999993</v>
          </cell>
          <cell r="Y226"/>
          <cell r="Z226"/>
          <cell r="AA226">
            <v>0.92</v>
          </cell>
          <cell r="AB226"/>
          <cell r="AC226" t="str">
            <v>الفنية الثالثة</v>
          </cell>
        </row>
        <row r="227">
          <cell r="A227">
            <v>27211272501699</v>
          </cell>
          <cell r="B227">
            <v>49</v>
          </cell>
          <cell r="C227" t="str">
            <v>عادل على محمد على</v>
          </cell>
          <cell r="D227">
            <v>1334.11</v>
          </cell>
          <cell r="E227">
            <v>91.98</v>
          </cell>
          <cell r="F227">
            <v>23.81</v>
          </cell>
          <cell r="G227"/>
          <cell r="H227">
            <v>150</v>
          </cell>
          <cell r="I227"/>
          <cell r="J227">
            <v>235.17</v>
          </cell>
          <cell r="K227"/>
          <cell r="L227"/>
          <cell r="M227"/>
          <cell r="N227"/>
          <cell r="O227">
            <v>385.16999999999996</v>
          </cell>
          <cell r="P227"/>
          <cell r="Q227"/>
          <cell r="R227">
            <v>340.12</v>
          </cell>
          <cell r="S227">
            <v>29160</v>
          </cell>
          <cell r="T227"/>
          <cell r="U227"/>
          <cell r="V227">
            <v>0</v>
          </cell>
          <cell r="W227">
            <v>10.45</v>
          </cell>
          <cell r="X227">
            <v>13.15</v>
          </cell>
          <cell r="Y227"/>
          <cell r="Z227">
            <v>30.38</v>
          </cell>
          <cell r="AA227">
            <v>12.09</v>
          </cell>
          <cell r="AB227"/>
          <cell r="AC227" t="str">
            <v>الفنية الثالثة</v>
          </cell>
        </row>
        <row r="228">
          <cell r="A228">
            <v>27111152200615</v>
          </cell>
          <cell r="B228">
            <v>50</v>
          </cell>
          <cell r="C228" t="str">
            <v>عاطف سمير فوزي بطرس</v>
          </cell>
          <cell r="D228">
            <v>1334.11</v>
          </cell>
          <cell r="E228">
            <v>89.98</v>
          </cell>
          <cell r="F228">
            <v>23.53</v>
          </cell>
          <cell r="G228"/>
          <cell r="H228">
            <v>140</v>
          </cell>
          <cell r="I228"/>
          <cell r="J228"/>
          <cell r="K228"/>
          <cell r="L228"/>
          <cell r="M228"/>
          <cell r="N228"/>
          <cell r="O228">
            <v>140</v>
          </cell>
          <cell r="P228"/>
          <cell r="Q228"/>
          <cell r="R228">
            <v>340.12</v>
          </cell>
          <cell r="S228">
            <v>19450.2</v>
          </cell>
          <cell r="T228">
            <v>1.96</v>
          </cell>
          <cell r="U228"/>
          <cell r="V228">
            <v>1.96</v>
          </cell>
          <cell r="W228">
            <v>10.35</v>
          </cell>
          <cell r="X228">
            <v>11.5</v>
          </cell>
          <cell r="Y228"/>
          <cell r="Z228">
            <v>28.99</v>
          </cell>
          <cell r="AA228">
            <v>7.66</v>
          </cell>
          <cell r="AB228"/>
          <cell r="AC228" t="str">
            <v>الفنية الثالثة</v>
          </cell>
        </row>
        <row r="229">
          <cell r="A229">
            <v>28210042502103</v>
          </cell>
          <cell r="B229">
            <v>51</v>
          </cell>
          <cell r="C229" t="str">
            <v>عايده احمد فرحان احمد</v>
          </cell>
          <cell r="D229">
            <v>1041.3599999999999</v>
          </cell>
          <cell r="E229"/>
          <cell r="F229">
            <v>5.1100000000000003</v>
          </cell>
          <cell r="G229"/>
          <cell r="H229">
            <v>95</v>
          </cell>
          <cell r="I229"/>
          <cell r="J229">
            <v>183.91</v>
          </cell>
          <cell r="K229"/>
          <cell r="L229"/>
          <cell r="M229"/>
          <cell r="N229"/>
          <cell r="O229">
            <v>278.90999999999997</v>
          </cell>
          <cell r="P229"/>
          <cell r="Q229"/>
          <cell r="R229">
            <v>230.5</v>
          </cell>
          <cell r="S229">
            <v>14184.34</v>
          </cell>
          <cell r="T229"/>
          <cell r="U229"/>
          <cell r="V229">
            <v>0</v>
          </cell>
          <cell r="W229">
            <v>6.5</v>
          </cell>
          <cell r="X229">
            <v>9.4499999999999993</v>
          </cell>
          <cell r="Y229"/>
          <cell r="Z229"/>
          <cell r="AA229">
            <v>2.3199999999999998</v>
          </cell>
          <cell r="AB229"/>
          <cell r="AC229" t="str">
            <v>الفنية الثالثة</v>
          </cell>
        </row>
        <row r="230">
          <cell r="A230">
            <v>28302052503096</v>
          </cell>
          <cell r="B230">
            <v>52</v>
          </cell>
          <cell r="C230" t="str">
            <v>عبد الحميد محمود عبد الحميد خضر</v>
          </cell>
          <cell r="D230">
            <v>1045.8399999999999</v>
          </cell>
          <cell r="E230"/>
          <cell r="F230">
            <v>5.67</v>
          </cell>
          <cell r="G230"/>
          <cell r="H230">
            <v>145</v>
          </cell>
          <cell r="I230"/>
          <cell r="J230"/>
          <cell r="K230"/>
          <cell r="L230"/>
          <cell r="M230"/>
          <cell r="N230"/>
          <cell r="O230">
            <v>145</v>
          </cell>
          <cell r="P230"/>
          <cell r="Q230"/>
          <cell r="R230">
            <v>222.5</v>
          </cell>
          <cell r="S230">
            <v>14150.610000000002</v>
          </cell>
          <cell r="T230"/>
          <cell r="U230"/>
          <cell r="V230">
            <v>0</v>
          </cell>
          <cell r="W230">
            <v>7.4</v>
          </cell>
          <cell r="X230">
            <v>8.65</v>
          </cell>
          <cell r="Y230"/>
          <cell r="Z230"/>
          <cell r="AA230">
            <v>0.17</v>
          </cell>
          <cell r="AB230"/>
          <cell r="AC230" t="str">
            <v>الفنية الثالثة</v>
          </cell>
        </row>
        <row r="231">
          <cell r="A231">
            <v>25901182500251</v>
          </cell>
          <cell r="B231">
            <v>53</v>
          </cell>
          <cell r="C231" t="str">
            <v>عبد الرازق عبد المجيد داود سليمان</v>
          </cell>
          <cell r="D231">
            <v>2259.56</v>
          </cell>
          <cell r="E231">
            <v>774.74</v>
          </cell>
          <cell r="F231">
            <v>116.63</v>
          </cell>
          <cell r="G231">
            <v>74.38</v>
          </cell>
          <cell r="H231">
            <v>150</v>
          </cell>
          <cell r="I231"/>
          <cell r="J231"/>
          <cell r="K231"/>
          <cell r="L231"/>
          <cell r="M231"/>
          <cell r="N231"/>
          <cell r="O231">
            <v>150</v>
          </cell>
          <cell r="P231"/>
          <cell r="Q231"/>
          <cell r="R231">
            <v>743.87</v>
          </cell>
          <cell r="S231">
            <v>29160</v>
          </cell>
          <cell r="T231"/>
          <cell r="U231"/>
          <cell r="V231">
            <v>0</v>
          </cell>
          <cell r="W231">
            <v>22.3</v>
          </cell>
          <cell r="X231">
            <v>25.1</v>
          </cell>
          <cell r="Y231"/>
          <cell r="Z231">
            <v>187.08</v>
          </cell>
          <cell r="AA231">
            <v>139.97999999999999</v>
          </cell>
          <cell r="AB231"/>
          <cell r="AC231" t="str">
            <v>الفنية</v>
          </cell>
        </row>
        <row r="232">
          <cell r="A232">
            <v>28805292500355</v>
          </cell>
          <cell r="B232">
            <v>54</v>
          </cell>
          <cell r="C232" t="str">
            <v>عبد الرازق عبد المنعم عبد الرازق على</v>
          </cell>
          <cell r="D232">
            <v>1045.8399999999999</v>
          </cell>
          <cell r="E232"/>
          <cell r="F232">
            <v>5.67</v>
          </cell>
          <cell r="G232"/>
          <cell r="H232">
            <v>145</v>
          </cell>
          <cell r="I232"/>
          <cell r="J232"/>
          <cell r="K232"/>
          <cell r="L232"/>
          <cell r="M232"/>
          <cell r="N232"/>
          <cell r="O232">
            <v>145</v>
          </cell>
          <cell r="P232"/>
          <cell r="Q232"/>
          <cell r="R232">
            <v>222.5</v>
          </cell>
          <cell r="S232">
            <v>13816.860000000002</v>
          </cell>
          <cell r="T232"/>
          <cell r="U232"/>
          <cell r="V232">
            <v>0</v>
          </cell>
          <cell r="W232">
            <v>6.6</v>
          </cell>
          <cell r="X232">
            <v>8.65</v>
          </cell>
          <cell r="Y232"/>
          <cell r="Z232"/>
          <cell r="AA232">
            <v>0.17</v>
          </cell>
          <cell r="AB232"/>
          <cell r="AC232" t="str">
            <v>الفنية الثالثة</v>
          </cell>
        </row>
        <row r="233">
          <cell r="A233">
            <v>28901192500152</v>
          </cell>
          <cell r="B233">
            <v>55</v>
          </cell>
          <cell r="C233" t="str">
            <v>عبد الناصر احمد محمد احمد</v>
          </cell>
          <cell r="D233">
            <v>1010.68</v>
          </cell>
          <cell r="E233"/>
          <cell r="F233">
            <v>5.09</v>
          </cell>
          <cell r="G233"/>
          <cell r="H233">
            <v>50</v>
          </cell>
          <cell r="I233"/>
          <cell r="J233"/>
          <cell r="K233"/>
          <cell r="L233"/>
          <cell r="M233"/>
          <cell r="N233"/>
          <cell r="O233">
            <v>50</v>
          </cell>
          <cell r="P233"/>
          <cell r="Q233"/>
          <cell r="R233">
            <v>228.5</v>
          </cell>
          <cell r="S233">
            <v>13659.980000000001</v>
          </cell>
          <cell r="T233"/>
          <cell r="U233"/>
          <cell r="V233">
            <v>0</v>
          </cell>
          <cell r="W233">
            <v>6.35</v>
          </cell>
          <cell r="X233">
            <v>7.65</v>
          </cell>
          <cell r="Y233"/>
          <cell r="Z233"/>
          <cell r="AA233"/>
          <cell r="AB233"/>
          <cell r="AC233" t="str">
            <v>الفنية الثالثة</v>
          </cell>
        </row>
        <row r="234">
          <cell r="A234">
            <v>26011302500215</v>
          </cell>
          <cell r="B234">
            <v>56</v>
          </cell>
          <cell r="C234" t="str">
            <v>عبده كامل احمد عبده</v>
          </cell>
          <cell r="D234">
            <v>2028.53</v>
          </cell>
          <cell r="E234">
            <v>536.94000000000005</v>
          </cell>
          <cell r="F234">
            <v>97.13</v>
          </cell>
          <cell r="G234">
            <v>62.35</v>
          </cell>
          <cell r="H234">
            <v>100</v>
          </cell>
          <cell r="I234"/>
          <cell r="J234"/>
          <cell r="K234"/>
          <cell r="L234"/>
          <cell r="M234"/>
          <cell r="N234"/>
          <cell r="O234">
            <v>100</v>
          </cell>
          <cell r="P234"/>
          <cell r="Q234"/>
          <cell r="R234">
            <v>623.54999999999995</v>
          </cell>
          <cell r="S234">
            <v>29160</v>
          </cell>
          <cell r="T234"/>
          <cell r="U234"/>
          <cell r="V234">
            <v>0</v>
          </cell>
          <cell r="W234">
            <v>18.55</v>
          </cell>
          <cell r="X234">
            <v>20.2</v>
          </cell>
          <cell r="Y234"/>
          <cell r="Z234">
            <v>137.91999999999999</v>
          </cell>
          <cell r="AA234">
            <v>30.7</v>
          </cell>
          <cell r="AB234"/>
          <cell r="AC234" t="str">
            <v>الفنية</v>
          </cell>
        </row>
        <row r="235">
          <cell r="A235">
            <v>28404272500249</v>
          </cell>
          <cell r="B235">
            <v>57</v>
          </cell>
          <cell r="C235" t="str">
            <v>علا عبد الرازق محمود</v>
          </cell>
          <cell r="D235">
            <v>1066.75</v>
          </cell>
          <cell r="E235"/>
          <cell r="F235">
            <v>5.1100000000000003</v>
          </cell>
          <cell r="G235"/>
          <cell r="H235">
            <v>140</v>
          </cell>
          <cell r="I235"/>
          <cell r="J235">
            <v>183.91</v>
          </cell>
          <cell r="K235"/>
          <cell r="L235"/>
          <cell r="M235"/>
          <cell r="N235"/>
          <cell r="O235">
            <v>323.90999999999997</v>
          </cell>
          <cell r="P235"/>
          <cell r="Q235"/>
          <cell r="R235">
            <v>230.5</v>
          </cell>
          <cell r="S235">
            <v>14400.76</v>
          </cell>
          <cell r="T235"/>
          <cell r="U235"/>
          <cell r="V235">
            <v>0</v>
          </cell>
          <cell r="W235">
            <v>7.15</v>
          </cell>
          <cell r="X235">
            <v>9.4499999999999993</v>
          </cell>
          <cell r="Y235"/>
          <cell r="Z235"/>
          <cell r="AA235">
            <v>2.34</v>
          </cell>
          <cell r="AB235"/>
          <cell r="AC235" t="str">
            <v>الفنية الثالثة</v>
          </cell>
        </row>
        <row r="236">
          <cell r="A236">
            <v>27205052500659</v>
          </cell>
          <cell r="B236">
            <v>58</v>
          </cell>
          <cell r="C236" t="str">
            <v>علاء احمد محمد فياض</v>
          </cell>
          <cell r="D236">
            <v>1285.48</v>
          </cell>
          <cell r="E236">
            <v>68.77</v>
          </cell>
          <cell r="F236">
            <v>16.260000000000002</v>
          </cell>
          <cell r="G236"/>
          <cell r="H236">
            <v>150</v>
          </cell>
          <cell r="I236"/>
          <cell r="J236">
            <v>235.17</v>
          </cell>
          <cell r="K236"/>
          <cell r="L236"/>
          <cell r="M236"/>
          <cell r="N236"/>
          <cell r="O236">
            <v>385.16999999999996</v>
          </cell>
          <cell r="P236"/>
          <cell r="Q236"/>
          <cell r="R236">
            <v>321.83999999999997</v>
          </cell>
          <cell r="S236">
            <v>18645.87</v>
          </cell>
          <cell r="T236">
            <v>3.04</v>
          </cell>
          <cell r="U236"/>
          <cell r="V236">
            <v>3.04</v>
          </cell>
          <cell r="W236">
            <v>9.9</v>
          </cell>
          <cell r="X236">
            <v>12.55</v>
          </cell>
          <cell r="Y236"/>
          <cell r="Z236">
            <v>23.07</v>
          </cell>
          <cell r="AA236">
            <v>10.52</v>
          </cell>
          <cell r="AB236"/>
          <cell r="AC236" t="str">
            <v>الفنية الثالثة</v>
          </cell>
        </row>
        <row r="237">
          <cell r="A237">
            <v>28711122502413</v>
          </cell>
          <cell r="B237">
            <v>59</v>
          </cell>
          <cell r="C237" t="str">
            <v>علاء حامد محمد حسب الله</v>
          </cell>
          <cell r="D237">
            <v>1044.94</v>
          </cell>
          <cell r="E237"/>
          <cell r="F237">
            <v>5.33</v>
          </cell>
          <cell r="G237"/>
          <cell r="H237">
            <v>50</v>
          </cell>
          <cell r="I237"/>
          <cell r="J237"/>
          <cell r="K237"/>
          <cell r="L237"/>
          <cell r="M237"/>
          <cell r="N237"/>
          <cell r="O237">
            <v>50</v>
          </cell>
          <cell r="P237"/>
          <cell r="Q237"/>
          <cell r="R237">
            <v>230.5</v>
          </cell>
          <cell r="S237">
            <v>13868.949999999999</v>
          </cell>
          <cell r="T237"/>
          <cell r="U237"/>
          <cell r="V237">
            <v>0</v>
          </cell>
          <cell r="W237">
            <v>6.55</v>
          </cell>
          <cell r="X237">
            <v>7.95</v>
          </cell>
          <cell r="Y237"/>
          <cell r="Z237"/>
          <cell r="AA237"/>
          <cell r="AB237"/>
          <cell r="AC237" t="str">
            <v>الفنية الثالثة</v>
          </cell>
        </row>
        <row r="238">
          <cell r="A238">
            <v>28206142500879</v>
          </cell>
          <cell r="B238">
            <v>60</v>
          </cell>
          <cell r="C238" t="str">
            <v>علاء سيد مجاهد ابو زيد</v>
          </cell>
          <cell r="D238">
            <v>1109.46</v>
          </cell>
          <cell r="E238"/>
          <cell r="F238">
            <v>5.33</v>
          </cell>
          <cell r="G238"/>
          <cell r="H238">
            <v>145</v>
          </cell>
          <cell r="I238"/>
          <cell r="J238"/>
          <cell r="K238"/>
          <cell r="L238"/>
          <cell r="M238"/>
          <cell r="N238"/>
          <cell r="O238">
            <v>145</v>
          </cell>
          <cell r="P238"/>
          <cell r="Q238"/>
          <cell r="R238">
            <v>234.5</v>
          </cell>
          <cell r="S238">
            <v>14713.539999999999</v>
          </cell>
          <cell r="T238"/>
          <cell r="U238"/>
          <cell r="V238">
            <v>0</v>
          </cell>
          <cell r="W238">
            <v>7.8</v>
          </cell>
          <cell r="X238">
            <v>9.15</v>
          </cell>
          <cell r="Y238"/>
          <cell r="Z238"/>
          <cell r="AA238">
            <v>1.44</v>
          </cell>
          <cell r="AB238"/>
          <cell r="AC238" t="str">
            <v>الفنية الثالثة</v>
          </cell>
        </row>
        <row r="239">
          <cell r="A239">
            <v>28506302503679</v>
          </cell>
          <cell r="B239">
            <v>61</v>
          </cell>
          <cell r="C239" t="str">
            <v>علاء محمد صديق محمد</v>
          </cell>
          <cell r="D239">
            <v>986.29</v>
          </cell>
          <cell r="E239"/>
          <cell r="F239">
            <v>5.36</v>
          </cell>
          <cell r="G239"/>
          <cell r="H239">
            <v>145</v>
          </cell>
          <cell r="I239"/>
          <cell r="J239"/>
          <cell r="K239"/>
          <cell r="L239"/>
          <cell r="M239"/>
          <cell r="N239"/>
          <cell r="O239">
            <v>145</v>
          </cell>
          <cell r="P239"/>
          <cell r="Q239"/>
          <cell r="R239">
            <v>214.5</v>
          </cell>
          <cell r="S239">
            <v>12556.95</v>
          </cell>
          <cell r="T239"/>
          <cell r="U239"/>
          <cell r="V239">
            <v>0</v>
          </cell>
          <cell r="W239">
            <v>6.25</v>
          </cell>
          <cell r="X239">
            <v>8.1999999999999993</v>
          </cell>
          <cell r="Y239"/>
          <cell r="Z239"/>
          <cell r="AA239"/>
          <cell r="AB239"/>
          <cell r="AC239" t="str">
            <v>الفنية الثالثة</v>
          </cell>
        </row>
        <row r="240">
          <cell r="A240">
            <v>28605062500292</v>
          </cell>
          <cell r="B240">
            <v>62</v>
          </cell>
          <cell r="C240" t="str">
            <v>على جمال ابراهيم ادريس</v>
          </cell>
          <cell r="D240">
            <v>1010.68</v>
          </cell>
          <cell r="E240"/>
          <cell r="F240">
            <v>5.09</v>
          </cell>
          <cell r="G240"/>
          <cell r="H240">
            <v>100</v>
          </cell>
          <cell r="I240"/>
          <cell r="J240"/>
          <cell r="K240"/>
          <cell r="L240"/>
          <cell r="M240"/>
          <cell r="N240"/>
          <cell r="O240">
            <v>100</v>
          </cell>
          <cell r="P240"/>
          <cell r="Q240"/>
          <cell r="R240">
            <v>228.5</v>
          </cell>
          <cell r="S240">
            <v>13679.54</v>
          </cell>
          <cell r="T240"/>
          <cell r="U240"/>
          <cell r="V240">
            <v>0</v>
          </cell>
          <cell r="W240">
            <v>7.15</v>
          </cell>
          <cell r="X240">
            <v>8.0500000000000007</v>
          </cell>
          <cell r="Y240"/>
          <cell r="Z240"/>
          <cell r="AA240"/>
          <cell r="AB240"/>
          <cell r="AC240" t="str">
            <v>الفنية الثالثة</v>
          </cell>
        </row>
        <row r="241">
          <cell r="A241">
            <v>28106132500299</v>
          </cell>
          <cell r="B241">
            <v>63</v>
          </cell>
          <cell r="C241" t="str">
            <v>علي حامد محمد سيد</v>
          </cell>
          <cell r="D241">
            <v>1044.94</v>
          </cell>
          <cell r="E241"/>
          <cell r="F241">
            <v>5.33</v>
          </cell>
          <cell r="G241"/>
          <cell r="H241">
            <v>50</v>
          </cell>
          <cell r="I241"/>
          <cell r="J241">
            <v>181.91</v>
          </cell>
          <cell r="K241"/>
          <cell r="L241"/>
          <cell r="M241"/>
          <cell r="N241"/>
          <cell r="O241">
            <v>231.91</v>
          </cell>
          <cell r="P241"/>
          <cell r="Q241"/>
          <cell r="R241">
            <v>230.5</v>
          </cell>
          <cell r="S241">
            <v>23977.65</v>
          </cell>
          <cell r="T241">
            <v>6.87</v>
          </cell>
          <cell r="U241"/>
          <cell r="V241">
            <v>6.87</v>
          </cell>
          <cell r="W241">
            <v>6.55</v>
          </cell>
          <cell r="X241">
            <v>9.1</v>
          </cell>
          <cell r="Y241"/>
          <cell r="Z241"/>
          <cell r="AA241">
            <v>1.34</v>
          </cell>
          <cell r="AB241"/>
          <cell r="AC241" t="str">
            <v>الفنية الثالثة</v>
          </cell>
        </row>
        <row r="242">
          <cell r="A242">
            <v>27003292500131</v>
          </cell>
          <cell r="B242">
            <v>64</v>
          </cell>
          <cell r="C242" t="str">
            <v>علي شعبان على احمد</v>
          </cell>
          <cell r="D242">
            <v>1689.39</v>
          </cell>
          <cell r="E242">
            <v>384.44</v>
          </cell>
          <cell r="F242">
            <v>78.709999999999994</v>
          </cell>
          <cell r="G242"/>
          <cell r="H242">
            <v>150</v>
          </cell>
          <cell r="I242"/>
          <cell r="J242"/>
          <cell r="K242"/>
          <cell r="L242">
            <v>15</v>
          </cell>
          <cell r="M242"/>
          <cell r="N242"/>
          <cell r="O242">
            <v>165</v>
          </cell>
          <cell r="P242"/>
          <cell r="Q242"/>
          <cell r="R242">
            <v>503.48</v>
          </cell>
          <cell r="S242">
            <v>29160</v>
          </cell>
          <cell r="T242"/>
          <cell r="U242">
            <v>4.54</v>
          </cell>
          <cell r="V242">
            <v>4.54</v>
          </cell>
          <cell r="W242">
            <v>15.2</v>
          </cell>
          <cell r="X242">
            <v>16.600000000000001</v>
          </cell>
          <cell r="Y242"/>
          <cell r="Z242">
            <v>93.22</v>
          </cell>
          <cell r="AA242">
            <v>21.24</v>
          </cell>
          <cell r="AB242"/>
          <cell r="AC242" t="str">
            <v>الفنية</v>
          </cell>
        </row>
        <row r="243">
          <cell r="A243">
            <v>26312172500111</v>
          </cell>
          <cell r="B243">
            <v>65</v>
          </cell>
          <cell r="C243" t="str">
            <v>عماد محمد احمد محمد</v>
          </cell>
          <cell r="D243">
            <v>1526.69</v>
          </cell>
          <cell r="E243">
            <v>177.77</v>
          </cell>
          <cell r="F243">
            <v>52.81</v>
          </cell>
          <cell r="G243"/>
          <cell r="H243">
            <v>50</v>
          </cell>
          <cell r="I243"/>
          <cell r="J243"/>
          <cell r="K243"/>
          <cell r="L243"/>
          <cell r="M243"/>
          <cell r="N243"/>
          <cell r="O243">
            <v>50</v>
          </cell>
          <cell r="P243"/>
          <cell r="Q243"/>
          <cell r="R243">
            <v>409.25</v>
          </cell>
          <cell r="S243">
            <v>23333.649999999998</v>
          </cell>
          <cell r="T243"/>
          <cell r="U243"/>
          <cell r="V243">
            <v>0</v>
          </cell>
          <cell r="W243">
            <v>11.75</v>
          </cell>
          <cell r="X243">
            <v>13.05</v>
          </cell>
          <cell r="Y243"/>
          <cell r="Z243">
            <v>47.63</v>
          </cell>
          <cell r="AA243">
            <v>11.8</v>
          </cell>
          <cell r="AB243"/>
          <cell r="AC243" t="str">
            <v>الفنية الثالثة</v>
          </cell>
        </row>
        <row r="244">
          <cell r="A244">
            <v>28509072502031</v>
          </cell>
          <cell r="B244">
            <v>66</v>
          </cell>
          <cell r="C244" t="str">
            <v>عمر عبد الله عبد الغني عمر</v>
          </cell>
          <cell r="D244">
            <v>1041.1300000000001</v>
          </cell>
          <cell r="E244"/>
          <cell r="F244">
            <v>5.68</v>
          </cell>
          <cell r="G244"/>
          <cell r="H244">
            <v>145</v>
          </cell>
          <cell r="I244"/>
          <cell r="J244"/>
          <cell r="K244"/>
          <cell r="L244"/>
          <cell r="M244"/>
          <cell r="N244"/>
          <cell r="O244">
            <v>145</v>
          </cell>
          <cell r="P244"/>
          <cell r="Q244"/>
          <cell r="R244">
            <v>218.5</v>
          </cell>
          <cell r="S244">
            <v>14054.59</v>
          </cell>
          <cell r="T244"/>
          <cell r="U244"/>
          <cell r="V244">
            <v>0</v>
          </cell>
          <cell r="W244">
            <v>7.7</v>
          </cell>
          <cell r="X244">
            <v>8</v>
          </cell>
          <cell r="Y244"/>
          <cell r="Z244"/>
          <cell r="AA244"/>
          <cell r="AB244"/>
          <cell r="AC244" t="str">
            <v>الفنية الثالثة</v>
          </cell>
        </row>
        <row r="245">
          <cell r="A245">
            <v>28510182500333</v>
          </cell>
          <cell r="B245">
            <v>67</v>
          </cell>
          <cell r="C245" t="str">
            <v>عمرو شعبان على احمد</v>
          </cell>
          <cell r="D245">
            <v>1010.68</v>
          </cell>
          <cell r="E245"/>
          <cell r="F245">
            <v>5.09</v>
          </cell>
          <cell r="G245"/>
          <cell r="H245">
            <v>145</v>
          </cell>
          <cell r="I245"/>
          <cell r="J245"/>
          <cell r="K245"/>
          <cell r="L245"/>
          <cell r="M245"/>
          <cell r="N245"/>
          <cell r="O245">
            <v>145</v>
          </cell>
          <cell r="P245"/>
          <cell r="Q245"/>
          <cell r="R245">
            <v>228.5</v>
          </cell>
          <cell r="S245">
            <v>13589.54</v>
          </cell>
          <cell r="T245"/>
          <cell r="U245"/>
          <cell r="V245">
            <v>0</v>
          </cell>
          <cell r="W245">
            <v>7.45</v>
          </cell>
          <cell r="X245">
            <v>8.4</v>
          </cell>
          <cell r="Y245"/>
          <cell r="Z245"/>
          <cell r="AA245"/>
          <cell r="AB245"/>
          <cell r="AC245" t="str">
            <v>الفنية الثالثة</v>
          </cell>
        </row>
        <row r="246">
          <cell r="A246">
            <v>28312122500338</v>
          </cell>
          <cell r="B246">
            <v>68</v>
          </cell>
          <cell r="C246" t="str">
            <v>عمرو علي ثابت علي</v>
          </cell>
          <cell r="D246">
            <v>1045.8399999999999</v>
          </cell>
          <cell r="E246"/>
          <cell r="F246">
            <v>5.67</v>
          </cell>
          <cell r="G246"/>
          <cell r="H246">
            <v>145</v>
          </cell>
          <cell r="I246"/>
          <cell r="J246">
            <v>95.16</v>
          </cell>
          <cell r="K246"/>
          <cell r="L246"/>
          <cell r="M246"/>
          <cell r="N246"/>
          <cell r="O246">
            <v>240.16</v>
          </cell>
          <cell r="P246"/>
          <cell r="Q246"/>
          <cell r="R246">
            <v>222.5</v>
          </cell>
          <cell r="S246">
            <v>16106.97</v>
          </cell>
          <cell r="T246"/>
          <cell r="U246"/>
          <cell r="V246">
            <v>0</v>
          </cell>
          <cell r="W246">
            <v>6.6</v>
          </cell>
          <cell r="X246">
            <v>9.3000000000000007</v>
          </cell>
          <cell r="Y246"/>
          <cell r="Z246"/>
          <cell r="AA246">
            <v>1.85</v>
          </cell>
          <cell r="AB246"/>
          <cell r="AC246" t="str">
            <v>الفنية الثالثة</v>
          </cell>
        </row>
        <row r="247">
          <cell r="A247">
            <v>28112272500337</v>
          </cell>
          <cell r="B247">
            <v>69</v>
          </cell>
          <cell r="C247" t="str">
            <v>عمرو محمد محمد عبدالمذكور</v>
          </cell>
          <cell r="D247">
            <v>1231.69</v>
          </cell>
          <cell r="E247">
            <v>44.68</v>
          </cell>
          <cell r="F247">
            <v>8.0500000000000007</v>
          </cell>
          <cell r="G247"/>
          <cell r="H247">
            <v>95</v>
          </cell>
          <cell r="I247"/>
          <cell r="J247">
            <v>235.17</v>
          </cell>
          <cell r="K247"/>
          <cell r="L247"/>
          <cell r="M247"/>
          <cell r="N247"/>
          <cell r="O247">
            <v>330.16999999999996</v>
          </cell>
          <cell r="P247"/>
          <cell r="Q247"/>
          <cell r="R247">
            <v>302.89</v>
          </cell>
          <cell r="S247">
            <v>17364.48</v>
          </cell>
          <cell r="T247"/>
          <cell r="U247"/>
          <cell r="V247">
            <v>0</v>
          </cell>
          <cell r="W247">
            <v>9.1</v>
          </cell>
          <cell r="X247">
            <v>11.55</v>
          </cell>
          <cell r="Y247"/>
          <cell r="Z247">
            <v>12.94</v>
          </cell>
          <cell r="AA247">
            <v>7.85</v>
          </cell>
          <cell r="AB247"/>
          <cell r="AC247" t="str">
            <v>الفنية الثالثة</v>
          </cell>
        </row>
        <row r="248">
          <cell r="A248">
            <v>27302152502051</v>
          </cell>
          <cell r="B248">
            <v>70</v>
          </cell>
          <cell r="C248" t="str">
            <v>عياد غطاس شحاتة غطاس</v>
          </cell>
          <cell r="D248">
            <v>1044.94</v>
          </cell>
          <cell r="E248"/>
          <cell r="F248">
            <v>5.33</v>
          </cell>
          <cell r="G248"/>
          <cell r="H248">
            <v>150</v>
          </cell>
          <cell r="I248"/>
          <cell r="J248"/>
          <cell r="K248"/>
          <cell r="L248"/>
          <cell r="M248"/>
          <cell r="N248"/>
          <cell r="O248">
            <v>150</v>
          </cell>
          <cell r="P248"/>
          <cell r="Q248"/>
          <cell r="R248">
            <v>230.5</v>
          </cell>
          <cell r="S248">
            <v>14157.55</v>
          </cell>
          <cell r="T248"/>
          <cell r="U248"/>
          <cell r="V248">
            <v>0</v>
          </cell>
          <cell r="W248">
            <v>7.8</v>
          </cell>
          <cell r="X248">
            <v>8.6999999999999993</v>
          </cell>
          <cell r="Y248"/>
          <cell r="Z248"/>
          <cell r="AA248">
            <v>0.24</v>
          </cell>
          <cell r="AB248"/>
          <cell r="AC248" t="str">
            <v>الفنية الثالثة</v>
          </cell>
        </row>
        <row r="249">
          <cell r="A249">
            <v>28908262500206</v>
          </cell>
          <cell r="B249">
            <v>71</v>
          </cell>
          <cell r="C249" t="str">
            <v>فاطمة الزهراء محمد الهادى كمال</v>
          </cell>
          <cell r="D249">
            <v>1040.56</v>
          </cell>
          <cell r="E249"/>
          <cell r="F249">
            <v>5.65</v>
          </cell>
          <cell r="G249"/>
          <cell r="H249">
            <v>95</v>
          </cell>
          <cell r="I249"/>
          <cell r="J249"/>
          <cell r="K249"/>
          <cell r="L249"/>
          <cell r="M249"/>
          <cell r="N249"/>
          <cell r="O249">
            <v>95</v>
          </cell>
          <cell r="P249"/>
          <cell r="Q249"/>
          <cell r="R249">
            <v>220.5</v>
          </cell>
          <cell r="S249">
            <v>13225.149999999998</v>
          </cell>
          <cell r="T249"/>
          <cell r="U249"/>
          <cell r="V249">
            <v>0</v>
          </cell>
          <cell r="W249">
            <v>3.45</v>
          </cell>
          <cell r="X249">
            <v>8.25</v>
          </cell>
          <cell r="Y249"/>
          <cell r="Z249"/>
          <cell r="AA249"/>
          <cell r="AB249"/>
          <cell r="AC249" t="str">
            <v>الفنية الثالثة</v>
          </cell>
        </row>
        <row r="250">
          <cell r="A250">
            <v>26412212500091</v>
          </cell>
          <cell r="B250">
            <v>72</v>
          </cell>
          <cell r="C250" t="str">
            <v>فتحى سيد محمد مصطفى</v>
          </cell>
          <cell r="D250">
            <v>1283.8699999999999</v>
          </cell>
          <cell r="E250">
            <v>53.86</v>
          </cell>
          <cell r="F250">
            <v>11.28</v>
          </cell>
          <cell r="G250"/>
          <cell r="H250">
            <v>145</v>
          </cell>
          <cell r="I250"/>
          <cell r="J250"/>
          <cell r="K250"/>
          <cell r="L250"/>
          <cell r="M250"/>
          <cell r="N250"/>
          <cell r="O250">
            <v>145</v>
          </cell>
          <cell r="P250"/>
          <cell r="Q250"/>
          <cell r="R250">
            <v>310.12</v>
          </cell>
          <cell r="S250">
            <v>22598.28</v>
          </cell>
          <cell r="T250">
            <v>9.16</v>
          </cell>
          <cell r="U250"/>
          <cell r="V250">
            <v>9.16</v>
          </cell>
          <cell r="W250">
            <v>10.5</v>
          </cell>
          <cell r="X250">
            <v>10.75</v>
          </cell>
          <cell r="Y250"/>
          <cell r="Z250">
            <v>30.15</v>
          </cell>
          <cell r="AA250">
            <v>5.77</v>
          </cell>
          <cell r="AB250"/>
          <cell r="AC250" t="str">
            <v>الفنية الثالثة</v>
          </cell>
        </row>
        <row r="251">
          <cell r="A251">
            <v>26103252500181</v>
          </cell>
          <cell r="B251">
            <v>73</v>
          </cell>
          <cell r="C251" t="str">
            <v>فيفى زكى مسعد مسعود</v>
          </cell>
          <cell r="D251">
            <v>2137.75</v>
          </cell>
          <cell r="E251">
            <v>715.88</v>
          </cell>
          <cell r="F251">
            <v>108.34</v>
          </cell>
          <cell r="G251">
            <v>70.06</v>
          </cell>
          <cell r="H251">
            <v>100</v>
          </cell>
          <cell r="I251"/>
          <cell r="J251"/>
          <cell r="K251"/>
          <cell r="L251"/>
          <cell r="M251"/>
          <cell r="N251"/>
          <cell r="O251">
            <v>100</v>
          </cell>
          <cell r="P251"/>
          <cell r="Q251"/>
          <cell r="R251">
            <v>700.67</v>
          </cell>
          <cell r="S251">
            <v>29160</v>
          </cell>
          <cell r="T251"/>
          <cell r="U251"/>
          <cell r="V251">
            <v>0</v>
          </cell>
          <cell r="W251">
            <v>20.6</v>
          </cell>
          <cell r="X251">
            <v>22.3</v>
          </cell>
          <cell r="Y251"/>
          <cell r="Z251">
            <v>165.03</v>
          </cell>
          <cell r="AA251">
            <v>36.229999999999997</v>
          </cell>
          <cell r="AB251"/>
          <cell r="AC251" t="str">
            <v>الفنية</v>
          </cell>
        </row>
        <row r="252">
          <cell r="A252">
            <v>27108122501733</v>
          </cell>
          <cell r="B252">
            <v>74</v>
          </cell>
          <cell r="C252" t="str">
            <v>كرم حسين بخيت محمود</v>
          </cell>
          <cell r="D252">
            <v>1485.95</v>
          </cell>
          <cell r="E252">
            <v>128.9</v>
          </cell>
          <cell r="F252">
            <v>36.17</v>
          </cell>
          <cell r="G252"/>
          <cell r="H252">
            <v>150</v>
          </cell>
          <cell r="I252"/>
          <cell r="J252">
            <v>235.01</v>
          </cell>
          <cell r="K252"/>
          <cell r="L252"/>
          <cell r="M252"/>
          <cell r="N252"/>
          <cell r="O252">
            <v>385.01</v>
          </cell>
          <cell r="P252"/>
          <cell r="Q252"/>
          <cell r="R252">
            <v>369.2</v>
          </cell>
          <cell r="S252">
            <v>29160.010000000002</v>
          </cell>
          <cell r="T252"/>
          <cell r="U252"/>
          <cell r="V252">
            <v>0</v>
          </cell>
          <cell r="W252">
            <v>11.3</v>
          </cell>
          <cell r="X252">
            <v>14.65</v>
          </cell>
          <cell r="Y252"/>
          <cell r="Z252">
            <v>41.91</v>
          </cell>
          <cell r="AA252">
            <v>15.99</v>
          </cell>
          <cell r="AB252"/>
          <cell r="AC252" t="str">
            <v>الفنية الثالثة</v>
          </cell>
        </row>
        <row r="253">
          <cell r="A253">
            <v>27701012509251</v>
          </cell>
          <cell r="B253">
            <v>75</v>
          </cell>
          <cell r="C253" t="str">
            <v>كرم مصطفي احمد فرحان</v>
          </cell>
          <cell r="D253">
            <v>1344.4</v>
          </cell>
          <cell r="E253">
            <v>27.16</v>
          </cell>
          <cell r="F253">
            <v>17.57</v>
          </cell>
          <cell r="G253"/>
          <cell r="H253">
            <v>150</v>
          </cell>
          <cell r="I253"/>
          <cell r="J253">
            <v>199.58</v>
          </cell>
          <cell r="K253"/>
          <cell r="L253"/>
          <cell r="M253"/>
          <cell r="N253"/>
          <cell r="O253">
            <v>349.58000000000004</v>
          </cell>
          <cell r="P253"/>
          <cell r="Q253"/>
          <cell r="R253">
            <v>324.52</v>
          </cell>
          <cell r="S253">
            <v>27816.560000000001</v>
          </cell>
          <cell r="T253"/>
          <cell r="U253"/>
          <cell r="V253">
            <v>0</v>
          </cell>
          <cell r="W253">
            <v>10</v>
          </cell>
          <cell r="X253">
            <v>13.85</v>
          </cell>
          <cell r="Y253"/>
          <cell r="Z253">
            <v>24.52</v>
          </cell>
          <cell r="AA253">
            <v>13.95</v>
          </cell>
          <cell r="AB253"/>
          <cell r="AC253" t="str">
            <v>الفنية الثالثة</v>
          </cell>
        </row>
        <row r="254">
          <cell r="A254">
            <v>26112152501383</v>
          </cell>
          <cell r="B254">
            <v>76</v>
          </cell>
          <cell r="C254" t="str">
            <v>لواحظ محمد عشري محمد</v>
          </cell>
          <cell r="D254">
            <v>2382.7199999999998</v>
          </cell>
          <cell r="E254">
            <v>830.16</v>
          </cell>
          <cell r="F254">
            <v>124.08</v>
          </cell>
          <cell r="G254">
            <v>78.900000000000006</v>
          </cell>
          <cell r="H254">
            <v>100</v>
          </cell>
          <cell r="I254"/>
          <cell r="J254"/>
          <cell r="K254"/>
          <cell r="L254">
            <v>30</v>
          </cell>
          <cell r="M254"/>
          <cell r="N254"/>
          <cell r="O254">
            <v>130</v>
          </cell>
          <cell r="P254"/>
          <cell r="Q254"/>
          <cell r="R254">
            <v>789.08</v>
          </cell>
          <cell r="S254">
            <v>29160</v>
          </cell>
          <cell r="T254"/>
          <cell r="U254"/>
          <cell r="V254">
            <v>0</v>
          </cell>
          <cell r="W254">
            <v>23.45</v>
          </cell>
          <cell r="X254">
            <v>25.4</v>
          </cell>
          <cell r="Y254"/>
          <cell r="Z254">
            <v>206.26</v>
          </cell>
          <cell r="AA254">
            <v>143.12</v>
          </cell>
          <cell r="AB254"/>
          <cell r="AC254" t="str">
            <v>الفنية</v>
          </cell>
        </row>
        <row r="255">
          <cell r="A255">
            <v>27911172500034</v>
          </cell>
          <cell r="B255">
            <v>77</v>
          </cell>
          <cell r="C255" t="str">
            <v>محمد احمد عبدالحميد حسين</v>
          </cell>
          <cell r="D255">
            <v>1485.04</v>
          </cell>
          <cell r="E255">
            <v>200.32</v>
          </cell>
          <cell r="F255">
            <v>47.39</v>
          </cell>
          <cell r="G255"/>
          <cell r="H255">
            <v>50</v>
          </cell>
          <cell r="I255"/>
          <cell r="J255"/>
          <cell r="K255"/>
          <cell r="L255"/>
          <cell r="M255"/>
          <cell r="N255"/>
          <cell r="O255">
            <v>50</v>
          </cell>
          <cell r="P255"/>
          <cell r="Q255"/>
          <cell r="R255">
            <v>398.67</v>
          </cell>
          <cell r="S255">
            <v>22704.110000000004</v>
          </cell>
          <cell r="T255"/>
          <cell r="U255"/>
          <cell r="V255">
            <v>0</v>
          </cell>
          <cell r="W255">
            <v>11.7</v>
          </cell>
          <cell r="X255">
            <v>12.95</v>
          </cell>
          <cell r="Y255"/>
          <cell r="Z255">
            <v>46.76</v>
          </cell>
          <cell r="AA255">
            <v>11.52</v>
          </cell>
          <cell r="AB255"/>
          <cell r="AC255" t="str">
            <v>الفنية</v>
          </cell>
        </row>
        <row r="256">
          <cell r="A256">
            <v>25912032500157</v>
          </cell>
          <cell r="B256">
            <v>78</v>
          </cell>
          <cell r="C256" t="str">
            <v>محمد احمد محمد عطيفي</v>
          </cell>
          <cell r="D256">
            <v>2187.17</v>
          </cell>
          <cell r="E256">
            <v>608.80999999999995</v>
          </cell>
          <cell r="F256">
            <v>107</v>
          </cell>
          <cell r="G256">
            <v>68.010000000000005</v>
          </cell>
          <cell r="H256">
            <v>150</v>
          </cell>
          <cell r="I256"/>
          <cell r="J256"/>
          <cell r="K256"/>
          <cell r="L256"/>
          <cell r="M256"/>
          <cell r="N256"/>
          <cell r="O256">
            <v>150</v>
          </cell>
          <cell r="P256"/>
          <cell r="Q256"/>
          <cell r="R256">
            <v>680.15</v>
          </cell>
          <cell r="S256">
            <v>29160.009999999995</v>
          </cell>
          <cell r="T256"/>
          <cell r="U256"/>
          <cell r="V256">
            <v>0</v>
          </cell>
          <cell r="W256">
            <v>20.6</v>
          </cell>
          <cell r="X256">
            <v>22.25</v>
          </cell>
          <cell r="Y256"/>
          <cell r="Z256">
            <v>164.62</v>
          </cell>
          <cell r="AA256">
            <v>36.200000000000003</v>
          </cell>
          <cell r="AB256"/>
          <cell r="AC256" t="str">
            <v>الفنية</v>
          </cell>
        </row>
        <row r="257">
          <cell r="A257">
            <v>28512152500072</v>
          </cell>
          <cell r="B257">
            <v>79</v>
          </cell>
          <cell r="C257" t="str">
            <v>محمد بيومى ثابت على</v>
          </cell>
          <cell r="D257">
            <v>1044.94</v>
          </cell>
          <cell r="E257"/>
          <cell r="F257">
            <v>5.33</v>
          </cell>
          <cell r="G257"/>
          <cell r="H257">
            <v>95</v>
          </cell>
          <cell r="I257"/>
          <cell r="J257"/>
          <cell r="K257"/>
          <cell r="L257"/>
          <cell r="M257"/>
          <cell r="N257"/>
          <cell r="O257">
            <v>95</v>
          </cell>
          <cell r="P257"/>
          <cell r="Q257"/>
          <cell r="R257">
            <v>230.5</v>
          </cell>
          <cell r="S257">
            <v>14028.949999999999</v>
          </cell>
          <cell r="T257"/>
          <cell r="U257"/>
          <cell r="V257">
            <v>0</v>
          </cell>
          <cell r="W257">
            <v>6.55</v>
          </cell>
          <cell r="X257">
            <v>8.25</v>
          </cell>
          <cell r="Y257"/>
          <cell r="Z257"/>
          <cell r="AA257"/>
          <cell r="AB257"/>
          <cell r="AC257" t="str">
            <v>الفنية الثالثة</v>
          </cell>
        </row>
        <row r="258">
          <cell r="A258">
            <v>26206102500178</v>
          </cell>
          <cell r="B258">
            <v>80</v>
          </cell>
          <cell r="C258" t="str">
            <v>محمد حسن عبد الرحيم حسن</v>
          </cell>
          <cell r="D258">
            <v>2015.43</v>
          </cell>
          <cell r="E258">
            <v>529.65</v>
          </cell>
          <cell r="F258">
            <v>96.75</v>
          </cell>
          <cell r="G258">
            <v>61.78</v>
          </cell>
          <cell r="H258">
            <v>150</v>
          </cell>
          <cell r="I258"/>
          <cell r="J258"/>
          <cell r="K258"/>
          <cell r="L258"/>
          <cell r="M258"/>
          <cell r="N258">
            <v>37.5</v>
          </cell>
          <cell r="O258">
            <v>187.5</v>
          </cell>
          <cell r="P258"/>
          <cell r="Q258"/>
          <cell r="R258">
            <v>617.80999999999995</v>
          </cell>
          <cell r="S258">
            <v>29160</v>
          </cell>
          <cell r="T258"/>
          <cell r="U258"/>
          <cell r="V258">
            <v>0</v>
          </cell>
          <cell r="W258">
            <v>19.05</v>
          </cell>
          <cell r="X258">
            <v>21.4</v>
          </cell>
          <cell r="Y258"/>
          <cell r="Z258">
            <v>144.35</v>
          </cell>
          <cell r="AA258">
            <v>33.869999999999997</v>
          </cell>
          <cell r="AB258"/>
          <cell r="AC258" t="str">
            <v>الفنية</v>
          </cell>
        </row>
        <row r="259">
          <cell r="A259">
            <v>27801012510157</v>
          </cell>
          <cell r="B259">
            <v>81</v>
          </cell>
          <cell r="C259" t="str">
            <v>محمد حسين فاضل احمد</v>
          </cell>
          <cell r="D259">
            <v>1194.73</v>
          </cell>
          <cell r="E259"/>
          <cell r="F259">
            <v>6.04</v>
          </cell>
          <cell r="G259"/>
          <cell r="H259">
            <v>150</v>
          </cell>
          <cell r="I259"/>
          <cell r="J259">
            <v>199.58</v>
          </cell>
          <cell r="K259"/>
          <cell r="L259"/>
          <cell r="M259"/>
          <cell r="N259"/>
          <cell r="O259">
            <v>349.58000000000004</v>
          </cell>
          <cell r="P259"/>
          <cell r="Q259"/>
          <cell r="R259">
            <v>270.8</v>
          </cell>
          <cell r="S259">
            <v>29160</v>
          </cell>
          <cell r="T259"/>
          <cell r="U259"/>
          <cell r="V259">
            <v>0</v>
          </cell>
          <cell r="W259">
            <v>8.4499999999999993</v>
          </cell>
          <cell r="X259">
            <v>11.15</v>
          </cell>
          <cell r="Y259"/>
          <cell r="Z259">
            <v>4.2300000000000004</v>
          </cell>
          <cell r="AA259">
            <v>6.77</v>
          </cell>
          <cell r="AB259"/>
          <cell r="AC259" t="str">
            <v>الفنية الثالثة</v>
          </cell>
        </row>
        <row r="260">
          <cell r="A260">
            <v>29108282500153</v>
          </cell>
          <cell r="B260">
            <v>82</v>
          </cell>
          <cell r="C260" t="str">
            <v>محمد حماده سويفي قطب</v>
          </cell>
          <cell r="D260">
            <v>1029.0999999999999</v>
          </cell>
          <cell r="E260"/>
          <cell r="F260">
            <v>5.54</v>
          </cell>
          <cell r="G260"/>
          <cell r="H260">
            <v>4.7</v>
          </cell>
          <cell r="I260"/>
          <cell r="J260"/>
          <cell r="K260"/>
          <cell r="L260"/>
          <cell r="M260"/>
          <cell r="N260"/>
          <cell r="O260">
            <v>4.7</v>
          </cell>
          <cell r="P260"/>
          <cell r="Q260"/>
          <cell r="R260">
            <v>206.25</v>
          </cell>
          <cell r="S260"/>
          <cell r="T260"/>
          <cell r="U260"/>
          <cell r="V260">
            <v>0</v>
          </cell>
          <cell r="W260"/>
          <cell r="X260">
            <v>7.5</v>
          </cell>
          <cell r="Y260"/>
          <cell r="Z260"/>
          <cell r="AA260"/>
          <cell r="AB260"/>
          <cell r="AC260" t="str">
            <v>الفنية الثالثة</v>
          </cell>
        </row>
        <row r="261">
          <cell r="A261">
            <v>26611252500178</v>
          </cell>
          <cell r="B261">
            <v>83</v>
          </cell>
          <cell r="C261" t="str">
            <v>محمد رفعت عثمان عبدالرحمن محمود</v>
          </cell>
          <cell r="D261">
            <v>1403.33</v>
          </cell>
          <cell r="E261">
            <v>117.02</v>
          </cell>
          <cell r="F261">
            <v>33.53</v>
          </cell>
          <cell r="G261"/>
          <cell r="H261">
            <v>50</v>
          </cell>
          <cell r="I261"/>
          <cell r="J261"/>
          <cell r="K261"/>
          <cell r="L261"/>
          <cell r="M261"/>
          <cell r="N261"/>
          <cell r="O261">
            <v>50</v>
          </cell>
          <cell r="P261"/>
          <cell r="Q261"/>
          <cell r="R261">
            <v>364.57</v>
          </cell>
          <cell r="S261">
            <v>20219.43</v>
          </cell>
          <cell r="T261"/>
          <cell r="U261"/>
          <cell r="V261">
            <v>0</v>
          </cell>
          <cell r="W261">
            <v>10.4</v>
          </cell>
          <cell r="X261">
            <v>11.6</v>
          </cell>
          <cell r="Y261"/>
          <cell r="Z261">
            <v>29.65</v>
          </cell>
          <cell r="AA261">
            <v>7.94</v>
          </cell>
          <cell r="AB261"/>
          <cell r="AC261" t="str">
            <v>الفنية الثالثة</v>
          </cell>
        </row>
        <row r="262">
          <cell r="A262">
            <v>27306132500197</v>
          </cell>
          <cell r="B262">
            <v>84</v>
          </cell>
          <cell r="C262" t="str">
            <v>محمد رمضان حسن حمدان</v>
          </cell>
          <cell r="D262">
            <v>1349.57</v>
          </cell>
          <cell r="E262">
            <v>26.76</v>
          </cell>
          <cell r="F262">
            <v>17.61</v>
          </cell>
          <cell r="G262"/>
          <cell r="H262">
            <v>150</v>
          </cell>
          <cell r="I262"/>
          <cell r="J262"/>
          <cell r="K262"/>
          <cell r="L262">
            <v>15</v>
          </cell>
          <cell r="M262"/>
          <cell r="N262"/>
          <cell r="O262">
            <v>165</v>
          </cell>
          <cell r="P262"/>
          <cell r="Q262"/>
          <cell r="R262">
            <v>324.2</v>
          </cell>
          <cell r="S262">
            <v>18558.16</v>
          </cell>
          <cell r="T262"/>
          <cell r="U262"/>
          <cell r="V262">
            <v>0</v>
          </cell>
          <cell r="W262">
            <v>10.15</v>
          </cell>
          <cell r="X262">
            <v>11.35</v>
          </cell>
          <cell r="Y262"/>
          <cell r="Z262">
            <v>26.79</v>
          </cell>
          <cell r="AA262">
            <v>7.26</v>
          </cell>
          <cell r="AB262"/>
          <cell r="AC262" t="str">
            <v>الفنية الثالثة</v>
          </cell>
        </row>
        <row r="263">
          <cell r="A263">
            <v>28201302500313</v>
          </cell>
          <cell r="B263">
            <v>85</v>
          </cell>
          <cell r="C263" t="str">
            <v>محمد صلاح محمد احمد زيان</v>
          </cell>
          <cell r="D263">
            <v>1164.45</v>
          </cell>
          <cell r="E263"/>
          <cell r="F263">
            <v>5.97</v>
          </cell>
          <cell r="G263"/>
          <cell r="H263">
            <v>145</v>
          </cell>
          <cell r="I263"/>
          <cell r="J263">
            <v>144.59</v>
          </cell>
          <cell r="K263"/>
          <cell r="L263"/>
          <cell r="M263"/>
          <cell r="N263"/>
          <cell r="O263">
            <v>289.59000000000003</v>
          </cell>
          <cell r="P263"/>
          <cell r="Q263"/>
          <cell r="R263">
            <v>259.85000000000002</v>
          </cell>
          <cell r="S263">
            <v>15484.6</v>
          </cell>
          <cell r="T263"/>
          <cell r="U263"/>
          <cell r="V263">
            <v>0</v>
          </cell>
          <cell r="W263">
            <v>8.1999999999999993</v>
          </cell>
          <cell r="X263">
            <v>10.5</v>
          </cell>
          <cell r="Y263"/>
          <cell r="Z263">
            <v>0.71</v>
          </cell>
          <cell r="AA263">
            <v>5.09</v>
          </cell>
          <cell r="AB263"/>
          <cell r="AC263" t="str">
            <v>الفنية الثالثة</v>
          </cell>
        </row>
        <row r="264">
          <cell r="A264">
            <v>28105252500318</v>
          </cell>
          <cell r="B264">
            <v>86</v>
          </cell>
          <cell r="C264" t="str">
            <v>محمد عادل محمد علي</v>
          </cell>
          <cell r="D264">
            <v>1050.78</v>
          </cell>
          <cell r="E264"/>
          <cell r="F264">
            <v>5.35</v>
          </cell>
          <cell r="G264"/>
          <cell r="H264">
            <v>145</v>
          </cell>
          <cell r="I264"/>
          <cell r="J264"/>
          <cell r="K264"/>
          <cell r="L264"/>
          <cell r="M264"/>
          <cell r="N264"/>
          <cell r="O264">
            <v>145</v>
          </cell>
          <cell r="P264"/>
          <cell r="Q264"/>
          <cell r="R264">
            <v>232.5</v>
          </cell>
          <cell r="S264">
            <v>14190.670000000002</v>
          </cell>
          <cell r="T264">
            <v>7.1</v>
          </cell>
          <cell r="U264"/>
          <cell r="V264">
            <v>7.1</v>
          </cell>
          <cell r="W264">
            <v>7.8</v>
          </cell>
          <cell r="X264">
            <v>8.65</v>
          </cell>
          <cell r="Y264"/>
          <cell r="Z264"/>
          <cell r="AA264">
            <v>0.12</v>
          </cell>
          <cell r="AB264"/>
          <cell r="AC264" t="str">
            <v>الفنية الثالثة</v>
          </cell>
        </row>
        <row r="265">
          <cell r="A265">
            <v>28903022502536</v>
          </cell>
          <cell r="B265">
            <v>87</v>
          </cell>
          <cell r="C265" t="str">
            <v>محمد عاطف سيد حسن</v>
          </cell>
          <cell r="D265">
            <v>916.78</v>
          </cell>
          <cell r="E265"/>
          <cell r="F265">
            <v>5.31</v>
          </cell>
          <cell r="G265"/>
          <cell r="H265">
            <v>2.66</v>
          </cell>
          <cell r="I265"/>
          <cell r="J265"/>
          <cell r="K265"/>
          <cell r="L265"/>
          <cell r="M265"/>
          <cell r="N265"/>
          <cell r="O265">
            <v>2.66</v>
          </cell>
          <cell r="P265"/>
          <cell r="Q265"/>
          <cell r="R265">
            <v>214.5</v>
          </cell>
          <cell r="S265"/>
          <cell r="T265"/>
          <cell r="U265"/>
          <cell r="V265">
            <v>0</v>
          </cell>
          <cell r="W265"/>
          <cell r="X265">
            <v>6.2</v>
          </cell>
          <cell r="Y265"/>
          <cell r="Z265"/>
          <cell r="AA265"/>
          <cell r="AB265"/>
          <cell r="AC265" t="str">
            <v>الفنية الثالثة</v>
          </cell>
        </row>
        <row r="266">
          <cell r="A266">
            <v>28805012500479</v>
          </cell>
          <cell r="B266">
            <v>88</v>
          </cell>
          <cell r="C266" t="str">
            <v>محمد عباس ابوالعلا بخيت</v>
          </cell>
          <cell r="D266">
            <v>1010.68</v>
          </cell>
          <cell r="E266"/>
          <cell r="F266">
            <v>5.09</v>
          </cell>
          <cell r="G266"/>
          <cell r="H266">
            <v>50</v>
          </cell>
          <cell r="I266"/>
          <cell r="J266"/>
          <cell r="K266"/>
          <cell r="L266"/>
          <cell r="M266"/>
          <cell r="N266"/>
          <cell r="O266">
            <v>50</v>
          </cell>
          <cell r="P266"/>
          <cell r="Q266"/>
          <cell r="R266">
            <v>228.5</v>
          </cell>
          <cell r="S266">
            <v>13568.460000000001</v>
          </cell>
          <cell r="T266"/>
          <cell r="U266"/>
          <cell r="V266">
            <v>0</v>
          </cell>
          <cell r="W266">
            <v>6.35</v>
          </cell>
          <cell r="X266">
            <v>7.65</v>
          </cell>
          <cell r="Y266"/>
          <cell r="Z266"/>
          <cell r="AA266"/>
          <cell r="AB266"/>
          <cell r="AC266" t="str">
            <v>الفنية الثالثة</v>
          </cell>
        </row>
        <row r="267">
          <cell r="A267">
            <v>27304032501231</v>
          </cell>
          <cell r="B267">
            <v>89</v>
          </cell>
          <cell r="C267" t="str">
            <v>محمد عباس حسان سيد</v>
          </cell>
          <cell r="D267">
            <v>1640.96</v>
          </cell>
          <cell r="E267">
            <v>362.21</v>
          </cell>
          <cell r="F267">
            <v>75.28</v>
          </cell>
          <cell r="G267"/>
          <cell r="H267">
            <v>150</v>
          </cell>
          <cell r="I267"/>
          <cell r="J267"/>
          <cell r="K267"/>
          <cell r="L267">
            <v>15</v>
          </cell>
          <cell r="M267"/>
          <cell r="N267"/>
          <cell r="O267">
            <v>165</v>
          </cell>
          <cell r="P267"/>
          <cell r="Q267"/>
          <cell r="R267">
            <v>485.98</v>
          </cell>
          <cell r="S267">
            <v>29160</v>
          </cell>
          <cell r="T267"/>
          <cell r="U267"/>
          <cell r="V267">
            <v>0</v>
          </cell>
          <cell r="W267">
            <v>14.75</v>
          </cell>
          <cell r="X267">
            <v>16.100000000000001</v>
          </cell>
          <cell r="Y267"/>
          <cell r="Z267">
            <v>87.12</v>
          </cell>
          <cell r="AA267">
            <v>19.920000000000002</v>
          </cell>
          <cell r="AB267"/>
          <cell r="AC267" t="str">
            <v>الفنية</v>
          </cell>
        </row>
        <row r="268">
          <cell r="A268">
            <v>28901012502055</v>
          </cell>
          <cell r="B268">
            <v>90</v>
          </cell>
          <cell r="C268" t="str">
            <v>محمد عبدالله ابراهيم محمود</v>
          </cell>
          <cell r="D268">
            <v>1050.78</v>
          </cell>
          <cell r="E268"/>
          <cell r="F268">
            <v>5.35</v>
          </cell>
          <cell r="G268"/>
          <cell r="H268">
            <v>100</v>
          </cell>
          <cell r="I268"/>
          <cell r="J268">
            <v>184.45</v>
          </cell>
          <cell r="K268"/>
          <cell r="L268"/>
          <cell r="M268"/>
          <cell r="N268"/>
          <cell r="O268">
            <v>284.45</v>
          </cell>
          <cell r="P268"/>
          <cell r="Q268"/>
          <cell r="R268">
            <v>232.5</v>
          </cell>
          <cell r="S268">
            <v>13869.820000000003</v>
          </cell>
          <cell r="T268"/>
          <cell r="U268"/>
          <cell r="V268">
            <v>0</v>
          </cell>
          <cell r="W268">
            <v>7.45</v>
          </cell>
          <cell r="X268">
            <v>9.6</v>
          </cell>
          <cell r="Y268"/>
          <cell r="Z268"/>
          <cell r="AA268">
            <v>2.62</v>
          </cell>
          <cell r="AB268"/>
          <cell r="AC268" t="str">
            <v>الفنية الثالثة</v>
          </cell>
        </row>
        <row r="269">
          <cell r="A269">
            <v>28804082500291</v>
          </cell>
          <cell r="B269">
            <v>91</v>
          </cell>
          <cell r="C269" t="str">
            <v>محمد عبده كامل احمد</v>
          </cell>
          <cell r="D269">
            <v>1015.95</v>
          </cell>
          <cell r="E269"/>
          <cell r="F269">
            <v>5.16</v>
          </cell>
          <cell r="G269"/>
          <cell r="H269">
            <v>140</v>
          </cell>
          <cell r="I269"/>
          <cell r="J269"/>
          <cell r="K269"/>
          <cell r="L269"/>
          <cell r="M269"/>
          <cell r="N269"/>
          <cell r="O269">
            <v>140</v>
          </cell>
          <cell r="P269"/>
          <cell r="Q269"/>
          <cell r="R269">
            <v>230.5</v>
          </cell>
          <cell r="S269">
            <v>13734.669999999998</v>
          </cell>
          <cell r="T269"/>
          <cell r="U269"/>
          <cell r="V269">
            <v>0</v>
          </cell>
          <cell r="W269">
            <v>7.15</v>
          </cell>
          <cell r="X269">
            <v>8.4</v>
          </cell>
          <cell r="Y269"/>
          <cell r="Z269"/>
          <cell r="AA269"/>
          <cell r="AB269"/>
          <cell r="AC269" t="str">
            <v>الفنية الثالثة</v>
          </cell>
        </row>
        <row r="270">
          <cell r="A270">
            <v>26809022500131</v>
          </cell>
          <cell r="B270">
            <v>92</v>
          </cell>
          <cell r="C270" t="str">
            <v>محمد عبده محمد غزالي</v>
          </cell>
          <cell r="D270">
            <v>1010.68</v>
          </cell>
          <cell r="E270"/>
          <cell r="F270">
            <v>5.09</v>
          </cell>
          <cell r="G270"/>
          <cell r="H270">
            <v>150</v>
          </cell>
          <cell r="I270"/>
          <cell r="J270">
            <v>185.36</v>
          </cell>
          <cell r="K270"/>
          <cell r="L270"/>
          <cell r="M270"/>
          <cell r="N270"/>
          <cell r="O270">
            <v>335.36</v>
          </cell>
          <cell r="P270"/>
          <cell r="Q270"/>
          <cell r="R270">
            <v>228.5</v>
          </cell>
          <cell r="S270">
            <v>23640.55</v>
          </cell>
          <cell r="T270"/>
          <cell r="U270"/>
          <cell r="V270">
            <v>0</v>
          </cell>
          <cell r="W270">
            <v>7.55</v>
          </cell>
          <cell r="X270">
            <v>9.65</v>
          </cell>
          <cell r="Y270"/>
          <cell r="Z270"/>
          <cell r="AA270">
            <v>2.83</v>
          </cell>
          <cell r="AB270"/>
          <cell r="AC270" t="str">
            <v>الفنية الثالثة</v>
          </cell>
        </row>
        <row r="271">
          <cell r="A271">
            <v>27103212500076</v>
          </cell>
          <cell r="B271">
            <v>93</v>
          </cell>
          <cell r="C271" t="str">
            <v>محمد علم الدين محمد احمد</v>
          </cell>
          <cell r="D271">
            <v>1070.94</v>
          </cell>
          <cell r="E271"/>
          <cell r="F271">
            <v>5.87</v>
          </cell>
          <cell r="G271"/>
          <cell r="H271">
            <v>150</v>
          </cell>
          <cell r="I271"/>
          <cell r="J271"/>
          <cell r="K271"/>
          <cell r="L271"/>
          <cell r="M271"/>
          <cell r="N271"/>
          <cell r="O271">
            <v>150</v>
          </cell>
          <cell r="P271"/>
          <cell r="Q271"/>
          <cell r="R271">
            <v>224.5</v>
          </cell>
          <cell r="S271">
            <v>14137.699999999999</v>
          </cell>
          <cell r="T271"/>
          <cell r="U271"/>
          <cell r="V271">
            <v>0</v>
          </cell>
          <cell r="W271">
            <v>7.6</v>
          </cell>
          <cell r="X271">
            <v>8.9</v>
          </cell>
          <cell r="Y271"/>
          <cell r="Z271"/>
          <cell r="AA271">
            <v>0.78</v>
          </cell>
          <cell r="AB271"/>
          <cell r="AC271" t="str">
            <v>الفنية الثالثة</v>
          </cell>
        </row>
        <row r="272">
          <cell r="A272">
            <v>26602022501915</v>
          </cell>
          <cell r="B272">
            <v>94</v>
          </cell>
          <cell r="C272" t="str">
            <v>محمد فرغلى حسن فرغلى</v>
          </cell>
          <cell r="D272">
            <v>1458.61</v>
          </cell>
          <cell r="E272">
            <v>149.5</v>
          </cell>
          <cell r="F272">
            <v>42.79</v>
          </cell>
          <cell r="G272"/>
          <cell r="H272">
            <v>150</v>
          </cell>
          <cell r="I272"/>
          <cell r="J272"/>
          <cell r="K272"/>
          <cell r="L272"/>
          <cell r="M272"/>
          <cell r="N272"/>
          <cell r="O272">
            <v>150</v>
          </cell>
          <cell r="P272"/>
          <cell r="Q272"/>
          <cell r="R272">
            <v>385.42</v>
          </cell>
          <cell r="S272">
            <v>21409.5</v>
          </cell>
          <cell r="T272"/>
          <cell r="U272"/>
          <cell r="V272">
            <v>0</v>
          </cell>
          <cell r="W272">
            <v>11.8</v>
          </cell>
          <cell r="X272">
            <v>13.05</v>
          </cell>
          <cell r="Y272"/>
          <cell r="Z272">
            <v>48.15</v>
          </cell>
          <cell r="AA272">
            <v>11.76</v>
          </cell>
          <cell r="AB272"/>
          <cell r="AC272" t="str">
            <v>الفنية الثالثة</v>
          </cell>
        </row>
        <row r="273">
          <cell r="A273">
            <v>29103172500377</v>
          </cell>
          <cell r="B273">
            <v>95</v>
          </cell>
          <cell r="C273" t="str">
            <v>محمد محمد حسن جاد</v>
          </cell>
          <cell r="D273">
            <v>986.29</v>
          </cell>
          <cell r="E273"/>
          <cell r="F273">
            <v>5.36</v>
          </cell>
          <cell r="G273"/>
          <cell r="H273">
            <v>100</v>
          </cell>
          <cell r="I273"/>
          <cell r="J273">
            <v>199.58</v>
          </cell>
          <cell r="K273"/>
          <cell r="L273"/>
          <cell r="M273"/>
          <cell r="N273"/>
          <cell r="O273">
            <v>299.58000000000004</v>
          </cell>
          <cell r="P273"/>
          <cell r="Q273"/>
          <cell r="R273">
            <v>214.5</v>
          </cell>
          <cell r="S273">
            <v>25810.58</v>
          </cell>
          <cell r="T273"/>
          <cell r="U273"/>
          <cell r="V273">
            <v>0</v>
          </cell>
          <cell r="W273">
            <v>6.2</v>
          </cell>
          <cell r="X273">
            <v>9.1999999999999993</v>
          </cell>
          <cell r="Y273"/>
          <cell r="Z273"/>
          <cell r="AA273">
            <v>1.61</v>
          </cell>
          <cell r="AB273"/>
          <cell r="AC273" t="str">
            <v>الفنية الثالثة</v>
          </cell>
        </row>
        <row r="274">
          <cell r="A274">
            <v>27101072501678</v>
          </cell>
          <cell r="B274">
            <v>96</v>
          </cell>
          <cell r="C274" t="str">
            <v>محمد محمد محمود سيد</v>
          </cell>
          <cell r="D274">
            <v>904.15</v>
          </cell>
          <cell r="E274"/>
          <cell r="F274">
            <v>5.34</v>
          </cell>
          <cell r="G274"/>
          <cell r="H274">
            <v>7.98</v>
          </cell>
          <cell r="I274"/>
          <cell r="J274">
            <v>79.38</v>
          </cell>
          <cell r="K274"/>
          <cell r="L274"/>
          <cell r="M274"/>
          <cell r="N274"/>
          <cell r="O274">
            <v>87.36</v>
          </cell>
          <cell r="P274"/>
          <cell r="Q274"/>
          <cell r="R274">
            <v>208.5</v>
          </cell>
          <cell r="S274"/>
          <cell r="T274"/>
          <cell r="U274"/>
          <cell r="V274">
            <v>0</v>
          </cell>
          <cell r="W274"/>
          <cell r="X274">
            <v>6.65</v>
          </cell>
          <cell r="Y274"/>
          <cell r="Z274"/>
          <cell r="AA274"/>
          <cell r="AB274"/>
          <cell r="AC274" t="str">
            <v>الفنية الثالثة</v>
          </cell>
        </row>
        <row r="275">
          <cell r="A275">
            <v>26509202502073</v>
          </cell>
          <cell r="B275">
            <v>97</v>
          </cell>
          <cell r="C275" t="str">
            <v>محمد محمود علي محمود</v>
          </cell>
          <cell r="D275">
            <v>1384.39</v>
          </cell>
          <cell r="E275">
            <v>43.13</v>
          </cell>
          <cell r="F275">
            <v>22.94</v>
          </cell>
          <cell r="G275"/>
          <cell r="H275">
            <v>150</v>
          </cell>
          <cell r="I275"/>
          <cell r="J275"/>
          <cell r="K275"/>
          <cell r="L275"/>
          <cell r="M275"/>
          <cell r="N275"/>
          <cell r="O275">
            <v>150</v>
          </cell>
          <cell r="P275"/>
          <cell r="Q275"/>
          <cell r="R275">
            <v>337.1</v>
          </cell>
          <cell r="S275">
            <v>18949.430000000004</v>
          </cell>
          <cell r="T275">
            <v>10.89</v>
          </cell>
          <cell r="U275"/>
          <cell r="V275">
            <v>10.89</v>
          </cell>
          <cell r="W275">
            <v>10.45</v>
          </cell>
          <cell r="X275">
            <v>11.55</v>
          </cell>
          <cell r="Y275"/>
          <cell r="Z275">
            <v>29.36</v>
          </cell>
          <cell r="AA275">
            <v>7.85</v>
          </cell>
          <cell r="AB275"/>
          <cell r="AC275" t="str">
            <v>الفنية الثالثة</v>
          </cell>
        </row>
        <row r="276">
          <cell r="A276">
            <v>28603212500293</v>
          </cell>
          <cell r="B276">
            <v>98</v>
          </cell>
          <cell r="C276" t="str">
            <v>محمد مكي محمد عبداللة حسن</v>
          </cell>
          <cell r="D276">
            <v>912.5</v>
          </cell>
          <cell r="E276"/>
          <cell r="F276">
            <v>5.33</v>
          </cell>
          <cell r="G276"/>
          <cell r="H276">
            <v>7.98</v>
          </cell>
          <cell r="I276"/>
          <cell r="J276">
            <v>84.46</v>
          </cell>
          <cell r="K276"/>
          <cell r="L276"/>
          <cell r="M276"/>
          <cell r="N276"/>
          <cell r="O276">
            <v>92.44</v>
          </cell>
          <cell r="P276"/>
          <cell r="Q276"/>
          <cell r="R276">
            <v>212.5</v>
          </cell>
          <cell r="S276"/>
          <cell r="T276"/>
          <cell r="U276"/>
          <cell r="V276">
            <v>0</v>
          </cell>
          <cell r="W276"/>
          <cell r="X276">
            <v>8.3000000000000007</v>
          </cell>
          <cell r="Y276"/>
          <cell r="Z276"/>
          <cell r="AA276"/>
          <cell r="AB276"/>
          <cell r="AC276" t="str">
            <v>الفنية الثالثة</v>
          </cell>
        </row>
        <row r="277">
          <cell r="A277">
            <v>25911142500253</v>
          </cell>
          <cell r="B277">
            <v>99</v>
          </cell>
          <cell r="C277" t="str">
            <v>محمد يوسف عبد الحليم محمد</v>
          </cell>
          <cell r="D277">
            <v>2200.36</v>
          </cell>
          <cell r="E277">
            <v>749.73</v>
          </cell>
          <cell r="F277">
            <v>112.25</v>
          </cell>
          <cell r="G277">
            <v>72.41</v>
          </cell>
          <cell r="H277">
            <v>150</v>
          </cell>
          <cell r="I277"/>
          <cell r="J277"/>
          <cell r="K277"/>
          <cell r="L277"/>
          <cell r="M277"/>
          <cell r="N277"/>
          <cell r="O277">
            <v>150</v>
          </cell>
          <cell r="P277"/>
          <cell r="Q277"/>
          <cell r="R277">
            <v>724.19</v>
          </cell>
          <cell r="S277">
            <v>29160</v>
          </cell>
          <cell r="T277"/>
          <cell r="U277"/>
          <cell r="V277">
            <v>0</v>
          </cell>
          <cell r="W277">
            <v>21.7</v>
          </cell>
          <cell r="X277">
            <v>23.4</v>
          </cell>
          <cell r="Y277"/>
          <cell r="Z277">
            <v>179.07</v>
          </cell>
          <cell r="AA277">
            <v>119.71</v>
          </cell>
          <cell r="AB277"/>
          <cell r="AC277" t="str">
            <v>الفنية</v>
          </cell>
        </row>
        <row r="278">
          <cell r="A278">
            <v>28811082502711</v>
          </cell>
          <cell r="B278">
            <v>100</v>
          </cell>
          <cell r="C278" t="str">
            <v>محمد يوسف محمد يوسف</v>
          </cell>
          <cell r="D278">
            <v>1040.56</v>
          </cell>
          <cell r="E278"/>
          <cell r="F278">
            <v>5.65</v>
          </cell>
          <cell r="G278"/>
          <cell r="H278">
            <v>100</v>
          </cell>
          <cell r="I278"/>
          <cell r="J278">
            <v>88.62</v>
          </cell>
          <cell r="K278"/>
          <cell r="L278"/>
          <cell r="M278"/>
          <cell r="N278"/>
          <cell r="O278">
            <v>188.62</v>
          </cell>
          <cell r="P278"/>
          <cell r="Q278"/>
          <cell r="R278">
            <v>220.5</v>
          </cell>
          <cell r="S278">
            <v>21083.18</v>
          </cell>
          <cell r="T278"/>
          <cell r="U278"/>
          <cell r="V278">
            <v>0</v>
          </cell>
          <cell r="W278">
            <v>6.2</v>
          </cell>
          <cell r="X278">
            <v>8.85</v>
          </cell>
          <cell r="Y278"/>
          <cell r="Z278"/>
          <cell r="AA278">
            <v>0.74</v>
          </cell>
          <cell r="AB278"/>
          <cell r="AC278" t="str">
            <v>الفنية الثالثة</v>
          </cell>
        </row>
        <row r="279">
          <cell r="A279">
            <v>26610112501836</v>
          </cell>
          <cell r="B279">
            <v>101</v>
          </cell>
          <cell r="C279" t="str">
            <v>محمود ابو الغيط علي رسلان</v>
          </cell>
          <cell r="D279">
            <v>1080.44</v>
          </cell>
          <cell r="E279"/>
          <cell r="F279">
            <v>5.92</v>
          </cell>
          <cell r="G279"/>
          <cell r="H279">
            <v>150</v>
          </cell>
          <cell r="I279"/>
          <cell r="J279">
            <v>178.29</v>
          </cell>
          <cell r="K279"/>
          <cell r="L279"/>
          <cell r="M279"/>
          <cell r="N279"/>
          <cell r="O279">
            <v>328.28999999999996</v>
          </cell>
          <cell r="P279"/>
          <cell r="Q279"/>
          <cell r="R279">
            <v>224.5</v>
          </cell>
          <cell r="S279">
            <v>23752.000000000004</v>
          </cell>
          <cell r="T279">
            <v>48.33</v>
          </cell>
          <cell r="U279"/>
          <cell r="V279">
            <v>48.33</v>
          </cell>
          <cell r="W279">
            <v>7.7</v>
          </cell>
          <cell r="X279">
            <v>9.8000000000000007</v>
          </cell>
          <cell r="Y279"/>
          <cell r="Z279"/>
          <cell r="AA279">
            <v>3.16</v>
          </cell>
          <cell r="AB279"/>
          <cell r="AC279" t="str">
            <v>الفنية الثالثة</v>
          </cell>
        </row>
        <row r="280">
          <cell r="A280">
            <v>28401202500439</v>
          </cell>
          <cell r="B280">
            <v>102</v>
          </cell>
          <cell r="C280" t="str">
            <v>محمود احمد عبد الحافظ احمد</v>
          </cell>
          <cell r="D280">
            <v>1010.68</v>
          </cell>
          <cell r="E280"/>
          <cell r="F280">
            <v>5.09</v>
          </cell>
          <cell r="G280"/>
          <cell r="H280">
            <v>50</v>
          </cell>
          <cell r="I280"/>
          <cell r="J280"/>
          <cell r="K280"/>
          <cell r="L280"/>
          <cell r="M280"/>
          <cell r="N280"/>
          <cell r="O280">
            <v>50</v>
          </cell>
          <cell r="P280"/>
          <cell r="Q280"/>
          <cell r="R280">
            <v>228.5</v>
          </cell>
          <cell r="S280">
            <v>13769.54</v>
          </cell>
          <cell r="T280"/>
          <cell r="U280"/>
          <cell r="V280">
            <v>0</v>
          </cell>
          <cell r="W280">
            <v>6.35</v>
          </cell>
          <cell r="X280">
            <v>7.65</v>
          </cell>
          <cell r="Y280"/>
          <cell r="Z280"/>
          <cell r="AA280"/>
          <cell r="AB280"/>
          <cell r="AC280" t="str">
            <v>الفنية الثالثة</v>
          </cell>
        </row>
        <row r="281">
          <cell r="A281">
            <v>28805102500214</v>
          </cell>
          <cell r="B281">
            <v>103</v>
          </cell>
          <cell r="C281" t="str">
            <v>محمود احمد فرحان علي</v>
          </cell>
          <cell r="D281">
            <v>941.6</v>
          </cell>
          <cell r="E281"/>
          <cell r="F281">
            <v>5.31</v>
          </cell>
          <cell r="G281"/>
          <cell r="H281">
            <v>145</v>
          </cell>
          <cell r="I281"/>
          <cell r="J281">
            <v>85</v>
          </cell>
          <cell r="K281"/>
          <cell r="L281"/>
          <cell r="M281"/>
          <cell r="N281"/>
          <cell r="O281">
            <v>230</v>
          </cell>
          <cell r="P281"/>
          <cell r="Q281"/>
          <cell r="R281">
            <v>214.5</v>
          </cell>
          <cell r="S281">
            <v>13118.920000000002</v>
          </cell>
          <cell r="T281"/>
          <cell r="U281"/>
          <cell r="V281">
            <v>0</v>
          </cell>
          <cell r="W281">
            <v>6.6</v>
          </cell>
          <cell r="X281">
            <v>8.4499999999999993</v>
          </cell>
          <cell r="Y281"/>
          <cell r="Z281"/>
          <cell r="AA281"/>
          <cell r="AB281"/>
          <cell r="AC281" t="str">
            <v>الفنية الثالثة</v>
          </cell>
        </row>
        <row r="282">
          <cell r="A282">
            <v>28001012510171</v>
          </cell>
          <cell r="B282">
            <v>104</v>
          </cell>
          <cell r="C282" t="str">
            <v>محمود برعى سيد محمود</v>
          </cell>
          <cell r="D282">
            <v>1024.94</v>
          </cell>
          <cell r="E282"/>
          <cell r="F282">
            <v>5.16</v>
          </cell>
          <cell r="G282"/>
          <cell r="H282">
            <v>145</v>
          </cell>
          <cell r="I282"/>
          <cell r="J282"/>
          <cell r="K282"/>
          <cell r="L282">
            <v>15</v>
          </cell>
          <cell r="M282"/>
          <cell r="N282"/>
          <cell r="O282">
            <v>160</v>
          </cell>
          <cell r="P282"/>
          <cell r="Q282"/>
          <cell r="R282">
            <v>234.5</v>
          </cell>
          <cell r="S282">
            <v>14123.329999999998</v>
          </cell>
          <cell r="T282"/>
          <cell r="U282"/>
          <cell r="V282">
            <v>0</v>
          </cell>
          <cell r="W282">
            <v>7.7</v>
          </cell>
          <cell r="X282">
            <v>8.6</v>
          </cell>
          <cell r="Y282"/>
          <cell r="Z282"/>
          <cell r="AA282"/>
          <cell r="AB282"/>
          <cell r="AC282" t="str">
            <v>الفنية الثالثة</v>
          </cell>
        </row>
        <row r="283">
          <cell r="A283">
            <v>27408052501238</v>
          </cell>
          <cell r="B283">
            <v>105</v>
          </cell>
          <cell r="C283" t="str">
            <v>محمود سيد محمد صديق</v>
          </cell>
          <cell r="D283">
            <v>1260.1400000000001</v>
          </cell>
          <cell r="E283">
            <v>57.12</v>
          </cell>
          <cell r="F283">
            <v>12.33</v>
          </cell>
          <cell r="G283"/>
          <cell r="H283">
            <v>150</v>
          </cell>
          <cell r="I283"/>
          <cell r="J283"/>
          <cell r="K283"/>
          <cell r="L283">
            <v>15</v>
          </cell>
          <cell r="M283"/>
          <cell r="N283"/>
          <cell r="O283">
            <v>165</v>
          </cell>
          <cell r="P283"/>
          <cell r="Q283"/>
          <cell r="R283">
            <v>312.69</v>
          </cell>
          <cell r="S283">
            <v>18710.939999999999</v>
          </cell>
          <cell r="T283"/>
          <cell r="U283"/>
          <cell r="V283">
            <v>0</v>
          </cell>
          <cell r="W283">
            <v>10.75</v>
          </cell>
          <cell r="X283">
            <v>10.8</v>
          </cell>
          <cell r="Y283"/>
          <cell r="Z283">
            <v>34.299999999999997</v>
          </cell>
          <cell r="AA283">
            <v>5.91</v>
          </cell>
          <cell r="AB283"/>
          <cell r="AC283" t="str">
            <v>الفنية الثالثة</v>
          </cell>
        </row>
        <row r="284">
          <cell r="A284">
            <v>27211292501776</v>
          </cell>
          <cell r="B284">
            <v>106</v>
          </cell>
          <cell r="C284" t="str">
            <v>محمود كامل محمد غزالى</v>
          </cell>
          <cell r="D284">
            <v>1298.6099999999999</v>
          </cell>
          <cell r="E284">
            <v>44.64</v>
          </cell>
          <cell r="F284">
            <v>8.67</v>
          </cell>
          <cell r="G284"/>
          <cell r="H284">
            <v>145</v>
          </cell>
          <cell r="I284"/>
          <cell r="J284">
            <v>235.17</v>
          </cell>
          <cell r="K284"/>
          <cell r="L284"/>
          <cell r="M284"/>
          <cell r="N284"/>
          <cell r="O284">
            <v>380.16999999999996</v>
          </cell>
          <cell r="P284"/>
          <cell r="Q284"/>
          <cell r="R284">
            <v>304.42</v>
          </cell>
          <cell r="S284">
            <v>29160</v>
          </cell>
          <cell r="T284">
            <v>2</v>
          </cell>
          <cell r="U284"/>
          <cell r="V284">
            <v>2</v>
          </cell>
          <cell r="W284">
            <v>9.8000000000000007</v>
          </cell>
          <cell r="X284">
            <v>12.4</v>
          </cell>
          <cell r="Y284"/>
          <cell r="Z284">
            <v>21.67</v>
          </cell>
          <cell r="AA284">
            <v>10.16</v>
          </cell>
          <cell r="AB284"/>
          <cell r="AC284" t="str">
            <v>الفنية الثالثة</v>
          </cell>
        </row>
        <row r="285">
          <cell r="A285">
            <v>28105242500093</v>
          </cell>
          <cell r="B285">
            <v>107</v>
          </cell>
          <cell r="C285" t="str">
            <v>محمود محمد عبد المعطي عبد السميع</v>
          </cell>
          <cell r="D285">
            <v>1010.2</v>
          </cell>
          <cell r="E285"/>
          <cell r="F285">
            <v>5.49</v>
          </cell>
          <cell r="G285"/>
          <cell r="H285">
            <v>50</v>
          </cell>
          <cell r="I285"/>
          <cell r="J285"/>
          <cell r="K285"/>
          <cell r="L285"/>
          <cell r="M285"/>
          <cell r="N285"/>
          <cell r="O285">
            <v>50</v>
          </cell>
          <cell r="P285"/>
          <cell r="Q285"/>
          <cell r="R285">
            <v>216.5</v>
          </cell>
          <cell r="S285">
            <v>14113.239999999998</v>
          </cell>
          <cell r="T285">
            <v>50</v>
          </cell>
          <cell r="U285"/>
          <cell r="V285">
            <v>50</v>
          </cell>
          <cell r="W285">
            <v>6.35</v>
          </cell>
          <cell r="X285">
            <v>7.3</v>
          </cell>
          <cell r="Y285"/>
          <cell r="Z285"/>
          <cell r="AA285"/>
          <cell r="AB285"/>
          <cell r="AC285" t="str">
            <v>الفنية الثالثة</v>
          </cell>
        </row>
        <row r="286">
          <cell r="A286"/>
          <cell r="B286">
            <v>108</v>
          </cell>
          <cell r="C286" t="str">
            <v>محمود محمد محفوظ شرف</v>
          </cell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>
            <v>15624.18</v>
          </cell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</row>
        <row r="287">
          <cell r="A287">
            <v>27610252501619</v>
          </cell>
          <cell r="B287">
            <v>109</v>
          </cell>
          <cell r="C287" t="str">
            <v>محمود مصطفى محمد مصطفى</v>
          </cell>
          <cell r="D287">
            <v>1262.26</v>
          </cell>
          <cell r="E287">
            <v>56.65</v>
          </cell>
          <cell r="F287">
            <v>12.48</v>
          </cell>
          <cell r="G287"/>
          <cell r="H287">
            <v>50</v>
          </cell>
          <cell r="I287"/>
          <cell r="J287">
            <v>235.17</v>
          </cell>
          <cell r="K287"/>
          <cell r="L287"/>
          <cell r="M287"/>
          <cell r="N287"/>
          <cell r="O287">
            <v>285.16999999999996</v>
          </cell>
          <cell r="P287"/>
          <cell r="Q287"/>
          <cell r="R287">
            <v>313.89</v>
          </cell>
          <cell r="S287">
            <v>29160</v>
          </cell>
          <cell r="T287"/>
          <cell r="U287"/>
          <cell r="V287">
            <v>0</v>
          </cell>
          <cell r="W287">
            <v>9.9</v>
          </cell>
          <cell r="X287">
            <v>11.55</v>
          </cell>
          <cell r="Y287"/>
          <cell r="Z287">
            <v>23.19</v>
          </cell>
          <cell r="AA287">
            <v>7.85</v>
          </cell>
          <cell r="AB287"/>
          <cell r="AC287" t="str">
            <v>الفنية الثالثة</v>
          </cell>
        </row>
        <row r="288">
          <cell r="A288">
            <v>27609182500336</v>
          </cell>
          <cell r="B288">
            <v>110</v>
          </cell>
          <cell r="C288" t="str">
            <v>مصطفى فتحى محمد دسوقى</v>
          </cell>
          <cell r="D288">
            <v>1015.95</v>
          </cell>
          <cell r="E288"/>
          <cell r="F288">
            <v>5.1100000000000003</v>
          </cell>
          <cell r="G288"/>
          <cell r="H288">
            <v>145</v>
          </cell>
          <cell r="I288"/>
          <cell r="J288">
            <v>185.91</v>
          </cell>
          <cell r="K288"/>
          <cell r="L288"/>
          <cell r="M288"/>
          <cell r="N288"/>
          <cell r="O288">
            <v>330.90999999999997</v>
          </cell>
          <cell r="P288"/>
          <cell r="Q288"/>
          <cell r="R288">
            <v>230.5</v>
          </cell>
          <cell r="S288">
            <v>12582.920000000002</v>
          </cell>
          <cell r="T288">
            <v>11.65</v>
          </cell>
          <cell r="U288"/>
          <cell r="V288">
            <v>11.65</v>
          </cell>
          <cell r="W288">
            <v>7.55</v>
          </cell>
          <cell r="X288">
            <v>9.5500000000000007</v>
          </cell>
          <cell r="Y288"/>
          <cell r="Z288"/>
          <cell r="AA288">
            <v>2.61</v>
          </cell>
          <cell r="AB288"/>
          <cell r="AC288" t="str">
            <v>الفنية الثالثة</v>
          </cell>
        </row>
        <row r="289">
          <cell r="A289">
            <v>26501052500238</v>
          </cell>
          <cell r="B289">
            <v>111</v>
          </cell>
          <cell r="C289" t="str">
            <v>مصطفى محمد احمد عمر طة</v>
          </cell>
          <cell r="D289">
            <v>1399.4</v>
          </cell>
          <cell r="E289">
            <v>48.56</v>
          </cell>
          <cell r="F289">
            <v>25.51</v>
          </cell>
          <cell r="G289"/>
          <cell r="H289">
            <v>100</v>
          </cell>
          <cell r="I289"/>
          <cell r="J289"/>
          <cell r="K289"/>
          <cell r="L289"/>
          <cell r="M289"/>
          <cell r="N289"/>
          <cell r="O289">
            <v>100</v>
          </cell>
          <cell r="P289"/>
          <cell r="Q289"/>
          <cell r="R289">
            <v>344.51</v>
          </cell>
          <cell r="S289">
            <v>19253.14</v>
          </cell>
          <cell r="T289"/>
          <cell r="U289"/>
          <cell r="V289">
            <v>0</v>
          </cell>
          <cell r="W289">
            <v>10.199999999999999</v>
          </cell>
          <cell r="X289">
            <v>11.45</v>
          </cell>
          <cell r="Y289"/>
          <cell r="Z289">
            <v>27.01</v>
          </cell>
          <cell r="AA289">
            <v>7.52</v>
          </cell>
          <cell r="AB289"/>
          <cell r="AC289" t="str">
            <v>الفنية الثالثة</v>
          </cell>
        </row>
        <row r="290">
          <cell r="A290">
            <v>28105292500051</v>
          </cell>
          <cell r="B290">
            <v>112</v>
          </cell>
          <cell r="C290" t="str">
            <v>مصطفى محمد عبد العال محمد</v>
          </cell>
          <cell r="D290">
            <v>1004.94</v>
          </cell>
          <cell r="E290"/>
          <cell r="F290">
            <v>5.39</v>
          </cell>
          <cell r="G290"/>
          <cell r="H290">
            <v>150</v>
          </cell>
          <cell r="I290"/>
          <cell r="J290"/>
          <cell r="K290"/>
          <cell r="L290"/>
          <cell r="M290"/>
          <cell r="N290"/>
          <cell r="O290">
            <v>150</v>
          </cell>
          <cell r="P290"/>
          <cell r="Q290"/>
          <cell r="R290">
            <v>226.5</v>
          </cell>
          <cell r="S290">
            <v>14043.300000000003</v>
          </cell>
          <cell r="T290"/>
          <cell r="U290"/>
          <cell r="V290">
            <v>0</v>
          </cell>
          <cell r="W290">
            <v>7.5</v>
          </cell>
          <cell r="X290">
            <v>7.85</v>
          </cell>
          <cell r="Y290"/>
          <cell r="Z290"/>
          <cell r="AA290"/>
          <cell r="AB290"/>
          <cell r="AC290" t="str">
            <v>الفنية الثالثة</v>
          </cell>
        </row>
        <row r="291">
          <cell r="A291">
            <v>27201152502572</v>
          </cell>
          <cell r="B291">
            <v>113</v>
          </cell>
          <cell r="C291" t="str">
            <v>مصطفى موسى سيد ابوغدير</v>
          </cell>
          <cell r="D291">
            <v>1226.19</v>
          </cell>
          <cell r="E291"/>
          <cell r="F291">
            <v>6.23</v>
          </cell>
          <cell r="G291"/>
          <cell r="H291">
            <v>150</v>
          </cell>
          <cell r="I291"/>
          <cell r="J291">
            <v>191.64</v>
          </cell>
          <cell r="K291"/>
          <cell r="L291"/>
          <cell r="M291"/>
          <cell r="N291"/>
          <cell r="O291">
            <v>341.64</v>
          </cell>
          <cell r="P291"/>
          <cell r="Q291"/>
          <cell r="R291">
            <v>281.85000000000002</v>
          </cell>
          <cell r="S291">
            <v>26395.5</v>
          </cell>
          <cell r="T291">
            <v>10.38</v>
          </cell>
          <cell r="U291"/>
          <cell r="V291">
            <v>10.38</v>
          </cell>
          <cell r="W291">
            <v>9.1999999999999993</v>
          </cell>
          <cell r="X291">
            <v>11.25</v>
          </cell>
          <cell r="Y291"/>
          <cell r="Z291">
            <v>12.61</v>
          </cell>
          <cell r="AA291">
            <v>7.05</v>
          </cell>
          <cell r="AB291"/>
          <cell r="AC291" t="str">
            <v>الفنية الثالثة</v>
          </cell>
        </row>
        <row r="292">
          <cell r="A292">
            <v>27308132501251</v>
          </cell>
          <cell r="B292">
            <v>114</v>
          </cell>
          <cell r="C292" t="str">
            <v>مصطفي عبدالرحمن احمد حسن</v>
          </cell>
          <cell r="D292">
            <v>1270.82</v>
          </cell>
          <cell r="E292">
            <v>48.08</v>
          </cell>
          <cell r="F292">
            <v>9.34</v>
          </cell>
          <cell r="G292"/>
          <cell r="H292">
            <v>150</v>
          </cell>
          <cell r="I292"/>
          <cell r="J292"/>
          <cell r="K292"/>
          <cell r="L292"/>
          <cell r="M292"/>
          <cell r="N292"/>
          <cell r="O292">
            <v>150</v>
          </cell>
          <cell r="P292"/>
          <cell r="Q292"/>
          <cell r="R292">
            <v>305.56</v>
          </cell>
          <cell r="S292">
            <v>17904.04</v>
          </cell>
          <cell r="T292"/>
          <cell r="U292"/>
          <cell r="V292">
            <v>0</v>
          </cell>
          <cell r="W292">
            <v>9.6</v>
          </cell>
          <cell r="X292">
            <v>10.7</v>
          </cell>
          <cell r="Y292"/>
          <cell r="Z292">
            <v>19.37</v>
          </cell>
          <cell r="AA292">
            <v>5.66</v>
          </cell>
          <cell r="AB292"/>
          <cell r="AC292" t="str">
            <v>الفنية الثالثة</v>
          </cell>
        </row>
        <row r="293">
          <cell r="A293">
            <v>26411012501437</v>
          </cell>
          <cell r="B293">
            <v>115</v>
          </cell>
          <cell r="C293" t="str">
            <v>ممدوح عبدالسلام حسن محمد</v>
          </cell>
          <cell r="D293">
            <v>1743.77</v>
          </cell>
          <cell r="E293">
            <v>409.69</v>
          </cell>
          <cell r="F293">
            <v>81.2</v>
          </cell>
          <cell r="G293"/>
          <cell r="H293">
            <v>150</v>
          </cell>
          <cell r="I293"/>
          <cell r="J293"/>
          <cell r="K293"/>
          <cell r="L293">
            <v>15</v>
          </cell>
          <cell r="M293"/>
          <cell r="N293"/>
          <cell r="O293">
            <v>165</v>
          </cell>
          <cell r="P293"/>
          <cell r="Q293"/>
          <cell r="R293">
            <v>523.35</v>
          </cell>
          <cell r="S293">
            <v>28883.010000000002</v>
          </cell>
          <cell r="T293"/>
          <cell r="U293"/>
          <cell r="V293">
            <v>0</v>
          </cell>
          <cell r="W293">
            <v>15.75</v>
          </cell>
          <cell r="X293">
            <v>17.25</v>
          </cell>
          <cell r="Y293"/>
          <cell r="Z293">
            <v>100.93</v>
          </cell>
          <cell r="AA293">
            <v>22.9</v>
          </cell>
          <cell r="AB293"/>
          <cell r="AC293" t="str">
            <v>الفنية</v>
          </cell>
        </row>
        <row r="294">
          <cell r="A294">
            <v>27709202500065</v>
          </cell>
          <cell r="B294">
            <v>116</v>
          </cell>
          <cell r="C294" t="str">
            <v>منال طة سالم احمد</v>
          </cell>
          <cell r="D294">
            <v>1388.86</v>
          </cell>
          <cell r="E294">
            <v>158.46</v>
          </cell>
          <cell r="F294">
            <v>33.299999999999997</v>
          </cell>
          <cell r="G294"/>
          <cell r="H294">
            <v>50</v>
          </cell>
          <cell r="I294"/>
          <cell r="J294"/>
          <cell r="K294"/>
          <cell r="L294"/>
          <cell r="M294"/>
          <cell r="N294"/>
          <cell r="O294">
            <v>50</v>
          </cell>
          <cell r="P294"/>
          <cell r="Q294"/>
          <cell r="R294">
            <v>364.14</v>
          </cell>
          <cell r="S294">
            <v>20898.95</v>
          </cell>
          <cell r="T294"/>
          <cell r="U294"/>
          <cell r="V294">
            <v>0</v>
          </cell>
          <cell r="W294">
            <v>10.55</v>
          </cell>
          <cell r="X294">
            <v>11.75</v>
          </cell>
          <cell r="Y294"/>
          <cell r="Z294">
            <v>31.65</v>
          </cell>
          <cell r="AA294">
            <v>8.36</v>
          </cell>
          <cell r="AB294"/>
          <cell r="AC294" t="str">
            <v>الفنية</v>
          </cell>
        </row>
        <row r="295">
          <cell r="A295">
            <v>28402292501133</v>
          </cell>
          <cell r="B295">
            <v>117</v>
          </cell>
          <cell r="C295" t="str">
            <v>منتصر احمد جابر محمد</v>
          </cell>
          <cell r="D295">
            <v>1066.75</v>
          </cell>
          <cell r="E295"/>
          <cell r="F295">
            <v>5.16</v>
          </cell>
          <cell r="G295"/>
          <cell r="H295">
            <v>145</v>
          </cell>
          <cell r="I295"/>
          <cell r="J295">
            <v>185.91</v>
          </cell>
          <cell r="K295"/>
          <cell r="L295"/>
          <cell r="M295"/>
          <cell r="N295"/>
          <cell r="O295">
            <v>330.90999999999997</v>
          </cell>
          <cell r="P295"/>
          <cell r="Q295"/>
          <cell r="R295">
            <v>230.5</v>
          </cell>
          <cell r="S295">
            <v>14002.069999999998</v>
          </cell>
          <cell r="T295"/>
          <cell r="U295"/>
          <cell r="V295">
            <v>0</v>
          </cell>
          <cell r="W295">
            <v>7.55</v>
          </cell>
          <cell r="X295">
            <v>10.050000000000001</v>
          </cell>
          <cell r="Y295"/>
          <cell r="Z295"/>
          <cell r="AA295">
            <v>3.86</v>
          </cell>
          <cell r="AB295"/>
          <cell r="AC295" t="str">
            <v>الفنية الثالثة</v>
          </cell>
        </row>
        <row r="296">
          <cell r="A296">
            <v>26807012500083</v>
          </cell>
          <cell r="B296">
            <v>118</v>
          </cell>
          <cell r="C296" t="str">
            <v>منى حسن علي حسنين</v>
          </cell>
          <cell r="D296">
            <v>1522.77</v>
          </cell>
          <cell r="E296">
            <v>232.55</v>
          </cell>
          <cell r="F296">
            <v>57.93</v>
          </cell>
          <cell r="G296"/>
          <cell r="H296">
            <v>150</v>
          </cell>
          <cell r="I296"/>
          <cell r="J296"/>
          <cell r="K296"/>
          <cell r="L296"/>
          <cell r="M296"/>
          <cell r="N296"/>
          <cell r="O296">
            <v>150</v>
          </cell>
          <cell r="P296"/>
          <cell r="Q296"/>
          <cell r="R296">
            <v>422.47</v>
          </cell>
          <cell r="S296">
            <v>23767.929999999997</v>
          </cell>
          <cell r="T296"/>
          <cell r="U296"/>
          <cell r="V296">
            <v>0</v>
          </cell>
          <cell r="W296">
            <v>12.85</v>
          </cell>
          <cell r="X296">
            <v>14.15</v>
          </cell>
          <cell r="Y296"/>
          <cell r="Z296">
            <v>62.36</v>
          </cell>
          <cell r="AA296">
            <v>14.72</v>
          </cell>
          <cell r="AB296"/>
          <cell r="AC296" t="str">
            <v>الفنية</v>
          </cell>
        </row>
        <row r="297">
          <cell r="A297">
            <v>27907152500367</v>
          </cell>
          <cell r="B297">
            <v>119</v>
          </cell>
          <cell r="C297" t="str">
            <v>منى على محمد عبد العاطى</v>
          </cell>
          <cell r="D297">
            <v>941.6</v>
          </cell>
          <cell r="E297"/>
          <cell r="F297">
            <v>5.31</v>
          </cell>
          <cell r="G297"/>
          <cell r="H297">
            <v>145</v>
          </cell>
          <cell r="I297"/>
          <cell r="J297"/>
          <cell r="K297"/>
          <cell r="L297"/>
          <cell r="M297"/>
          <cell r="N297"/>
          <cell r="O297">
            <v>145</v>
          </cell>
          <cell r="P297"/>
          <cell r="Q297"/>
          <cell r="R297">
            <v>214.5</v>
          </cell>
          <cell r="S297">
            <v>12908.920000000002</v>
          </cell>
          <cell r="T297">
            <v>29</v>
          </cell>
          <cell r="U297"/>
          <cell r="V297">
            <v>29</v>
          </cell>
          <cell r="W297">
            <v>6.6</v>
          </cell>
          <cell r="X297">
            <v>7.65</v>
          </cell>
          <cell r="Y297"/>
          <cell r="Z297"/>
          <cell r="AA297"/>
          <cell r="AB297"/>
          <cell r="AC297" t="str">
            <v>الفنية الثالثة</v>
          </cell>
        </row>
        <row r="298">
          <cell r="A298">
            <v>28909222500277</v>
          </cell>
          <cell r="B298">
            <v>120</v>
          </cell>
          <cell r="C298" t="str">
            <v>مؤمن عبده كامل احمد</v>
          </cell>
          <cell r="D298">
            <v>1045.8399999999999</v>
          </cell>
          <cell r="E298"/>
          <cell r="F298">
            <v>5.67</v>
          </cell>
          <cell r="G298"/>
          <cell r="H298">
            <v>100</v>
          </cell>
          <cell r="I298"/>
          <cell r="J298"/>
          <cell r="K298"/>
          <cell r="L298"/>
          <cell r="M298"/>
          <cell r="N298"/>
          <cell r="O298">
            <v>100</v>
          </cell>
          <cell r="P298"/>
          <cell r="Q298"/>
          <cell r="R298">
            <v>222.5</v>
          </cell>
          <cell r="S298"/>
          <cell r="T298"/>
          <cell r="U298"/>
          <cell r="V298">
            <v>0</v>
          </cell>
          <cell r="W298">
            <v>6.6</v>
          </cell>
          <cell r="X298">
            <v>8.3000000000000007</v>
          </cell>
          <cell r="Y298"/>
          <cell r="Z298"/>
          <cell r="AA298"/>
          <cell r="AB298"/>
          <cell r="AC298" t="str">
            <v>الفنية الثالثة</v>
          </cell>
        </row>
        <row r="299">
          <cell r="A299">
            <v>27607162500043</v>
          </cell>
          <cell r="B299">
            <v>121</v>
          </cell>
          <cell r="C299" t="str">
            <v>نبوية رمضان محفوظ عيسي</v>
          </cell>
          <cell r="D299">
            <v>1015.95</v>
          </cell>
          <cell r="E299"/>
          <cell r="F299">
            <v>5.1100000000000003</v>
          </cell>
          <cell r="G299"/>
          <cell r="H299"/>
          <cell r="I299"/>
          <cell r="J299"/>
          <cell r="K299"/>
          <cell r="L299"/>
          <cell r="M299"/>
          <cell r="N299"/>
          <cell r="O299">
            <v>0</v>
          </cell>
          <cell r="P299"/>
          <cell r="Q299"/>
          <cell r="R299">
            <v>230.5</v>
          </cell>
          <cell r="S299">
            <v>13143.100000000002</v>
          </cell>
          <cell r="T299">
            <v>11.77</v>
          </cell>
          <cell r="U299"/>
          <cell r="V299">
            <v>11.77</v>
          </cell>
          <cell r="W299">
            <v>6.4</v>
          </cell>
          <cell r="X299">
            <v>7.25</v>
          </cell>
          <cell r="Y299"/>
          <cell r="Z299"/>
          <cell r="AA299"/>
          <cell r="AB299"/>
          <cell r="AC299" t="str">
            <v>الفنية الثالثة</v>
          </cell>
        </row>
        <row r="300">
          <cell r="A300">
            <v>25801302501243</v>
          </cell>
          <cell r="B300">
            <v>122</v>
          </cell>
          <cell r="C300" t="str">
            <v>نجاح فتحي سيد رمضان</v>
          </cell>
          <cell r="D300">
            <v>2255.6799999999998</v>
          </cell>
          <cell r="E300">
            <v>768.05</v>
          </cell>
          <cell r="F300">
            <v>115.62</v>
          </cell>
          <cell r="G300">
            <v>74.33</v>
          </cell>
          <cell r="H300">
            <v>50</v>
          </cell>
          <cell r="I300"/>
          <cell r="J300"/>
          <cell r="K300"/>
          <cell r="L300"/>
          <cell r="M300"/>
          <cell r="N300"/>
          <cell r="O300">
            <v>50</v>
          </cell>
          <cell r="P300"/>
          <cell r="Q300"/>
          <cell r="R300">
            <v>743.34</v>
          </cell>
          <cell r="S300"/>
          <cell r="T300"/>
          <cell r="U300"/>
          <cell r="V300">
            <v>0</v>
          </cell>
          <cell r="W300">
            <v>21.45</v>
          </cell>
          <cell r="X300">
            <v>23.25</v>
          </cell>
          <cell r="Y300"/>
          <cell r="Z300">
            <v>176.12</v>
          </cell>
          <cell r="AA300">
            <v>117.86</v>
          </cell>
          <cell r="AB300"/>
          <cell r="AC300" t="str">
            <v>الفنية</v>
          </cell>
        </row>
        <row r="301">
          <cell r="A301">
            <v>28504262500121</v>
          </cell>
          <cell r="B301">
            <v>123</v>
          </cell>
          <cell r="C301" t="str">
            <v>نعمه جاد الرب شعبان جاد الرب</v>
          </cell>
          <cell r="D301">
            <v>1066.75</v>
          </cell>
          <cell r="E301"/>
          <cell r="F301">
            <v>5.1100000000000003</v>
          </cell>
          <cell r="G301"/>
          <cell r="H301">
            <v>145</v>
          </cell>
          <cell r="I301"/>
          <cell r="J301"/>
          <cell r="K301"/>
          <cell r="L301"/>
          <cell r="M301"/>
          <cell r="N301"/>
          <cell r="O301">
            <v>145</v>
          </cell>
          <cell r="P301"/>
          <cell r="Q301"/>
          <cell r="R301">
            <v>230.5</v>
          </cell>
          <cell r="S301">
            <v>14181.470000000001</v>
          </cell>
          <cell r="T301"/>
          <cell r="U301"/>
          <cell r="V301">
            <v>0</v>
          </cell>
          <cell r="W301">
            <v>7.55</v>
          </cell>
          <cell r="X301">
            <v>8.8000000000000007</v>
          </cell>
          <cell r="Y301"/>
          <cell r="Z301"/>
          <cell r="AA301">
            <v>0.57999999999999996</v>
          </cell>
          <cell r="AB301"/>
          <cell r="AC301" t="str">
            <v>الفنية الثالثة</v>
          </cell>
        </row>
        <row r="302">
          <cell r="A302">
            <v>27102212502145</v>
          </cell>
          <cell r="B302">
            <v>124</v>
          </cell>
          <cell r="C302" t="str">
            <v>نوال عيد سيد جلال</v>
          </cell>
          <cell r="D302">
            <v>1474.73</v>
          </cell>
          <cell r="E302">
            <v>196.47</v>
          </cell>
          <cell r="F302">
            <v>45.97</v>
          </cell>
          <cell r="G302"/>
          <cell r="H302">
            <v>150</v>
          </cell>
          <cell r="I302"/>
          <cell r="J302"/>
          <cell r="K302"/>
          <cell r="L302"/>
          <cell r="M302"/>
          <cell r="N302"/>
          <cell r="O302">
            <v>150</v>
          </cell>
          <cell r="P302"/>
          <cell r="Q302"/>
          <cell r="R302">
            <v>394.07</v>
          </cell>
          <cell r="S302">
            <v>22549.94</v>
          </cell>
          <cell r="T302">
            <v>4.22</v>
          </cell>
          <cell r="U302"/>
          <cell r="V302">
            <v>4.22</v>
          </cell>
          <cell r="W302">
            <v>12.3</v>
          </cell>
          <cell r="X302">
            <v>13.55</v>
          </cell>
          <cell r="Y302"/>
          <cell r="Z302">
            <v>54.55</v>
          </cell>
          <cell r="AA302">
            <v>13.13</v>
          </cell>
          <cell r="AB302"/>
          <cell r="AC302" t="str">
            <v>الفنية</v>
          </cell>
        </row>
        <row r="303">
          <cell r="A303">
            <v>28701242503779</v>
          </cell>
          <cell r="B303">
            <v>125</v>
          </cell>
          <cell r="C303" t="str">
            <v>نون كمال محمد محمود</v>
          </cell>
          <cell r="D303">
            <v>1040.56</v>
          </cell>
          <cell r="E303"/>
          <cell r="F303">
            <v>5.65</v>
          </cell>
          <cell r="G303"/>
          <cell r="H303">
            <v>100</v>
          </cell>
          <cell r="I303"/>
          <cell r="J303">
            <v>88.62</v>
          </cell>
          <cell r="K303"/>
          <cell r="L303"/>
          <cell r="M303"/>
          <cell r="N303"/>
          <cell r="O303">
            <v>188.62</v>
          </cell>
          <cell r="P303"/>
          <cell r="Q303"/>
          <cell r="R303">
            <v>220.5</v>
          </cell>
          <cell r="S303">
            <v>21452.43</v>
          </cell>
          <cell r="T303"/>
          <cell r="U303"/>
          <cell r="V303">
            <v>0</v>
          </cell>
          <cell r="W303">
            <v>6.55</v>
          </cell>
          <cell r="X303">
            <v>8.85</v>
          </cell>
          <cell r="Y303"/>
          <cell r="Z303"/>
          <cell r="AA303">
            <v>0.74</v>
          </cell>
          <cell r="AB303"/>
          <cell r="AC303" t="str">
            <v>الفنية الثالثة</v>
          </cell>
        </row>
        <row r="304">
          <cell r="A304">
            <v>27403312500069</v>
          </cell>
          <cell r="B304">
            <v>126</v>
          </cell>
          <cell r="C304" t="str">
            <v>هالة مصطفى عبدالعزيز حسانين</v>
          </cell>
          <cell r="D304">
            <v>1251.04</v>
          </cell>
          <cell r="E304">
            <v>48.93</v>
          </cell>
          <cell r="F304">
            <v>10.48</v>
          </cell>
          <cell r="G304"/>
          <cell r="H304">
            <v>50</v>
          </cell>
          <cell r="I304"/>
          <cell r="J304"/>
          <cell r="K304"/>
          <cell r="L304">
            <v>15</v>
          </cell>
          <cell r="M304"/>
          <cell r="N304"/>
          <cell r="O304">
            <v>65</v>
          </cell>
          <cell r="P304"/>
          <cell r="Q304"/>
          <cell r="R304">
            <v>309.39</v>
          </cell>
          <cell r="S304">
            <v>18604.75</v>
          </cell>
          <cell r="T304"/>
          <cell r="U304"/>
          <cell r="V304">
            <v>0</v>
          </cell>
          <cell r="W304">
            <v>9.65</v>
          </cell>
          <cell r="X304">
            <v>9.9499999999999993</v>
          </cell>
          <cell r="Y304"/>
          <cell r="Z304">
            <v>20.04</v>
          </cell>
          <cell r="AA304">
            <v>3.57</v>
          </cell>
          <cell r="AB304"/>
          <cell r="AC304" t="str">
            <v>الفنية الثالثة</v>
          </cell>
        </row>
        <row r="305">
          <cell r="A305">
            <v>27609162500259</v>
          </cell>
          <cell r="B305">
            <v>127</v>
          </cell>
          <cell r="C305" t="str">
            <v>هانى ايوب ابراهيم موسى</v>
          </cell>
          <cell r="D305">
            <v>1358.48</v>
          </cell>
          <cell r="E305">
            <v>103.27</v>
          </cell>
          <cell r="F305">
            <v>27.5</v>
          </cell>
          <cell r="G305"/>
          <cell r="H305">
            <v>150</v>
          </cell>
          <cell r="I305"/>
          <cell r="J305">
            <v>235.17</v>
          </cell>
          <cell r="K305"/>
          <cell r="L305"/>
          <cell r="M305"/>
          <cell r="N305"/>
          <cell r="O305">
            <v>385.16999999999996</v>
          </cell>
          <cell r="P305"/>
          <cell r="Q305"/>
          <cell r="R305">
            <v>349.01</v>
          </cell>
          <cell r="S305">
            <v>29160</v>
          </cell>
          <cell r="T305"/>
          <cell r="U305"/>
          <cell r="V305">
            <v>0</v>
          </cell>
          <cell r="W305">
            <v>10.7</v>
          </cell>
          <cell r="X305">
            <v>13.45</v>
          </cell>
          <cell r="Y305"/>
          <cell r="Z305">
            <v>33.86</v>
          </cell>
          <cell r="AA305">
            <v>12.84</v>
          </cell>
          <cell r="AB305"/>
          <cell r="AC305" t="str">
            <v>الفنية الثالثة</v>
          </cell>
        </row>
        <row r="306">
          <cell r="A306">
            <v>28111182500111</v>
          </cell>
          <cell r="B306">
            <v>128</v>
          </cell>
          <cell r="C306" t="str">
            <v>وائل محمد نور الدين كامل</v>
          </cell>
          <cell r="D306">
            <v>1086.29</v>
          </cell>
          <cell r="E306"/>
          <cell r="F306">
            <v>5.89</v>
          </cell>
          <cell r="G306"/>
          <cell r="H306">
            <v>100</v>
          </cell>
          <cell r="I306"/>
          <cell r="J306"/>
          <cell r="K306"/>
          <cell r="L306"/>
          <cell r="M306"/>
          <cell r="N306"/>
          <cell r="O306">
            <v>100</v>
          </cell>
          <cell r="P306"/>
          <cell r="Q306"/>
          <cell r="R306">
            <v>226.5</v>
          </cell>
          <cell r="S306">
            <v>14332.070000000002</v>
          </cell>
          <cell r="T306">
            <v>9.68</v>
          </cell>
          <cell r="U306"/>
          <cell r="V306">
            <v>9.68</v>
          </cell>
          <cell r="W306">
            <v>7.35</v>
          </cell>
          <cell r="X306">
            <v>8.5500000000000007</v>
          </cell>
          <cell r="Y306"/>
          <cell r="Z306"/>
          <cell r="AA306"/>
          <cell r="AB306"/>
          <cell r="AC306" t="str">
            <v>الفنية الثالثة</v>
          </cell>
        </row>
        <row r="307">
          <cell r="A307">
            <v>28109012500103</v>
          </cell>
          <cell r="B307">
            <v>129</v>
          </cell>
          <cell r="C307" t="str">
            <v>وفاء محمد عبدالظاهر رضوان</v>
          </cell>
          <cell r="D307">
            <v>1342.01</v>
          </cell>
          <cell r="E307">
            <v>61.67</v>
          </cell>
          <cell r="F307">
            <v>14.77</v>
          </cell>
          <cell r="G307"/>
          <cell r="H307">
            <v>150</v>
          </cell>
          <cell r="I307"/>
          <cell r="J307"/>
          <cell r="K307"/>
          <cell r="L307"/>
          <cell r="M307"/>
          <cell r="N307"/>
          <cell r="O307">
            <v>150</v>
          </cell>
          <cell r="P307"/>
          <cell r="Q307"/>
          <cell r="R307">
            <v>319.42</v>
          </cell>
          <cell r="S307">
            <v>18913.780000000002</v>
          </cell>
          <cell r="T307"/>
          <cell r="U307"/>
          <cell r="V307">
            <v>0</v>
          </cell>
          <cell r="W307">
            <v>9.8000000000000007</v>
          </cell>
          <cell r="X307">
            <v>10.85</v>
          </cell>
          <cell r="Y307"/>
          <cell r="Z307">
            <v>21.95</v>
          </cell>
          <cell r="AA307">
            <v>6.02</v>
          </cell>
          <cell r="AB307"/>
          <cell r="AC307" t="str">
            <v>الفنية الثالثة</v>
          </cell>
        </row>
        <row r="308">
          <cell r="A308">
            <v>25904252500732</v>
          </cell>
          <cell r="B308">
            <v>130</v>
          </cell>
          <cell r="C308" t="str">
            <v>يحيى حسن حسين حسن</v>
          </cell>
          <cell r="D308">
            <v>2202.5300000000002</v>
          </cell>
          <cell r="E308">
            <v>746.74</v>
          </cell>
          <cell r="F308">
            <v>111.86</v>
          </cell>
          <cell r="G308">
            <v>72.489999999999995</v>
          </cell>
          <cell r="H308">
            <v>100</v>
          </cell>
          <cell r="I308"/>
          <cell r="J308"/>
          <cell r="K308"/>
          <cell r="L308"/>
          <cell r="M308"/>
          <cell r="N308"/>
          <cell r="O308">
            <v>100</v>
          </cell>
          <cell r="P308"/>
          <cell r="Q308"/>
          <cell r="R308">
            <v>724.98</v>
          </cell>
          <cell r="S308">
            <v>29160.000000000004</v>
          </cell>
          <cell r="T308"/>
          <cell r="U308"/>
          <cell r="V308">
            <v>0</v>
          </cell>
          <cell r="W308">
            <v>21.3</v>
          </cell>
          <cell r="X308">
            <v>23.05</v>
          </cell>
          <cell r="Y308"/>
          <cell r="Z308">
            <v>174</v>
          </cell>
          <cell r="AA308">
            <v>115.14</v>
          </cell>
          <cell r="AB308"/>
          <cell r="AC308" t="str">
            <v>الفنية</v>
          </cell>
        </row>
        <row r="309">
          <cell r="A309">
            <v>25702212500053</v>
          </cell>
          <cell r="B309">
            <v>131</v>
          </cell>
          <cell r="C309" t="str">
            <v>احمد محمد احمد حسانين</v>
          </cell>
          <cell r="D309">
            <v>2332.5100000000002</v>
          </cell>
          <cell r="E309">
            <v>806.22</v>
          </cell>
          <cell r="F309">
            <v>120.96</v>
          </cell>
          <cell r="G309">
            <v>77.02</v>
          </cell>
          <cell r="H309">
            <v>100</v>
          </cell>
          <cell r="I309"/>
          <cell r="J309"/>
          <cell r="K309"/>
          <cell r="L309"/>
          <cell r="M309"/>
          <cell r="N309"/>
          <cell r="O309">
            <v>100</v>
          </cell>
          <cell r="P309"/>
          <cell r="Q309"/>
          <cell r="R309">
            <v>770.24</v>
          </cell>
          <cell r="S309">
            <v>24064.45</v>
          </cell>
          <cell r="T309"/>
          <cell r="U309"/>
          <cell r="V309">
            <v>0</v>
          </cell>
          <cell r="W309">
            <v>22.65</v>
          </cell>
          <cell r="X309"/>
          <cell r="Y309"/>
          <cell r="Z309">
            <v>192.25</v>
          </cell>
          <cell r="AA309"/>
          <cell r="AB309"/>
          <cell r="AC309" t="str">
            <v>المكتبية</v>
          </cell>
        </row>
        <row r="310">
          <cell r="A310">
            <v>25701172500067</v>
          </cell>
          <cell r="B310">
            <v>132</v>
          </cell>
          <cell r="C310" t="str">
            <v>ام كلثوم احمد متولى احمد</v>
          </cell>
          <cell r="D310">
            <v>1292.43</v>
          </cell>
          <cell r="E310">
            <v>455.82</v>
          </cell>
          <cell r="F310">
            <v>67.81</v>
          </cell>
          <cell r="G310">
            <v>83.23</v>
          </cell>
          <cell r="H310">
            <v>50</v>
          </cell>
          <cell r="I310"/>
          <cell r="J310"/>
          <cell r="K310"/>
          <cell r="L310"/>
          <cell r="M310"/>
          <cell r="N310"/>
          <cell r="O310">
            <v>50</v>
          </cell>
          <cell r="P310"/>
          <cell r="Q310"/>
          <cell r="R310">
            <v>832.38</v>
          </cell>
          <cell r="S310">
            <v>24064.45</v>
          </cell>
          <cell r="T310"/>
          <cell r="U310"/>
          <cell r="V310">
            <v>0</v>
          </cell>
          <cell r="W310">
            <v>12.05</v>
          </cell>
          <cell r="X310"/>
          <cell r="Y310"/>
          <cell r="Z310">
            <v>51.8</v>
          </cell>
          <cell r="AA310"/>
          <cell r="AB310"/>
          <cell r="AC310" t="str">
            <v>المكتبية</v>
          </cell>
        </row>
        <row r="311">
          <cell r="A311">
            <v>26007112500084</v>
          </cell>
          <cell r="B311">
            <v>133</v>
          </cell>
          <cell r="C311" t="str">
            <v>امال سلطان مصطفى سلطان</v>
          </cell>
          <cell r="D311">
            <v>2164.02</v>
          </cell>
          <cell r="E311">
            <v>594.51</v>
          </cell>
          <cell r="F311">
            <v>105.35</v>
          </cell>
          <cell r="G311">
            <v>67.2</v>
          </cell>
          <cell r="H311">
            <v>100</v>
          </cell>
          <cell r="I311"/>
          <cell r="J311"/>
          <cell r="K311"/>
          <cell r="L311"/>
          <cell r="M311"/>
          <cell r="N311"/>
          <cell r="O311">
            <v>100</v>
          </cell>
          <cell r="P311"/>
          <cell r="Q311"/>
          <cell r="R311">
            <v>672.04</v>
          </cell>
          <cell r="S311">
            <v>29160</v>
          </cell>
          <cell r="T311"/>
          <cell r="U311"/>
          <cell r="V311">
            <v>0</v>
          </cell>
          <cell r="W311">
            <v>19.95</v>
          </cell>
          <cell r="X311">
            <v>21.6</v>
          </cell>
          <cell r="Y311"/>
          <cell r="Z311">
            <v>156.13</v>
          </cell>
          <cell r="AA311">
            <v>34.479999999999997</v>
          </cell>
          <cell r="AB311"/>
          <cell r="AC311" t="str">
            <v>المكتبية</v>
          </cell>
        </row>
        <row r="312">
          <cell r="A312">
            <v>27310312500125</v>
          </cell>
          <cell r="B312">
            <v>134</v>
          </cell>
          <cell r="C312" t="str">
            <v>امل فرغلي جلال محمد</v>
          </cell>
          <cell r="D312">
            <v>1612.24</v>
          </cell>
          <cell r="E312">
            <v>345.03</v>
          </cell>
          <cell r="F312">
            <v>73.31</v>
          </cell>
          <cell r="G312"/>
          <cell r="H312">
            <v>50</v>
          </cell>
          <cell r="I312"/>
          <cell r="J312"/>
          <cell r="K312"/>
          <cell r="L312"/>
          <cell r="M312"/>
          <cell r="N312"/>
          <cell r="O312">
            <v>50</v>
          </cell>
          <cell r="P312"/>
          <cell r="Q312"/>
          <cell r="R312">
            <v>475.6</v>
          </cell>
          <cell r="S312">
            <v>25898.800000000003</v>
          </cell>
          <cell r="T312"/>
          <cell r="U312"/>
          <cell r="V312">
            <v>0</v>
          </cell>
          <cell r="W312">
            <v>13.55</v>
          </cell>
          <cell r="X312">
            <v>14.9</v>
          </cell>
          <cell r="Y312"/>
          <cell r="Z312">
            <v>71.63</v>
          </cell>
          <cell r="AA312">
            <v>16.760000000000002</v>
          </cell>
          <cell r="AB312"/>
          <cell r="AC312" t="str">
            <v>المكتبية</v>
          </cell>
        </row>
        <row r="313">
          <cell r="A313">
            <v>26204272400388</v>
          </cell>
          <cell r="B313">
            <v>135</v>
          </cell>
          <cell r="C313" t="str">
            <v>اميمه محمد جلال عبد العال</v>
          </cell>
          <cell r="D313">
            <v>1894.02</v>
          </cell>
          <cell r="E313">
            <v>474.56</v>
          </cell>
          <cell r="F313">
            <v>88.84</v>
          </cell>
          <cell r="G313"/>
          <cell r="H313">
            <v>50</v>
          </cell>
          <cell r="I313"/>
          <cell r="J313"/>
          <cell r="K313"/>
          <cell r="L313"/>
          <cell r="M313"/>
          <cell r="N313"/>
          <cell r="O313">
            <v>50</v>
          </cell>
          <cell r="P313"/>
          <cell r="Q313"/>
          <cell r="R313">
            <v>577.59</v>
          </cell>
          <cell r="S313">
            <v>29160.000000000004</v>
          </cell>
          <cell r="T313"/>
          <cell r="U313"/>
          <cell r="V313">
            <v>0</v>
          </cell>
          <cell r="W313">
            <v>16.399999999999999</v>
          </cell>
          <cell r="X313">
            <v>18</v>
          </cell>
          <cell r="Y313"/>
          <cell r="Z313">
            <v>109.24</v>
          </cell>
          <cell r="AA313">
            <v>24.85</v>
          </cell>
          <cell r="AB313"/>
          <cell r="AC313" t="str">
            <v>المكتبية</v>
          </cell>
        </row>
        <row r="314">
          <cell r="A314">
            <v>26010182500228</v>
          </cell>
          <cell r="B314">
            <v>136</v>
          </cell>
          <cell r="C314" t="str">
            <v>انتصار صالح علي درويش</v>
          </cell>
          <cell r="D314">
            <v>2024.09</v>
          </cell>
          <cell r="E314">
            <v>532.91</v>
          </cell>
          <cell r="F314">
            <v>96.95</v>
          </cell>
          <cell r="G314">
            <v>62.19</v>
          </cell>
          <cell r="H314">
            <v>150</v>
          </cell>
          <cell r="I314"/>
          <cell r="J314"/>
          <cell r="K314"/>
          <cell r="L314"/>
          <cell r="M314"/>
          <cell r="N314"/>
          <cell r="O314">
            <v>150</v>
          </cell>
          <cell r="P314"/>
          <cell r="Q314"/>
          <cell r="R314">
            <v>621.95000000000005</v>
          </cell>
          <cell r="S314">
            <v>29160</v>
          </cell>
          <cell r="T314">
            <v>2.81</v>
          </cell>
          <cell r="U314"/>
          <cell r="V314">
            <v>2.81</v>
          </cell>
          <cell r="W314">
            <v>18.899999999999999</v>
          </cell>
          <cell r="X314">
            <v>20.5</v>
          </cell>
          <cell r="Y314"/>
          <cell r="Z314">
            <v>141.82</v>
          </cell>
          <cell r="AA314">
            <v>31.48</v>
          </cell>
          <cell r="AB314"/>
          <cell r="AC314" t="str">
            <v>المكتبية</v>
          </cell>
        </row>
        <row r="315">
          <cell r="A315">
            <v>26803192701281</v>
          </cell>
          <cell r="B315">
            <v>137</v>
          </cell>
          <cell r="C315" t="str">
            <v>ايمان عزت غالي نخلة</v>
          </cell>
          <cell r="D315">
            <v>1712.7</v>
          </cell>
          <cell r="E315">
            <v>390.94</v>
          </cell>
          <cell r="F315">
            <v>79.180000000000007</v>
          </cell>
          <cell r="G315"/>
          <cell r="H315">
            <v>150</v>
          </cell>
          <cell r="I315"/>
          <cell r="J315"/>
          <cell r="K315"/>
          <cell r="L315"/>
          <cell r="M315"/>
          <cell r="N315"/>
          <cell r="O315">
            <v>150</v>
          </cell>
          <cell r="P315"/>
          <cell r="Q315"/>
          <cell r="R315">
            <v>511.76</v>
          </cell>
          <cell r="S315">
            <v>29031.119999999995</v>
          </cell>
          <cell r="T315"/>
          <cell r="U315"/>
          <cell r="V315">
            <v>0</v>
          </cell>
          <cell r="W315">
            <v>15.3</v>
          </cell>
          <cell r="X315">
            <v>17.399999999999999</v>
          </cell>
          <cell r="Y315"/>
          <cell r="Z315">
            <v>95.01</v>
          </cell>
          <cell r="AA315">
            <v>23.38</v>
          </cell>
          <cell r="AB315"/>
          <cell r="AC315" t="str">
            <v>المكتبية</v>
          </cell>
        </row>
        <row r="316">
          <cell r="A316">
            <v>26808112500087</v>
          </cell>
          <cell r="B316">
            <v>138</v>
          </cell>
          <cell r="C316" t="str">
            <v>ايمان فتحي محمود فرج</v>
          </cell>
          <cell r="D316">
            <v>1529.46</v>
          </cell>
          <cell r="E316">
            <v>236.28</v>
          </cell>
          <cell r="F316">
            <v>59</v>
          </cell>
          <cell r="G316"/>
          <cell r="H316">
            <v>50</v>
          </cell>
          <cell r="I316"/>
          <cell r="J316"/>
          <cell r="K316"/>
          <cell r="L316"/>
          <cell r="M316"/>
          <cell r="N316"/>
          <cell r="O316">
            <v>50</v>
          </cell>
          <cell r="P316"/>
          <cell r="Q316"/>
          <cell r="R316">
            <v>425.4</v>
          </cell>
          <cell r="S316">
            <v>23887.23</v>
          </cell>
          <cell r="T316"/>
          <cell r="U316"/>
          <cell r="V316">
            <v>0</v>
          </cell>
          <cell r="W316">
            <v>12.2</v>
          </cell>
          <cell r="X316">
            <v>13.5</v>
          </cell>
          <cell r="Y316"/>
          <cell r="Z316">
            <v>53.45</v>
          </cell>
          <cell r="AA316">
            <v>12.96</v>
          </cell>
          <cell r="AB316"/>
          <cell r="AC316" t="str">
            <v>المكتبية</v>
          </cell>
        </row>
        <row r="317">
          <cell r="A317">
            <v>27310012500042</v>
          </cell>
          <cell r="B317">
            <v>139</v>
          </cell>
          <cell r="C317" t="str">
            <v>ايناس عبدالموجود محمود عبدالموجود</v>
          </cell>
          <cell r="D317">
            <v>1622.01</v>
          </cell>
          <cell r="E317">
            <v>277.63</v>
          </cell>
          <cell r="F317">
            <v>71.650000000000006</v>
          </cell>
          <cell r="G317"/>
          <cell r="H317">
            <v>150</v>
          </cell>
          <cell r="I317"/>
          <cell r="J317"/>
          <cell r="K317"/>
          <cell r="L317"/>
          <cell r="M317"/>
          <cell r="N317"/>
          <cell r="O317">
            <v>150</v>
          </cell>
          <cell r="P317"/>
          <cell r="Q317"/>
          <cell r="R317">
            <v>457.98</v>
          </cell>
          <cell r="S317">
            <v>25481.99</v>
          </cell>
          <cell r="T317"/>
          <cell r="U317"/>
          <cell r="V317">
            <v>0</v>
          </cell>
          <cell r="W317">
            <v>13.9</v>
          </cell>
          <cell r="X317">
            <v>15.3</v>
          </cell>
          <cell r="Y317"/>
          <cell r="Z317">
            <v>76.33</v>
          </cell>
          <cell r="AA317">
            <v>17.739999999999998</v>
          </cell>
          <cell r="AB317"/>
          <cell r="AC317" t="str">
            <v>المكتبية</v>
          </cell>
        </row>
        <row r="318">
          <cell r="A318">
            <v>25708122500085</v>
          </cell>
          <cell r="B318">
            <v>140</v>
          </cell>
          <cell r="C318" t="str">
            <v>بركه احمد حسنين محمد</v>
          </cell>
          <cell r="D318">
            <v>2172.4</v>
          </cell>
          <cell r="E318">
            <v>731.77</v>
          </cell>
          <cell r="F318">
            <v>122.64</v>
          </cell>
          <cell r="G318">
            <v>71.31</v>
          </cell>
          <cell r="H318">
            <v>150</v>
          </cell>
          <cell r="I318"/>
          <cell r="J318"/>
          <cell r="K318"/>
          <cell r="L318"/>
          <cell r="M318"/>
          <cell r="N318"/>
          <cell r="O318">
            <v>150</v>
          </cell>
          <cell r="P318"/>
          <cell r="Q318"/>
          <cell r="R318">
            <v>713.19</v>
          </cell>
          <cell r="S318">
            <v>29160</v>
          </cell>
          <cell r="T318"/>
          <cell r="U318">
            <v>99.29</v>
          </cell>
          <cell r="V318">
            <v>99.29</v>
          </cell>
          <cell r="W318">
            <v>21.45</v>
          </cell>
          <cell r="X318">
            <v>22.4</v>
          </cell>
          <cell r="Y318"/>
          <cell r="Z318">
            <v>165.91</v>
          </cell>
          <cell r="AA318">
            <v>36.57</v>
          </cell>
          <cell r="AB318"/>
          <cell r="AC318" t="str">
            <v>المكتبية</v>
          </cell>
        </row>
        <row r="319">
          <cell r="A319">
            <v>26508242501537</v>
          </cell>
          <cell r="B319">
            <v>141</v>
          </cell>
          <cell r="C319" t="str">
            <v>جمال محمد سيد محمد أبو الحسن</v>
          </cell>
          <cell r="D319">
            <v>1562.2</v>
          </cell>
          <cell r="E319">
            <v>254.67</v>
          </cell>
          <cell r="F319">
            <v>68.67</v>
          </cell>
          <cell r="G319"/>
          <cell r="H319">
            <v>150</v>
          </cell>
          <cell r="I319"/>
          <cell r="J319"/>
          <cell r="K319"/>
          <cell r="L319"/>
          <cell r="M319"/>
          <cell r="N319"/>
          <cell r="O319">
            <v>150</v>
          </cell>
          <cell r="P319"/>
          <cell r="Q319"/>
          <cell r="R319">
            <v>436.74</v>
          </cell>
          <cell r="S319">
            <v>24064.45</v>
          </cell>
          <cell r="T319">
            <v>2.48</v>
          </cell>
          <cell r="U319"/>
          <cell r="V319">
            <v>2.48</v>
          </cell>
          <cell r="W319">
            <v>13.35</v>
          </cell>
          <cell r="X319">
            <v>14.65</v>
          </cell>
          <cell r="Y319"/>
          <cell r="Z319">
            <v>68.510000000000005</v>
          </cell>
          <cell r="AA319">
            <v>16.04</v>
          </cell>
          <cell r="AB319"/>
          <cell r="AC319" t="str">
            <v>المكتبية</v>
          </cell>
        </row>
        <row r="320">
          <cell r="A320">
            <v>26211222501635</v>
          </cell>
          <cell r="B320">
            <v>142</v>
          </cell>
          <cell r="C320" t="str">
            <v>حسن سيد حسن عبد الرحمن</v>
          </cell>
          <cell r="D320">
            <v>1870.18</v>
          </cell>
          <cell r="E320">
            <v>445.51</v>
          </cell>
          <cell r="F320">
            <v>85.99</v>
          </cell>
          <cell r="G320"/>
          <cell r="H320">
            <v>150</v>
          </cell>
          <cell r="I320"/>
          <cell r="J320"/>
          <cell r="K320"/>
          <cell r="L320"/>
          <cell r="M320"/>
          <cell r="N320"/>
          <cell r="O320">
            <v>150</v>
          </cell>
          <cell r="P320"/>
          <cell r="Q320"/>
          <cell r="R320">
            <v>551.58000000000004</v>
          </cell>
          <cell r="S320">
            <v>28771.03</v>
          </cell>
          <cell r="T320">
            <v>1.62</v>
          </cell>
          <cell r="U320"/>
          <cell r="V320">
            <v>1.62</v>
          </cell>
          <cell r="W320">
            <v>16.75</v>
          </cell>
          <cell r="X320">
            <v>18.350000000000001</v>
          </cell>
          <cell r="Y320"/>
          <cell r="Z320">
            <v>113.8</v>
          </cell>
          <cell r="AA320">
            <v>25.83</v>
          </cell>
          <cell r="AB320"/>
          <cell r="AC320" t="str">
            <v>المكتبية</v>
          </cell>
        </row>
        <row r="321">
          <cell r="A321">
            <v>26009062500153</v>
          </cell>
          <cell r="B321">
            <v>143</v>
          </cell>
          <cell r="C321" t="str">
            <v>حسن محمود احمد محمود</v>
          </cell>
          <cell r="D321">
            <v>1984.6</v>
          </cell>
          <cell r="E321">
            <v>520.19000000000005</v>
          </cell>
          <cell r="F321">
            <v>95.02</v>
          </cell>
          <cell r="G321"/>
          <cell r="H321">
            <v>150</v>
          </cell>
          <cell r="I321"/>
          <cell r="J321"/>
          <cell r="K321"/>
          <cell r="L321"/>
          <cell r="M321"/>
          <cell r="N321"/>
          <cell r="O321">
            <v>150</v>
          </cell>
          <cell r="P321"/>
          <cell r="Q321"/>
          <cell r="R321">
            <v>610.38</v>
          </cell>
          <cell r="S321">
            <v>29160</v>
          </cell>
          <cell r="T321">
            <v>1.52</v>
          </cell>
          <cell r="U321"/>
          <cell r="V321">
            <v>1.52</v>
          </cell>
          <cell r="W321">
            <v>18.100000000000001</v>
          </cell>
          <cell r="X321">
            <v>19.7</v>
          </cell>
          <cell r="Y321"/>
          <cell r="Z321">
            <v>131.69</v>
          </cell>
          <cell r="AA321">
            <v>29.43</v>
          </cell>
          <cell r="AB321"/>
          <cell r="AC321" t="str">
            <v>المكتبية</v>
          </cell>
        </row>
        <row r="322">
          <cell r="A322">
            <v>25902102500103</v>
          </cell>
          <cell r="B322">
            <v>144</v>
          </cell>
          <cell r="C322" t="str">
            <v>حسنية أحمد محمد عبد العال</v>
          </cell>
          <cell r="D322">
            <v>2192.88</v>
          </cell>
          <cell r="E322">
            <v>607.45000000000005</v>
          </cell>
          <cell r="F322">
            <v>106.96</v>
          </cell>
          <cell r="G322">
            <v>68.22</v>
          </cell>
          <cell r="H322">
            <v>150</v>
          </cell>
          <cell r="I322"/>
          <cell r="J322"/>
          <cell r="K322"/>
          <cell r="L322"/>
          <cell r="M322"/>
          <cell r="N322"/>
          <cell r="O322">
            <v>150</v>
          </cell>
          <cell r="P322"/>
          <cell r="Q322"/>
          <cell r="R322">
            <v>682.22</v>
          </cell>
          <cell r="S322">
            <v>29160.000000000004</v>
          </cell>
          <cell r="T322"/>
          <cell r="U322"/>
          <cell r="V322">
            <v>0</v>
          </cell>
          <cell r="W322">
            <v>20.6</v>
          </cell>
          <cell r="X322">
            <v>22.3</v>
          </cell>
          <cell r="Y322"/>
          <cell r="Z322">
            <v>165.02</v>
          </cell>
          <cell r="AA322">
            <v>36.28</v>
          </cell>
          <cell r="AB322"/>
          <cell r="AC322" t="str">
            <v>المكتبية</v>
          </cell>
        </row>
        <row r="323">
          <cell r="A323">
            <v>26205242501267</v>
          </cell>
          <cell r="B323">
            <v>145</v>
          </cell>
          <cell r="C323" t="str">
            <v>حليمة محمود حميلى زيدان</v>
          </cell>
          <cell r="D323">
            <v>1894.02</v>
          </cell>
          <cell r="E323">
            <v>474.56</v>
          </cell>
          <cell r="F323">
            <v>89.54</v>
          </cell>
          <cell r="G323"/>
          <cell r="H323">
            <v>50</v>
          </cell>
          <cell r="I323"/>
          <cell r="J323"/>
          <cell r="K323"/>
          <cell r="L323"/>
          <cell r="M323"/>
          <cell r="N323"/>
          <cell r="O323">
            <v>50</v>
          </cell>
          <cell r="P323"/>
          <cell r="Q323"/>
          <cell r="R323">
            <v>577.59</v>
          </cell>
          <cell r="S323">
            <v>29160.000000000004</v>
          </cell>
          <cell r="T323">
            <v>5.85</v>
          </cell>
          <cell r="U323"/>
          <cell r="V323">
            <v>5.85</v>
          </cell>
          <cell r="W323">
            <v>16.399999999999999</v>
          </cell>
          <cell r="X323">
            <v>17.95</v>
          </cell>
          <cell r="Y323"/>
          <cell r="Z323">
            <v>108.81</v>
          </cell>
          <cell r="AA323">
            <v>24.77</v>
          </cell>
          <cell r="AB323"/>
          <cell r="AC323" t="str">
            <v>المكتبية</v>
          </cell>
        </row>
        <row r="324">
          <cell r="A324">
            <v>26706242500171</v>
          </cell>
          <cell r="B324">
            <v>146</v>
          </cell>
          <cell r="C324" t="str">
            <v>خالد محمود سيد حسين</v>
          </cell>
          <cell r="D324">
            <v>1803.41</v>
          </cell>
          <cell r="E324">
            <v>416.42</v>
          </cell>
          <cell r="F324">
            <v>82.61</v>
          </cell>
          <cell r="G324"/>
          <cell r="H324">
            <v>150</v>
          </cell>
          <cell r="I324"/>
          <cell r="J324"/>
          <cell r="K324"/>
          <cell r="L324"/>
          <cell r="M324"/>
          <cell r="N324"/>
          <cell r="O324">
            <v>150</v>
          </cell>
          <cell r="P324"/>
          <cell r="Q324"/>
          <cell r="R324">
            <v>528.65</v>
          </cell>
          <cell r="S324">
            <v>29159.999999999996</v>
          </cell>
          <cell r="T324">
            <v>1.45</v>
          </cell>
          <cell r="U324"/>
          <cell r="V324">
            <v>1.45</v>
          </cell>
          <cell r="W324">
            <v>16.100000000000001</v>
          </cell>
          <cell r="X324">
            <v>17.649999999999999</v>
          </cell>
          <cell r="Y324"/>
          <cell r="Z324">
            <v>105.07</v>
          </cell>
          <cell r="AA324">
            <v>23.95</v>
          </cell>
          <cell r="AB324"/>
          <cell r="AC324" t="str">
            <v>المكتبية</v>
          </cell>
        </row>
        <row r="325">
          <cell r="A325">
            <v>25807242501204</v>
          </cell>
          <cell r="B325">
            <v>147</v>
          </cell>
          <cell r="C325" t="str">
            <v>رجاء محمد أبراهيم عبدالحافظ</v>
          </cell>
          <cell r="D325">
            <v>2145.46</v>
          </cell>
          <cell r="E325">
            <v>587.97</v>
          </cell>
          <cell r="F325">
            <v>104.04</v>
          </cell>
          <cell r="G325">
            <v>66.53</v>
          </cell>
          <cell r="H325">
            <v>150</v>
          </cell>
          <cell r="I325"/>
          <cell r="J325"/>
          <cell r="K325"/>
          <cell r="L325"/>
          <cell r="M325"/>
          <cell r="N325"/>
          <cell r="O325">
            <v>150</v>
          </cell>
          <cell r="P325"/>
          <cell r="Q325"/>
          <cell r="R325">
            <v>665.32</v>
          </cell>
          <cell r="S325">
            <v>29160</v>
          </cell>
          <cell r="T325"/>
          <cell r="U325"/>
          <cell r="V325">
            <v>0</v>
          </cell>
          <cell r="W325">
            <v>20.149999999999999</v>
          </cell>
          <cell r="X325">
            <v>21.8</v>
          </cell>
          <cell r="Y325"/>
          <cell r="Z325">
            <v>158.69999999999999</v>
          </cell>
          <cell r="AA325">
            <v>34.97</v>
          </cell>
          <cell r="AB325"/>
          <cell r="AC325" t="str">
            <v>المكتبية</v>
          </cell>
        </row>
        <row r="326">
          <cell r="A326">
            <v>27009152500067</v>
          </cell>
          <cell r="B326">
            <v>148</v>
          </cell>
          <cell r="C326" t="str">
            <v>رضا علي أبو الحسن اسماعيل</v>
          </cell>
          <cell r="D326">
            <v>1612.24</v>
          </cell>
          <cell r="E326">
            <v>345.03</v>
          </cell>
          <cell r="F326">
            <v>73.36</v>
          </cell>
          <cell r="G326"/>
          <cell r="H326">
            <v>145</v>
          </cell>
          <cell r="I326"/>
          <cell r="J326"/>
          <cell r="K326"/>
          <cell r="L326"/>
          <cell r="M326"/>
          <cell r="N326"/>
          <cell r="O326">
            <v>145</v>
          </cell>
          <cell r="P326"/>
          <cell r="Q326"/>
          <cell r="R326">
            <v>475.6</v>
          </cell>
          <cell r="S326">
            <v>26977.249999999996</v>
          </cell>
          <cell r="T326"/>
          <cell r="U326"/>
          <cell r="V326">
            <v>0</v>
          </cell>
          <cell r="W326">
            <v>14.25</v>
          </cell>
          <cell r="X326">
            <v>15.65</v>
          </cell>
          <cell r="Y326"/>
          <cell r="Z326">
            <v>80.97</v>
          </cell>
          <cell r="AA326">
            <v>18.73</v>
          </cell>
          <cell r="AB326"/>
          <cell r="AC326" t="str">
            <v>المكتبية</v>
          </cell>
        </row>
        <row r="327">
          <cell r="A327">
            <v>26008182500223</v>
          </cell>
          <cell r="B327">
            <v>149</v>
          </cell>
          <cell r="C327" t="str">
            <v>ساميه نجيب مرقص عبدالشهيد</v>
          </cell>
          <cell r="D327">
            <v>2112.35</v>
          </cell>
          <cell r="E327">
            <v>568.75</v>
          </cell>
          <cell r="F327">
            <v>101.67</v>
          </cell>
          <cell r="G327">
            <v>65.33</v>
          </cell>
          <cell r="H327">
            <v>50</v>
          </cell>
          <cell r="I327"/>
          <cell r="J327"/>
          <cell r="K327"/>
          <cell r="L327"/>
          <cell r="M327"/>
          <cell r="N327"/>
          <cell r="O327">
            <v>50</v>
          </cell>
          <cell r="P327"/>
          <cell r="Q327"/>
          <cell r="R327">
            <v>653.34</v>
          </cell>
          <cell r="S327">
            <v>29160.009999999995</v>
          </cell>
          <cell r="T327"/>
          <cell r="U327"/>
          <cell r="V327">
            <v>0</v>
          </cell>
          <cell r="W327">
            <v>19</v>
          </cell>
          <cell r="X327">
            <v>20.65</v>
          </cell>
          <cell r="Y327"/>
          <cell r="Z327">
            <v>143.83000000000001</v>
          </cell>
          <cell r="AA327">
            <v>31.97</v>
          </cell>
          <cell r="AB327"/>
          <cell r="AC327" t="str">
            <v>المكتبية</v>
          </cell>
        </row>
        <row r="328">
          <cell r="A328">
            <v>27306182500104</v>
          </cell>
          <cell r="B328">
            <v>150</v>
          </cell>
          <cell r="C328" t="str">
            <v>سحر عبدالنعيم قطب مصطفى</v>
          </cell>
          <cell r="D328">
            <v>1601.6</v>
          </cell>
          <cell r="E328">
            <v>340.35</v>
          </cell>
          <cell r="F328">
            <v>72.67</v>
          </cell>
          <cell r="G328"/>
          <cell r="H328">
            <v>95</v>
          </cell>
          <cell r="I328"/>
          <cell r="J328"/>
          <cell r="K328"/>
          <cell r="L328"/>
          <cell r="M328"/>
          <cell r="N328"/>
          <cell r="O328">
            <v>95</v>
          </cell>
          <cell r="P328"/>
          <cell r="Q328"/>
          <cell r="R328">
            <v>471.93</v>
          </cell>
          <cell r="S328">
            <v>25981.62</v>
          </cell>
          <cell r="T328"/>
          <cell r="U328"/>
          <cell r="V328">
            <v>0</v>
          </cell>
          <cell r="W328">
            <v>13.8</v>
          </cell>
          <cell r="X328">
            <v>15.15</v>
          </cell>
          <cell r="Y328"/>
          <cell r="Z328">
            <v>74.680000000000007</v>
          </cell>
          <cell r="AA328">
            <v>17.350000000000001</v>
          </cell>
          <cell r="AB328"/>
          <cell r="AC328" t="str">
            <v>المكتبية</v>
          </cell>
        </row>
        <row r="329">
          <cell r="A329">
            <v>26712082500209</v>
          </cell>
          <cell r="B329">
            <v>151</v>
          </cell>
          <cell r="C329" t="str">
            <v>سعاد شحاتة محمد الامير</v>
          </cell>
          <cell r="D329">
            <v>1650.65</v>
          </cell>
          <cell r="E329">
            <v>294.76</v>
          </cell>
          <cell r="F329">
            <v>74.47</v>
          </cell>
          <cell r="G329"/>
          <cell r="H329">
            <v>100</v>
          </cell>
          <cell r="I329"/>
          <cell r="J329"/>
          <cell r="K329"/>
          <cell r="L329"/>
          <cell r="M329"/>
          <cell r="N329"/>
          <cell r="O329">
            <v>100</v>
          </cell>
          <cell r="P329"/>
          <cell r="Q329"/>
          <cell r="R329">
            <v>471.45</v>
          </cell>
          <cell r="S329">
            <v>25693.319999999996</v>
          </cell>
          <cell r="T329">
            <v>2.94</v>
          </cell>
          <cell r="U329"/>
          <cell r="V329">
            <v>2.94</v>
          </cell>
          <cell r="W329">
            <v>13.85</v>
          </cell>
          <cell r="X329">
            <v>15.25</v>
          </cell>
          <cell r="Y329"/>
          <cell r="Z329">
            <v>75.489999999999995</v>
          </cell>
          <cell r="AA329">
            <v>17.63</v>
          </cell>
          <cell r="AB329"/>
          <cell r="AC329" t="str">
            <v>المكتبية</v>
          </cell>
        </row>
        <row r="330">
          <cell r="A330">
            <v>26804172501427</v>
          </cell>
          <cell r="B330">
            <v>152</v>
          </cell>
          <cell r="C330" t="str">
            <v>سلوى بهي الدين عبدالمنعم</v>
          </cell>
          <cell r="D330">
            <v>1485.91</v>
          </cell>
          <cell r="E330">
            <v>219.34</v>
          </cell>
          <cell r="F330">
            <v>53.29</v>
          </cell>
          <cell r="G330"/>
          <cell r="H330">
            <v>50</v>
          </cell>
          <cell r="I330"/>
          <cell r="J330"/>
          <cell r="K330"/>
          <cell r="L330"/>
          <cell r="M330"/>
          <cell r="N330"/>
          <cell r="O330">
            <v>50</v>
          </cell>
          <cell r="P330"/>
          <cell r="Q330"/>
          <cell r="R330">
            <v>412.07</v>
          </cell>
          <cell r="S330">
            <v>23970.79</v>
          </cell>
          <cell r="T330">
            <v>22.28</v>
          </cell>
          <cell r="U330"/>
          <cell r="V330">
            <v>22.28</v>
          </cell>
          <cell r="W330">
            <v>11.75</v>
          </cell>
          <cell r="X330">
            <v>12.85</v>
          </cell>
          <cell r="Y330"/>
          <cell r="Z330">
            <v>45.44</v>
          </cell>
          <cell r="AA330">
            <v>11.26</v>
          </cell>
          <cell r="AB330"/>
          <cell r="AC330" t="str">
            <v>المكتبية</v>
          </cell>
        </row>
        <row r="331">
          <cell r="A331">
            <v>26609012500141</v>
          </cell>
          <cell r="B331">
            <v>153</v>
          </cell>
          <cell r="C331" t="str">
            <v>سمية عبد الناصر محمد محمود</v>
          </cell>
          <cell r="D331">
            <v>1546.34</v>
          </cell>
          <cell r="E331">
            <v>243.39</v>
          </cell>
          <cell r="F331">
            <v>61.49</v>
          </cell>
          <cell r="G331"/>
          <cell r="H331">
            <v>50</v>
          </cell>
          <cell r="I331"/>
          <cell r="J331"/>
          <cell r="K331"/>
          <cell r="L331"/>
          <cell r="M331"/>
          <cell r="N331"/>
          <cell r="O331">
            <v>50</v>
          </cell>
          <cell r="P331"/>
          <cell r="Q331"/>
          <cell r="R331">
            <v>431</v>
          </cell>
          <cell r="S331">
            <v>26855.199999999997</v>
          </cell>
          <cell r="T331">
            <v>7.22</v>
          </cell>
          <cell r="U331"/>
          <cell r="V331">
            <v>7.22</v>
          </cell>
          <cell r="W331">
            <v>12.35</v>
          </cell>
          <cell r="X331">
            <v>13.6</v>
          </cell>
          <cell r="Y331"/>
          <cell r="Z331">
            <v>55.07</v>
          </cell>
          <cell r="AA331">
            <v>13.32</v>
          </cell>
          <cell r="AB331"/>
          <cell r="AC331" t="str">
            <v>المكتبية</v>
          </cell>
        </row>
        <row r="332">
          <cell r="A332">
            <v>26001122500645</v>
          </cell>
          <cell r="B332">
            <v>154</v>
          </cell>
          <cell r="C332" t="str">
            <v>سميحه عبدالعال محمد عبدالعال</v>
          </cell>
          <cell r="D332">
            <v>1980.82</v>
          </cell>
          <cell r="E332">
            <v>514.41</v>
          </cell>
          <cell r="F332">
            <v>94.6</v>
          </cell>
          <cell r="G332"/>
          <cell r="H332">
            <v>50</v>
          </cell>
          <cell r="I332"/>
          <cell r="J332"/>
          <cell r="K332"/>
          <cell r="L332"/>
          <cell r="M332"/>
          <cell r="N332"/>
          <cell r="O332">
            <v>50</v>
          </cell>
          <cell r="P332"/>
          <cell r="Q332"/>
          <cell r="R332">
            <v>608.97</v>
          </cell>
          <cell r="S332">
            <v>29160</v>
          </cell>
          <cell r="T332">
            <v>2.4300000000000002</v>
          </cell>
          <cell r="U332"/>
          <cell r="V332">
            <v>2.4300000000000002</v>
          </cell>
          <cell r="W332">
            <v>17.3</v>
          </cell>
          <cell r="X332">
            <v>18.899999999999999</v>
          </cell>
          <cell r="Y332"/>
          <cell r="Z332">
            <v>120.79</v>
          </cell>
          <cell r="AA332">
            <v>27.25</v>
          </cell>
          <cell r="AB332"/>
          <cell r="AC332" t="str">
            <v>المكتبية</v>
          </cell>
        </row>
        <row r="333">
          <cell r="A333">
            <v>26803172500165</v>
          </cell>
          <cell r="B333">
            <v>155</v>
          </cell>
          <cell r="C333" t="str">
            <v>سهير عبد العظيم محمد عبدالرحمن</v>
          </cell>
          <cell r="D333">
            <v>1613.03</v>
          </cell>
          <cell r="E333">
            <v>256.02</v>
          </cell>
          <cell r="F333">
            <v>65.7</v>
          </cell>
          <cell r="G333"/>
          <cell r="H333">
            <v>100</v>
          </cell>
          <cell r="I333"/>
          <cell r="J333"/>
          <cell r="K333"/>
          <cell r="L333"/>
          <cell r="M333"/>
          <cell r="N333"/>
          <cell r="O333">
            <v>100</v>
          </cell>
          <cell r="P333"/>
          <cell r="Q333"/>
          <cell r="R333">
            <v>440.94</v>
          </cell>
          <cell r="S333">
            <v>26080.46</v>
          </cell>
          <cell r="T333">
            <v>2.08</v>
          </cell>
          <cell r="U333"/>
          <cell r="V333">
            <v>2.08</v>
          </cell>
          <cell r="W333">
            <v>13.3</v>
          </cell>
          <cell r="X333">
            <v>14.65</v>
          </cell>
          <cell r="Y333"/>
          <cell r="Z333">
            <v>67.97</v>
          </cell>
          <cell r="AA333">
            <v>16.05</v>
          </cell>
          <cell r="AB333"/>
          <cell r="AC333" t="str">
            <v>المكتبية</v>
          </cell>
        </row>
        <row r="334">
          <cell r="A334">
            <v>27211152500958</v>
          </cell>
          <cell r="B334">
            <v>156</v>
          </cell>
          <cell r="C334" t="str">
            <v>سيد مصطفى حسين احمد</v>
          </cell>
          <cell r="D334">
            <v>1621.11</v>
          </cell>
          <cell r="E334">
            <v>281.12</v>
          </cell>
          <cell r="F334">
            <v>72.08</v>
          </cell>
          <cell r="G334"/>
          <cell r="H334">
            <v>150</v>
          </cell>
          <cell r="I334"/>
          <cell r="J334"/>
          <cell r="K334"/>
          <cell r="L334"/>
          <cell r="M334"/>
          <cell r="N334"/>
          <cell r="O334">
            <v>150</v>
          </cell>
          <cell r="P334"/>
          <cell r="Q334"/>
          <cell r="R334">
            <v>457.58</v>
          </cell>
          <cell r="S334">
            <v>26422.84</v>
          </cell>
          <cell r="T334"/>
          <cell r="U334"/>
          <cell r="V334">
            <v>0</v>
          </cell>
          <cell r="W334">
            <v>13.95</v>
          </cell>
          <cell r="X334">
            <v>15.3</v>
          </cell>
          <cell r="Y334"/>
          <cell r="Z334">
            <v>76.599999999999994</v>
          </cell>
          <cell r="AA334">
            <v>17.79</v>
          </cell>
          <cell r="AB334"/>
          <cell r="AC334" t="str">
            <v>المكتبية</v>
          </cell>
        </row>
        <row r="335">
          <cell r="A335">
            <v>26110212500109</v>
          </cell>
          <cell r="B335">
            <v>157</v>
          </cell>
          <cell r="C335" t="str">
            <v>صباح عباس قطب شحاتة</v>
          </cell>
          <cell r="D335">
            <v>1516.49</v>
          </cell>
          <cell r="E335">
            <v>230.33</v>
          </cell>
          <cell r="F335">
            <v>57.02</v>
          </cell>
          <cell r="G335"/>
          <cell r="H335">
            <v>100</v>
          </cell>
          <cell r="I335"/>
          <cell r="J335"/>
          <cell r="K335"/>
          <cell r="L335"/>
          <cell r="M335"/>
          <cell r="N335"/>
          <cell r="O335">
            <v>100</v>
          </cell>
          <cell r="P335"/>
          <cell r="Q335"/>
          <cell r="R335">
            <v>420.71</v>
          </cell>
          <cell r="S335">
            <v>24756.86</v>
          </cell>
          <cell r="T335">
            <v>13.79</v>
          </cell>
          <cell r="U335"/>
          <cell r="V335">
            <v>13.79</v>
          </cell>
          <cell r="W335">
            <v>12.4</v>
          </cell>
          <cell r="X335">
            <v>13.6</v>
          </cell>
          <cell r="Y335"/>
          <cell r="Z335">
            <v>55.19</v>
          </cell>
          <cell r="AA335">
            <v>13.28</v>
          </cell>
          <cell r="AB335"/>
          <cell r="AC335" t="str">
            <v>المكتبية</v>
          </cell>
        </row>
        <row r="336">
          <cell r="A336">
            <v>25812232500033</v>
          </cell>
          <cell r="B336">
            <v>158</v>
          </cell>
          <cell r="C336" t="str">
            <v>عادل انور مرغني محمد</v>
          </cell>
          <cell r="D336">
            <v>2232.0500000000002</v>
          </cell>
          <cell r="E336">
            <v>764.28</v>
          </cell>
          <cell r="F336">
            <v>114.29</v>
          </cell>
          <cell r="G336">
            <v>73.56</v>
          </cell>
          <cell r="H336">
            <v>150</v>
          </cell>
          <cell r="I336"/>
          <cell r="J336"/>
          <cell r="K336"/>
          <cell r="L336"/>
          <cell r="M336"/>
          <cell r="N336"/>
          <cell r="O336">
            <v>150</v>
          </cell>
          <cell r="P336"/>
          <cell r="Q336"/>
          <cell r="R336">
            <v>735.65</v>
          </cell>
          <cell r="S336">
            <v>29160</v>
          </cell>
          <cell r="T336"/>
          <cell r="U336"/>
          <cell r="V336">
            <v>0</v>
          </cell>
          <cell r="W336">
            <v>22</v>
          </cell>
          <cell r="X336">
            <v>23.8</v>
          </cell>
          <cell r="Y336"/>
          <cell r="Z336">
            <v>183.44</v>
          </cell>
          <cell r="AA336">
            <v>124.13</v>
          </cell>
          <cell r="AB336"/>
          <cell r="AC336" t="str">
            <v>المكتبية</v>
          </cell>
        </row>
        <row r="337">
          <cell r="A337">
            <v>26108072500095</v>
          </cell>
          <cell r="B337">
            <v>159</v>
          </cell>
          <cell r="C337" t="str">
            <v>عاطف صلاح بخيت ابراهيم</v>
          </cell>
          <cell r="D337">
            <v>1973.99</v>
          </cell>
          <cell r="E337">
            <v>492.13</v>
          </cell>
          <cell r="F337">
            <v>92.96</v>
          </cell>
          <cell r="G337"/>
          <cell r="H337">
            <v>150</v>
          </cell>
          <cell r="I337"/>
          <cell r="J337"/>
          <cell r="K337"/>
          <cell r="L337"/>
          <cell r="M337"/>
          <cell r="N337"/>
          <cell r="O337">
            <v>150</v>
          </cell>
          <cell r="P337"/>
          <cell r="Q337"/>
          <cell r="R337">
            <v>588.26</v>
          </cell>
          <cell r="S337">
            <v>29160</v>
          </cell>
          <cell r="T337"/>
          <cell r="U337">
            <v>0.43</v>
          </cell>
          <cell r="V337">
            <v>0.43</v>
          </cell>
          <cell r="W337">
            <v>17.8</v>
          </cell>
          <cell r="X337">
            <v>19.45</v>
          </cell>
          <cell r="Y337"/>
          <cell r="Z337">
            <v>127.81</v>
          </cell>
          <cell r="AA337">
            <v>28.74</v>
          </cell>
          <cell r="AB337"/>
          <cell r="AC337" t="str">
            <v>المكتبية</v>
          </cell>
        </row>
        <row r="338">
          <cell r="A338">
            <v>26011172500234</v>
          </cell>
          <cell r="B338">
            <v>160</v>
          </cell>
          <cell r="C338" t="str">
            <v>عبد العال قطب عبد الحافظ</v>
          </cell>
          <cell r="D338">
            <v>2185.37</v>
          </cell>
          <cell r="E338">
            <v>608.29999999999995</v>
          </cell>
          <cell r="F338">
            <v>106.9</v>
          </cell>
          <cell r="G338">
            <v>67.97</v>
          </cell>
          <cell r="H338">
            <v>100</v>
          </cell>
          <cell r="I338"/>
          <cell r="J338"/>
          <cell r="K338"/>
          <cell r="L338"/>
          <cell r="M338"/>
          <cell r="N338"/>
          <cell r="O338">
            <v>100</v>
          </cell>
          <cell r="P338"/>
          <cell r="Q338"/>
          <cell r="R338">
            <v>679.75</v>
          </cell>
          <cell r="S338">
            <v>29160.000000000007</v>
          </cell>
          <cell r="T338"/>
          <cell r="U338">
            <v>0.85</v>
          </cell>
          <cell r="V338">
            <v>0.85</v>
          </cell>
          <cell r="W338">
            <v>20.2</v>
          </cell>
          <cell r="X338">
            <v>21.85</v>
          </cell>
          <cell r="Y338"/>
          <cell r="Z338">
            <v>159.36000000000001</v>
          </cell>
          <cell r="AA338">
            <v>35.14</v>
          </cell>
          <cell r="AB338"/>
          <cell r="AC338" t="str">
            <v>المكتبية</v>
          </cell>
        </row>
        <row r="339">
          <cell r="A339">
            <v>26507192501518</v>
          </cell>
          <cell r="B339">
            <v>161</v>
          </cell>
          <cell r="C339" t="str">
            <v>عز عبد العظيم هاشم عز</v>
          </cell>
          <cell r="D339">
            <v>1676.2</v>
          </cell>
          <cell r="E339">
            <v>378.45</v>
          </cell>
          <cell r="F339">
            <v>78.33</v>
          </cell>
          <cell r="G339"/>
          <cell r="H339">
            <v>150</v>
          </cell>
          <cell r="I339"/>
          <cell r="J339"/>
          <cell r="K339"/>
          <cell r="L339"/>
          <cell r="M339"/>
          <cell r="N339"/>
          <cell r="O339">
            <v>150</v>
          </cell>
          <cell r="P339"/>
          <cell r="Q339"/>
          <cell r="R339">
            <v>498.76</v>
          </cell>
          <cell r="S339">
            <v>29160</v>
          </cell>
          <cell r="T339">
            <v>4.6100000000000003</v>
          </cell>
          <cell r="U339"/>
          <cell r="V339">
            <v>4.6100000000000003</v>
          </cell>
          <cell r="W339">
            <v>15</v>
          </cell>
          <cell r="X339">
            <v>16.350000000000001</v>
          </cell>
          <cell r="Y339"/>
          <cell r="Z339">
            <v>90.14</v>
          </cell>
          <cell r="AA339">
            <v>20.6</v>
          </cell>
          <cell r="AB339"/>
          <cell r="AC339" t="str">
            <v>المكتبية</v>
          </cell>
        </row>
        <row r="340">
          <cell r="A340">
            <v>25810012501745</v>
          </cell>
          <cell r="B340">
            <v>162</v>
          </cell>
          <cell r="C340" t="str">
            <v>عليه احمد قطب حسن</v>
          </cell>
          <cell r="D340">
            <v>2142.8200000000002</v>
          </cell>
          <cell r="E340">
            <v>584.77</v>
          </cell>
          <cell r="F340">
            <v>103.64</v>
          </cell>
          <cell r="G340">
            <v>66.430000000000007</v>
          </cell>
          <cell r="H340">
            <v>150</v>
          </cell>
          <cell r="I340"/>
          <cell r="J340"/>
          <cell r="K340"/>
          <cell r="L340"/>
          <cell r="M340"/>
          <cell r="N340"/>
          <cell r="O340">
            <v>150</v>
          </cell>
          <cell r="P340"/>
          <cell r="Q340"/>
          <cell r="R340">
            <v>664.37</v>
          </cell>
          <cell r="S340">
            <v>29159.999999999996</v>
          </cell>
          <cell r="T340"/>
          <cell r="U340"/>
          <cell r="V340">
            <v>0</v>
          </cell>
          <cell r="W340">
            <v>20.100000000000001</v>
          </cell>
          <cell r="X340">
            <v>21.75</v>
          </cell>
          <cell r="Y340"/>
          <cell r="Z340">
            <v>158.13999999999999</v>
          </cell>
          <cell r="AA340">
            <v>34.86</v>
          </cell>
          <cell r="AB340"/>
          <cell r="AC340" t="str">
            <v>المكتبية</v>
          </cell>
        </row>
        <row r="341">
          <cell r="A341">
            <v>25709102500125</v>
          </cell>
          <cell r="B341">
            <v>163</v>
          </cell>
          <cell r="C341" t="str">
            <v>فاطمه محمد سيد حسنين</v>
          </cell>
          <cell r="D341">
            <v>2432.2199999999998</v>
          </cell>
          <cell r="E341">
            <v>850.04</v>
          </cell>
          <cell r="F341">
            <v>126.9</v>
          </cell>
          <cell r="G341">
            <v>80.63</v>
          </cell>
          <cell r="H341">
            <v>100</v>
          </cell>
          <cell r="I341"/>
          <cell r="J341"/>
          <cell r="K341"/>
          <cell r="L341"/>
          <cell r="M341"/>
          <cell r="N341"/>
          <cell r="O341">
            <v>100</v>
          </cell>
          <cell r="P341"/>
          <cell r="Q341"/>
          <cell r="R341">
            <v>806.3</v>
          </cell>
          <cell r="S341">
            <v>29159.999999999996</v>
          </cell>
          <cell r="T341"/>
          <cell r="U341"/>
          <cell r="V341">
            <v>0</v>
          </cell>
          <cell r="W341">
            <v>23.8</v>
          </cell>
          <cell r="X341">
            <v>26.7</v>
          </cell>
          <cell r="Y341"/>
          <cell r="Z341">
            <v>212.38</v>
          </cell>
          <cell r="AA341">
            <v>158.69</v>
          </cell>
          <cell r="AB341"/>
          <cell r="AC341" t="str">
            <v>المكتبية</v>
          </cell>
        </row>
        <row r="342">
          <cell r="A342">
            <v>26910152501298</v>
          </cell>
          <cell r="B342">
            <v>164</v>
          </cell>
          <cell r="C342" t="str">
            <v>فرغلي ابراهيم رشوان مصطفي</v>
          </cell>
          <cell r="D342">
            <v>1566.61</v>
          </cell>
          <cell r="E342">
            <v>256.18</v>
          </cell>
          <cell r="F342">
            <v>65</v>
          </cell>
          <cell r="G342"/>
          <cell r="H342">
            <v>150</v>
          </cell>
          <cell r="I342"/>
          <cell r="J342"/>
          <cell r="K342"/>
          <cell r="L342"/>
          <cell r="M342"/>
          <cell r="N342"/>
          <cell r="O342">
            <v>150</v>
          </cell>
          <cell r="P342"/>
          <cell r="Q342"/>
          <cell r="R342">
            <v>437.92</v>
          </cell>
          <cell r="S342">
            <v>24775.690000000002</v>
          </cell>
          <cell r="T342"/>
          <cell r="U342"/>
          <cell r="V342">
            <v>0</v>
          </cell>
          <cell r="W342">
            <v>13.35</v>
          </cell>
          <cell r="X342">
            <v>14.7</v>
          </cell>
          <cell r="Y342"/>
          <cell r="Z342">
            <v>68.959999999999994</v>
          </cell>
          <cell r="AA342">
            <v>16.14</v>
          </cell>
          <cell r="AB342"/>
          <cell r="AC342" t="str">
            <v>المكتبية</v>
          </cell>
        </row>
        <row r="343">
          <cell r="A343">
            <v>27010272500034</v>
          </cell>
          <cell r="B343">
            <v>165</v>
          </cell>
          <cell r="C343" t="str">
            <v>لؤي احمد حسن مسعد</v>
          </cell>
          <cell r="D343">
            <v>1674.89</v>
          </cell>
          <cell r="E343">
            <v>373.56</v>
          </cell>
          <cell r="F343">
            <v>77.06</v>
          </cell>
          <cell r="G343"/>
          <cell r="H343">
            <v>50</v>
          </cell>
          <cell r="I343"/>
          <cell r="J343"/>
          <cell r="K343"/>
          <cell r="L343"/>
          <cell r="M343"/>
          <cell r="N343"/>
          <cell r="O343">
            <v>50</v>
          </cell>
          <cell r="P343"/>
          <cell r="Q343"/>
          <cell r="R343">
            <v>498.06</v>
          </cell>
          <cell r="S343">
            <v>27984.720000000001</v>
          </cell>
          <cell r="T343"/>
          <cell r="U343"/>
          <cell r="V343">
            <v>0</v>
          </cell>
          <cell r="W343">
            <v>14.2</v>
          </cell>
          <cell r="X343">
            <v>15.6</v>
          </cell>
          <cell r="Y343"/>
          <cell r="Z343">
            <v>80.02</v>
          </cell>
          <cell r="AA343">
            <v>18.57</v>
          </cell>
          <cell r="AB343"/>
          <cell r="AC343" t="str">
            <v>المكتبية</v>
          </cell>
        </row>
        <row r="344">
          <cell r="A344">
            <v>26104092500576</v>
          </cell>
          <cell r="B344">
            <v>166</v>
          </cell>
          <cell r="C344" t="str">
            <v>محمد حسين احمد محمد</v>
          </cell>
          <cell r="D344">
            <v>1946.3</v>
          </cell>
          <cell r="E344">
            <v>479.62</v>
          </cell>
          <cell r="F344">
            <v>90.85</v>
          </cell>
          <cell r="G344"/>
          <cell r="H344">
            <v>150</v>
          </cell>
          <cell r="I344"/>
          <cell r="J344"/>
          <cell r="K344"/>
          <cell r="L344"/>
          <cell r="M344"/>
          <cell r="N344"/>
          <cell r="O344">
            <v>150</v>
          </cell>
          <cell r="P344"/>
          <cell r="Q344"/>
          <cell r="R344">
            <v>578.41999999999996</v>
          </cell>
          <cell r="S344">
            <v>29160</v>
          </cell>
          <cell r="T344">
            <v>6.19</v>
          </cell>
          <cell r="U344"/>
          <cell r="V344">
            <v>6.19</v>
          </cell>
          <cell r="W344">
            <v>17.5</v>
          </cell>
          <cell r="X344">
            <v>19.100000000000001</v>
          </cell>
          <cell r="Y344"/>
          <cell r="Z344">
            <v>123.5</v>
          </cell>
          <cell r="AA344">
            <v>27.85</v>
          </cell>
          <cell r="AB344"/>
          <cell r="AC344" t="str">
            <v>المكتبية</v>
          </cell>
        </row>
        <row r="345">
          <cell r="A345">
            <v>26110052500174</v>
          </cell>
          <cell r="B345">
            <v>167</v>
          </cell>
          <cell r="C345" t="str">
            <v>محمد شعبان احمد حمدان</v>
          </cell>
          <cell r="D345">
            <v>1988.86</v>
          </cell>
          <cell r="E345">
            <v>522.1</v>
          </cell>
          <cell r="F345">
            <v>95.06</v>
          </cell>
          <cell r="G345"/>
          <cell r="H345">
            <v>150</v>
          </cell>
          <cell r="I345"/>
          <cell r="J345"/>
          <cell r="K345"/>
          <cell r="L345"/>
          <cell r="M345"/>
          <cell r="N345"/>
          <cell r="O345">
            <v>150</v>
          </cell>
          <cell r="P345"/>
          <cell r="Q345"/>
          <cell r="R345">
            <v>611.88</v>
          </cell>
          <cell r="S345">
            <v>29160</v>
          </cell>
          <cell r="T345"/>
          <cell r="U345"/>
          <cell r="V345">
            <v>0</v>
          </cell>
          <cell r="W345">
            <v>18.149999999999999</v>
          </cell>
          <cell r="X345">
            <v>19.75</v>
          </cell>
          <cell r="Y345"/>
          <cell r="Z345">
            <v>132.38999999999999</v>
          </cell>
          <cell r="AA345">
            <v>29.57</v>
          </cell>
          <cell r="AB345"/>
          <cell r="AC345" t="str">
            <v>المكتبية</v>
          </cell>
        </row>
        <row r="346">
          <cell r="A346">
            <v>26109132500096</v>
          </cell>
          <cell r="B346">
            <v>168</v>
          </cell>
          <cell r="C346" t="str">
            <v>محمد عبد الحميد محمد رفاعي</v>
          </cell>
          <cell r="D346">
            <v>2021.65</v>
          </cell>
          <cell r="E346">
            <v>533.49</v>
          </cell>
          <cell r="F346">
            <v>96.64</v>
          </cell>
          <cell r="G346">
            <v>62.08</v>
          </cell>
          <cell r="H346">
            <v>150</v>
          </cell>
          <cell r="I346"/>
          <cell r="J346"/>
          <cell r="K346"/>
          <cell r="L346"/>
          <cell r="M346"/>
          <cell r="N346"/>
          <cell r="O346">
            <v>150</v>
          </cell>
          <cell r="P346"/>
          <cell r="Q346"/>
          <cell r="R346">
            <v>620.85</v>
          </cell>
          <cell r="S346">
            <v>29160</v>
          </cell>
          <cell r="T346"/>
          <cell r="U346"/>
          <cell r="V346">
            <v>0</v>
          </cell>
          <cell r="W346">
            <v>18.850000000000001</v>
          </cell>
          <cell r="X346">
            <v>20.5</v>
          </cell>
          <cell r="Y346"/>
          <cell r="Z346">
            <v>141.9</v>
          </cell>
          <cell r="AA346">
            <v>31.49</v>
          </cell>
          <cell r="AB346"/>
          <cell r="AC346" t="str">
            <v>المكتبية</v>
          </cell>
        </row>
        <row r="347">
          <cell r="A347">
            <v>26010142500039</v>
          </cell>
          <cell r="B347">
            <v>169</v>
          </cell>
          <cell r="C347" t="str">
            <v>محمد عيد أحمد معوض</v>
          </cell>
          <cell r="D347">
            <v>2189.88</v>
          </cell>
          <cell r="E347">
            <v>610.04</v>
          </cell>
          <cell r="F347">
            <v>107.3</v>
          </cell>
          <cell r="G347">
            <v>68.11</v>
          </cell>
          <cell r="H347">
            <v>150</v>
          </cell>
          <cell r="I347"/>
          <cell r="J347"/>
          <cell r="K347"/>
          <cell r="L347"/>
          <cell r="M347"/>
          <cell r="N347"/>
          <cell r="O347">
            <v>150</v>
          </cell>
          <cell r="P347"/>
          <cell r="Q347"/>
          <cell r="R347">
            <v>681.13</v>
          </cell>
          <cell r="S347">
            <v>29160</v>
          </cell>
          <cell r="T347"/>
          <cell r="U347"/>
          <cell r="V347">
            <v>0</v>
          </cell>
          <cell r="W347">
            <v>20.6</v>
          </cell>
          <cell r="X347">
            <v>22.3</v>
          </cell>
          <cell r="Y347"/>
          <cell r="Z347">
            <v>165.01</v>
          </cell>
          <cell r="AA347">
            <v>36.270000000000003</v>
          </cell>
          <cell r="AB347"/>
          <cell r="AC347" t="str">
            <v>المكتبية</v>
          </cell>
        </row>
        <row r="348">
          <cell r="A348">
            <v>26301012502751</v>
          </cell>
          <cell r="B348">
            <v>170</v>
          </cell>
          <cell r="C348" t="str">
            <v>محمود سيد زكي خليفه</v>
          </cell>
          <cell r="D348">
            <v>2021.08</v>
          </cell>
          <cell r="E348">
            <v>533.49</v>
          </cell>
          <cell r="F348">
            <v>96.59</v>
          </cell>
          <cell r="G348">
            <v>62.08</v>
          </cell>
          <cell r="H348">
            <v>150</v>
          </cell>
          <cell r="I348"/>
          <cell r="J348"/>
          <cell r="K348"/>
          <cell r="L348"/>
          <cell r="M348"/>
          <cell r="N348"/>
          <cell r="O348">
            <v>150</v>
          </cell>
          <cell r="P348"/>
          <cell r="Q348"/>
          <cell r="R348">
            <v>620.85</v>
          </cell>
          <cell r="S348">
            <v>29160</v>
          </cell>
          <cell r="T348"/>
          <cell r="U348"/>
          <cell r="V348">
            <v>0</v>
          </cell>
          <cell r="W348">
            <v>18.850000000000001</v>
          </cell>
          <cell r="X348">
            <v>20.5</v>
          </cell>
          <cell r="Y348"/>
          <cell r="Z348">
            <v>141.85</v>
          </cell>
          <cell r="AA348">
            <v>31.48</v>
          </cell>
          <cell r="AB348"/>
          <cell r="AC348" t="str">
            <v>المكتبية</v>
          </cell>
        </row>
        <row r="349">
          <cell r="A349">
            <v>26303162501233</v>
          </cell>
          <cell r="B349">
            <v>171</v>
          </cell>
          <cell r="C349" t="str">
            <v>مختار حسين حسن احمد</v>
          </cell>
          <cell r="D349">
            <v>1882.1</v>
          </cell>
          <cell r="E349">
            <v>451.24</v>
          </cell>
          <cell r="F349">
            <v>86.64</v>
          </cell>
          <cell r="G349"/>
          <cell r="H349">
            <v>150</v>
          </cell>
          <cell r="I349"/>
          <cell r="J349"/>
          <cell r="K349"/>
          <cell r="L349"/>
          <cell r="M349"/>
          <cell r="N349"/>
          <cell r="O349">
            <v>150</v>
          </cell>
          <cell r="P349"/>
          <cell r="Q349"/>
          <cell r="R349">
            <v>556.09</v>
          </cell>
          <cell r="S349">
            <v>29160</v>
          </cell>
          <cell r="T349"/>
          <cell r="U349"/>
          <cell r="V349">
            <v>0</v>
          </cell>
          <cell r="W349">
            <v>16.899999999999999</v>
          </cell>
          <cell r="X349">
            <v>18.5</v>
          </cell>
          <cell r="Y349"/>
          <cell r="Z349">
            <v>115.58</v>
          </cell>
          <cell r="AA349">
            <v>26.2</v>
          </cell>
          <cell r="AB349"/>
          <cell r="AC349" t="str">
            <v>المكتبية</v>
          </cell>
        </row>
        <row r="350">
          <cell r="A350">
            <v>25803192500044</v>
          </cell>
          <cell r="B350">
            <v>172</v>
          </cell>
          <cell r="C350" t="str">
            <v>مديحه اسماعيل مبروك مسعود</v>
          </cell>
          <cell r="D350">
            <v>2026.61</v>
          </cell>
          <cell r="E350">
            <v>534.03</v>
          </cell>
          <cell r="F350">
            <v>96.93</v>
          </cell>
          <cell r="G350">
            <v>62.28</v>
          </cell>
          <cell r="H350">
            <v>150</v>
          </cell>
          <cell r="I350"/>
          <cell r="J350"/>
          <cell r="K350"/>
          <cell r="L350"/>
          <cell r="M350"/>
          <cell r="N350"/>
          <cell r="O350">
            <v>150</v>
          </cell>
          <cell r="P350"/>
          <cell r="Q350"/>
          <cell r="R350">
            <v>622.85</v>
          </cell>
          <cell r="S350">
            <v>29160</v>
          </cell>
          <cell r="T350">
            <v>1.85</v>
          </cell>
          <cell r="U350"/>
          <cell r="V350">
            <v>1.85</v>
          </cell>
          <cell r="W350">
            <v>18.899999999999999</v>
          </cell>
          <cell r="X350">
            <v>20.5</v>
          </cell>
          <cell r="Y350"/>
          <cell r="Z350">
            <v>142.24</v>
          </cell>
          <cell r="AA350">
            <v>31.57</v>
          </cell>
          <cell r="AB350"/>
          <cell r="AC350" t="str">
            <v>المكتبية</v>
          </cell>
        </row>
        <row r="351">
          <cell r="A351">
            <v>26806272500129</v>
          </cell>
          <cell r="B351">
            <v>173</v>
          </cell>
          <cell r="C351" t="str">
            <v>مديحه محمود احمد جاد الحق</v>
          </cell>
          <cell r="D351">
            <v>1531.59</v>
          </cell>
          <cell r="E351">
            <v>236.97</v>
          </cell>
          <cell r="F351">
            <v>59.34</v>
          </cell>
          <cell r="G351"/>
          <cell r="H351">
            <v>50</v>
          </cell>
          <cell r="I351"/>
          <cell r="J351"/>
          <cell r="K351"/>
          <cell r="L351"/>
          <cell r="M351"/>
          <cell r="N351"/>
          <cell r="O351">
            <v>50</v>
          </cell>
          <cell r="P351"/>
          <cell r="Q351"/>
          <cell r="R351">
            <v>425.96</v>
          </cell>
          <cell r="S351">
            <v>23760</v>
          </cell>
          <cell r="T351"/>
          <cell r="U351"/>
          <cell r="V351">
            <v>0</v>
          </cell>
          <cell r="W351">
            <v>12.2</v>
          </cell>
          <cell r="X351">
            <v>13.5</v>
          </cell>
          <cell r="Y351"/>
          <cell r="Z351">
            <v>53.73</v>
          </cell>
          <cell r="AA351">
            <v>13.02</v>
          </cell>
          <cell r="AB351"/>
          <cell r="AC351" t="str">
            <v>المكتبية</v>
          </cell>
        </row>
        <row r="352">
          <cell r="A352">
            <v>26506122501484</v>
          </cell>
          <cell r="B352">
            <v>174</v>
          </cell>
          <cell r="C352" t="str">
            <v>مرفت عبدالمحسن ابراهيم على</v>
          </cell>
          <cell r="D352">
            <v>1436.7</v>
          </cell>
          <cell r="E352">
            <v>134.1</v>
          </cell>
          <cell r="F352">
            <v>38.22</v>
          </cell>
          <cell r="G352"/>
          <cell r="H352">
            <v>100</v>
          </cell>
          <cell r="I352"/>
          <cell r="J352"/>
          <cell r="K352"/>
          <cell r="L352"/>
          <cell r="M352"/>
          <cell r="N352"/>
          <cell r="O352">
            <v>100</v>
          </cell>
          <cell r="P352"/>
          <cell r="Q352"/>
          <cell r="R352">
            <v>374.86</v>
          </cell>
          <cell r="S352">
            <v>20366.020000000004</v>
          </cell>
          <cell r="T352">
            <v>13.64</v>
          </cell>
          <cell r="U352"/>
          <cell r="V352">
            <v>13.64</v>
          </cell>
          <cell r="W352">
            <v>11.1</v>
          </cell>
          <cell r="X352">
            <v>12.25</v>
          </cell>
          <cell r="Y352"/>
          <cell r="Z352">
            <v>38.07</v>
          </cell>
          <cell r="AA352">
            <v>9.6999999999999993</v>
          </cell>
          <cell r="AB352"/>
          <cell r="AC352" t="str">
            <v>المكتبية</v>
          </cell>
        </row>
        <row r="353">
          <cell r="A353">
            <v>26501232501623</v>
          </cell>
          <cell r="B353">
            <v>175</v>
          </cell>
          <cell r="C353" t="str">
            <v>مرفت محمد مصطفى حماد</v>
          </cell>
          <cell r="D353">
            <v>1641.64</v>
          </cell>
          <cell r="E353">
            <v>340.35</v>
          </cell>
          <cell r="F353">
            <v>73.19</v>
          </cell>
          <cell r="G353"/>
          <cell r="H353">
            <v>100</v>
          </cell>
          <cell r="I353"/>
          <cell r="J353"/>
          <cell r="K353"/>
          <cell r="L353"/>
          <cell r="M353"/>
          <cell r="N353"/>
          <cell r="O353">
            <v>100</v>
          </cell>
          <cell r="P353"/>
          <cell r="Q353"/>
          <cell r="R353">
            <v>471.93</v>
          </cell>
          <cell r="S353">
            <v>26235.05</v>
          </cell>
          <cell r="T353">
            <v>4.43</v>
          </cell>
          <cell r="U353"/>
          <cell r="V353">
            <v>4.43</v>
          </cell>
          <cell r="W353">
            <v>14.1</v>
          </cell>
          <cell r="X353">
            <v>15.45</v>
          </cell>
          <cell r="Y353"/>
          <cell r="Z353">
            <v>78.36</v>
          </cell>
          <cell r="AA353">
            <v>18.170000000000002</v>
          </cell>
          <cell r="AB353"/>
          <cell r="AC353" t="str">
            <v>المكتبية</v>
          </cell>
        </row>
        <row r="354">
          <cell r="A354">
            <v>27303242500096</v>
          </cell>
          <cell r="B354">
            <v>176</v>
          </cell>
          <cell r="C354" t="str">
            <v>مغربي صديق طه صديق</v>
          </cell>
          <cell r="D354">
            <v>1582.33</v>
          </cell>
          <cell r="E354">
            <v>335.93</v>
          </cell>
          <cell r="F354">
            <v>71.8</v>
          </cell>
          <cell r="G354"/>
          <cell r="H354">
            <v>150</v>
          </cell>
          <cell r="I354"/>
          <cell r="J354"/>
          <cell r="K354"/>
          <cell r="L354"/>
          <cell r="M354"/>
          <cell r="N354"/>
          <cell r="O354">
            <v>150</v>
          </cell>
          <cell r="P354"/>
          <cell r="Q354"/>
          <cell r="R354">
            <v>465.28</v>
          </cell>
          <cell r="S354">
            <v>23803.250000000004</v>
          </cell>
          <cell r="T354"/>
          <cell r="U354"/>
          <cell r="V354">
            <v>0</v>
          </cell>
          <cell r="W354">
            <v>14.05</v>
          </cell>
          <cell r="X354">
            <v>15.35</v>
          </cell>
          <cell r="Y354"/>
          <cell r="Z354">
            <v>77.98</v>
          </cell>
          <cell r="AA354">
            <v>17.96</v>
          </cell>
          <cell r="AB354"/>
          <cell r="AC354" t="str">
            <v>المكتبية</v>
          </cell>
        </row>
        <row r="355">
          <cell r="A355">
            <v>26910212500245</v>
          </cell>
          <cell r="B355">
            <v>177</v>
          </cell>
          <cell r="C355" t="str">
            <v>منال حمدي احمد حسين</v>
          </cell>
          <cell r="D355">
            <v>1531.59</v>
          </cell>
          <cell r="E355">
            <v>236.97</v>
          </cell>
          <cell r="F355">
            <v>59.34</v>
          </cell>
          <cell r="G355"/>
          <cell r="H355">
            <v>140</v>
          </cell>
          <cell r="I355"/>
          <cell r="J355"/>
          <cell r="K355"/>
          <cell r="L355"/>
          <cell r="M355"/>
          <cell r="N355"/>
          <cell r="O355">
            <v>140</v>
          </cell>
          <cell r="P355"/>
          <cell r="Q355"/>
          <cell r="R355">
            <v>425.96</v>
          </cell>
          <cell r="S355">
            <v>24422.879999999997</v>
          </cell>
          <cell r="T355"/>
          <cell r="U355"/>
          <cell r="V355">
            <v>0</v>
          </cell>
          <cell r="W355">
            <v>12.9</v>
          </cell>
          <cell r="X355">
            <v>14.2</v>
          </cell>
          <cell r="Y355"/>
          <cell r="Z355">
            <v>62.66</v>
          </cell>
          <cell r="AA355">
            <v>14.8</v>
          </cell>
          <cell r="AB355"/>
          <cell r="AC355" t="str">
            <v>المكتبية</v>
          </cell>
        </row>
        <row r="356">
          <cell r="A356">
            <v>27301272500101</v>
          </cell>
          <cell r="B356">
            <v>178</v>
          </cell>
          <cell r="C356" t="str">
            <v>منى يوسف عبد المجيد فرغلي</v>
          </cell>
          <cell r="D356">
            <v>1612.24</v>
          </cell>
          <cell r="E356">
            <v>345.03</v>
          </cell>
          <cell r="F356">
            <v>73.31</v>
          </cell>
          <cell r="G356"/>
          <cell r="H356">
            <v>145</v>
          </cell>
          <cell r="I356"/>
          <cell r="J356"/>
          <cell r="K356"/>
          <cell r="L356"/>
          <cell r="M356"/>
          <cell r="N356"/>
          <cell r="O356">
            <v>145</v>
          </cell>
          <cell r="P356"/>
          <cell r="Q356"/>
          <cell r="R356">
            <v>475.6</v>
          </cell>
          <cell r="S356">
            <v>27101.27</v>
          </cell>
          <cell r="T356"/>
          <cell r="U356"/>
          <cell r="V356">
            <v>0</v>
          </cell>
          <cell r="W356">
            <v>14.25</v>
          </cell>
          <cell r="X356">
            <v>15.65</v>
          </cell>
          <cell r="Y356"/>
          <cell r="Z356">
            <v>81.06</v>
          </cell>
          <cell r="AA356">
            <v>18.75</v>
          </cell>
          <cell r="AB356"/>
          <cell r="AC356" t="str">
            <v>المكتبية</v>
          </cell>
        </row>
        <row r="357">
          <cell r="A357">
            <v>26109242500083</v>
          </cell>
          <cell r="B357">
            <v>179</v>
          </cell>
          <cell r="C357" t="str">
            <v>ناهد احمد علي ابوالسعود</v>
          </cell>
          <cell r="D357">
            <v>2145.46</v>
          </cell>
          <cell r="E357">
            <v>585.97</v>
          </cell>
          <cell r="F357">
            <v>103.8</v>
          </cell>
          <cell r="G357">
            <v>66.53</v>
          </cell>
          <cell r="H357">
            <v>150</v>
          </cell>
          <cell r="I357"/>
          <cell r="J357"/>
          <cell r="K357"/>
          <cell r="L357"/>
          <cell r="M357"/>
          <cell r="N357"/>
          <cell r="O357">
            <v>150</v>
          </cell>
          <cell r="P357"/>
          <cell r="Q357"/>
          <cell r="R357">
            <v>665.32</v>
          </cell>
          <cell r="S357">
            <v>29160.000000000007</v>
          </cell>
          <cell r="T357"/>
          <cell r="U357"/>
          <cell r="V357">
            <v>0</v>
          </cell>
          <cell r="W357">
            <v>20.100000000000001</v>
          </cell>
          <cell r="X357">
            <v>21.8</v>
          </cell>
          <cell r="Y357"/>
          <cell r="Z357">
            <v>158.5</v>
          </cell>
          <cell r="AA357">
            <v>34.93</v>
          </cell>
          <cell r="AB357"/>
          <cell r="AC357" t="str">
            <v>المكتبية</v>
          </cell>
        </row>
        <row r="358">
          <cell r="A358">
            <v>26003042501465</v>
          </cell>
          <cell r="B358">
            <v>180</v>
          </cell>
          <cell r="C358" t="str">
            <v>ناهد حبيب سمعان صليب</v>
          </cell>
          <cell r="D358">
            <v>2189.88</v>
          </cell>
          <cell r="E358">
            <v>606.04</v>
          </cell>
          <cell r="F358">
            <v>106.82</v>
          </cell>
          <cell r="G358">
            <v>68.11</v>
          </cell>
          <cell r="H358">
            <v>50</v>
          </cell>
          <cell r="I358"/>
          <cell r="J358"/>
          <cell r="K358"/>
          <cell r="L358"/>
          <cell r="M358"/>
          <cell r="N358"/>
          <cell r="O358">
            <v>50</v>
          </cell>
          <cell r="P358"/>
          <cell r="Q358"/>
          <cell r="R358">
            <v>681.13</v>
          </cell>
          <cell r="S358">
            <v>29160.000000000007</v>
          </cell>
          <cell r="T358"/>
          <cell r="U358"/>
          <cell r="V358">
            <v>0</v>
          </cell>
          <cell r="W358">
            <v>19.850000000000001</v>
          </cell>
          <cell r="X358"/>
          <cell r="Y358"/>
          <cell r="Z358">
            <v>154.68</v>
          </cell>
          <cell r="AA358"/>
          <cell r="AB358"/>
          <cell r="AC358" t="str">
            <v>المكتبية</v>
          </cell>
        </row>
        <row r="359">
          <cell r="A359">
            <v>26311172500165</v>
          </cell>
          <cell r="B359">
            <v>181</v>
          </cell>
          <cell r="C359" t="str">
            <v>نوره محمد محمود محمد</v>
          </cell>
          <cell r="D359">
            <v>1894.02</v>
          </cell>
          <cell r="E359">
            <v>472.56</v>
          </cell>
          <cell r="F359">
            <v>88.6</v>
          </cell>
          <cell r="G359"/>
          <cell r="H359">
            <v>50</v>
          </cell>
          <cell r="I359"/>
          <cell r="J359"/>
          <cell r="K359"/>
          <cell r="L359"/>
          <cell r="M359"/>
          <cell r="N359"/>
          <cell r="O359">
            <v>50</v>
          </cell>
          <cell r="P359"/>
          <cell r="Q359"/>
          <cell r="R359">
            <v>577.59</v>
          </cell>
          <cell r="S359">
            <v>29160</v>
          </cell>
          <cell r="T359"/>
          <cell r="U359"/>
          <cell r="V359">
            <v>0</v>
          </cell>
          <cell r="W359">
            <v>16.399999999999999</v>
          </cell>
          <cell r="X359">
            <v>17.95</v>
          </cell>
          <cell r="Y359"/>
          <cell r="Z359">
            <v>109.13</v>
          </cell>
          <cell r="AA359">
            <v>24.83</v>
          </cell>
          <cell r="AB359"/>
          <cell r="AC359" t="str">
            <v>المكتبية</v>
          </cell>
        </row>
        <row r="360">
          <cell r="A360">
            <v>27511122500043</v>
          </cell>
          <cell r="B360">
            <v>182</v>
          </cell>
          <cell r="C360" t="str">
            <v>هاجر احمد عبدالسلام ثابت</v>
          </cell>
          <cell r="D360">
            <v>1308.8599999999999</v>
          </cell>
          <cell r="E360">
            <v>73.44</v>
          </cell>
          <cell r="F360">
            <v>18.420000000000002</v>
          </cell>
          <cell r="G360"/>
          <cell r="H360">
            <v>100</v>
          </cell>
          <cell r="I360"/>
          <cell r="J360"/>
          <cell r="K360"/>
          <cell r="L360"/>
          <cell r="M360"/>
          <cell r="N360"/>
          <cell r="O360">
            <v>100</v>
          </cell>
          <cell r="P360"/>
          <cell r="Q360"/>
          <cell r="R360">
            <v>362.24</v>
          </cell>
          <cell r="S360">
            <v>19549.490000000002</v>
          </cell>
          <cell r="T360"/>
          <cell r="U360"/>
          <cell r="V360">
            <v>0</v>
          </cell>
          <cell r="W360">
            <v>11.25</v>
          </cell>
          <cell r="X360">
            <v>12.3</v>
          </cell>
          <cell r="Y360"/>
          <cell r="Z360">
            <v>36.49</v>
          </cell>
          <cell r="AA360">
            <v>9.84</v>
          </cell>
          <cell r="AB360"/>
          <cell r="AC360" t="str">
            <v>المكتبية</v>
          </cell>
        </row>
        <row r="361">
          <cell r="A361">
            <v>26003121800842</v>
          </cell>
          <cell r="B361">
            <v>183</v>
          </cell>
          <cell r="C361" t="str">
            <v>هناء محمد عطيفه زناتة</v>
          </cell>
          <cell r="D361">
            <v>2183.46</v>
          </cell>
          <cell r="E361">
            <v>606.04</v>
          </cell>
          <cell r="F361">
            <v>106.82</v>
          </cell>
          <cell r="G361"/>
          <cell r="H361">
            <v>50</v>
          </cell>
          <cell r="I361"/>
          <cell r="J361"/>
          <cell r="K361"/>
          <cell r="L361"/>
          <cell r="M361"/>
          <cell r="N361"/>
          <cell r="O361">
            <v>50</v>
          </cell>
          <cell r="P361"/>
          <cell r="Q361"/>
          <cell r="R361">
            <v>681.13</v>
          </cell>
          <cell r="S361">
            <v>29160.000000000004</v>
          </cell>
          <cell r="T361"/>
          <cell r="U361"/>
          <cell r="V361">
            <v>0</v>
          </cell>
          <cell r="W361">
            <v>19.350000000000001</v>
          </cell>
          <cell r="X361">
            <v>21</v>
          </cell>
          <cell r="Y361"/>
          <cell r="Z361">
            <v>148.11000000000001</v>
          </cell>
          <cell r="AA361">
            <v>32.909999999999997</v>
          </cell>
          <cell r="AB361"/>
          <cell r="AC361" t="str">
            <v>المكتبية</v>
          </cell>
        </row>
        <row r="362">
          <cell r="A362">
            <v>26205102800167</v>
          </cell>
          <cell r="B362">
            <v>184</v>
          </cell>
          <cell r="C362" t="str">
            <v>ورده حسن سليمان احمد</v>
          </cell>
          <cell r="D362">
            <v>1900.65</v>
          </cell>
          <cell r="E362">
            <v>452.9</v>
          </cell>
          <cell r="F362">
            <v>86.83</v>
          </cell>
          <cell r="G362"/>
          <cell r="H362">
            <v>50</v>
          </cell>
          <cell r="I362"/>
          <cell r="J362"/>
          <cell r="K362"/>
          <cell r="L362"/>
          <cell r="M362"/>
          <cell r="N362"/>
          <cell r="O362">
            <v>50</v>
          </cell>
          <cell r="P362"/>
          <cell r="Q362"/>
          <cell r="R362">
            <v>562.1</v>
          </cell>
          <cell r="S362">
            <v>29160</v>
          </cell>
          <cell r="T362"/>
          <cell r="U362"/>
          <cell r="V362">
            <v>0</v>
          </cell>
          <cell r="W362">
            <v>16.25</v>
          </cell>
          <cell r="X362">
            <v>17.850000000000001</v>
          </cell>
          <cell r="Y362"/>
          <cell r="Z362">
            <v>107.35</v>
          </cell>
          <cell r="AA362">
            <v>24.57</v>
          </cell>
          <cell r="AB362"/>
          <cell r="AC362" t="str">
            <v>المكتبية</v>
          </cell>
        </row>
        <row r="363">
          <cell r="A363">
            <v>26907112500247</v>
          </cell>
          <cell r="B363">
            <v>185</v>
          </cell>
          <cell r="C363" t="str">
            <v>وفاء جميل بشاي صموئيل</v>
          </cell>
          <cell r="D363">
            <v>1687.54</v>
          </cell>
          <cell r="E363">
            <v>379.66</v>
          </cell>
          <cell r="F363">
            <v>77.94</v>
          </cell>
          <cell r="G363"/>
          <cell r="H363">
            <v>150</v>
          </cell>
          <cell r="I363"/>
          <cell r="J363"/>
          <cell r="K363"/>
          <cell r="L363"/>
          <cell r="M363"/>
          <cell r="N363"/>
          <cell r="O363">
            <v>150</v>
          </cell>
          <cell r="P363"/>
          <cell r="Q363"/>
          <cell r="R363">
            <v>502.86</v>
          </cell>
          <cell r="S363">
            <v>28460.280000000002</v>
          </cell>
          <cell r="T363">
            <v>1.27</v>
          </cell>
          <cell r="U363"/>
          <cell r="V363">
            <v>1.27</v>
          </cell>
          <cell r="W363">
            <v>15.05</v>
          </cell>
          <cell r="X363">
            <v>16.5</v>
          </cell>
          <cell r="Y363"/>
          <cell r="Z363">
            <v>91.55</v>
          </cell>
          <cell r="AA363">
            <v>20.91</v>
          </cell>
          <cell r="AB363"/>
          <cell r="AC363" t="str">
            <v>المكتبية</v>
          </cell>
        </row>
        <row r="364">
          <cell r="A364">
            <v>28406122500138</v>
          </cell>
          <cell r="B364">
            <v>186</v>
          </cell>
          <cell r="C364" t="str">
            <v>احمد حسن حماده سيد</v>
          </cell>
          <cell r="D364">
            <v>1015.95</v>
          </cell>
          <cell r="E364"/>
          <cell r="F364">
            <v>5.1100000000000003</v>
          </cell>
          <cell r="G364"/>
          <cell r="H364">
            <v>100</v>
          </cell>
          <cell r="I364"/>
          <cell r="J364"/>
          <cell r="K364"/>
          <cell r="L364"/>
          <cell r="M364"/>
          <cell r="N364"/>
          <cell r="O364">
            <v>100</v>
          </cell>
          <cell r="P364"/>
          <cell r="Q364"/>
          <cell r="R364">
            <v>230.5</v>
          </cell>
          <cell r="S364">
            <v>13811.52</v>
          </cell>
          <cell r="T364"/>
          <cell r="U364"/>
          <cell r="V364">
            <v>0</v>
          </cell>
          <cell r="W364">
            <v>7.2</v>
          </cell>
          <cell r="X364">
            <v>8.4499999999999993</v>
          </cell>
          <cell r="Y364"/>
          <cell r="Z364"/>
          <cell r="AA364"/>
          <cell r="AB364"/>
          <cell r="AC364" t="str">
            <v>المكتبية الثالثة</v>
          </cell>
        </row>
        <row r="365">
          <cell r="A365">
            <v>28601252506119</v>
          </cell>
          <cell r="B365">
            <v>187</v>
          </cell>
          <cell r="C365" t="str">
            <v>احمد حسن سيد احمد</v>
          </cell>
          <cell r="D365">
            <v>995.73</v>
          </cell>
          <cell r="E365"/>
          <cell r="F365">
            <v>5.35</v>
          </cell>
          <cell r="G365"/>
          <cell r="H365">
            <v>145</v>
          </cell>
          <cell r="I365"/>
          <cell r="J365"/>
          <cell r="K365"/>
          <cell r="L365"/>
          <cell r="M365"/>
          <cell r="N365"/>
          <cell r="O365">
            <v>145</v>
          </cell>
          <cell r="P365"/>
          <cell r="Q365"/>
          <cell r="R365">
            <v>218.5</v>
          </cell>
          <cell r="S365">
            <v>13201.900000000001</v>
          </cell>
          <cell r="T365"/>
          <cell r="U365"/>
          <cell r="V365">
            <v>0</v>
          </cell>
          <cell r="W365">
            <v>7.4</v>
          </cell>
          <cell r="X365">
            <v>8.25</v>
          </cell>
          <cell r="Y365"/>
          <cell r="Z365"/>
          <cell r="AA365"/>
          <cell r="AB365"/>
          <cell r="AC365" t="str">
            <v>المكتبية الثالثة</v>
          </cell>
        </row>
        <row r="366">
          <cell r="A366">
            <v>27307092500071</v>
          </cell>
          <cell r="B366">
            <v>188</v>
          </cell>
          <cell r="C366" t="str">
            <v>احمد عبد العزيز جاد الله احمد</v>
          </cell>
          <cell r="D366">
            <v>1029.8900000000001</v>
          </cell>
          <cell r="E366"/>
          <cell r="F366">
            <v>5.54</v>
          </cell>
          <cell r="G366"/>
          <cell r="H366">
            <v>145</v>
          </cell>
          <cell r="I366"/>
          <cell r="J366"/>
          <cell r="K366"/>
          <cell r="L366"/>
          <cell r="M366"/>
          <cell r="N366"/>
          <cell r="O366">
            <v>145</v>
          </cell>
          <cell r="P366"/>
          <cell r="Q366"/>
          <cell r="R366">
            <v>224.5</v>
          </cell>
          <cell r="S366">
            <v>14435.480000000003</v>
          </cell>
          <cell r="T366">
            <v>22.74</v>
          </cell>
          <cell r="U366"/>
          <cell r="V366">
            <v>22.74</v>
          </cell>
          <cell r="W366">
            <v>7.65</v>
          </cell>
          <cell r="X366">
            <v>8.4499999999999993</v>
          </cell>
          <cell r="Y366"/>
          <cell r="Z366"/>
          <cell r="AA366"/>
          <cell r="AB366"/>
          <cell r="AC366" t="str">
            <v>المكتبية الثالثة</v>
          </cell>
        </row>
        <row r="367">
          <cell r="A367">
            <v>29108232500195</v>
          </cell>
          <cell r="B367">
            <v>189</v>
          </cell>
          <cell r="C367" t="str">
            <v>احمد محمد شعبان احمد</v>
          </cell>
          <cell r="D367">
            <v>990.01</v>
          </cell>
          <cell r="E367"/>
          <cell r="F367">
            <v>5.32</v>
          </cell>
          <cell r="G367"/>
          <cell r="H367">
            <v>50</v>
          </cell>
          <cell r="I367"/>
          <cell r="J367">
            <v>133.62</v>
          </cell>
          <cell r="K367"/>
          <cell r="L367"/>
          <cell r="M367"/>
          <cell r="N367"/>
          <cell r="O367">
            <v>183.62</v>
          </cell>
          <cell r="P367"/>
          <cell r="Q367"/>
          <cell r="R367">
            <v>220.5</v>
          </cell>
          <cell r="S367">
            <v>13600.14</v>
          </cell>
          <cell r="T367"/>
          <cell r="U367"/>
          <cell r="V367">
            <v>0</v>
          </cell>
          <cell r="W367">
            <v>6.2</v>
          </cell>
          <cell r="X367">
            <v>8.8000000000000007</v>
          </cell>
          <cell r="Y367"/>
          <cell r="Z367"/>
          <cell r="AA367">
            <v>0.54</v>
          </cell>
          <cell r="AB367"/>
          <cell r="AC367" t="str">
            <v>المكتبية الثالثة</v>
          </cell>
        </row>
        <row r="368">
          <cell r="A368">
            <v>28509172502623</v>
          </cell>
          <cell r="B368">
            <v>190</v>
          </cell>
          <cell r="C368" t="str">
            <v>اسلام احمد محمد حافظ</v>
          </cell>
          <cell r="D368">
            <v>990.01</v>
          </cell>
          <cell r="E368"/>
          <cell r="F368">
            <v>5.32</v>
          </cell>
          <cell r="G368"/>
          <cell r="H368">
            <v>50</v>
          </cell>
          <cell r="I368"/>
          <cell r="J368">
            <v>90.62</v>
          </cell>
          <cell r="K368"/>
          <cell r="L368"/>
          <cell r="M368"/>
          <cell r="N368"/>
          <cell r="O368">
            <v>140.62</v>
          </cell>
          <cell r="P368"/>
          <cell r="Q368"/>
          <cell r="R368">
            <v>220.5</v>
          </cell>
          <cell r="S368">
            <v>21516.03</v>
          </cell>
          <cell r="T368"/>
          <cell r="U368"/>
          <cell r="V368">
            <v>0</v>
          </cell>
          <cell r="W368">
            <v>6.2</v>
          </cell>
          <cell r="X368">
            <v>8.5</v>
          </cell>
          <cell r="Y368"/>
          <cell r="Z368"/>
          <cell r="AA368"/>
          <cell r="AB368"/>
          <cell r="AC368" t="str">
            <v>المكتبية الثالثة</v>
          </cell>
        </row>
        <row r="369">
          <cell r="A369">
            <v>27505062500065</v>
          </cell>
          <cell r="B369">
            <v>191</v>
          </cell>
          <cell r="C369" t="str">
            <v>اسماء محمد عبد العزيز عبدالعواض</v>
          </cell>
          <cell r="D369">
            <v>1004.94</v>
          </cell>
          <cell r="E369"/>
          <cell r="F369">
            <v>5.39</v>
          </cell>
          <cell r="G369"/>
          <cell r="H369">
            <v>150</v>
          </cell>
          <cell r="I369"/>
          <cell r="J369">
            <v>178.83</v>
          </cell>
          <cell r="K369"/>
          <cell r="L369"/>
          <cell r="M369"/>
          <cell r="N369"/>
          <cell r="O369">
            <v>328.83000000000004</v>
          </cell>
          <cell r="P369"/>
          <cell r="Q369"/>
          <cell r="R369">
            <v>226.5</v>
          </cell>
          <cell r="S369">
            <v>24603.050000000003</v>
          </cell>
          <cell r="T369">
            <v>36.26</v>
          </cell>
          <cell r="U369"/>
          <cell r="V369">
            <v>36.26</v>
          </cell>
          <cell r="W369">
            <v>7.5</v>
          </cell>
          <cell r="X369">
            <v>9.3000000000000007</v>
          </cell>
          <cell r="Y369"/>
          <cell r="Z369"/>
          <cell r="AA369">
            <v>1.88</v>
          </cell>
          <cell r="AB369"/>
          <cell r="AC369" t="str">
            <v>المكتبية الثالثة</v>
          </cell>
        </row>
        <row r="370">
          <cell r="A370">
            <v>28507232501041</v>
          </cell>
          <cell r="B370">
            <v>192</v>
          </cell>
          <cell r="C370" t="str">
            <v>الشيماء محمد سيد مصطفى</v>
          </cell>
          <cell r="D370">
            <v>988.68</v>
          </cell>
          <cell r="E370"/>
          <cell r="F370">
            <v>5.32</v>
          </cell>
          <cell r="G370"/>
          <cell r="H370">
            <v>50</v>
          </cell>
          <cell r="I370"/>
          <cell r="J370"/>
          <cell r="K370"/>
          <cell r="L370"/>
          <cell r="M370"/>
          <cell r="N370"/>
          <cell r="O370">
            <v>50</v>
          </cell>
          <cell r="P370"/>
          <cell r="Q370"/>
          <cell r="R370">
            <v>220.5</v>
          </cell>
          <cell r="S370">
            <v>12034.55</v>
          </cell>
          <cell r="T370"/>
          <cell r="U370"/>
          <cell r="V370">
            <v>0</v>
          </cell>
          <cell r="W370">
            <v>6.2</v>
          </cell>
          <cell r="X370"/>
          <cell r="Y370"/>
          <cell r="Z370"/>
          <cell r="AA370"/>
          <cell r="AB370"/>
          <cell r="AC370" t="str">
            <v>المكتبية الثالثة</v>
          </cell>
        </row>
        <row r="371">
          <cell r="A371">
            <v>27002032500042</v>
          </cell>
          <cell r="B371">
            <v>193</v>
          </cell>
          <cell r="C371" t="str">
            <v>الهام فتحي محمود فرج</v>
          </cell>
          <cell r="D371">
            <v>1015.95</v>
          </cell>
          <cell r="E371"/>
          <cell r="F371">
            <v>5.1100000000000003</v>
          </cell>
          <cell r="G371"/>
          <cell r="H371">
            <v>50</v>
          </cell>
          <cell r="I371"/>
          <cell r="J371"/>
          <cell r="K371"/>
          <cell r="L371"/>
          <cell r="M371"/>
          <cell r="N371"/>
          <cell r="O371">
            <v>50</v>
          </cell>
          <cell r="P371"/>
          <cell r="Q371"/>
          <cell r="R371">
            <v>230.5</v>
          </cell>
          <cell r="S371">
            <v>13828.800000000001</v>
          </cell>
          <cell r="T371"/>
          <cell r="U371"/>
          <cell r="V371">
            <v>0</v>
          </cell>
          <cell r="W371">
            <v>6.4</v>
          </cell>
          <cell r="X371">
            <v>6.55</v>
          </cell>
          <cell r="Y371"/>
          <cell r="Z371"/>
          <cell r="AA371"/>
          <cell r="AB371"/>
          <cell r="AC371" t="str">
            <v>المكتبية الثالثة</v>
          </cell>
        </row>
        <row r="372">
          <cell r="A372">
            <v>26902172500066</v>
          </cell>
          <cell r="B372">
            <v>194</v>
          </cell>
          <cell r="C372" t="str">
            <v>الهام قطب عبد العال عبدالحافظ</v>
          </cell>
          <cell r="D372">
            <v>1035.5</v>
          </cell>
          <cell r="E372"/>
          <cell r="F372">
            <v>5.15</v>
          </cell>
          <cell r="G372"/>
          <cell r="H372">
            <v>50</v>
          </cell>
          <cell r="I372"/>
          <cell r="J372">
            <v>194.07</v>
          </cell>
          <cell r="K372"/>
          <cell r="L372"/>
          <cell r="M372"/>
          <cell r="N372"/>
          <cell r="O372">
            <v>244.07</v>
          </cell>
          <cell r="P372"/>
          <cell r="Q372"/>
          <cell r="R372">
            <v>238.5</v>
          </cell>
          <cell r="S372">
            <v>13907.43</v>
          </cell>
          <cell r="T372">
            <v>24.78</v>
          </cell>
          <cell r="U372"/>
          <cell r="V372">
            <v>24.78</v>
          </cell>
          <cell r="W372">
            <v>6.5</v>
          </cell>
          <cell r="X372">
            <v>8.9499999999999993</v>
          </cell>
          <cell r="Y372"/>
          <cell r="Z372"/>
          <cell r="AA372">
            <v>1</v>
          </cell>
          <cell r="AB372"/>
          <cell r="AC372" t="str">
            <v>المكتبية الثالثة</v>
          </cell>
        </row>
        <row r="373">
          <cell r="A373">
            <v>26901102500062</v>
          </cell>
          <cell r="B373">
            <v>195</v>
          </cell>
          <cell r="C373" t="str">
            <v>امال علي ابو الحسن اسماعيل</v>
          </cell>
          <cell r="D373">
            <v>1024.94</v>
          </cell>
          <cell r="E373"/>
          <cell r="F373">
            <v>5.16</v>
          </cell>
          <cell r="G373"/>
          <cell r="H373">
            <v>50</v>
          </cell>
          <cell r="I373"/>
          <cell r="J373"/>
          <cell r="K373"/>
          <cell r="L373"/>
          <cell r="M373"/>
          <cell r="N373"/>
          <cell r="O373">
            <v>50</v>
          </cell>
          <cell r="P373"/>
          <cell r="Q373"/>
          <cell r="R373">
            <v>234.5</v>
          </cell>
          <cell r="S373">
            <v>13839.12</v>
          </cell>
          <cell r="T373"/>
          <cell r="U373"/>
          <cell r="V373">
            <v>0</v>
          </cell>
          <cell r="W373">
            <v>6.45</v>
          </cell>
          <cell r="X373">
            <v>7.75</v>
          </cell>
          <cell r="Y373"/>
          <cell r="Z373"/>
          <cell r="AA373"/>
          <cell r="AB373"/>
          <cell r="AC373" t="str">
            <v>المكتبية الثالثة</v>
          </cell>
        </row>
        <row r="374">
          <cell r="A374">
            <v>28809012500504</v>
          </cell>
          <cell r="B374">
            <v>196</v>
          </cell>
          <cell r="C374" t="str">
            <v>امنه مراد محمد عمر</v>
          </cell>
          <cell r="D374">
            <v>1061.6400000000001</v>
          </cell>
          <cell r="E374"/>
          <cell r="F374">
            <v>5.6</v>
          </cell>
          <cell r="G374"/>
          <cell r="H374">
            <v>95</v>
          </cell>
          <cell r="I374"/>
          <cell r="J374">
            <v>85.54</v>
          </cell>
          <cell r="K374"/>
          <cell r="L374"/>
          <cell r="M374"/>
          <cell r="N374"/>
          <cell r="O374">
            <v>180.54000000000002</v>
          </cell>
          <cell r="P374"/>
          <cell r="Q374"/>
          <cell r="R374">
            <v>216.5</v>
          </cell>
          <cell r="S374">
            <v>14650.32</v>
          </cell>
          <cell r="T374"/>
          <cell r="U374"/>
          <cell r="V374">
            <v>0</v>
          </cell>
          <cell r="W374">
            <v>7.45</v>
          </cell>
          <cell r="X374">
            <v>8.9499999999999993</v>
          </cell>
          <cell r="Y374"/>
          <cell r="Z374"/>
          <cell r="AA374">
            <v>1.01</v>
          </cell>
          <cell r="AB374"/>
          <cell r="AC374" t="str">
            <v>المكتبية الثالثة</v>
          </cell>
        </row>
        <row r="375">
          <cell r="A375">
            <v>28805212500422</v>
          </cell>
          <cell r="B375">
            <v>197</v>
          </cell>
          <cell r="C375" t="str">
            <v>امنية فتحى عبد العزيز اسماعيل</v>
          </cell>
          <cell r="D375">
            <v>1025.58</v>
          </cell>
          <cell r="E375"/>
          <cell r="F375">
            <v>5.32</v>
          </cell>
          <cell r="G375"/>
          <cell r="H375">
            <v>50</v>
          </cell>
          <cell r="I375"/>
          <cell r="J375"/>
          <cell r="K375"/>
          <cell r="L375"/>
          <cell r="M375"/>
          <cell r="N375"/>
          <cell r="O375">
            <v>50</v>
          </cell>
          <cell r="P375"/>
          <cell r="Q375"/>
          <cell r="R375">
            <v>224.5</v>
          </cell>
          <cell r="S375">
            <v>13669.529999999997</v>
          </cell>
          <cell r="T375"/>
          <cell r="U375"/>
          <cell r="V375">
            <v>0</v>
          </cell>
          <cell r="W375">
            <v>6.45</v>
          </cell>
          <cell r="X375">
            <v>7.65</v>
          </cell>
          <cell r="Y375"/>
          <cell r="Z375"/>
          <cell r="AA375"/>
          <cell r="AB375"/>
          <cell r="AC375" t="str">
            <v>المكتبية الثالثة</v>
          </cell>
        </row>
        <row r="376">
          <cell r="A376">
            <v>28801262500061</v>
          </cell>
          <cell r="B376">
            <v>198</v>
          </cell>
          <cell r="C376" t="str">
            <v>ايمان عباس قطب شحاتة</v>
          </cell>
          <cell r="D376">
            <v>941.6</v>
          </cell>
          <cell r="E376"/>
          <cell r="F376">
            <v>5.31</v>
          </cell>
          <cell r="G376"/>
          <cell r="H376">
            <v>50</v>
          </cell>
          <cell r="I376"/>
          <cell r="J376"/>
          <cell r="K376"/>
          <cell r="L376"/>
          <cell r="M376"/>
          <cell r="N376"/>
          <cell r="O376">
            <v>50</v>
          </cell>
          <cell r="P376"/>
          <cell r="Q376"/>
          <cell r="R376">
            <v>214.5</v>
          </cell>
          <cell r="S376">
            <v>12908.920000000002</v>
          </cell>
          <cell r="T376"/>
          <cell r="U376"/>
          <cell r="V376">
            <v>0</v>
          </cell>
          <cell r="W376">
            <v>5.9</v>
          </cell>
          <cell r="X376">
            <v>7.15</v>
          </cell>
          <cell r="Y376"/>
          <cell r="Z376"/>
          <cell r="AA376"/>
          <cell r="AB376"/>
          <cell r="AC376" t="str">
            <v>المكتبية الثالثة</v>
          </cell>
        </row>
        <row r="377">
          <cell r="A377">
            <v>27702202501644</v>
          </cell>
          <cell r="B377">
            <v>199</v>
          </cell>
          <cell r="C377" t="str">
            <v>ايمان عبد الحفيظ علي رزق</v>
          </cell>
          <cell r="D377">
            <v>1035.94</v>
          </cell>
          <cell r="E377"/>
          <cell r="F377">
            <v>5.09</v>
          </cell>
          <cell r="G377"/>
          <cell r="H377">
            <v>50</v>
          </cell>
          <cell r="I377"/>
          <cell r="J377">
            <v>181.37</v>
          </cell>
          <cell r="K377"/>
          <cell r="L377"/>
          <cell r="M377"/>
          <cell r="N377"/>
          <cell r="O377">
            <v>231.37</v>
          </cell>
          <cell r="P377"/>
          <cell r="Q377"/>
          <cell r="R377">
            <v>228.5</v>
          </cell>
          <cell r="S377">
            <v>14536.269999999999</v>
          </cell>
          <cell r="T377">
            <v>51.69</v>
          </cell>
          <cell r="U377"/>
          <cell r="V377">
            <v>51.69</v>
          </cell>
          <cell r="W377">
            <v>6.5</v>
          </cell>
          <cell r="X377">
            <v>8.1</v>
          </cell>
          <cell r="Y377"/>
          <cell r="Z377"/>
          <cell r="AA377"/>
          <cell r="AB377"/>
          <cell r="AC377" t="str">
            <v>المكتبية الثالثة</v>
          </cell>
        </row>
        <row r="378">
          <cell r="A378">
            <v>27207072500046</v>
          </cell>
          <cell r="B378">
            <v>200</v>
          </cell>
          <cell r="C378" t="str">
            <v>ايمان يوسف جاد علي</v>
          </cell>
          <cell r="D378">
            <v>1015.95</v>
          </cell>
          <cell r="E378"/>
          <cell r="F378">
            <v>5.1100000000000003</v>
          </cell>
          <cell r="G378"/>
          <cell r="H378">
            <v>145</v>
          </cell>
          <cell r="I378"/>
          <cell r="J378"/>
          <cell r="K378"/>
          <cell r="L378"/>
          <cell r="M378"/>
          <cell r="N378"/>
          <cell r="O378">
            <v>145</v>
          </cell>
          <cell r="P378"/>
          <cell r="Q378"/>
          <cell r="R378">
            <v>230.5</v>
          </cell>
          <cell r="S378">
            <v>13675.020000000002</v>
          </cell>
          <cell r="T378">
            <v>15.48</v>
          </cell>
          <cell r="U378"/>
          <cell r="V378">
            <v>15.48</v>
          </cell>
          <cell r="W378">
            <v>7.55</v>
          </cell>
          <cell r="X378">
            <v>8.3000000000000007</v>
          </cell>
          <cell r="Y378"/>
          <cell r="Z378"/>
          <cell r="AA378"/>
          <cell r="AB378"/>
          <cell r="AC378" t="str">
            <v>المكتبية الثالثة</v>
          </cell>
        </row>
        <row r="379">
          <cell r="A379">
            <v>27811282502721</v>
          </cell>
          <cell r="B379">
            <v>201</v>
          </cell>
          <cell r="C379" t="str">
            <v>بثينه فرغلي عبد العزيز فرغلي</v>
          </cell>
          <cell r="D379">
            <v>1052.17</v>
          </cell>
          <cell r="E379"/>
          <cell r="F379">
            <v>5.16</v>
          </cell>
          <cell r="G379"/>
          <cell r="H379">
            <v>50</v>
          </cell>
          <cell r="I379"/>
          <cell r="J379"/>
          <cell r="K379"/>
          <cell r="L379"/>
          <cell r="M379"/>
          <cell r="N379"/>
          <cell r="O379">
            <v>50</v>
          </cell>
          <cell r="P379"/>
          <cell r="Q379"/>
          <cell r="R379">
            <v>234.5</v>
          </cell>
          <cell r="S379">
            <v>14155.120000000003</v>
          </cell>
          <cell r="T379"/>
          <cell r="U379"/>
          <cell r="V379">
            <v>0</v>
          </cell>
          <cell r="W379">
            <v>6.6</v>
          </cell>
          <cell r="X379">
            <v>8</v>
          </cell>
          <cell r="Y379"/>
          <cell r="Z379"/>
          <cell r="AA379"/>
          <cell r="AB379"/>
          <cell r="AC379" t="str">
            <v>المكتبية الثالثة</v>
          </cell>
        </row>
        <row r="380">
          <cell r="A380">
            <v>26910022500125</v>
          </cell>
          <cell r="B380">
            <v>202</v>
          </cell>
          <cell r="C380" t="str">
            <v>بديعة عبد الكريم احمد محمد</v>
          </cell>
          <cell r="D380">
            <v>1024.94</v>
          </cell>
          <cell r="E380"/>
          <cell r="F380">
            <v>5.16</v>
          </cell>
          <cell r="G380"/>
          <cell r="H380">
            <v>100</v>
          </cell>
          <cell r="I380"/>
          <cell r="J380"/>
          <cell r="K380"/>
          <cell r="L380"/>
          <cell r="M380"/>
          <cell r="N380"/>
          <cell r="O380">
            <v>100</v>
          </cell>
          <cell r="P380"/>
          <cell r="Q380"/>
          <cell r="R380">
            <v>234.5</v>
          </cell>
          <cell r="S380">
            <v>13973.269999999999</v>
          </cell>
          <cell r="T380"/>
          <cell r="U380"/>
          <cell r="V380">
            <v>0</v>
          </cell>
          <cell r="W380">
            <v>7.25</v>
          </cell>
          <cell r="X380">
            <v>7.75</v>
          </cell>
          <cell r="Y380"/>
          <cell r="Z380"/>
          <cell r="AA380"/>
          <cell r="AB380"/>
          <cell r="AC380" t="str">
            <v>المكتبية الثالثة</v>
          </cell>
        </row>
        <row r="381">
          <cell r="A381">
            <v>26901232500064</v>
          </cell>
          <cell r="B381">
            <v>203</v>
          </cell>
          <cell r="C381" t="str">
            <v>جيهان عبد الحكيم محمود سالم</v>
          </cell>
          <cell r="D381">
            <v>1308.6400000000001</v>
          </cell>
          <cell r="E381">
            <v>75.78</v>
          </cell>
          <cell r="F381">
            <v>19.38</v>
          </cell>
          <cell r="G381"/>
          <cell r="H381">
            <v>50</v>
          </cell>
          <cell r="I381"/>
          <cell r="J381"/>
          <cell r="K381"/>
          <cell r="L381"/>
          <cell r="M381"/>
          <cell r="N381"/>
          <cell r="O381">
            <v>50</v>
          </cell>
          <cell r="P381"/>
          <cell r="Q381"/>
          <cell r="R381">
            <v>330.53</v>
          </cell>
          <cell r="S381">
            <v>18023.150000000001</v>
          </cell>
          <cell r="T381">
            <v>8.2200000000000006</v>
          </cell>
          <cell r="U381"/>
          <cell r="V381">
            <v>8.2200000000000006</v>
          </cell>
          <cell r="W381">
            <v>9.4</v>
          </cell>
          <cell r="X381">
            <v>10.45</v>
          </cell>
          <cell r="Y381"/>
          <cell r="Z381">
            <v>15.56</v>
          </cell>
          <cell r="AA381">
            <v>4.92</v>
          </cell>
          <cell r="AB381"/>
          <cell r="AC381" t="str">
            <v>المكتبية الثالثة</v>
          </cell>
        </row>
        <row r="382">
          <cell r="A382">
            <v>28806192500036</v>
          </cell>
          <cell r="B382">
            <v>204</v>
          </cell>
          <cell r="C382" t="str">
            <v>حازم حسانين فر غلي احمد</v>
          </cell>
          <cell r="D382">
            <v>1010.2</v>
          </cell>
          <cell r="E382"/>
          <cell r="F382">
            <v>5.49</v>
          </cell>
          <cell r="G382"/>
          <cell r="H382">
            <v>50</v>
          </cell>
          <cell r="I382"/>
          <cell r="J382">
            <v>83.54</v>
          </cell>
          <cell r="K382"/>
          <cell r="L382"/>
          <cell r="M382"/>
          <cell r="N382"/>
          <cell r="O382">
            <v>133.54000000000002</v>
          </cell>
          <cell r="P382"/>
          <cell r="Q382"/>
          <cell r="R382">
            <v>216.5</v>
          </cell>
          <cell r="S382">
            <v>19647.249999999996</v>
          </cell>
          <cell r="T382"/>
          <cell r="U382"/>
          <cell r="V382">
            <v>0</v>
          </cell>
          <cell r="W382">
            <v>6.35</v>
          </cell>
          <cell r="X382">
            <v>8.25</v>
          </cell>
          <cell r="Y382"/>
          <cell r="Z382"/>
          <cell r="AA382"/>
          <cell r="AB382"/>
          <cell r="AC382" t="str">
            <v>المكتبية الثالثة</v>
          </cell>
        </row>
        <row r="383">
          <cell r="A383">
            <v>27104262500171</v>
          </cell>
          <cell r="B383">
            <v>205</v>
          </cell>
          <cell r="C383" t="str">
            <v>حسام محمد جابر ابوالعلا</v>
          </cell>
          <cell r="D383">
            <v>1041.57</v>
          </cell>
          <cell r="E383"/>
          <cell r="F383">
            <v>5.59</v>
          </cell>
          <cell r="G383"/>
          <cell r="H383">
            <v>150</v>
          </cell>
          <cell r="I383"/>
          <cell r="J383"/>
          <cell r="K383"/>
          <cell r="L383"/>
          <cell r="M383"/>
          <cell r="N383"/>
          <cell r="O383">
            <v>150</v>
          </cell>
          <cell r="P383"/>
          <cell r="Q383"/>
          <cell r="R383">
            <v>228.5</v>
          </cell>
          <cell r="S383">
            <v>14054.41</v>
          </cell>
          <cell r="T383">
            <v>22.37</v>
          </cell>
          <cell r="U383"/>
          <cell r="V383">
            <v>22.37</v>
          </cell>
          <cell r="W383">
            <v>7.75</v>
          </cell>
          <cell r="X383">
            <v>8.5500000000000007</v>
          </cell>
          <cell r="Y383"/>
          <cell r="Z383"/>
          <cell r="AA383"/>
          <cell r="AB383"/>
          <cell r="AC383" t="str">
            <v>المكتبية الثالثة</v>
          </cell>
        </row>
        <row r="384">
          <cell r="A384">
            <v>26507012502031</v>
          </cell>
          <cell r="B384">
            <v>206</v>
          </cell>
          <cell r="C384" t="str">
            <v>حسن عبد العال هريدى فراج</v>
          </cell>
          <cell r="D384">
            <v>1109.8399999999999</v>
          </cell>
          <cell r="E384"/>
          <cell r="F384">
            <v>5.53</v>
          </cell>
          <cell r="G384"/>
          <cell r="H384">
            <v>150</v>
          </cell>
          <cell r="I384"/>
          <cell r="J384">
            <v>218.14</v>
          </cell>
          <cell r="K384"/>
          <cell r="L384"/>
          <cell r="M384"/>
          <cell r="N384"/>
          <cell r="O384">
            <v>368.14</v>
          </cell>
          <cell r="P384"/>
          <cell r="Q384"/>
          <cell r="R384">
            <v>255.88</v>
          </cell>
          <cell r="S384">
            <v>25544.43</v>
          </cell>
          <cell r="T384">
            <v>23.31</v>
          </cell>
          <cell r="U384"/>
          <cell r="V384">
            <v>23.31</v>
          </cell>
          <cell r="W384">
            <v>8.1999999999999993</v>
          </cell>
          <cell r="X384">
            <v>10.050000000000001</v>
          </cell>
          <cell r="Y384"/>
          <cell r="Z384"/>
          <cell r="AA384">
            <v>3.93</v>
          </cell>
          <cell r="AB384"/>
          <cell r="AC384" t="str">
            <v>المكتبية الثالثة</v>
          </cell>
        </row>
        <row r="385">
          <cell r="A385">
            <v>28405182500858</v>
          </cell>
          <cell r="B385">
            <v>207</v>
          </cell>
          <cell r="C385" t="str">
            <v>حسن علي زغلول حسن علي زرزور</v>
          </cell>
          <cell r="D385">
            <v>1041.3599999999999</v>
          </cell>
          <cell r="E385"/>
          <cell r="F385">
            <v>5.1100000000000003</v>
          </cell>
          <cell r="G385"/>
          <cell r="H385">
            <v>50</v>
          </cell>
          <cell r="I385"/>
          <cell r="J385">
            <v>181.91</v>
          </cell>
          <cell r="K385"/>
          <cell r="L385"/>
          <cell r="M385"/>
          <cell r="N385"/>
          <cell r="O385">
            <v>231.91</v>
          </cell>
          <cell r="P385"/>
          <cell r="Q385"/>
          <cell r="R385">
            <v>230.5</v>
          </cell>
          <cell r="S385">
            <v>24059.489999999998</v>
          </cell>
          <cell r="T385"/>
          <cell r="U385"/>
          <cell r="V385">
            <v>0</v>
          </cell>
          <cell r="W385">
            <v>6.55</v>
          </cell>
          <cell r="X385">
            <v>9.1</v>
          </cell>
          <cell r="Y385"/>
          <cell r="Z385"/>
          <cell r="AA385">
            <v>1.4</v>
          </cell>
          <cell r="AB385"/>
          <cell r="AC385" t="str">
            <v>المكتبية الثالثة</v>
          </cell>
        </row>
        <row r="386">
          <cell r="A386">
            <v>28805232500071</v>
          </cell>
          <cell r="B386">
            <v>208</v>
          </cell>
          <cell r="C386" t="str">
            <v>حسن كامل حسن حسين</v>
          </cell>
          <cell r="D386">
            <v>1005.84</v>
          </cell>
          <cell r="E386"/>
          <cell r="F386">
            <v>5.39</v>
          </cell>
          <cell r="G386"/>
          <cell r="H386">
            <v>100</v>
          </cell>
          <cell r="I386"/>
          <cell r="J386"/>
          <cell r="K386"/>
          <cell r="L386"/>
          <cell r="M386"/>
          <cell r="N386"/>
          <cell r="O386">
            <v>100</v>
          </cell>
          <cell r="P386"/>
          <cell r="Q386"/>
          <cell r="R386">
            <v>226.5</v>
          </cell>
          <cell r="S386">
            <v>14149.99</v>
          </cell>
          <cell r="T386"/>
          <cell r="U386"/>
          <cell r="V386">
            <v>0</v>
          </cell>
          <cell r="W386">
            <v>6.65</v>
          </cell>
          <cell r="X386">
            <v>8.4</v>
          </cell>
          <cell r="Y386"/>
          <cell r="Z386"/>
          <cell r="AA386"/>
          <cell r="AB386"/>
          <cell r="AC386" t="str">
            <v>المكتبية الثالثة</v>
          </cell>
        </row>
        <row r="387">
          <cell r="A387">
            <v>28612012505397</v>
          </cell>
          <cell r="B387">
            <v>209</v>
          </cell>
          <cell r="C387" t="str">
            <v>حسن محمد محمد محمود حسن</v>
          </cell>
          <cell r="D387">
            <v>962.29</v>
          </cell>
          <cell r="E387"/>
          <cell r="F387">
            <v>5.49</v>
          </cell>
          <cell r="G387"/>
          <cell r="H387">
            <v>145</v>
          </cell>
          <cell r="I387"/>
          <cell r="J387">
            <v>83.54</v>
          </cell>
          <cell r="K387"/>
          <cell r="L387"/>
          <cell r="M387"/>
          <cell r="N387"/>
          <cell r="O387">
            <v>228.54000000000002</v>
          </cell>
          <cell r="P387"/>
          <cell r="Q387"/>
          <cell r="R387">
            <v>216.5</v>
          </cell>
          <cell r="S387">
            <v>13008.740000000002</v>
          </cell>
          <cell r="T387"/>
          <cell r="U387"/>
          <cell r="V387">
            <v>0</v>
          </cell>
          <cell r="W387">
            <v>7.2</v>
          </cell>
          <cell r="X387">
            <v>8.9499999999999993</v>
          </cell>
          <cell r="Y387"/>
          <cell r="Z387"/>
          <cell r="AA387">
            <v>0.93</v>
          </cell>
          <cell r="AB387"/>
          <cell r="AC387" t="str">
            <v>المكتبية الثالثة</v>
          </cell>
        </row>
        <row r="388">
          <cell r="A388">
            <v>29005152504145</v>
          </cell>
          <cell r="B388">
            <v>210</v>
          </cell>
          <cell r="C388" t="str">
            <v>دعاء احمد فرحان احمد</v>
          </cell>
          <cell r="D388">
            <v>990.01</v>
          </cell>
          <cell r="E388"/>
          <cell r="F388">
            <v>5.32</v>
          </cell>
          <cell r="G388"/>
          <cell r="H388">
            <v>50</v>
          </cell>
          <cell r="I388"/>
          <cell r="J388"/>
          <cell r="K388"/>
          <cell r="L388"/>
          <cell r="M388"/>
          <cell r="N388"/>
          <cell r="O388">
            <v>50</v>
          </cell>
          <cell r="P388"/>
          <cell r="Q388"/>
          <cell r="R388">
            <v>220.5</v>
          </cell>
          <cell r="S388">
            <v>13080.14</v>
          </cell>
          <cell r="T388"/>
          <cell r="U388"/>
          <cell r="V388">
            <v>0</v>
          </cell>
          <cell r="W388">
            <v>6.2</v>
          </cell>
          <cell r="X388">
            <v>7.9</v>
          </cell>
          <cell r="Y388"/>
          <cell r="Z388"/>
          <cell r="AA388"/>
          <cell r="AB388"/>
          <cell r="AC388" t="str">
            <v>المكتبية الثالثة</v>
          </cell>
        </row>
        <row r="389">
          <cell r="A389">
            <v>27911242500207</v>
          </cell>
          <cell r="B389">
            <v>211</v>
          </cell>
          <cell r="C389" t="str">
            <v>رانيا بدرى محمد حسن</v>
          </cell>
          <cell r="D389">
            <v>1035.5</v>
          </cell>
          <cell r="E389"/>
          <cell r="F389">
            <v>5.15</v>
          </cell>
          <cell r="G389"/>
          <cell r="H389">
            <v>95</v>
          </cell>
          <cell r="I389"/>
          <cell r="J389">
            <v>194.07</v>
          </cell>
          <cell r="K389"/>
          <cell r="L389"/>
          <cell r="M389"/>
          <cell r="N389"/>
          <cell r="O389">
            <v>289.07</v>
          </cell>
          <cell r="P389"/>
          <cell r="Q389"/>
          <cell r="R389">
            <v>238.5</v>
          </cell>
          <cell r="S389">
            <v>14249.960000000001</v>
          </cell>
          <cell r="T389"/>
          <cell r="U389"/>
          <cell r="V389">
            <v>0</v>
          </cell>
          <cell r="W389">
            <v>7.3</v>
          </cell>
          <cell r="X389">
            <v>9.35</v>
          </cell>
          <cell r="Y389"/>
          <cell r="Z389"/>
          <cell r="AA389">
            <v>1.98</v>
          </cell>
          <cell r="AB389"/>
          <cell r="AC389" t="str">
            <v>المكتبية الثالثة</v>
          </cell>
        </row>
        <row r="390">
          <cell r="A390">
            <v>28301152500187</v>
          </cell>
          <cell r="B390">
            <v>212</v>
          </cell>
          <cell r="C390" t="str">
            <v>رشا حسن مختار حسن</v>
          </cell>
          <cell r="D390">
            <v>1010.68</v>
          </cell>
          <cell r="E390"/>
          <cell r="F390">
            <v>5.09</v>
          </cell>
          <cell r="G390"/>
          <cell r="H390">
            <v>50</v>
          </cell>
          <cell r="I390"/>
          <cell r="J390"/>
          <cell r="K390"/>
          <cell r="L390"/>
          <cell r="M390"/>
          <cell r="N390"/>
          <cell r="O390">
            <v>50</v>
          </cell>
          <cell r="P390"/>
          <cell r="Q390"/>
          <cell r="R390">
            <v>228.5</v>
          </cell>
          <cell r="S390">
            <v>13840.37</v>
          </cell>
          <cell r="T390"/>
          <cell r="U390"/>
          <cell r="V390">
            <v>0</v>
          </cell>
          <cell r="W390">
            <v>6.35</v>
          </cell>
          <cell r="X390">
            <v>8</v>
          </cell>
          <cell r="Y390"/>
          <cell r="Z390"/>
          <cell r="AA390"/>
          <cell r="AB390"/>
          <cell r="AC390" t="str">
            <v>المكتبية الثالثة</v>
          </cell>
        </row>
        <row r="391">
          <cell r="A391">
            <v>28301082500281</v>
          </cell>
          <cell r="B391">
            <v>213</v>
          </cell>
          <cell r="C391" t="str">
            <v>رشا محمد عبد العظيم ابوهشيمة</v>
          </cell>
          <cell r="D391">
            <v>990.01</v>
          </cell>
          <cell r="E391"/>
          <cell r="F391">
            <v>5.32</v>
          </cell>
          <cell r="G391"/>
          <cell r="H391">
            <v>50</v>
          </cell>
          <cell r="I391"/>
          <cell r="J391"/>
          <cell r="K391"/>
          <cell r="L391"/>
          <cell r="M391"/>
          <cell r="N391"/>
          <cell r="O391">
            <v>50</v>
          </cell>
          <cell r="P391"/>
          <cell r="Q391"/>
          <cell r="R391">
            <v>220.5</v>
          </cell>
          <cell r="S391">
            <v>13930.89</v>
          </cell>
          <cell r="T391">
            <v>6.56</v>
          </cell>
          <cell r="U391"/>
          <cell r="V391">
            <v>6.56</v>
          </cell>
          <cell r="W391">
            <v>6.2</v>
          </cell>
          <cell r="X391">
            <v>7.85</v>
          </cell>
          <cell r="Y391"/>
          <cell r="Z391"/>
          <cell r="AA391"/>
          <cell r="AB391"/>
          <cell r="AC391" t="str">
            <v>المكتبية الثالثة</v>
          </cell>
        </row>
        <row r="392">
          <cell r="A392">
            <v>28412282500045</v>
          </cell>
          <cell r="B392">
            <v>214</v>
          </cell>
          <cell r="C392" t="str">
            <v>رضا هاشم درويش ابراهيم</v>
          </cell>
          <cell r="D392">
            <v>941.6</v>
          </cell>
          <cell r="E392"/>
          <cell r="F392">
            <v>5.31</v>
          </cell>
          <cell r="G392"/>
          <cell r="H392">
            <v>140</v>
          </cell>
          <cell r="I392"/>
          <cell r="J392">
            <v>85</v>
          </cell>
          <cell r="K392"/>
          <cell r="L392"/>
          <cell r="M392"/>
          <cell r="N392"/>
          <cell r="O392">
            <v>225</v>
          </cell>
          <cell r="P392"/>
          <cell r="Q392"/>
          <cell r="R392">
            <v>214.5</v>
          </cell>
          <cell r="S392">
            <v>16907.410000000003</v>
          </cell>
          <cell r="T392"/>
          <cell r="U392"/>
          <cell r="V392">
            <v>0</v>
          </cell>
          <cell r="W392">
            <v>6.55</v>
          </cell>
          <cell r="X392">
            <v>8.4499999999999993</v>
          </cell>
          <cell r="Y392"/>
          <cell r="Z392"/>
          <cell r="AA392"/>
          <cell r="AB392"/>
          <cell r="AC392" t="str">
            <v>المكتبية الثالثة</v>
          </cell>
        </row>
        <row r="393">
          <cell r="A393">
            <v>28401012512121</v>
          </cell>
          <cell r="B393">
            <v>215</v>
          </cell>
          <cell r="C393" t="str">
            <v>ساميه سليمان على حسانين</v>
          </cell>
          <cell r="D393">
            <v>1010.68</v>
          </cell>
          <cell r="E393"/>
          <cell r="F393">
            <v>5.09</v>
          </cell>
          <cell r="G393"/>
          <cell r="H393">
            <v>140</v>
          </cell>
          <cell r="I393"/>
          <cell r="J393"/>
          <cell r="K393"/>
          <cell r="L393"/>
          <cell r="M393"/>
          <cell r="N393"/>
          <cell r="O393">
            <v>140</v>
          </cell>
          <cell r="P393"/>
          <cell r="Q393"/>
          <cell r="R393">
            <v>228.5</v>
          </cell>
          <cell r="S393">
            <v>13706.87</v>
          </cell>
          <cell r="T393"/>
          <cell r="U393"/>
          <cell r="V393">
            <v>0</v>
          </cell>
          <cell r="W393">
            <v>7.45</v>
          </cell>
          <cell r="X393">
            <v>8.4</v>
          </cell>
          <cell r="Y393"/>
          <cell r="Z393"/>
          <cell r="AA393"/>
          <cell r="AB393"/>
          <cell r="AC393" t="str">
            <v>المكتبية الثالثة</v>
          </cell>
        </row>
        <row r="394">
          <cell r="A394">
            <v>27401112500126</v>
          </cell>
          <cell r="B394">
            <v>216</v>
          </cell>
          <cell r="C394" t="str">
            <v>سماح سيد سيد حسن</v>
          </cell>
          <cell r="D394">
            <v>1015.95</v>
          </cell>
          <cell r="E394"/>
          <cell r="F394">
            <v>5.1100000000000003</v>
          </cell>
          <cell r="G394"/>
          <cell r="H394">
            <v>150</v>
          </cell>
          <cell r="I394"/>
          <cell r="J394">
            <v>183.91</v>
          </cell>
          <cell r="K394"/>
          <cell r="L394"/>
          <cell r="M394"/>
          <cell r="N394"/>
          <cell r="O394">
            <v>333.90999999999997</v>
          </cell>
          <cell r="P394"/>
          <cell r="Q394"/>
          <cell r="R394">
            <v>230.5</v>
          </cell>
          <cell r="S394">
            <v>13675.020000000002</v>
          </cell>
          <cell r="T394">
            <v>15.19</v>
          </cell>
          <cell r="U394"/>
          <cell r="V394">
            <v>15.19</v>
          </cell>
          <cell r="W394">
            <v>7.6</v>
          </cell>
          <cell r="X394">
            <v>9.5500000000000007</v>
          </cell>
          <cell r="Y394"/>
          <cell r="Z394"/>
          <cell r="AA394">
            <v>2.6</v>
          </cell>
          <cell r="AB394"/>
          <cell r="AC394" t="str">
            <v>المكتبية الثالثة</v>
          </cell>
        </row>
        <row r="395">
          <cell r="A395">
            <v>27805152500807</v>
          </cell>
          <cell r="B395">
            <v>217</v>
          </cell>
          <cell r="C395" t="str">
            <v>سماح عبد الحفيظ محمد شعبان</v>
          </cell>
          <cell r="D395">
            <v>1010.23</v>
          </cell>
          <cell r="E395"/>
          <cell r="F395">
            <v>5.09</v>
          </cell>
          <cell r="G395"/>
          <cell r="H395">
            <v>50</v>
          </cell>
          <cell r="I395"/>
          <cell r="J395"/>
          <cell r="K395"/>
          <cell r="L395"/>
          <cell r="M395"/>
          <cell r="N395"/>
          <cell r="O395">
            <v>50</v>
          </cell>
          <cell r="P395"/>
          <cell r="Q395"/>
          <cell r="R395">
            <v>228.5</v>
          </cell>
          <cell r="S395">
            <v>13619.44</v>
          </cell>
          <cell r="T395">
            <v>13.89</v>
          </cell>
          <cell r="U395"/>
          <cell r="V395">
            <v>13.89</v>
          </cell>
          <cell r="W395">
            <v>6.35</v>
          </cell>
          <cell r="X395">
            <v>7.55</v>
          </cell>
          <cell r="Y395"/>
          <cell r="Z395"/>
          <cell r="AA395"/>
          <cell r="AB395"/>
          <cell r="AC395" t="str">
            <v>المكتبية الثالثة</v>
          </cell>
        </row>
        <row r="396">
          <cell r="A396">
            <v>28208012500543</v>
          </cell>
          <cell r="B396">
            <v>218</v>
          </cell>
          <cell r="C396" t="str">
            <v>سمر سيد عبد الرحيم على</v>
          </cell>
          <cell r="D396">
            <v>1052.17</v>
          </cell>
          <cell r="E396"/>
          <cell r="F396">
            <v>5.16</v>
          </cell>
          <cell r="G396"/>
          <cell r="H396">
            <v>95</v>
          </cell>
          <cell r="I396"/>
          <cell r="J396"/>
          <cell r="K396"/>
          <cell r="L396"/>
          <cell r="M396"/>
          <cell r="N396"/>
          <cell r="O396">
            <v>95</v>
          </cell>
          <cell r="P396"/>
          <cell r="Q396"/>
          <cell r="R396">
            <v>234.5</v>
          </cell>
          <cell r="S396">
            <v>14392.319999999996</v>
          </cell>
          <cell r="T396"/>
          <cell r="U396"/>
          <cell r="V396">
            <v>0</v>
          </cell>
          <cell r="W396">
            <v>7.4</v>
          </cell>
          <cell r="X396">
            <v>8.6999999999999993</v>
          </cell>
          <cell r="Y396"/>
          <cell r="Z396"/>
          <cell r="AA396">
            <v>0.35</v>
          </cell>
          <cell r="AB396"/>
          <cell r="AC396" t="str">
            <v>المكتبية الثالثة</v>
          </cell>
        </row>
        <row r="397">
          <cell r="A397">
            <v>27004222500149</v>
          </cell>
          <cell r="B397">
            <v>219</v>
          </cell>
          <cell r="C397" t="str">
            <v>سناء شحاته محمد الأمير</v>
          </cell>
          <cell r="D397">
            <v>1024.94</v>
          </cell>
          <cell r="E397"/>
          <cell r="F397">
            <v>5.16</v>
          </cell>
          <cell r="G397"/>
          <cell r="H397">
            <v>145</v>
          </cell>
          <cell r="I397"/>
          <cell r="J397"/>
          <cell r="K397"/>
          <cell r="L397"/>
          <cell r="M397"/>
          <cell r="N397"/>
          <cell r="O397">
            <v>145</v>
          </cell>
          <cell r="P397"/>
          <cell r="Q397"/>
          <cell r="R397">
            <v>234.5</v>
          </cell>
          <cell r="S397">
            <v>13781.519999999999</v>
          </cell>
          <cell r="T397">
            <v>14.29</v>
          </cell>
          <cell r="U397"/>
          <cell r="V397">
            <v>14.29</v>
          </cell>
          <cell r="W397">
            <v>7.6</v>
          </cell>
          <cell r="X397">
            <v>8.4</v>
          </cell>
          <cell r="Y397"/>
          <cell r="Z397"/>
          <cell r="AA397"/>
          <cell r="AB397"/>
          <cell r="AC397" t="str">
            <v>المكتبية الثالثة</v>
          </cell>
        </row>
        <row r="398">
          <cell r="A398">
            <v>27503062500747</v>
          </cell>
          <cell r="B398">
            <v>220</v>
          </cell>
          <cell r="C398" t="str">
            <v>سوسو حسين عبدالرحمن عبدالعال</v>
          </cell>
          <cell r="D398">
            <v>1276.19</v>
          </cell>
          <cell r="E398">
            <v>44.39</v>
          </cell>
          <cell r="F398">
            <v>9.4</v>
          </cell>
          <cell r="G398"/>
          <cell r="H398">
            <v>50</v>
          </cell>
          <cell r="I398"/>
          <cell r="J398"/>
          <cell r="K398"/>
          <cell r="L398"/>
          <cell r="M398"/>
          <cell r="N398"/>
          <cell r="O398">
            <v>50</v>
          </cell>
          <cell r="P398"/>
          <cell r="Q398"/>
          <cell r="R398">
            <v>307.39999999999998</v>
          </cell>
          <cell r="S398">
            <v>20000.349999999999</v>
          </cell>
          <cell r="T398"/>
          <cell r="U398"/>
          <cell r="V398">
            <v>0</v>
          </cell>
          <cell r="W398">
            <v>8.9</v>
          </cell>
          <cell r="X398">
            <v>9.75</v>
          </cell>
          <cell r="Y398"/>
          <cell r="Z398">
            <v>9.8800000000000008</v>
          </cell>
          <cell r="AA398">
            <v>3.14</v>
          </cell>
          <cell r="AB398"/>
          <cell r="AC398" t="str">
            <v>المكتبية الثالثة</v>
          </cell>
        </row>
        <row r="399">
          <cell r="A399">
            <v>27108242501117</v>
          </cell>
          <cell r="B399">
            <v>221</v>
          </cell>
          <cell r="C399" t="str">
            <v>صبحي فتحي فرحان</v>
          </cell>
          <cell r="D399">
            <v>1191.8699999999999</v>
          </cell>
          <cell r="E399">
            <v>25.51</v>
          </cell>
          <cell r="F399">
            <v>6.2</v>
          </cell>
          <cell r="G399"/>
          <cell r="H399">
            <v>150</v>
          </cell>
          <cell r="I399"/>
          <cell r="J399"/>
          <cell r="K399"/>
          <cell r="L399"/>
          <cell r="M399"/>
          <cell r="N399"/>
          <cell r="O399">
            <v>150</v>
          </cell>
          <cell r="P399"/>
          <cell r="Q399"/>
          <cell r="R399">
            <v>287.79000000000002</v>
          </cell>
          <cell r="S399">
            <v>15755.469999999998</v>
          </cell>
          <cell r="T399"/>
          <cell r="U399"/>
          <cell r="V399">
            <v>0</v>
          </cell>
          <cell r="W399">
            <v>8.9499999999999993</v>
          </cell>
          <cell r="X399">
            <v>9.9499999999999993</v>
          </cell>
          <cell r="Y399"/>
          <cell r="Z399">
            <v>10.38</v>
          </cell>
          <cell r="AA399">
            <v>3.64</v>
          </cell>
          <cell r="AB399"/>
          <cell r="AC399" t="str">
            <v>المكتبية الثالثة</v>
          </cell>
        </row>
        <row r="400">
          <cell r="A400">
            <v>28607302502142</v>
          </cell>
          <cell r="B400">
            <v>222</v>
          </cell>
          <cell r="C400" t="str">
            <v>صفاء ابراهيم عبد الرحيم احمد</v>
          </cell>
          <cell r="D400">
            <v>1015.95</v>
          </cell>
          <cell r="E400"/>
          <cell r="F400">
            <v>5.1100000000000003</v>
          </cell>
          <cell r="G400"/>
          <cell r="H400">
            <v>50</v>
          </cell>
          <cell r="I400"/>
          <cell r="J400"/>
          <cell r="K400"/>
          <cell r="L400"/>
          <cell r="M400"/>
          <cell r="N400"/>
          <cell r="O400">
            <v>50</v>
          </cell>
          <cell r="P400"/>
          <cell r="Q400"/>
          <cell r="R400">
            <v>230.5</v>
          </cell>
          <cell r="S400">
            <v>14136.020000000002</v>
          </cell>
          <cell r="T400"/>
          <cell r="U400"/>
          <cell r="V400">
            <v>0</v>
          </cell>
          <cell r="W400">
            <v>6.4</v>
          </cell>
          <cell r="X400">
            <v>7.2</v>
          </cell>
          <cell r="Y400"/>
          <cell r="Z400"/>
          <cell r="AA400"/>
          <cell r="AB400"/>
          <cell r="AC400" t="str">
            <v>المكتبية الثالثة</v>
          </cell>
        </row>
        <row r="401">
          <cell r="A401">
            <v>26902092501819</v>
          </cell>
          <cell r="B401">
            <v>223</v>
          </cell>
          <cell r="C401" t="str">
            <v>صلاح عمر طه عمر</v>
          </cell>
          <cell r="D401">
            <v>1026.52</v>
          </cell>
          <cell r="E401"/>
          <cell r="F401">
            <v>5.16</v>
          </cell>
          <cell r="G401"/>
          <cell r="H401">
            <v>150</v>
          </cell>
          <cell r="I401"/>
          <cell r="J401">
            <v>193</v>
          </cell>
          <cell r="K401"/>
          <cell r="L401"/>
          <cell r="M401"/>
          <cell r="N401"/>
          <cell r="O401">
            <v>343</v>
          </cell>
          <cell r="P401"/>
          <cell r="Q401"/>
          <cell r="R401">
            <v>234.5</v>
          </cell>
          <cell r="S401">
            <v>13812.86</v>
          </cell>
          <cell r="T401">
            <v>76.53</v>
          </cell>
          <cell r="U401"/>
          <cell r="V401">
            <v>76.53</v>
          </cell>
          <cell r="W401">
            <v>7.65</v>
          </cell>
          <cell r="X401">
            <v>9.65</v>
          </cell>
          <cell r="Y401"/>
          <cell r="Z401"/>
          <cell r="AA401">
            <v>2.79</v>
          </cell>
          <cell r="AB401"/>
          <cell r="AC401" t="str">
            <v>المكتبية الثالثة</v>
          </cell>
        </row>
        <row r="402">
          <cell r="A402">
            <v>28904182500218</v>
          </cell>
          <cell r="B402">
            <v>224</v>
          </cell>
          <cell r="C402" t="str">
            <v>طه علي صابر احمد</v>
          </cell>
          <cell r="D402">
            <v>1029.8900000000001</v>
          </cell>
          <cell r="E402"/>
          <cell r="F402">
            <v>5.54</v>
          </cell>
          <cell r="G402"/>
          <cell r="H402">
            <v>100</v>
          </cell>
          <cell r="I402"/>
          <cell r="J402"/>
          <cell r="K402"/>
          <cell r="L402"/>
          <cell r="M402"/>
          <cell r="N402"/>
          <cell r="O402">
            <v>100</v>
          </cell>
          <cell r="P402"/>
          <cell r="Q402"/>
          <cell r="R402">
            <v>224.5</v>
          </cell>
          <cell r="S402">
            <v>14435.480000000003</v>
          </cell>
          <cell r="T402"/>
          <cell r="U402"/>
          <cell r="V402">
            <v>0</v>
          </cell>
          <cell r="W402">
            <v>7.3</v>
          </cell>
          <cell r="X402">
            <v>8.9</v>
          </cell>
          <cell r="Y402"/>
          <cell r="Z402"/>
          <cell r="AA402">
            <v>0.87</v>
          </cell>
          <cell r="AB402"/>
          <cell r="AC402" t="str">
            <v>المكتبية الثالثة</v>
          </cell>
        </row>
        <row r="403">
          <cell r="A403">
            <v>27505262500043</v>
          </cell>
          <cell r="B403">
            <v>225</v>
          </cell>
          <cell r="C403" t="str">
            <v>عبير جلال محمد جلال</v>
          </cell>
          <cell r="D403">
            <v>1030.07</v>
          </cell>
          <cell r="E403"/>
          <cell r="F403">
            <v>5.39</v>
          </cell>
          <cell r="G403"/>
          <cell r="H403">
            <v>145</v>
          </cell>
          <cell r="I403"/>
          <cell r="J403">
            <v>178.83</v>
          </cell>
          <cell r="K403"/>
          <cell r="L403"/>
          <cell r="M403"/>
          <cell r="N403"/>
          <cell r="O403">
            <v>323.83000000000004</v>
          </cell>
          <cell r="P403"/>
          <cell r="Q403"/>
          <cell r="R403">
            <v>226.5</v>
          </cell>
          <cell r="S403">
            <v>23467.61</v>
          </cell>
          <cell r="T403">
            <v>10.01</v>
          </cell>
          <cell r="U403"/>
          <cell r="V403">
            <v>10.01</v>
          </cell>
          <cell r="W403">
            <v>7.65</v>
          </cell>
          <cell r="X403">
            <v>9.6999999999999993</v>
          </cell>
          <cell r="Y403"/>
          <cell r="Z403"/>
          <cell r="AA403">
            <v>2.91</v>
          </cell>
          <cell r="AB403"/>
          <cell r="AC403" t="str">
            <v>المكتبية الثالثة</v>
          </cell>
        </row>
        <row r="404">
          <cell r="A404">
            <v>27112242500096</v>
          </cell>
          <cell r="B404">
            <v>226</v>
          </cell>
          <cell r="C404" t="str">
            <v>عزت عياد فرحان بخيت</v>
          </cell>
          <cell r="D404">
            <v>1358.92</v>
          </cell>
          <cell r="E404">
            <v>102.79</v>
          </cell>
          <cell r="F404">
            <v>27.49</v>
          </cell>
          <cell r="G404"/>
          <cell r="H404">
            <v>100</v>
          </cell>
          <cell r="I404"/>
          <cell r="J404"/>
          <cell r="K404"/>
          <cell r="L404"/>
          <cell r="M404"/>
          <cell r="N404"/>
          <cell r="O404">
            <v>100</v>
          </cell>
          <cell r="P404"/>
          <cell r="Q404"/>
          <cell r="R404">
            <v>348.65</v>
          </cell>
          <cell r="S404">
            <v>19552.560000000001</v>
          </cell>
          <cell r="T404"/>
          <cell r="U404"/>
          <cell r="V404">
            <v>0</v>
          </cell>
          <cell r="W404">
            <v>10.35</v>
          </cell>
          <cell r="X404">
            <v>11.85</v>
          </cell>
          <cell r="Y404"/>
          <cell r="Z404">
            <v>28.89</v>
          </cell>
          <cell r="AA404">
            <v>8.68</v>
          </cell>
          <cell r="AB404"/>
          <cell r="AC404" t="str">
            <v>المكتبية الثالثة</v>
          </cell>
        </row>
        <row r="405">
          <cell r="A405">
            <v>26909072500039</v>
          </cell>
          <cell r="B405">
            <v>227</v>
          </cell>
          <cell r="C405" t="str">
            <v>على حسن فرغلى حسن</v>
          </cell>
          <cell r="D405">
            <v>1062.47</v>
          </cell>
          <cell r="E405"/>
          <cell r="F405">
            <v>5.35</v>
          </cell>
          <cell r="G405"/>
          <cell r="H405">
            <v>145</v>
          </cell>
          <cell r="I405"/>
          <cell r="J405">
            <v>195.53</v>
          </cell>
          <cell r="K405"/>
          <cell r="L405"/>
          <cell r="M405"/>
          <cell r="N405"/>
          <cell r="O405">
            <v>340.53</v>
          </cell>
          <cell r="P405"/>
          <cell r="Q405"/>
          <cell r="R405">
            <v>236.5</v>
          </cell>
          <cell r="S405">
            <v>14170.800000000003</v>
          </cell>
          <cell r="T405">
            <v>20.69</v>
          </cell>
          <cell r="U405"/>
          <cell r="V405">
            <v>20.69</v>
          </cell>
          <cell r="W405">
            <v>7.85</v>
          </cell>
          <cell r="X405">
            <v>9.9</v>
          </cell>
          <cell r="Y405"/>
          <cell r="Z405"/>
          <cell r="AA405">
            <v>3.54</v>
          </cell>
          <cell r="AB405"/>
          <cell r="AC405" t="str">
            <v>المكتبية الثالثة</v>
          </cell>
        </row>
        <row r="406">
          <cell r="A406">
            <v>28602082500311</v>
          </cell>
          <cell r="B406">
            <v>228</v>
          </cell>
          <cell r="C406" t="str">
            <v>عمرو محي الدين زكي ابراهيم</v>
          </cell>
          <cell r="D406">
            <v>1000.57</v>
          </cell>
          <cell r="E406"/>
          <cell r="F406">
            <v>5.32</v>
          </cell>
          <cell r="G406"/>
          <cell r="H406">
            <v>50</v>
          </cell>
          <cell r="I406"/>
          <cell r="J406"/>
          <cell r="K406"/>
          <cell r="L406">
            <v>10</v>
          </cell>
          <cell r="M406"/>
          <cell r="N406"/>
          <cell r="O406">
            <v>60</v>
          </cell>
          <cell r="P406"/>
          <cell r="Q406"/>
          <cell r="R406">
            <v>224.5</v>
          </cell>
          <cell r="S406">
            <v>14428.430000000002</v>
          </cell>
          <cell r="T406"/>
          <cell r="U406"/>
          <cell r="V406">
            <v>0</v>
          </cell>
          <cell r="W406">
            <v>6.35</v>
          </cell>
          <cell r="X406">
            <v>8.0500000000000007</v>
          </cell>
          <cell r="Y406"/>
          <cell r="Z406"/>
          <cell r="AA406"/>
          <cell r="AB406"/>
          <cell r="AC406" t="str">
            <v>المكتبية الثالثة</v>
          </cell>
        </row>
        <row r="407">
          <cell r="A407">
            <v>27606282500083</v>
          </cell>
          <cell r="B407">
            <v>229</v>
          </cell>
          <cell r="C407" t="str">
            <v>فاتن محمود خليل ابراهيم</v>
          </cell>
          <cell r="D407">
            <v>1000.57</v>
          </cell>
          <cell r="E407"/>
          <cell r="F407">
            <v>5.32</v>
          </cell>
          <cell r="G407"/>
          <cell r="H407">
            <v>150</v>
          </cell>
          <cell r="I407"/>
          <cell r="J407"/>
          <cell r="K407"/>
          <cell r="L407"/>
          <cell r="M407"/>
          <cell r="N407"/>
          <cell r="O407">
            <v>150</v>
          </cell>
          <cell r="P407"/>
          <cell r="Q407"/>
          <cell r="R407">
            <v>224.5</v>
          </cell>
          <cell r="S407">
            <v>13726.24</v>
          </cell>
          <cell r="T407">
            <v>10.07</v>
          </cell>
          <cell r="U407"/>
          <cell r="V407">
            <v>10.07</v>
          </cell>
          <cell r="W407">
            <v>7.5</v>
          </cell>
          <cell r="X407">
            <v>8.65</v>
          </cell>
          <cell r="Y407"/>
          <cell r="Z407"/>
          <cell r="AA407">
            <v>0.18</v>
          </cell>
          <cell r="AB407"/>
          <cell r="AC407" t="str">
            <v>المكتبية الثالثة</v>
          </cell>
        </row>
        <row r="408">
          <cell r="A408">
            <v>28110172500451</v>
          </cell>
          <cell r="B408">
            <v>230</v>
          </cell>
          <cell r="C408" t="str">
            <v>كمال سيد عبد الوهاب محمد</v>
          </cell>
          <cell r="D408">
            <v>995.28</v>
          </cell>
          <cell r="E408"/>
          <cell r="F408">
            <v>5.34</v>
          </cell>
          <cell r="G408"/>
          <cell r="H408">
            <v>95</v>
          </cell>
          <cell r="I408"/>
          <cell r="J408"/>
          <cell r="K408"/>
          <cell r="L408"/>
          <cell r="M408"/>
          <cell r="N408"/>
          <cell r="O408">
            <v>95</v>
          </cell>
          <cell r="P408"/>
          <cell r="Q408"/>
          <cell r="R408">
            <v>222.5</v>
          </cell>
          <cell r="S408">
            <v>13871.450000000003</v>
          </cell>
          <cell r="T408">
            <v>9.7100000000000009</v>
          </cell>
          <cell r="U408"/>
          <cell r="V408">
            <v>9.7100000000000009</v>
          </cell>
          <cell r="W408">
            <v>6.55</v>
          </cell>
          <cell r="X408">
            <v>8.1999999999999993</v>
          </cell>
          <cell r="Y408"/>
          <cell r="Z408"/>
          <cell r="AA408"/>
          <cell r="AB408"/>
          <cell r="AC408" t="str">
            <v>المكتبية الثالثة</v>
          </cell>
        </row>
        <row r="409">
          <cell r="A409">
            <v>26907262501829</v>
          </cell>
          <cell r="B409">
            <v>231</v>
          </cell>
          <cell r="C409" t="str">
            <v>ليلى عبدالحميد جاد الحق محمد</v>
          </cell>
          <cell r="D409">
            <v>1026.52</v>
          </cell>
          <cell r="E409"/>
          <cell r="F409">
            <v>5.16</v>
          </cell>
          <cell r="G409"/>
          <cell r="H409"/>
          <cell r="I409"/>
          <cell r="J409"/>
          <cell r="K409"/>
          <cell r="L409"/>
          <cell r="M409"/>
          <cell r="N409"/>
          <cell r="O409">
            <v>0</v>
          </cell>
          <cell r="P409"/>
          <cell r="Q409"/>
          <cell r="R409">
            <v>234.5</v>
          </cell>
          <cell r="S409">
            <v>14203.940000000002</v>
          </cell>
          <cell r="T409">
            <v>50.05</v>
          </cell>
          <cell r="U409"/>
          <cell r="V409">
            <v>50.05</v>
          </cell>
          <cell r="W409">
            <v>6.1</v>
          </cell>
          <cell r="X409">
            <v>7.45</v>
          </cell>
          <cell r="Y409"/>
          <cell r="Z409"/>
          <cell r="AA409"/>
          <cell r="AB409"/>
          <cell r="AC409" t="str">
            <v>المكتبية الثالثة</v>
          </cell>
        </row>
        <row r="410">
          <cell r="A410">
            <v>26809202500309</v>
          </cell>
          <cell r="B410">
            <v>232</v>
          </cell>
          <cell r="C410" t="str">
            <v>ماجده احمد ابراهيم احمد</v>
          </cell>
          <cell r="D410">
            <v>1015.95</v>
          </cell>
          <cell r="E410"/>
          <cell r="F410">
            <v>5.1100000000000003</v>
          </cell>
          <cell r="G410"/>
          <cell r="H410">
            <v>50</v>
          </cell>
          <cell r="I410"/>
          <cell r="J410"/>
          <cell r="K410"/>
          <cell r="L410"/>
          <cell r="M410"/>
          <cell r="N410"/>
          <cell r="O410">
            <v>50</v>
          </cell>
          <cell r="P410"/>
          <cell r="Q410"/>
          <cell r="R410">
            <v>230.5</v>
          </cell>
          <cell r="S410">
            <v>13915.020000000002</v>
          </cell>
          <cell r="T410">
            <v>18.66</v>
          </cell>
          <cell r="U410"/>
          <cell r="V410">
            <v>18.66</v>
          </cell>
          <cell r="W410">
            <v>6.4</v>
          </cell>
          <cell r="X410">
            <v>6.55</v>
          </cell>
          <cell r="Y410"/>
          <cell r="Z410"/>
          <cell r="AA410"/>
          <cell r="AB410"/>
          <cell r="AC410" t="str">
            <v>المكتبية الثالثة</v>
          </cell>
        </row>
        <row r="411">
          <cell r="A411">
            <v>27105052501057</v>
          </cell>
          <cell r="B411">
            <v>233</v>
          </cell>
          <cell r="C411" t="str">
            <v>محمد احمد زايد سليمان</v>
          </cell>
          <cell r="D411">
            <v>1178.2</v>
          </cell>
          <cell r="E411">
            <v>21.24</v>
          </cell>
          <cell r="F411">
            <v>6.05</v>
          </cell>
          <cell r="G411"/>
          <cell r="H411">
            <v>150</v>
          </cell>
          <cell r="I411"/>
          <cell r="J411"/>
          <cell r="K411"/>
          <cell r="L411"/>
          <cell r="M411"/>
          <cell r="N411"/>
          <cell r="O411">
            <v>150</v>
          </cell>
          <cell r="P411"/>
          <cell r="Q411"/>
          <cell r="R411">
            <v>284.43</v>
          </cell>
          <cell r="S411">
            <v>19718.98</v>
          </cell>
          <cell r="T411">
            <v>10.42</v>
          </cell>
          <cell r="U411"/>
          <cell r="V411">
            <v>10.42</v>
          </cell>
          <cell r="W411">
            <v>8.8000000000000007</v>
          </cell>
          <cell r="X411">
            <v>9.75</v>
          </cell>
          <cell r="Y411"/>
          <cell r="Z411">
            <v>7.74</v>
          </cell>
          <cell r="AA411">
            <v>3.07</v>
          </cell>
          <cell r="AB411"/>
          <cell r="AC411" t="str">
            <v>المكتبية الثالثة</v>
          </cell>
        </row>
        <row r="412">
          <cell r="A412">
            <v>27411192500178</v>
          </cell>
          <cell r="B412">
            <v>234</v>
          </cell>
          <cell r="C412" t="str">
            <v>محمد حمدان نصر حمدان</v>
          </cell>
          <cell r="D412">
            <v>1382.44</v>
          </cell>
          <cell r="E412">
            <v>114.7</v>
          </cell>
          <cell r="F412">
            <v>31.23</v>
          </cell>
          <cell r="G412"/>
          <cell r="H412">
            <v>150</v>
          </cell>
          <cell r="I412"/>
          <cell r="J412"/>
          <cell r="K412"/>
          <cell r="L412"/>
          <cell r="M412"/>
          <cell r="N412"/>
          <cell r="O412">
            <v>150</v>
          </cell>
          <cell r="P412"/>
          <cell r="Q412"/>
          <cell r="R412">
            <v>358.01</v>
          </cell>
          <cell r="S412">
            <v>19685.239999999998</v>
          </cell>
          <cell r="T412"/>
          <cell r="U412"/>
          <cell r="V412">
            <v>0</v>
          </cell>
          <cell r="W412">
            <v>10.95</v>
          </cell>
          <cell r="X412">
            <v>12.15</v>
          </cell>
          <cell r="Y412"/>
          <cell r="Z412">
            <v>37.32</v>
          </cell>
          <cell r="AA412">
            <v>9.43</v>
          </cell>
          <cell r="AB412"/>
          <cell r="AC412" t="str">
            <v>المكتبية الثالثة</v>
          </cell>
        </row>
        <row r="413">
          <cell r="A413">
            <v>27104072500131</v>
          </cell>
          <cell r="B413">
            <v>235</v>
          </cell>
          <cell r="C413" t="str">
            <v>محمد سيد عبدالرحمن سليم</v>
          </cell>
          <cell r="D413">
            <v>1364.72</v>
          </cell>
          <cell r="E413">
            <v>106.1</v>
          </cell>
          <cell r="F413">
            <v>28.48</v>
          </cell>
          <cell r="G413"/>
          <cell r="H413">
            <v>150</v>
          </cell>
          <cell r="I413"/>
          <cell r="J413"/>
          <cell r="K413"/>
          <cell r="L413"/>
          <cell r="M413"/>
          <cell r="N413"/>
          <cell r="O413">
            <v>150</v>
          </cell>
          <cell r="P413"/>
          <cell r="Q413"/>
          <cell r="R413">
            <v>351.26</v>
          </cell>
          <cell r="S413">
            <v>19435.48</v>
          </cell>
          <cell r="T413"/>
          <cell r="U413"/>
          <cell r="V413">
            <v>0</v>
          </cell>
          <cell r="W413">
            <v>10.75</v>
          </cell>
          <cell r="X413">
            <v>11.95</v>
          </cell>
          <cell r="Y413"/>
          <cell r="Z413">
            <v>34.75</v>
          </cell>
          <cell r="AA413">
            <v>8.8699999999999992</v>
          </cell>
          <cell r="AB413"/>
          <cell r="AC413" t="str">
            <v>المكتبية الثالثة</v>
          </cell>
        </row>
        <row r="414">
          <cell r="A414">
            <v>27911162500494</v>
          </cell>
          <cell r="B414">
            <v>236</v>
          </cell>
          <cell r="C414" t="str">
            <v>محمد شعبان عبدالحميد عبدالنبى</v>
          </cell>
          <cell r="D414">
            <v>995.73</v>
          </cell>
          <cell r="E414"/>
          <cell r="F414">
            <v>5.35</v>
          </cell>
          <cell r="G414"/>
          <cell r="H414">
            <v>50</v>
          </cell>
          <cell r="I414"/>
          <cell r="J414"/>
          <cell r="K414"/>
          <cell r="L414"/>
          <cell r="M414"/>
          <cell r="N414"/>
          <cell r="O414">
            <v>50</v>
          </cell>
          <cell r="P414"/>
          <cell r="Q414"/>
          <cell r="R414">
            <v>218.5</v>
          </cell>
          <cell r="S414">
            <v>13446.900000000001</v>
          </cell>
          <cell r="T414">
            <v>28</v>
          </cell>
          <cell r="U414"/>
          <cell r="V414">
            <v>28</v>
          </cell>
          <cell r="W414">
            <v>6.25</v>
          </cell>
          <cell r="X414">
            <v>7.2</v>
          </cell>
          <cell r="Y414"/>
          <cell r="Z414"/>
          <cell r="AA414"/>
          <cell r="AB414"/>
          <cell r="AC414" t="str">
            <v>المكتبية الثالثة</v>
          </cell>
        </row>
        <row r="415">
          <cell r="A415">
            <v>27908272500511</v>
          </cell>
          <cell r="B415">
            <v>237</v>
          </cell>
          <cell r="C415" t="str">
            <v>محمود عبده حمدان محمد</v>
          </cell>
          <cell r="D415">
            <v>1083.1400000000001</v>
          </cell>
          <cell r="E415"/>
          <cell r="F415">
            <v>5.39</v>
          </cell>
          <cell r="G415"/>
          <cell r="H415">
            <v>95</v>
          </cell>
          <cell r="I415"/>
          <cell r="J415"/>
          <cell r="K415"/>
          <cell r="L415"/>
          <cell r="M415"/>
          <cell r="N415"/>
          <cell r="O415">
            <v>95</v>
          </cell>
          <cell r="P415"/>
          <cell r="Q415"/>
          <cell r="R415">
            <v>244.5</v>
          </cell>
          <cell r="S415">
            <v>14118.87</v>
          </cell>
          <cell r="T415"/>
          <cell r="U415"/>
          <cell r="V415">
            <v>0</v>
          </cell>
          <cell r="W415">
            <v>7.6</v>
          </cell>
          <cell r="X415">
            <v>8.5500000000000007</v>
          </cell>
          <cell r="Y415"/>
          <cell r="Z415"/>
          <cell r="AA415"/>
          <cell r="AB415"/>
          <cell r="AC415" t="str">
            <v>المكتبية الثالثة</v>
          </cell>
        </row>
        <row r="416">
          <cell r="A416">
            <v>28610232501012</v>
          </cell>
          <cell r="B416">
            <v>238</v>
          </cell>
          <cell r="C416" t="str">
            <v>محمود محمد علي محمود</v>
          </cell>
          <cell r="D416">
            <v>986.29</v>
          </cell>
          <cell r="E416"/>
          <cell r="F416">
            <v>5.36</v>
          </cell>
          <cell r="G416"/>
          <cell r="H416">
            <v>100</v>
          </cell>
          <cell r="I416"/>
          <cell r="J416">
            <v>81</v>
          </cell>
          <cell r="K416"/>
          <cell r="L416"/>
          <cell r="M416"/>
          <cell r="N416"/>
          <cell r="O416">
            <v>181</v>
          </cell>
          <cell r="P416"/>
          <cell r="Q416"/>
          <cell r="R416">
            <v>214.5</v>
          </cell>
          <cell r="S416">
            <v>13368.410000000002</v>
          </cell>
          <cell r="T416"/>
          <cell r="U416"/>
          <cell r="V416">
            <v>0</v>
          </cell>
          <cell r="W416">
            <v>6.55</v>
          </cell>
          <cell r="X416">
            <v>8.4</v>
          </cell>
          <cell r="Y416"/>
          <cell r="Z416"/>
          <cell r="AA416"/>
          <cell r="AB416"/>
          <cell r="AC416" t="str">
            <v>المكتبية الثالثة</v>
          </cell>
        </row>
        <row r="417">
          <cell r="A417">
            <v>28004012500379</v>
          </cell>
          <cell r="B417">
            <v>239</v>
          </cell>
          <cell r="C417" t="str">
            <v>محمود محمد محمد عبد المذكور</v>
          </cell>
          <cell r="D417">
            <v>1331.86</v>
          </cell>
          <cell r="E417">
            <v>87.35</v>
          </cell>
          <cell r="F417">
            <v>23.04</v>
          </cell>
          <cell r="G417"/>
          <cell r="H417">
            <v>100</v>
          </cell>
          <cell r="I417"/>
          <cell r="J417"/>
          <cell r="K417"/>
          <cell r="L417"/>
          <cell r="M417"/>
          <cell r="N417"/>
          <cell r="O417">
            <v>100</v>
          </cell>
          <cell r="P417"/>
          <cell r="Q417"/>
          <cell r="R417">
            <v>339.65</v>
          </cell>
          <cell r="S417">
            <v>19339.66</v>
          </cell>
          <cell r="T417"/>
          <cell r="U417"/>
          <cell r="V417">
            <v>0</v>
          </cell>
          <cell r="W417">
            <v>10</v>
          </cell>
          <cell r="X417">
            <v>11.15</v>
          </cell>
          <cell r="Y417"/>
          <cell r="Z417">
            <v>24.74</v>
          </cell>
          <cell r="AA417">
            <v>6.8</v>
          </cell>
          <cell r="AB417"/>
          <cell r="AC417" t="str">
            <v>المكتبية الثالثة</v>
          </cell>
        </row>
        <row r="418">
          <cell r="A418">
            <v>27310152501618</v>
          </cell>
          <cell r="B418">
            <v>240</v>
          </cell>
          <cell r="C418" t="str">
            <v>محمود محمود احمد حسين</v>
          </cell>
          <cell r="D418">
            <v>1010.68</v>
          </cell>
          <cell r="E418"/>
          <cell r="F418">
            <v>5.09</v>
          </cell>
          <cell r="G418"/>
          <cell r="H418">
            <v>150</v>
          </cell>
          <cell r="I418"/>
          <cell r="J418">
            <v>185.37</v>
          </cell>
          <cell r="K418"/>
          <cell r="L418"/>
          <cell r="M418"/>
          <cell r="N418"/>
          <cell r="O418">
            <v>335.37</v>
          </cell>
          <cell r="P418"/>
          <cell r="Q418"/>
          <cell r="R418">
            <v>228.5</v>
          </cell>
          <cell r="S418">
            <v>24443.35</v>
          </cell>
          <cell r="T418">
            <v>33.08</v>
          </cell>
          <cell r="U418"/>
          <cell r="V418">
            <v>33.08</v>
          </cell>
          <cell r="W418">
            <v>7.55</v>
          </cell>
          <cell r="X418">
            <v>9.4</v>
          </cell>
          <cell r="Y418"/>
          <cell r="Z418"/>
          <cell r="AA418">
            <v>2.17</v>
          </cell>
          <cell r="AB418"/>
          <cell r="AC418" t="str">
            <v>المكتبية الثالثة</v>
          </cell>
        </row>
        <row r="419">
          <cell r="A419">
            <v>28105012502593</v>
          </cell>
          <cell r="B419">
            <v>241</v>
          </cell>
          <cell r="C419" t="str">
            <v>مصطفى حسن محمد على</v>
          </cell>
          <cell r="D419">
            <v>1118.6199999999999</v>
          </cell>
          <cell r="E419"/>
          <cell r="F419">
            <v>5.66</v>
          </cell>
          <cell r="G419"/>
          <cell r="H419">
            <v>145</v>
          </cell>
          <cell r="I419"/>
          <cell r="J419">
            <v>146.69</v>
          </cell>
          <cell r="K419"/>
          <cell r="L419"/>
          <cell r="M419"/>
          <cell r="N419"/>
          <cell r="O419">
            <v>291.69</v>
          </cell>
          <cell r="P419"/>
          <cell r="Q419"/>
          <cell r="R419">
            <v>261.5</v>
          </cell>
          <cell r="S419">
            <v>24067.84</v>
          </cell>
          <cell r="T419"/>
          <cell r="U419"/>
          <cell r="V419">
            <v>0</v>
          </cell>
          <cell r="W419">
            <v>8.25</v>
          </cell>
          <cell r="X419">
            <v>10.55</v>
          </cell>
          <cell r="Y419"/>
          <cell r="Z419">
            <v>1.1200000000000001</v>
          </cell>
          <cell r="AA419">
            <v>5.23</v>
          </cell>
          <cell r="AB419"/>
          <cell r="AC419" t="str">
            <v>المكتبية الثالثة</v>
          </cell>
        </row>
        <row r="420">
          <cell r="A420">
            <v>27810032502095</v>
          </cell>
          <cell r="B420">
            <v>242</v>
          </cell>
          <cell r="C420" t="str">
            <v>مصطفى عبد اللاه علي احمد</v>
          </cell>
          <cell r="D420">
            <v>1301.23</v>
          </cell>
          <cell r="E420">
            <v>77.28</v>
          </cell>
          <cell r="F420">
            <v>18.809999999999999</v>
          </cell>
          <cell r="G420"/>
          <cell r="H420">
            <v>145</v>
          </cell>
          <cell r="I420"/>
          <cell r="J420">
            <v>235.17</v>
          </cell>
          <cell r="K420"/>
          <cell r="L420"/>
          <cell r="M420"/>
          <cell r="N420"/>
          <cell r="O420">
            <v>380.16999999999996</v>
          </cell>
          <cell r="P420"/>
          <cell r="Q420"/>
          <cell r="R420">
            <v>328.56</v>
          </cell>
          <cell r="S420">
            <v>18783.47</v>
          </cell>
          <cell r="T420"/>
          <cell r="U420"/>
          <cell r="V420">
            <v>0</v>
          </cell>
          <cell r="W420">
            <v>10.050000000000001</v>
          </cell>
          <cell r="X420">
            <v>12.75</v>
          </cell>
          <cell r="Y420"/>
          <cell r="Z420">
            <v>25.24</v>
          </cell>
          <cell r="AA420">
            <v>10.99</v>
          </cell>
          <cell r="AB420"/>
          <cell r="AC420" t="str">
            <v>المكتبية الثالثة</v>
          </cell>
        </row>
        <row r="421">
          <cell r="A421">
            <v>28610202500232</v>
          </cell>
          <cell r="B421">
            <v>243</v>
          </cell>
          <cell r="C421" t="str">
            <v>معتز محمد درويش صالح</v>
          </cell>
          <cell r="D421">
            <v>1030.99</v>
          </cell>
          <cell r="E421"/>
          <cell r="F421">
            <v>5.39</v>
          </cell>
          <cell r="G421"/>
          <cell r="H421">
            <v>50</v>
          </cell>
          <cell r="I421"/>
          <cell r="J421"/>
          <cell r="K421"/>
          <cell r="L421"/>
          <cell r="M421"/>
          <cell r="N421"/>
          <cell r="O421">
            <v>50</v>
          </cell>
          <cell r="P421"/>
          <cell r="Q421"/>
          <cell r="R421">
            <v>226.5</v>
          </cell>
          <cell r="S421">
            <v>14399.009999999997</v>
          </cell>
          <cell r="T421"/>
          <cell r="U421"/>
          <cell r="V421">
            <v>0</v>
          </cell>
          <cell r="W421">
            <v>6.45</v>
          </cell>
          <cell r="X421">
            <v>8.1999999999999993</v>
          </cell>
          <cell r="Y421"/>
          <cell r="Z421"/>
          <cell r="AA421"/>
          <cell r="AB421"/>
          <cell r="AC421" t="str">
            <v>المكتبية الثالثة</v>
          </cell>
        </row>
        <row r="422">
          <cell r="A422">
            <v>27811102500725</v>
          </cell>
          <cell r="B422">
            <v>244</v>
          </cell>
          <cell r="C422" t="str">
            <v>منى ابو العلا حسين محمد</v>
          </cell>
          <cell r="D422">
            <v>1020.51</v>
          </cell>
          <cell r="E422"/>
          <cell r="F422">
            <v>5.35</v>
          </cell>
          <cell r="G422"/>
          <cell r="H422">
            <v>50</v>
          </cell>
          <cell r="I422"/>
          <cell r="J422">
            <v>86.08</v>
          </cell>
          <cell r="K422"/>
          <cell r="L422"/>
          <cell r="M422"/>
          <cell r="N422"/>
          <cell r="O422">
            <v>136.07999999999998</v>
          </cell>
          <cell r="P422"/>
          <cell r="Q422"/>
          <cell r="R422">
            <v>218.5</v>
          </cell>
          <cell r="S422">
            <v>20125.28</v>
          </cell>
          <cell r="T422"/>
          <cell r="U422"/>
          <cell r="V422">
            <v>0</v>
          </cell>
          <cell r="W422">
            <v>6.4</v>
          </cell>
          <cell r="X422">
            <v>7.5</v>
          </cell>
          <cell r="Y422"/>
          <cell r="Z422"/>
          <cell r="AA422"/>
          <cell r="AB422"/>
          <cell r="AC422" t="str">
            <v>المكتبية الثالثة</v>
          </cell>
        </row>
        <row r="423">
          <cell r="A423">
            <v>28311202500278</v>
          </cell>
          <cell r="B423">
            <v>245</v>
          </cell>
          <cell r="C423" t="str">
            <v>مؤمن عبد الخالق سيد عبد الحافظ</v>
          </cell>
          <cell r="D423">
            <v>1056.23</v>
          </cell>
          <cell r="E423"/>
          <cell r="F423">
            <v>5.64</v>
          </cell>
          <cell r="G423"/>
          <cell r="H423">
            <v>50</v>
          </cell>
          <cell r="I423"/>
          <cell r="J423">
            <v>81</v>
          </cell>
          <cell r="K423"/>
          <cell r="L423"/>
          <cell r="M423"/>
          <cell r="N423"/>
          <cell r="O423">
            <v>131</v>
          </cell>
          <cell r="P423"/>
          <cell r="Q423"/>
          <cell r="R423">
            <v>214.5</v>
          </cell>
          <cell r="S423">
            <v>14261.189999999999</v>
          </cell>
          <cell r="T423"/>
          <cell r="U423"/>
          <cell r="V423">
            <v>0</v>
          </cell>
          <cell r="W423">
            <v>6.6</v>
          </cell>
          <cell r="X423">
            <v>8.5500000000000007</v>
          </cell>
          <cell r="Y423"/>
          <cell r="Z423"/>
          <cell r="AA423"/>
          <cell r="AB423"/>
          <cell r="AC423" t="str">
            <v>المكتبية الثالثة</v>
          </cell>
        </row>
        <row r="424">
          <cell r="A424">
            <v>28505302500185</v>
          </cell>
          <cell r="B424">
            <v>246</v>
          </cell>
          <cell r="C424" t="str">
            <v>ناهد خليفه عبد النبي عمر</v>
          </cell>
          <cell r="D424">
            <v>990.01</v>
          </cell>
          <cell r="E424"/>
          <cell r="F424">
            <v>5.32</v>
          </cell>
          <cell r="G424"/>
          <cell r="H424">
            <v>50</v>
          </cell>
          <cell r="I424"/>
          <cell r="J424"/>
          <cell r="K424"/>
          <cell r="L424"/>
          <cell r="M424"/>
          <cell r="N424"/>
          <cell r="O424">
            <v>50</v>
          </cell>
          <cell r="P424"/>
          <cell r="Q424"/>
          <cell r="R424">
            <v>220.5</v>
          </cell>
          <cell r="S424">
            <v>14251.259999999998</v>
          </cell>
          <cell r="T424"/>
          <cell r="U424"/>
          <cell r="V424">
            <v>0</v>
          </cell>
          <cell r="W424">
            <v>6.2</v>
          </cell>
          <cell r="X424">
            <v>7.35</v>
          </cell>
          <cell r="Y424"/>
          <cell r="Z424"/>
          <cell r="AA424"/>
          <cell r="AB424"/>
          <cell r="AC424" t="str">
            <v>المكتبية الثالثة</v>
          </cell>
        </row>
        <row r="425">
          <cell r="A425">
            <v>28906252501449</v>
          </cell>
          <cell r="B425">
            <v>247</v>
          </cell>
          <cell r="C425" t="str">
            <v>نجاح خميس محمود علي</v>
          </cell>
          <cell r="D425">
            <v>941.6</v>
          </cell>
          <cell r="E425"/>
          <cell r="F425">
            <v>5.31</v>
          </cell>
          <cell r="G425"/>
          <cell r="H425">
            <v>50</v>
          </cell>
          <cell r="I425"/>
          <cell r="J425"/>
          <cell r="K425"/>
          <cell r="L425"/>
          <cell r="M425"/>
          <cell r="N425"/>
          <cell r="O425">
            <v>50</v>
          </cell>
          <cell r="P425"/>
          <cell r="Q425"/>
          <cell r="R425">
            <v>214.5</v>
          </cell>
          <cell r="S425">
            <v>12760.920000000002</v>
          </cell>
          <cell r="T425"/>
          <cell r="U425"/>
          <cell r="V425">
            <v>0</v>
          </cell>
          <cell r="W425">
            <v>5.9</v>
          </cell>
          <cell r="X425">
            <v>7.15</v>
          </cell>
          <cell r="Y425"/>
          <cell r="Z425"/>
          <cell r="AA425"/>
          <cell r="AB425"/>
          <cell r="AC425" t="str">
            <v>المكتبية الثالثة</v>
          </cell>
        </row>
        <row r="426">
          <cell r="A426">
            <v>28402242500161</v>
          </cell>
          <cell r="B426">
            <v>248</v>
          </cell>
          <cell r="C426" t="str">
            <v>نجلاء ربيع سيد محمد</v>
          </cell>
          <cell r="D426">
            <v>1004.94</v>
          </cell>
          <cell r="E426"/>
          <cell r="F426">
            <v>5.39</v>
          </cell>
          <cell r="G426"/>
          <cell r="H426">
            <v>140</v>
          </cell>
          <cell r="I426"/>
          <cell r="J426">
            <v>178.83</v>
          </cell>
          <cell r="K426"/>
          <cell r="L426"/>
          <cell r="M426"/>
          <cell r="N426"/>
          <cell r="O426">
            <v>318.83000000000004</v>
          </cell>
          <cell r="P426"/>
          <cell r="Q426"/>
          <cell r="R426">
            <v>226.5</v>
          </cell>
          <cell r="S426">
            <v>22478.569999999996</v>
          </cell>
          <cell r="T426"/>
          <cell r="U426"/>
          <cell r="V426">
            <v>0</v>
          </cell>
          <cell r="W426">
            <v>7.45</v>
          </cell>
          <cell r="X426">
            <v>9</v>
          </cell>
          <cell r="Y426"/>
          <cell r="Z426"/>
          <cell r="AA426">
            <v>1.1100000000000001</v>
          </cell>
          <cell r="AB426"/>
          <cell r="AC426" t="str">
            <v>المكتبية الثالثة</v>
          </cell>
        </row>
        <row r="427">
          <cell r="A427">
            <v>27406292500261</v>
          </cell>
          <cell r="B427">
            <v>249</v>
          </cell>
          <cell r="C427" t="str">
            <v>نجلاء عبد المنعم حسن</v>
          </cell>
          <cell r="D427">
            <v>1010.68</v>
          </cell>
          <cell r="E427"/>
          <cell r="F427">
            <v>5.09</v>
          </cell>
          <cell r="G427"/>
          <cell r="H427">
            <v>150</v>
          </cell>
          <cell r="I427"/>
          <cell r="J427"/>
          <cell r="K427"/>
          <cell r="L427"/>
          <cell r="M427"/>
          <cell r="N427"/>
          <cell r="O427">
            <v>150</v>
          </cell>
          <cell r="P427"/>
          <cell r="Q427"/>
          <cell r="R427">
            <v>228.5</v>
          </cell>
          <cell r="S427">
            <v>13686.87</v>
          </cell>
          <cell r="T427">
            <v>9.86</v>
          </cell>
          <cell r="U427"/>
          <cell r="V427">
            <v>9.86</v>
          </cell>
          <cell r="W427">
            <v>7.55</v>
          </cell>
          <cell r="X427">
            <v>7.8</v>
          </cell>
          <cell r="Y427"/>
          <cell r="Z427"/>
          <cell r="AA427"/>
          <cell r="AB427"/>
          <cell r="AC427" t="str">
            <v>المكتبية الثالثة</v>
          </cell>
        </row>
        <row r="428">
          <cell r="A428">
            <v>27609292501168</v>
          </cell>
          <cell r="B428">
            <v>250</v>
          </cell>
          <cell r="C428" t="str">
            <v>نجوى مصطفى محمد حسانين</v>
          </cell>
          <cell r="D428">
            <v>1035.5</v>
          </cell>
          <cell r="E428"/>
          <cell r="F428">
            <v>5.15</v>
          </cell>
          <cell r="G428"/>
          <cell r="H428">
            <v>50</v>
          </cell>
          <cell r="I428"/>
          <cell r="J428">
            <v>192.07</v>
          </cell>
          <cell r="K428"/>
          <cell r="L428"/>
          <cell r="M428"/>
          <cell r="N428"/>
          <cell r="O428">
            <v>242.07</v>
          </cell>
          <cell r="P428"/>
          <cell r="Q428"/>
          <cell r="R428">
            <v>238.5</v>
          </cell>
          <cell r="S428">
            <v>24005.820000000007</v>
          </cell>
          <cell r="T428"/>
          <cell r="U428"/>
          <cell r="V428">
            <v>0</v>
          </cell>
          <cell r="W428">
            <v>6.5</v>
          </cell>
          <cell r="X428">
            <v>8.4499999999999993</v>
          </cell>
          <cell r="Y428"/>
          <cell r="Z428"/>
          <cell r="AA428"/>
          <cell r="AB428"/>
          <cell r="AC428" t="str">
            <v>المكتبية الثالثة</v>
          </cell>
        </row>
        <row r="429">
          <cell r="A429">
            <v>28607262500206</v>
          </cell>
          <cell r="B429">
            <v>251</v>
          </cell>
          <cell r="C429" t="str">
            <v>نهى سمير عبد الواحد خضر</v>
          </cell>
          <cell r="D429">
            <v>1025.58</v>
          </cell>
          <cell r="E429"/>
          <cell r="F429">
            <v>5.32</v>
          </cell>
          <cell r="G429"/>
          <cell r="H429">
            <v>50</v>
          </cell>
          <cell r="I429"/>
          <cell r="J429"/>
          <cell r="K429"/>
          <cell r="L429"/>
          <cell r="M429"/>
          <cell r="N429"/>
          <cell r="O429">
            <v>50</v>
          </cell>
          <cell r="P429"/>
          <cell r="Q429"/>
          <cell r="R429">
            <v>224.5</v>
          </cell>
          <cell r="S429">
            <v>13988.339999999998</v>
          </cell>
          <cell r="T429"/>
          <cell r="U429"/>
          <cell r="V429">
            <v>0</v>
          </cell>
          <cell r="W429">
            <v>6.45</v>
          </cell>
          <cell r="X429">
            <v>8.1999999999999993</v>
          </cell>
          <cell r="Y429"/>
          <cell r="Z429"/>
          <cell r="AA429"/>
          <cell r="AB429"/>
          <cell r="AC429" t="str">
            <v>المكتبية الثالثة</v>
          </cell>
        </row>
        <row r="430">
          <cell r="A430">
            <v>28704092500902</v>
          </cell>
          <cell r="B430">
            <v>252</v>
          </cell>
          <cell r="C430" t="str">
            <v>نورة شعبان ثابت ابراهيم</v>
          </cell>
          <cell r="D430">
            <v>990.01</v>
          </cell>
          <cell r="E430"/>
          <cell r="F430">
            <v>5.32</v>
          </cell>
          <cell r="G430"/>
          <cell r="H430">
            <v>95</v>
          </cell>
          <cell r="I430"/>
          <cell r="J430">
            <v>90.62</v>
          </cell>
          <cell r="K430"/>
          <cell r="L430"/>
          <cell r="M430"/>
          <cell r="N430"/>
          <cell r="O430">
            <v>185.62</v>
          </cell>
          <cell r="P430"/>
          <cell r="Q430"/>
          <cell r="R430">
            <v>220.5</v>
          </cell>
          <cell r="S430">
            <v>20866.650000000001</v>
          </cell>
          <cell r="T430"/>
          <cell r="U430"/>
          <cell r="V430">
            <v>0</v>
          </cell>
          <cell r="W430">
            <v>6.55</v>
          </cell>
          <cell r="X430">
            <v>8.6</v>
          </cell>
          <cell r="Y430"/>
          <cell r="Z430"/>
          <cell r="AA430">
            <v>0.08</v>
          </cell>
          <cell r="AB430"/>
          <cell r="AC430" t="str">
            <v>المكتبية الثالثة</v>
          </cell>
        </row>
        <row r="431">
          <cell r="A431">
            <v>29005122600824</v>
          </cell>
          <cell r="B431">
            <v>253</v>
          </cell>
          <cell r="C431" t="str">
            <v>هاجر مختار محمود محمد</v>
          </cell>
          <cell r="D431">
            <v>941.6</v>
          </cell>
          <cell r="E431"/>
          <cell r="F431">
            <v>5.31</v>
          </cell>
          <cell r="G431"/>
          <cell r="H431">
            <v>50</v>
          </cell>
          <cell r="I431"/>
          <cell r="J431"/>
          <cell r="K431"/>
          <cell r="L431"/>
          <cell r="M431"/>
          <cell r="N431"/>
          <cell r="O431">
            <v>50</v>
          </cell>
          <cell r="P431"/>
          <cell r="Q431"/>
          <cell r="R431">
            <v>214.5</v>
          </cell>
          <cell r="S431">
            <v>13082.670000000002</v>
          </cell>
          <cell r="T431"/>
          <cell r="U431"/>
          <cell r="V431">
            <v>0</v>
          </cell>
          <cell r="W431">
            <v>5.9</v>
          </cell>
          <cell r="X431">
            <v>6.2</v>
          </cell>
          <cell r="Y431"/>
          <cell r="Z431"/>
          <cell r="AA431"/>
          <cell r="AB431"/>
          <cell r="AC431" t="str">
            <v>المكتبية الثالثة</v>
          </cell>
        </row>
        <row r="432">
          <cell r="A432">
            <v>28308212501646</v>
          </cell>
          <cell r="B432">
            <v>254</v>
          </cell>
          <cell r="C432" t="str">
            <v>هاله صلاح الدين عامر احمد</v>
          </cell>
          <cell r="D432">
            <v>1015.95</v>
          </cell>
          <cell r="E432"/>
          <cell r="F432">
            <v>5.1100000000000003</v>
          </cell>
          <cell r="G432"/>
          <cell r="H432">
            <v>140</v>
          </cell>
          <cell r="I432"/>
          <cell r="J432"/>
          <cell r="K432"/>
          <cell r="L432"/>
          <cell r="M432"/>
          <cell r="N432"/>
          <cell r="O432">
            <v>140</v>
          </cell>
          <cell r="P432"/>
          <cell r="Q432"/>
          <cell r="R432">
            <v>230.5</v>
          </cell>
          <cell r="S432">
            <v>13391.390000000003</v>
          </cell>
          <cell r="T432"/>
          <cell r="U432"/>
          <cell r="V432">
            <v>0</v>
          </cell>
          <cell r="W432">
            <v>7.5</v>
          </cell>
          <cell r="X432">
            <v>7.8</v>
          </cell>
          <cell r="Y432"/>
          <cell r="Z432"/>
          <cell r="AA432"/>
          <cell r="AB432"/>
          <cell r="AC432" t="str">
            <v>المكتبية الثالثة</v>
          </cell>
        </row>
        <row r="433">
          <cell r="A433">
            <v>28206212500324</v>
          </cell>
          <cell r="B433">
            <v>255</v>
          </cell>
          <cell r="C433" t="str">
            <v>هبه حمزه احمد محمد</v>
          </cell>
          <cell r="D433">
            <v>978.07</v>
          </cell>
          <cell r="E433"/>
          <cell r="F433">
            <v>4.92</v>
          </cell>
          <cell r="G433"/>
          <cell r="H433">
            <v>145</v>
          </cell>
          <cell r="I433"/>
          <cell r="J433">
            <v>181.37</v>
          </cell>
          <cell r="K433"/>
          <cell r="L433"/>
          <cell r="M433"/>
          <cell r="N433"/>
          <cell r="O433">
            <v>326.37</v>
          </cell>
          <cell r="P433"/>
          <cell r="Q433"/>
          <cell r="R433">
            <v>221.12</v>
          </cell>
          <cell r="S433">
            <v>23111.39</v>
          </cell>
          <cell r="T433"/>
          <cell r="U433"/>
          <cell r="V433">
            <v>0</v>
          </cell>
          <cell r="W433">
            <v>7.3</v>
          </cell>
          <cell r="X433">
            <v>9.0500000000000007</v>
          </cell>
          <cell r="Y433"/>
          <cell r="Z433"/>
          <cell r="AA433">
            <v>1.27</v>
          </cell>
          <cell r="AB433"/>
          <cell r="AC433" t="str">
            <v>المكتبية الثالثة</v>
          </cell>
        </row>
        <row r="434">
          <cell r="A434">
            <v>28803032503081</v>
          </cell>
          <cell r="B434">
            <v>256</v>
          </cell>
          <cell r="C434" t="str">
            <v>هبه محمد عبد القادر محمد</v>
          </cell>
          <cell r="D434">
            <v>995.28</v>
          </cell>
          <cell r="E434"/>
          <cell r="F434">
            <v>5.34</v>
          </cell>
          <cell r="G434"/>
          <cell r="H434">
            <v>50</v>
          </cell>
          <cell r="I434"/>
          <cell r="J434"/>
          <cell r="K434"/>
          <cell r="L434"/>
          <cell r="M434"/>
          <cell r="N434"/>
          <cell r="O434">
            <v>50</v>
          </cell>
          <cell r="P434"/>
          <cell r="Q434"/>
          <cell r="R434">
            <v>222.5</v>
          </cell>
          <cell r="S434">
            <v>13466.430000000002</v>
          </cell>
          <cell r="T434"/>
          <cell r="U434"/>
          <cell r="V434">
            <v>0</v>
          </cell>
          <cell r="W434">
            <v>6.25</v>
          </cell>
          <cell r="X434">
            <v>7.35</v>
          </cell>
          <cell r="Y434"/>
          <cell r="Z434"/>
          <cell r="AA434"/>
          <cell r="AB434"/>
          <cell r="AC434" t="str">
            <v>المكتبية الثالثة</v>
          </cell>
        </row>
        <row r="435">
          <cell r="A435">
            <v>28303032500089</v>
          </cell>
          <cell r="B435">
            <v>257</v>
          </cell>
          <cell r="C435" t="str">
            <v>هناء جلال سيد مصطفى</v>
          </cell>
          <cell r="D435">
            <v>1015.95</v>
          </cell>
          <cell r="E435"/>
          <cell r="F435">
            <v>5.1100000000000003</v>
          </cell>
          <cell r="G435"/>
          <cell r="H435">
            <v>50</v>
          </cell>
          <cell r="I435"/>
          <cell r="J435"/>
          <cell r="K435"/>
          <cell r="L435"/>
          <cell r="M435"/>
          <cell r="N435"/>
          <cell r="O435">
            <v>50</v>
          </cell>
          <cell r="P435"/>
          <cell r="Q435"/>
          <cell r="R435">
            <v>230.5</v>
          </cell>
          <cell r="S435">
            <v>13755.020000000002</v>
          </cell>
          <cell r="T435"/>
          <cell r="U435"/>
          <cell r="V435">
            <v>0</v>
          </cell>
          <cell r="W435">
            <v>6.4</v>
          </cell>
          <cell r="X435">
            <v>8.4</v>
          </cell>
          <cell r="Y435"/>
          <cell r="Z435"/>
          <cell r="AA435"/>
          <cell r="AB435"/>
          <cell r="AC435" t="str">
            <v>المكتبية الثالثة</v>
          </cell>
        </row>
        <row r="436">
          <cell r="A436">
            <v>28609292500041</v>
          </cell>
          <cell r="B436">
            <v>258</v>
          </cell>
          <cell r="C436" t="str">
            <v>هويدا احمد بداري علي</v>
          </cell>
          <cell r="D436">
            <v>1046.77</v>
          </cell>
          <cell r="E436"/>
          <cell r="F436">
            <v>5.13</v>
          </cell>
          <cell r="G436"/>
          <cell r="H436">
            <v>95</v>
          </cell>
          <cell r="I436"/>
          <cell r="J436">
            <v>186.45</v>
          </cell>
          <cell r="K436"/>
          <cell r="L436"/>
          <cell r="M436"/>
          <cell r="N436"/>
          <cell r="O436">
            <v>281.45</v>
          </cell>
          <cell r="P436"/>
          <cell r="Q436"/>
          <cell r="R436">
            <v>232.5</v>
          </cell>
          <cell r="S436">
            <v>24077.54</v>
          </cell>
          <cell r="T436"/>
          <cell r="U436"/>
          <cell r="V436">
            <v>0</v>
          </cell>
          <cell r="W436">
            <v>7.35</v>
          </cell>
          <cell r="X436">
            <v>9.5</v>
          </cell>
          <cell r="Y436"/>
          <cell r="Z436"/>
          <cell r="AA436">
            <v>2.48</v>
          </cell>
          <cell r="AB436"/>
          <cell r="AC436" t="str">
            <v>المكتبية الثالثة</v>
          </cell>
        </row>
        <row r="437">
          <cell r="A437">
            <v>28804082500259</v>
          </cell>
          <cell r="B437">
            <v>259</v>
          </cell>
          <cell r="C437" t="str">
            <v>هيثم محمد عبد اللاه عبد النبي</v>
          </cell>
          <cell r="D437">
            <v>986.29</v>
          </cell>
          <cell r="E437"/>
          <cell r="F437">
            <v>5.36</v>
          </cell>
          <cell r="G437"/>
          <cell r="H437">
            <v>50</v>
          </cell>
          <cell r="I437"/>
          <cell r="J437">
            <v>81</v>
          </cell>
          <cell r="K437"/>
          <cell r="L437"/>
          <cell r="M437"/>
          <cell r="N437"/>
          <cell r="O437">
            <v>131</v>
          </cell>
          <cell r="P437"/>
          <cell r="Q437"/>
          <cell r="R437">
            <v>214.5</v>
          </cell>
          <cell r="S437">
            <v>21836.769999999997</v>
          </cell>
          <cell r="T437"/>
          <cell r="U437"/>
          <cell r="V437">
            <v>0</v>
          </cell>
          <cell r="W437">
            <v>6.2</v>
          </cell>
          <cell r="X437">
            <v>8.0500000000000007</v>
          </cell>
          <cell r="Y437"/>
          <cell r="Z437"/>
          <cell r="AA437"/>
          <cell r="AB437"/>
          <cell r="AC437" t="str">
            <v>المكتبية الثالثة</v>
          </cell>
        </row>
        <row r="438">
          <cell r="A438">
            <v>27812162500101</v>
          </cell>
          <cell r="B438">
            <v>260</v>
          </cell>
          <cell r="C438" t="str">
            <v>وفاء علي محمد المليجي</v>
          </cell>
          <cell r="D438">
            <v>1041.3599999999999</v>
          </cell>
          <cell r="E438"/>
          <cell r="F438">
            <v>5.1100000000000003</v>
          </cell>
          <cell r="G438"/>
          <cell r="H438">
            <v>50</v>
          </cell>
          <cell r="I438"/>
          <cell r="J438"/>
          <cell r="K438"/>
          <cell r="L438"/>
          <cell r="M438"/>
          <cell r="N438"/>
          <cell r="O438">
            <v>50</v>
          </cell>
          <cell r="P438"/>
          <cell r="Q438"/>
          <cell r="R438">
            <v>230.5</v>
          </cell>
          <cell r="S438">
            <v>14024.919999999998</v>
          </cell>
          <cell r="T438"/>
          <cell r="U438"/>
          <cell r="V438">
            <v>0</v>
          </cell>
          <cell r="W438">
            <v>6.5</v>
          </cell>
          <cell r="X438">
            <v>7.9</v>
          </cell>
          <cell r="Y438"/>
          <cell r="Z438"/>
          <cell r="AA438"/>
          <cell r="AB438"/>
          <cell r="AC438" t="str">
            <v>المكتبية الثالثة</v>
          </cell>
        </row>
        <row r="439">
          <cell r="A439">
            <v>28008171802039</v>
          </cell>
          <cell r="B439">
            <v>261</v>
          </cell>
          <cell r="C439" t="str">
            <v>وليد محمد كمال محمد</v>
          </cell>
          <cell r="D439">
            <v>1029.8900000000001</v>
          </cell>
          <cell r="E439"/>
          <cell r="F439">
            <v>5.54</v>
          </cell>
          <cell r="G439"/>
          <cell r="H439">
            <v>145</v>
          </cell>
          <cell r="I439"/>
          <cell r="J439"/>
          <cell r="K439"/>
          <cell r="L439"/>
          <cell r="M439"/>
          <cell r="N439"/>
          <cell r="O439">
            <v>145</v>
          </cell>
          <cell r="P439"/>
          <cell r="Q439"/>
          <cell r="R439">
            <v>224.5</v>
          </cell>
          <cell r="S439">
            <v>13669.330000000002</v>
          </cell>
          <cell r="T439"/>
          <cell r="U439"/>
          <cell r="V439">
            <v>0</v>
          </cell>
          <cell r="W439">
            <v>7.65</v>
          </cell>
          <cell r="X439">
            <v>8.9499999999999993</v>
          </cell>
          <cell r="Y439"/>
          <cell r="Z439"/>
          <cell r="AA439">
            <v>0.97</v>
          </cell>
          <cell r="AB439"/>
          <cell r="AC439" t="str">
            <v>المكتبية الثالثة</v>
          </cell>
        </row>
        <row r="440">
          <cell r="A440">
            <v>28610242500049</v>
          </cell>
          <cell r="B440">
            <v>262</v>
          </cell>
          <cell r="C440" t="str">
            <v>يمني محمد ممدوح محمود</v>
          </cell>
          <cell r="D440">
            <v>1004.94</v>
          </cell>
          <cell r="E440"/>
          <cell r="F440">
            <v>5.39</v>
          </cell>
          <cell r="G440"/>
          <cell r="H440">
            <v>50</v>
          </cell>
          <cell r="I440"/>
          <cell r="J440"/>
          <cell r="K440"/>
          <cell r="L440"/>
          <cell r="M440"/>
          <cell r="N440"/>
          <cell r="O440">
            <v>50</v>
          </cell>
          <cell r="P440"/>
          <cell r="Q440"/>
          <cell r="R440">
            <v>226.5</v>
          </cell>
          <cell r="S440">
            <v>13547.260000000002</v>
          </cell>
          <cell r="T440"/>
          <cell r="U440"/>
          <cell r="V440">
            <v>0</v>
          </cell>
          <cell r="W440">
            <v>6.3</v>
          </cell>
          <cell r="X440">
            <v>7.65</v>
          </cell>
          <cell r="Y440"/>
          <cell r="Z440"/>
          <cell r="AA440"/>
          <cell r="AB440"/>
          <cell r="AC440" t="str">
            <v>المكتبية الثالثة</v>
          </cell>
        </row>
        <row r="441">
          <cell r="A441">
            <v>26807012501217</v>
          </cell>
          <cell r="B441">
            <v>438</v>
          </cell>
          <cell r="C441" t="str">
            <v>ابراهيم صبرة عبدالغنى ابراهيم</v>
          </cell>
          <cell r="D441">
            <v>1294.31</v>
          </cell>
          <cell r="E441">
            <v>1.34</v>
          </cell>
          <cell r="F441">
            <v>9.18</v>
          </cell>
          <cell r="G441"/>
          <cell r="H441">
            <v>150</v>
          </cell>
          <cell r="I441"/>
          <cell r="J441"/>
          <cell r="K441"/>
          <cell r="L441"/>
          <cell r="M441"/>
          <cell r="N441"/>
          <cell r="O441">
            <v>150</v>
          </cell>
          <cell r="P441"/>
          <cell r="Q441"/>
          <cell r="R441">
            <v>304.2</v>
          </cell>
          <cell r="S441">
            <v>16083.149999999998</v>
          </cell>
          <cell r="T441"/>
          <cell r="U441"/>
          <cell r="V441">
            <v>0</v>
          </cell>
          <cell r="W441">
            <v>9.4499999999999993</v>
          </cell>
          <cell r="X441">
            <v>10.6</v>
          </cell>
          <cell r="Y441"/>
          <cell r="Z441">
            <v>17.579999999999998</v>
          </cell>
          <cell r="AA441">
            <v>5.3</v>
          </cell>
          <cell r="AB441"/>
          <cell r="AC441" t="str">
            <v>حرفية ومعاونه</v>
          </cell>
        </row>
        <row r="442">
          <cell r="A442">
            <v>26403092501138</v>
          </cell>
          <cell r="B442">
            <v>439</v>
          </cell>
          <cell r="C442" t="str">
            <v>احمد ثابت احمد محمد</v>
          </cell>
          <cell r="D442">
            <v>1524.18</v>
          </cell>
          <cell r="E442">
            <v>178.01</v>
          </cell>
          <cell r="F442">
            <v>52.64</v>
          </cell>
          <cell r="G442"/>
          <cell r="H442">
            <v>150</v>
          </cell>
          <cell r="I442"/>
          <cell r="J442"/>
          <cell r="K442"/>
          <cell r="L442"/>
          <cell r="M442"/>
          <cell r="N442"/>
          <cell r="O442">
            <v>150</v>
          </cell>
          <cell r="P442"/>
          <cell r="Q442"/>
          <cell r="R442">
            <v>407.87</v>
          </cell>
          <cell r="S442">
            <v>21361.119999999999</v>
          </cell>
          <cell r="T442"/>
          <cell r="U442"/>
          <cell r="V442">
            <v>0</v>
          </cell>
          <cell r="W442">
            <v>12.5</v>
          </cell>
          <cell r="X442">
            <v>13.8</v>
          </cell>
          <cell r="Y442"/>
          <cell r="Z442">
            <v>57.34</v>
          </cell>
          <cell r="AA442">
            <v>13.74</v>
          </cell>
          <cell r="AB442"/>
          <cell r="AC442" t="str">
            <v>حرفية ومعاونه</v>
          </cell>
        </row>
        <row r="443">
          <cell r="A443">
            <v>25802172500831</v>
          </cell>
          <cell r="B443">
            <v>440</v>
          </cell>
          <cell r="C443" t="str">
            <v>احمد عبدالرازق محمد عبدالرازق</v>
          </cell>
          <cell r="D443">
            <v>1476.21</v>
          </cell>
          <cell r="E443">
            <v>80.959999999999994</v>
          </cell>
          <cell r="F443">
            <v>36.520000000000003</v>
          </cell>
          <cell r="G443"/>
          <cell r="H443">
            <v>100</v>
          </cell>
          <cell r="I443"/>
          <cell r="J443"/>
          <cell r="K443"/>
          <cell r="L443"/>
          <cell r="M443"/>
          <cell r="N443"/>
          <cell r="O443">
            <v>100</v>
          </cell>
          <cell r="P443"/>
          <cell r="Q443"/>
          <cell r="R443">
            <v>370.03</v>
          </cell>
          <cell r="S443">
            <v>28752.839999999997</v>
          </cell>
          <cell r="T443">
            <v>15.86</v>
          </cell>
          <cell r="U443"/>
          <cell r="V443">
            <v>15.86</v>
          </cell>
          <cell r="W443">
            <v>11.05</v>
          </cell>
          <cell r="X443">
            <v>12.15</v>
          </cell>
          <cell r="Y443"/>
          <cell r="Z443">
            <v>36.549999999999997</v>
          </cell>
          <cell r="AA443">
            <v>9.5</v>
          </cell>
          <cell r="AB443"/>
          <cell r="AC443" t="str">
            <v>حرفية ومعاونه</v>
          </cell>
        </row>
        <row r="444">
          <cell r="A444">
            <v>26201132500995</v>
          </cell>
          <cell r="B444">
            <v>441</v>
          </cell>
          <cell r="C444" t="str">
            <v>احمد محمود احمد عبد الله</v>
          </cell>
          <cell r="D444">
            <v>1376.03</v>
          </cell>
          <cell r="E444">
            <v>110.91</v>
          </cell>
          <cell r="F444">
            <v>30.17</v>
          </cell>
          <cell r="G444"/>
          <cell r="H444">
            <v>150</v>
          </cell>
          <cell r="I444"/>
          <cell r="J444"/>
          <cell r="K444"/>
          <cell r="L444"/>
          <cell r="M444"/>
          <cell r="N444"/>
          <cell r="O444">
            <v>150</v>
          </cell>
          <cell r="P444"/>
          <cell r="Q444"/>
          <cell r="R444">
            <v>355.03</v>
          </cell>
          <cell r="S444">
            <v>18629.090000000004</v>
          </cell>
          <cell r="T444"/>
          <cell r="U444"/>
          <cell r="V444">
            <v>0</v>
          </cell>
          <cell r="W444">
            <v>10.9</v>
          </cell>
          <cell r="X444">
            <v>12.05</v>
          </cell>
          <cell r="Y444"/>
          <cell r="Z444">
            <v>36.33</v>
          </cell>
          <cell r="AA444">
            <v>9.2100000000000009</v>
          </cell>
          <cell r="AB444"/>
          <cell r="AC444" t="str">
            <v>حرفية ومعاونه</v>
          </cell>
        </row>
        <row r="445">
          <cell r="A445">
            <v>26305232501115</v>
          </cell>
          <cell r="B445">
            <v>442</v>
          </cell>
          <cell r="C445" t="str">
            <v>اشرف شوكت احمد خليل</v>
          </cell>
          <cell r="D445">
            <v>1507.78</v>
          </cell>
          <cell r="E445">
            <v>170.83</v>
          </cell>
          <cell r="F445">
            <v>50.2</v>
          </cell>
          <cell r="G445"/>
          <cell r="H445">
            <v>150</v>
          </cell>
          <cell r="I445"/>
          <cell r="J445"/>
          <cell r="K445"/>
          <cell r="L445">
            <v>15</v>
          </cell>
          <cell r="M445"/>
          <cell r="N445"/>
          <cell r="O445">
            <v>165</v>
          </cell>
          <cell r="P445"/>
          <cell r="Q445"/>
          <cell r="R445">
            <v>402.22</v>
          </cell>
          <cell r="S445">
            <v>21263.06</v>
          </cell>
          <cell r="T445"/>
          <cell r="U445"/>
          <cell r="V445">
            <v>0</v>
          </cell>
          <cell r="W445">
            <v>12.4</v>
          </cell>
          <cell r="X445">
            <v>13.7</v>
          </cell>
          <cell r="Y445"/>
          <cell r="Z445">
            <v>56.38</v>
          </cell>
          <cell r="AA445">
            <v>13.51</v>
          </cell>
          <cell r="AB445"/>
          <cell r="AC445" t="str">
            <v>حرفية ومعاونه</v>
          </cell>
        </row>
        <row r="446">
          <cell r="A446">
            <v>26009052500155</v>
          </cell>
          <cell r="B446">
            <v>443</v>
          </cell>
          <cell r="C446" t="str">
            <v>اشرف على عبدالرحمن على</v>
          </cell>
          <cell r="D446">
            <v>1929.57</v>
          </cell>
          <cell r="E446">
            <v>360.24</v>
          </cell>
          <cell r="F446">
            <v>89.71</v>
          </cell>
          <cell r="G446"/>
          <cell r="H446">
            <v>100</v>
          </cell>
          <cell r="I446"/>
          <cell r="J446"/>
          <cell r="K446"/>
          <cell r="L446"/>
          <cell r="M446"/>
          <cell r="N446"/>
          <cell r="O446">
            <v>100</v>
          </cell>
          <cell r="P446"/>
          <cell r="Q446"/>
          <cell r="R446">
            <v>554.51</v>
          </cell>
          <cell r="S446">
            <v>29160</v>
          </cell>
          <cell r="T446"/>
          <cell r="U446"/>
          <cell r="V446">
            <v>0</v>
          </cell>
          <cell r="W446">
            <v>16.25</v>
          </cell>
          <cell r="X446">
            <v>17.850000000000001</v>
          </cell>
          <cell r="Y446"/>
          <cell r="Z446">
            <v>107.58</v>
          </cell>
          <cell r="AA446">
            <v>24.58</v>
          </cell>
          <cell r="AB446"/>
          <cell r="AC446" t="str">
            <v>حرفية ومعاونه</v>
          </cell>
        </row>
        <row r="447">
          <cell r="A447">
            <v>27402092500155</v>
          </cell>
          <cell r="B447">
            <v>444</v>
          </cell>
          <cell r="C447" t="str">
            <v>جلال عبدالراضي احمد سعيد</v>
          </cell>
          <cell r="D447">
            <v>1436.29</v>
          </cell>
          <cell r="E447">
            <v>138.35</v>
          </cell>
          <cell r="F447">
            <v>39.33</v>
          </cell>
          <cell r="G447"/>
          <cell r="H447">
            <v>150</v>
          </cell>
          <cell r="I447"/>
          <cell r="J447"/>
          <cell r="K447"/>
          <cell r="L447"/>
          <cell r="M447"/>
          <cell r="N447"/>
          <cell r="O447">
            <v>150</v>
          </cell>
          <cell r="P447"/>
          <cell r="Q447"/>
          <cell r="R447">
            <v>376.64</v>
          </cell>
          <cell r="S447">
            <v>19977.939999999999</v>
          </cell>
          <cell r="T447"/>
          <cell r="U447"/>
          <cell r="V447">
            <v>0</v>
          </cell>
          <cell r="W447">
            <v>11.55</v>
          </cell>
          <cell r="X447">
            <v>12.75</v>
          </cell>
          <cell r="Y447"/>
          <cell r="Z447">
            <v>44.89</v>
          </cell>
          <cell r="AA447">
            <v>11.06</v>
          </cell>
          <cell r="AB447"/>
          <cell r="AC447" t="str">
            <v>حرفية ومعاونه</v>
          </cell>
        </row>
        <row r="448">
          <cell r="A448">
            <v>25801052500076</v>
          </cell>
          <cell r="B448">
            <v>445</v>
          </cell>
          <cell r="C448" t="str">
            <v>جمال إبراهيم إدريس أبو زيد</v>
          </cell>
          <cell r="D448">
            <v>1722.71</v>
          </cell>
          <cell r="E448">
            <v>269.52999999999997</v>
          </cell>
          <cell r="F448">
            <v>78.77</v>
          </cell>
          <cell r="G448"/>
          <cell r="H448">
            <v>150</v>
          </cell>
          <cell r="I448"/>
          <cell r="J448"/>
          <cell r="K448"/>
          <cell r="L448"/>
          <cell r="M448"/>
          <cell r="N448"/>
          <cell r="O448">
            <v>150</v>
          </cell>
          <cell r="P448"/>
          <cell r="Q448"/>
          <cell r="R448">
            <v>479.95</v>
          </cell>
          <cell r="S448"/>
          <cell r="T448"/>
          <cell r="U448"/>
          <cell r="V448">
            <v>0</v>
          </cell>
          <cell r="W448">
            <v>14.6</v>
          </cell>
          <cell r="X448">
            <v>16.05</v>
          </cell>
          <cell r="Y448"/>
          <cell r="Z448">
            <v>85.29</v>
          </cell>
          <cell r="AA448">
            <v>19.760000000000002</v>
          </cell>
          <cell r="AB448"/>
          <cell r="AC448" t="str">
            <v>حرفية ومعاونه</v>
          </cell>
        </row>
        <row r="449">
          <cell r="A449">
            <v>25707012500174</v>
          </cell>
          <cell r="B449">
            <v>446</v>
          </cell>
          <cell r="C449" t="str">
            <v>جنيدى سليمان مجلى سليمان</v>
          </cell>
          <cell r="D449">
            <v>1504.24</v>
          </cell>
          <cell r="E449">
            <v>170.18</v>
          </cell>
          <cell r="F449">
            <v>49.73</v>
          </cell>
          <cell r="G449"/>
          <cell r="H449">
            <v>50</v>
          </cell>
          <cell r="I449"/>
          <cell r="J449"/>
          <cell r="K449"/>
          <cell r="L449"/>
          <cell r="M449"/>
          <cell r="N449"/>
          <cell r="O449">
            <v>50</v>
          </cell>
          <cell r="P449"/>
          <cell r="Q449"/>
          <cell r="R449">
            <v>401.7</v>
          </cell>
          <cell r="S449"/>
          <cell r="T449">
            <v>11.9</v>
          </cell>
          <cell r="U449"/>
          <cell r="V449">
            <v>11.9</v>
          </cell>
          <cell r="W449">
            <v>11.5</v>
          </cell>
          <cell r="X449"/>
          <cell r="Y449"/>
          <cell r="Z449">
            <v>43.51</v>
          </cell>
          <cell r="AA449"/>
          <cell r="AB449"/>
          <cell r="AC449" t="str">
            <v>حرفية ومعاونه</v>
          </cell>
        </row>
        <row r="450">
          <cell r="A450">
            <v>27302102502858</v>
          </cell>
          <cell r="B450">
            <v>447</v>
          </cell>
          <cell r="C450" t="str">
            <v>حسام الدين فتحى محمد عبدالعاطى</v>
          </cell>
          <cell r="D450">
            <v>1014.64</v>
          </cell>
          <cell r="E450">
            <v>95.76</v>
          </cell>
          <cell r="F450">
            <v>27.31</v>
          </cell>
          <cell r="G450"/>
          <cell r="H450">
            <v>150</v>
          </cell>
          <cell r="I450"/>
          <cell r="J450"/>
          <cell r="K450"/>
          <cell r="L450"/>
          <cell r="M450"/>
          <cell r="N450"/>
          <cell r="O450">
            <v>150</v>
          </cell>
          <cell r="P450"/>
          <cell r="Q450"/>
          <cell r="R450">
            <v>265.39</v>
          </cell>
          <cell r="S450">
            <v>17226.480000000003</v>
          </cell>
          <cell r="T450"/>
          <cell r="U450"/>
          <cell r="V450">
            <v>0</v>
          </cell>
          <cell r="W450">
            <v>8.35</v>
          </cell>
          <cell r="X450">
            <v>8.85</v>
          </cell>
          <cell r="Y450"/>
          <cell r="Z450">
            <v>2.85</v>
          </cell>
          <cell r="AA450">
            <v>0.68</v>
          </cell>
          <cell r="AB450"/>
          <cell r="AC450" t="str">
            <v>حرفية ومعاونه</v>
          </cell>
        </row>
        <row r="451">
          <cell r="A451">
            <v>26806252501251</v>
          </cell>
          <cell r="B451">
            <v>448</v>
          </cell>
          <cell r="C451" t="str">
            <v>حمدان احمد عبدالمجيد محمد</v>
          </cell>
          <cell r="D451">
            <v>1368.29</v>
          </cell>
          <cell r="E451">
            <v>31.41</v>
          </cell>
          <cell r="F451">
            <v>20.03</v>
          </cell>
          <cell r="G451"/>
          <cell r="H451">
            <v>100</v>
          </cell>
          <cell r="I451"/>
          <cell r="J451"/>
          <cell r="K451"/>
          <cell r="L451"/>
          <cell r="M451"/>
          <cell r="N451"/>
          <cell r="O451">
            <v>100</v>
          </cell>
          <cell r="P451"/>
          <cell r="Q451"/>
          <cell r="R451">
            <v>331.02</v>
          </cell>
          <cell r="S451">
            <v>17560.82</v>
          </cell>
          <cell r="T451">
            <v>15.49</v>
          </cell>
          <cell r="U451"/>
          <cell r="V451">
            <v>15.49</v>
          </cell>
          <cell r="W451">
            <v>9.85</v>
          </cell>
          <cell r="X451">
            <v>10.95</v>
          </cell>
          <cell r="Y451"/>
          <cell r="Z451">
            <v>21.22</v>
          </cell>
          <cell r="AA451">
            <v>6.19</v>
          </cell>
          <cell r="AB451"/>
          <cell r="AC451" t="str">
            <v>حرفية ومعاونه</v>
          </cell>
        </row>
        <row r="452">
          <cell r="A452">
            <v>27004052500254</v>
          </cell>
          <cell r="B452">
            <v>449</v>
          </cell>
          <cell r="C452" t="str">
            <v>حمدى صالحين محمد صالحين</v>
          </cell>
          <cell r="D452">
            <v>1377.94</v>
          </cell>
          <cell r="E452">
            <v>111.21</v>
          </cell>
          <cell r="F452">
            <v>30.4</v>
          </cell>
          <cell r="G452"/>
          <cell r="H452">
            <v>150</v>
          </cell>
          <cell r="I452"/>
          <cell r="J452"/>
          <cell r="K452"/>
          <cell r="L452"/>
          <cell r="M452"/>
          <cell r="N452"/>
          <cell r="O452">
            <v>150</v>
          </cell>
          <cell r="P452"/>
          <cell r="Q452"/>
          <cell r="R452">
            <v>355.27</v>
          </cell>
          <cell r="S452">
            <v>18658.970000000005</v>
          </cell>
          <cell r="T452"/>
          <cell r="U452"/>
          <cell r="V452">
            <v>0</v>
          </cell>
          <cell r="W452">
            <v>10.9</v>
          </cell>
          <cell r="X452">
            <v>12.1</v>
          </cell>
          <cell r="Y452"/>
          <cell r="Z452">
            <v>36.54</v>
          </cell>
          <cell r="AA452">
            <v>9.26</v>
          </cell>
          <cell r="AB452"/>
          <cell r="AC452" t="str">
            <v>حرفية ومعاونه</v>
          </cell>
        </row>
        <row r="453">
          <cell r="A453">
            <v>26806202502116</v>
          </cell>
          <cell r="B453">
            <v>450</v>
          </cell>
          <cell r="C453" t="str">
            <v>حمدى محمود محمد محمد</v>
          </cell>
          <cell r="D453">
            <v>1462.48</v>
          </cell>
          <cell r="E453">
            <v>150.87</v>
          </cell>
          <cell r="F453">
            <v>43.33</v>
          </cell>
          <cell r="G453"/>
          <cell r="H453">
            <v>150</v>
          </cell>
          <cell r="I453"/>
          <cell r="J453"/>
          <cell r="K453"/>
          <cell r="L453"/>
          <cell r="M453"/>
          <cell r="N453"/>
          <cell r="O453">
            <v>150</v>
          </cell>
          <cell r="P453"/>
          <cell r="Q453"/>
          <cell r="R453">
            <v>386.5</v>
          </cell>
          <cell r="S453">
            <v>21298.080000000005</v>
          </cell>
          <cell r="T453"/>
          <cell r="U453"/>
          <cell r="V453">
            <v>0</v>
          </cell>
          <cell r="W453">
            <v>11.8</v>
          </cell>
          <cell r="X453">
            <v>13.05</v>
          </cell>
          <cell r="Y453"/>
          <cell r="Z453">
            <v>48.67</v>
          </cell>
          <cell r="AA453">
            <v>11.87</v>
          </cell>
          <cell r="AB453"/>
          <cell r="AC453" t="str">
            <v>حرفية ومعاونه</v>
          </cell>
        </row>
        <row r="454">
          <cell r="A454">
            <v>27311102502831</v>
          </cell>
          <cell r="B454">
            <v>451</v>
          </cell>
          <cell r="C454" t="str">
            <v>خلف الله حسن مصطفى محمد</v>
          </cell>
          <cell r="D454">
            <v>1324.81</v>
          </cell>
          <cell r="E454">
            <v>15.77</v>
          </cell>
          <cell r="F454">
            <v>13.92</v>
          </cell>
          <cell r="G454"/>
          <cell r="H454">
            <v>150</v>
          </cell>
          <cell r="I454"/>
          <cell r="J454"/>
          <cell r="K454"/>
          <cell r="L454"/>
          <cell r="M454"/>
          <cell r="N454"/>
          <cell r="O454">
            <v>150</v>
          </cell>
          <cell r="P454"/>
          <cell r="Q454"/>
          <cell r="R454">
            <v>315.55</v>
          </cell>
          <cell r="S454">
            <v>26143.74</v>
          </cell>
          <cell r="T454">
            <v>3.38</v>
          </cell>
          <cell r="U454"/>
          <cell r="V454">
            <v>3.38</v>
          </cell>
          <cell r="W454">
            <v>9.8000000000000007</v>
          </cell>
          <cell r="X454">
            <v>10.9</v>
          </cell>
          <cell r="Y454"/>
          <cell r="Z454">
            <v>21.63</v>
          </cell>
          <cell r="AA454">
            <v>6.18</v>
          </cell>
          <cell r="AB454"/>
          <cell r="AC454" t="str">
            <v>حرفية ومعاونه</v>
          </cell>
        </row>
        <row r="455">
          <cell r="A455">
            <v>26303122501711</v>
          </cell>
          <cell r="B455">
            <v>452</v>
          </cell>
          <cell r="C455" t="str">
            <v>دوينى محمد عبدالجيد عبد الحميد</v>
          </cell>
          <cell r="D455">
            <v>1546.97</v>
          </cell>
          <cell r="E455">
            <v>171.72</v>
          </cell>
          <cell r="F455">
            <v>50.44</v>
          </cell>
          <cell r="G455"/>
          <cell r="H455">
            <v>150</v>
          </cell>
          <cell r="I455"/>
          <cell r="J455"/>
          <cell r="K455"/>
          <cell r="L455"/>
          <cell r="M455"/>
          <cell r="N455"/>
          <cell r="O455">
            <v>150</v>
          </cell>
          <cell r="P455"/>
          <cell r="Q455"/>
          <cell r="R455">
            <v>402.92</v>
          </cell>
          <cell r="S455">
            <v>23170.75</v>
          </cell>
          <cell r="T455"/>
          <cell r="U455"/>
          <cell r="V455">
            <v>0</v>
          </cell>
          <cell r="W455">
            <v>12.6</v>
          </cell>
          <cell r="X455">
            <v>13.9</v>
          </cell>
          <cell r="Y455"/>
          <cell r="Z455">
            <v>58.64</v>
          </cell>
          <cell r="AA455">
            <v>14.05</v>
          </cell>
          <cell r="AB455"/>
          <cell r="AC455" t="str">
            <v>حرفية ومعاونه</v>
          </cell>
        </row>
        <row r="456">
          <cell r="A456">
            <v>26912032501491</v>
          </cell>
          <cell r="B456">
            <v>453</v>
          </cell>
          <cell r="C456" t="str">
            <v>رجب فرغلي حسن سيد</v>
          </cell>
          <cell r="D456">
            <v>1397.16</v>
          </cell>
          <cell r="E456">
            <v>121.11</v>
          </cell>
          <cell r="F456">
            <v>33.479999999999997</v>
          </cell>
          <cell r="G456"/>
          <cell r="H456">
            <v>150</v>
          </cell>
          <cell r="I456"/>
          <cell r="J456"/>
          <cell r="K456"/>
          <cell r="L456"/>
          <cell r="M456"/>
          <cell r="N456"/>
          <cell r="O456">
            <v>150</v>
          </cell>
          <cell r="P456"/>
          <cell r="Q456"/>
          <cell r="R456">
            <v>363.06</v>
          </cell>
          <cell r="S456">
            <v>23770.77</v>
          </cell>
          <cell r="T456"/>
          <cell r="U456"/>
          <cell r="V456">
            <v>0</v>
          </cell>
          <cell r="W456">
            <v>11.1</v>
          </cell>
          <cell r="X456">
            <v>12.3</v>
          </cell>
          <cell r="Y456"/>
          <cell r="Z456">
            <v>39.39</v>
          </cell>
          <cell r="AA456">
            <v>9.8699999999999992</v>
          </cell>
          <cell r="AB456"/>
          <cell r="AC456" t="str">
            <v>حرفية ومعاونه</v>
          </cell>
        </row>
        <row r="457">
          <cell r="A457">
            <v>25807092500531</v>
          </cell>
          <cell r="B457">
            <v>454</v>
          </cell>
          <cell r="C457" t="str">
            <v>سعد عبد الفتاح سيد خضر</v>
          </cell>
          <cell r="D457">
            <v>1342.58</v>
          </cell>
          <cell r="E457">
            <v>95.53</v>
          </cell>
          <cell r="F457">
            <v>25.1</v>
          </cell>
          <cell r="G457"/>
          <cell r="H457">
            <v>150</v>
          </cell>
          <cell r="I457"/>
          <cell r="J457"/>
          <cell r="K457"/>
          <cell r="L457">
            <v>10</v>
          </cell>
          <cell r="M457"/>
          <cell r="N457"/>
          <cell r="O457">
            <v>160</v>
          </cell>
          <cell r="P457"/>
          <cell r="Q457"/>
          <cell r="R457">
            <v>342.91</v>
          </cell>
          <cell r="S457">
            <v>18129.05</v>
          </cell>
          <cell r="T457"/>
          <cell r="U457"/>
          <cell r="V457">
            <v>0</v>
          </cell>
          <cell r="W457">
            <v>10.6</v>
          </cell>
          <cell r="X457">
            <v>11.75</v>
          </cell>
          <cell r="Y457"/>
          <cell r="Z457">
            <v>32.450000000000003</v>
          </cell>
          <cell r="AA457">
            <v>8.36</v>
          </cell>
          <cell r="AB457"/>
          <cell r="AC457" t="str">
            <v>حرفية ومعاونه</v>
          </cell>
        </row>
        <row r="458">
          <cell r="A458">
            <v>26008182500321</v>
          </cell>
          <cell r="B458">
            <v>455</v>
          </cell>
          <cell r="C458" t="str">
            <v>سميره سيدهم عطية الله يسى</v>
          </cell>
          <cell r="D458">
            <v>1343.24</v>
          </cell>
          <cell r="E458">
            <v>89.8</v>
          </cell>
          <cell r="F458">
            <v>24.49</v>
          </cell>
          <cell r="G458"/>
          <cell r="H458">
            <v>50</v>
          </cell>
          <cell r="I458"/>
          <cell r="J458"/>
          <cell r="K458"/>
          <cell r="L458"/>
          <cell r="M458"/>
          <cell r="N458"/>
          <cell r="O458">
            <v>50</v>
          </cell>
          <cell r="P458"/>
          <cell r="Q458"/>
          <cell r="R458">
            <v>343.14</v>
          </cell>
          <cell r="S458">
            <v>17940.46</v>
          </cell>
          <cell r="T458">
            <v>7.33</v>
          </cell>
          <cell r="U458"/>
          <cell r="V458">
            <v>7.33</v>
          </cell>
          <cell r="W458">
            <v>9.75</v>
          </cell>
          <cell r="X458">
            <v>10.85</v>
          </cell>
          <cell r="Y458"/>
          <cell r="Z458">
            <v>20.39</v>
          </cell>
          <cell r="AA458">
            <v>5.96</v>
          </cell>
          <cell r="AB458"/>
          <cell r="AC458" t="str">
            <v>حرفية ومعاونه</v>
          </cell>
        </row>
        <row r="459">
          <cell r="A459">
            <v>26904142501451</v>
          </cell>
          <cell r="B459">
            <v>456</v>
          </cell>
          <cell r="C459" t="str">
            <v>سيد حسن عبدالغفار على</v>
          </cell>
          <cell r="D459">
            <v>1475.43</v>
          </cell>
          <cell r="E459">
            <v>139.38</v>
          </cell>
          <cell r="F459">
            <v>39.76</v>
          </cell>
          <cell r="G459"/>
          <cell r="H459">
            <v>150</v>
          </cell>
          <cell r="I459"/>
          <cell r="J459"/>
          <cell r="K459"/>
          <cell r="L459"/>
          <cell r="M459"/>
          <cell r="N459"/>
          <cell r="O459">
            <v>150</v>
          </cell>
          <cell r="P459"/>
          <cell r="Q459"/>
          <cell r="R459">
            <v>377.46</v>
          </cell>
          <cell r="S459">
            <v>29160</v>
          </cell>
          <cell r="T459"/>
          <cell r="U459"/>
          <cell r="V459">
            <v>0</v>
          </cell>
          <cell r="W459">
            <v>11.8</v>
          </cell>
          <cell r="X459">
            <v>13.05</v>
          </cell>
          <cell r="Y459"/>
          <cell r="Z459">
            <v>48.51</v>
          </cell>
          <cell r="AA459">
            <v>11.87</v>
          </cell>
          <cell r="AB459"/>
          <cell r="AC459" t="str">
            <v>حرفية ومعاونه</v>
          </cell>
        </row>
        <row r="460">
          <cell r="A460">
            <v>25704112500911</v>
          </cell>
          <cell r="B460">
            <v>457</v>
          </cell>
          <cell r="C460" t="str">
            <v>صلاح محمد احمد زيان</v>
          </cell>
          <cell r="D460">
            <v>1699.26</v>
          </cell>
          <cell r="E460">
            <v>258.92</v>
          </cell>
          <cell r="F460">
            <v>78.37</v>
          </cell>
          <cell r="G460"/>
          <cell r="H460">
            <v>150</v>
          </cell>
          <cell r="I460"/>
          <cell r="J460"/>
          <cell r="K460"/>
          <cell r="L460"/>
          <cell r="M460"/>
          <cell r="N460"/>
          <cell r="O460">
            <v>150</v>
          </cell>
          <cell r="P460"/>
          <cell r="Q460"/>
          <cell r="R460">
            <v>471.56</v>
          </cell>
          <cell r="S460"/>
          <cell r="T460">
            <v>3.66</v>
          </cell>
          <cell r="U460"/>
          <cell r="V460">
            <v>3.66</v>
          </cell>
          <cell r="W460">
            <v>14.35</v>
          </cell>
          <cell r="X460"/>
          <cell r="Y460"/>
          <cell r="Z460">
            <v>80.28</v>
          </cell>
          <cell r="AA460"/>
          <cell r="AB460"/>
          <cell r="AC460" t="str">
            <v>حرفية ومعاونه</v>
          </cell>
        </row>
        <row r="461">
          <cell r="A461">
            <v>26202082500219</v>
          </cell>
          <cell r="B461">
            <v>458</v>
          </cell>
          <cell r="C461" t="str">
            <v>عاطف متجلى عوض حسن</v>
          </cell>
          <cell r="D461">
            <v>1875.11</v>
          </cell>
          <cell r="E461">
            <v>470.38</v>
          </cell>
          <cell r="F461">
            <v>90.1</v>
          </cell>
          <cell r="G461"/>
          <cell r="H461">
            <v>150</v>
          </cell>
          <cell r="I461"/>
          <cell r="J461"/>
          <cell r="K461"/>
          <cell r="L461"/>
          <cell r="M461"/>
          <cell r="N461"/>
          <cell r="O461">
            <v>150</v>
          </cell>
          <cell r="P461"/>
          <cell r="Q461"/>
          <cell r="R461">
            <v>571.15</v>
          </cell>
          <cell r="S461">
            <v>28349.660000000003</v>
          </cell>
          <cell r="T461"/>
          <cell r="U461"/>
          <cell r="V461">
            <v>0</v>
          </cell>
          <cell r="W461">
            <v>17</v>
          </cell>
          <cell r="X461">
            <v>18.5</v>
          </cell>
          <cell r="Y461"/>
          <cell r="Z461">
            <v>116.44</v>
          </cell>
          <cell r="AA461">
            <v>26.28</v>
          </cell>
          <cell r="AB461"/>
          <cell r="AC461" t="str">
            <v>حرفية ومعاونه</v>
          </cell>
        </row>
        <row r="462">
          <cell r="A462">
            <v>26907222501419</v>
          </cell>
          <cell r="B462">
            <v>459</v>
          </cell>
          <cell r="C462" t="str">
            <v>عاطف موسي محمد حسن</v>
          </cell>
          <cell r="D462">
            <v>1516.47</v>
          </cell>
          <cell r="E462">
            <v>175.58</v>
          </cell>
          <cell r="F462">
            <v>51.5</v>
          </cell>
          <cell r="G462"/>
          <cell r="H462">
            <v>150</v>
          </cell>
          <cell r="I462"/>
          <cell r="J462"/>
          <cell r="K462"/>
          <cell r="L462"/>
          <cell r="M462"/>
          <cell r="N462"/>
          <cell r="O462">
            <v>150</v>
          </cell>
          <cell r="P462"/>
          <cell r="Q462"/>
          <cell r="R462">
            <v>405.95</v>
          </cell>
          <cell r="S462">
            <v>21231.629999999997</v>
          </cell>
          <cell r="T462"/>
          <cell r="U462"/>
          <cell r="V462">
            <v>0</v>
          </cell>
          <cell r="W462">
            <v>12.4</v>
          </cell>
          <cell r="X462">
            <v>13.7</v>
          </cell>
          <cell r="Y462"/>
          <cell r="Z462">
            <v>56.34</v>
          </cell>
          <cell r="AA462">
            <v>13.52</v>
          </cell>
          <cell r="AB462"/>
          <cell r="AC462" t="str">
            <v>حرفية ومعاونه</v>
          </cell>
        </row>
        <row r="463">
          <cell r="A463">
            <v>27212062501757</v>
          </cell>
          <cell r="B463">
            <v>460</v>
          </cell>
          <cell r="C463" t="str">
            <v>عاطف يوسف كامل علي</v>
          </cell>
          <cell r="D463">
            <v>1375.13</v>
          </cell>
          <cell r="E463">
            <v>109.95</v>
          </cell>
          <cell r="F463">
            <v>29.97</v>
          </cell>
          <cell r="G463"/>
          <cell r="H463">
            <v>150</v>
          </cell>
          <cell r="I463"/>
          <cell r="J463"/>
          <cell r="K463"/>
          <cell r="L463"/>
          <cell r="M463"/>
          <cell r="N463"/>
          <cell r="O463">
            <v>150</v>
          </cell>
          <cell r="P463"/>
          <cell r="Q463"/>
          <cell r="R463">
            <v>354.27</v>
          </cell>
          <cell r="S463">
            <v>18607.150000000001</v>
          </cell>
          <cell r="T463"/>
          <cell r="U463"/>
          <cell r="V463">
            <v>0</v>
          </cell>
          <cell r="W463">
            <v>10.9</v>
          </cell>
          <cell r="X463">
            <v>12.05</v>
          </cell>
          <cell r="Y463"/>
          <cell r="Z463">
            <v>36.14</v>
          </cell>
          <cell r="AA463">
            <v>9.18</v>
          </cell>
          <cell r="AB463"/>
          <cell r="AC463" t="str">
            <v>حرفية ومعاونه</v>
          </cell>
        </row>
        <row r="464">
          <cell r="A464">
            <v>25801052500131</v>
          </cell>
          <cell r="B464">
            <v>461</v>
          </cell>
          <cell r="C464" t="str">
            <v>عبد الحكيم عبد اللة عثمان جوهر</v>
          </cell>
          <cell r="D464">
            <v>2383.48</v>
          </cell>
          <cell r="E464">
            <v>702.54</v>
          </cell>
          <cell r="F464">
            <v>120.58</v>
          </cell>
          <cell r="G464"/>
          <cell r="H464">
            <v>150</v>
          </cell>
          <cell r="I464"/>
          <cell r="J464"/>
          <cell r="K464"/>
          <cell r="L464"/>
          <cell r="M464"/>
          <cell r="N464"/>
          <cell r="O464">
            <v>150</v>
          </cell>
          <cell r="P464"/>
          <cell r="Q464"/>
          <cell r="R464">
            <v>753.95</v>
          </cell>
          <cell r="S464"/>
          <cell r="T464"/>
          <cell r="U464"/>
          <cell r="V464">
            <v>0</v>
          </cell>
          <cell r="W464">
            <v>22.15</v>
          </cell>
          <cell r="X464">
            <v>24.9</v>
          </cell>
          <cell r="Y464"/>
          <cell r="Z464">
            <v>184.55</v>
          </cell>
          <cell r="AA464">
            <v>137.37</v>
          </cell>
          <cell r="AB464"/>
          <cell r="AC464" t="str">
            <v>حرفية ومعاونه</v>
          </cell>
        </row>
        <row r="465">
          <cell r="A465">
            <v>26308212501053</v>
          </cell>
          <cell r="B465">
            <v>462</v>
          </cell>
          <cell r="C465" t="str">
            <v>عصام عبد الحى جلال عبد العال</v>
          </cell>
          <cell r="D465">
            <v>1878.2</v>
          </cell>
          <cell r="E465">
            <v>471.73</v>
          </cell>
          <cell r="F465">
            <v>90.19</v>
          </cell>
          <cell r="G465"/>
          <cell r="H465">
            <v>145</v>
          </cell>
          <cell r="I465"/>
          <cell r="J465"/>
          <cell r="K465"/>
          <cell r="L465"/>
          <cell r="M465"/>
          <cell r="N465"/>
          <cell r="O465">
            <v>145</v>
          </cell>
          <cell r="P465"/>
          <cell r="Q465"/>
          <cell r="R465">
            <v>572.22</v>
          </cell>
          <cell r="S465">
            <v>29160.000000000004</v>
          </cell>
          <cell r="T465"/>
          <cell r="U465"/>
          <cell r="V465">
            <v>0</v>
          </cell>
          <cell r="W465">
            <v>17</v>
          </cell>
          <cell r="X465">
            <v>18.5</v>
          </cell>
          <cell r="Y465"/>
          <cell r="Z465">
            <v>116.34</v>
          </cell>
          <cell r="AA465">
            <v>26.26</v>
          </cell>
          <cell r="AB465"/>
          <cell r="AC465" t="str">
            <v>حرفية ومعاونه</v>
          </cell>
        </row>
        <row r="466">
          <cell r="A466">
            <v>26603202500131</v>
          </cell>
          <cell r="B466">
            <v>463</v>
          </cell>
          <cell r="C466" t="str">
            <v>علي محمد خليفه فرغلى</v>
          </cell>
          <cell r="D466">
            <v>1698.25</v>
          </cell>
          <cell r="E466">
            <v>258.43</v>
          </cell>
          <cell r="F466">
            <v>75.87</v>
          </cell>
          <cell r="G466"/>
          <cell r="H466">
            <v>150</v>
          </cell>
          <cell r="I466"/>
          <cell r="J466"/>
          <cell r="K466"/>
          <cell r="L466">
            <v>15</v>
          </cell>
          <cell r="M466"/>
          <cell r="N466"/>
          <cell r="O466">
            <v>165</v>
          </cell>
          <cell r="P466"/>
          <cell r="Q466"/>
          <cell r="R466">
            <v>471.19</v>
          </cell>
          <cell r="S466">
            <v>24731.609999999993</v>
          </cell>
          <cell r="T466"/>
          <cell r="U466"/>
          <cell r="V466">
            <v>0</v>
          </cell>
          <cell r="W466">
            <v>14.45</v>
          </cell>
          <cell r="X466">
            <v>15.9</v>
          </cell>
          <cell r="Y466"/>
          <cell r="Z466">
            <v>83.23</v>
          </cell>
          <cell r="AA466">
            <v>19.29</v>
          </cell>
          <cell r="AB466"/>
          <cell r="AC466" t="str">
            <v>حرفية ومعاونه</v>
          </cell>
        </row>
        <row r="467">
          <cell r="A467">
            <v>25706012501832</v>
          </cell>
          <cell r="B467">
            <v>464</v>
          </cell>
          <cell r="C467" t="str">
            <v>علي منصور محمد منصور</v>
          </cell>
          <cell r="D467">
            <v>1704.96</v>
          </cell>
          <cell r="E467">
            <v>258.79000000000002</v>
          </cell>
          <cell r="F467">
            <v>76.510000000000005</v>
          </cell>
          <cell r="G467"/>
          <cell r="H467">
            <v>150</v>
          </cell>
          <cell r="I467"/>
          <cell r="J467"/>
          <cell r="K467"/>
          <cell r="L467"/>
          <cell r="M467"/>
          <cell r="N467"/>
          <cell r="O467">
            <v>150</v>
          </cell>
          <cell r="P467"/>
          <cell r="Q467"/>
          <cell r="R467">
            <v>471.48</v>
          </cell>
          <cell r="S467"/>
          <cell r="T467"/>
          <cell r="U467"/>
          <cell r="V467">
            <v>0</v>
          </cell>
          <cell r="W467">
            <v>14.4</v>
          </cell>
          <cell r="X467"/>
          <cell r="Y467"/>
          <cell r="Z467">
            <v>82.51</v>
          </cell>
          <cell r="AA467"/>
          <cell r="AB467"/>
          <cell r="AC467" t="str">
            <v>حرفية ومعاونه</v>
          </cell>
        </row>
        <row r="468">
          <cell r="A468">
            <v>25909122501321</v>
          </cell>
          <cell r="B468">
            <v>465</v>
          </cell>
          <cell r="C468" t="str">
            <v>فاطمه محمد دردير عمر</v>
          </cell>
          <cell r="D468">
            <v>1923.4</v>
          </cell>
          <cell r="E468">
            <v>357.42</v>
          </cell>
          <cell r="F468">
            <v>89.32</v>
          </cell>
          <cell r="G468"/>
          <cell r="H468">
            <v>150</v>
          </cell>
          <cell r="I468"/>
          <cell r="J468"/>
          <cell r="K468"/>
          <cell r="L468"/>
          <cell r="M468"/>
          <cell r="N468"/>
          <cell r="O468">
            <v>150</v>
          </cell>
          <cell r="P468"/>
          <cell r="Q468"/>
          <cell r="R468">
            <v>552.28</v>
          </cell>
          <cell r="S468">
            <v>28480.2</v>
          </cell>
          <cell r="T468"/>
          <cell r="U468"/>
          <cell r="V468">
            <v>0</v>
          </cell>
          <cell r="W468">
            <v>16.600000000000001</v>
          </cell>
          <cell r="X468">
            <v>18.2</v>
          </cell>
          <cell r="Y468"/>
          <cell r="Z468">
            <v>111.71</v>
          </cell>
          <cell r="AA468">
            <v>25.4</v>
          </cell>
          <cell r="AB468"/>
          <cell r="AC468" t="str">
            <v>حرفية ومعاونه</v>
          </cell>
        </row>
        <row r="469">
          <cell r="A469">
            <v>27510202502091</v>
          </cell>
          <cell r="B469">
            <v>466</v>
          </cell>
          <cell r="C469" t="str">
            <v>كمال محمد فارس شحاتة</v>
          </cell>
          <cell r="D469">
            <v>1448.3</v>
          </cell>
          <cell r="E469">
            <v>144.83000000000001</v>
          </cell>
          <cell r="F469">
            <v>41.29</v>
          </cell>
          <cell r="G469"/>
          <cell r="H469">
            <v>150</v>
          </cell>
          <cell r="I469"/>
          <cell r="J469"/>
          <cell r="K469"/>
          <cell r="L469"/>
          <cell r="M469"/>
          <cell r="N469"/>
          <cell r="O469">
            <v>150</v>
          </cell>
          <cell r="P469"/>
          <cell r="Q469"/>
          <cell r="R469">
            <v>381.74</v>
          </cell>
          <cell r="S469">
            <v>19973.870000000003</v>
          </cell>
          <cell r="T469"/>
          <cell r="U469"/>
          <cell r="V469">
            <v>0</v>
          </cell>
          <cell r="W469">
            <v>11.65</v>
          </cell>
          <cell r="X469">
            <v>12.9</v>
          </cell>
          <cell r="Y469"/>
          <cell r="Z469">
            <v>46.7</v>
          </cell>
          <cell r="AA469">
            <v>11.44</v>
          </cell>
          <cell r="AB469"/>
          <cell r="AC469" t="str">
            <v>حرفية ومعاونه</v>
          </cell>
        </row>
        <row r="470">
          <cell r="A470">
            <v>26512262502693</v>
          </cell>
          <cell r="B470">
            <v>467</v>
          </cell>
          <cell r="C470" t="str">
            <v>مجدى حسن محمد محمد</v>
          </cell>
          <cell r="D470">
            <v>1376.03</v>
          </cell>
          <cell r="E470">
            <v>110.91</v>
          </cell>
          <cell r="F470">
            <v>30.17</v>
          </cell>
          <cell r="G470"/>
          <cell r="H470">
            <v>150</v>
          </cell>
          <cell r="I470"/>
          <cell r="J470"/>
          <cell r="K470"/>
          <cell r="L470">
            <v>15</v>
          </cell>
          <cell r="M470"/>
          <cell r="N470"/>
          <cell r="O470">
            <v>165</v>
          </cell>
          <cell r="P470"/>
          <cell r="Q470"/>
          <cell r="R470">
            <v>355.03</v>
          </cell>
          <cell r="S470">
            <v>19099.73</v>
          </cell>
          <cell r="T470"/>
          <cell r="U470"/>
          <cell r="V470">
            <v>0</v>
          </cell>
          <cell r="W470">
            <v>11</v>
          </cell>
          <cell r="X470">
            <v>12.7</v>
          </cell>
          <cell r="Y470"/>
          <cell r="Z470">
            <v>37.67</v>
          </cell>
          <cell r="AA470">
            <v>10.86</v>
          </cell>
          <cell r="AB470"/>
          <cell r="AC470" t="str">
            <v>حرفية ومعاونه</v>
          </cell>
        </row>
        <row r="471">
          <cell r="A471">
            <v>25705062500431</v>
          </cell>
          <cell r="B471">
            <v>468</v>
          </cell>
          <cell r="C471" t="str">
            <v>محسن حفنى يوسف سيد</v>
          </cell>
          <cell r="D471">
            <v>1634.49</v>
          </cell>
          <cell r="E471">
            <v>229.16</v>
          </cell>
          <cell r="F471">
            <v>69.430000000000007</v>
          </cell>
          <cell r="G471"/>
          <cell r="H471">
            <v>150</v>
          </cell>
          <cell r="I471"/>
          <cell r="J471"/>
          <cell r="K471"/>
          <cell r="L471"/>
          <cell r="M471"/>
          <cell r="N471"/>
          <cell r="O471">
            <v>150</v>
          </cell>
          <cell r="P471"/>
          <cell r="Q471"/>
          <cell r="R471">
            <v>448.14</v>
          </cell>
          <cell r="S471"/>
          <cell r="T471">
            <v>7.62</v>
          </cell>
          <cell r="U471"/>
          <cell r="V471">
            <v>7.62</v>
          </cell>
          <cell r="W471">
            <v>13.65</v>
          </cell>
          <cell r="X471"/>
          <cell r="Y471"/>
          <cell r="Z471">
            <v>71.739999999999995</v>
          </cell>
          <cell r="AA471"/>
          <cell r="AB471"/>
          <cell r="AC471" t="str">
            <v>حرفية ومعاونه</v>
          </cell>
        </row>
        <row r="472">
          <cell r="A472">
            <v>27008012503272</v>
          </cell>
          <cell r="B472">
            <v>469</v>
          </cell>
          <cell r="C472" t="str">
            <v>محمد تشهيل فاضل سليمان</v>
          </cell>
          <cell r="D472">
            <v>1517.22</v>
          </cell>
          <cell r="E472">
            <v>175.91</v>
          </cell>
          <cell r="F472">
            <v>51.62</v>
          </cell>
          <cell r="G472"/>
          <cell r="H472">
            <v>150</v>
          </cell>
          <cell r="I472"/>
          <cell r="J472"/>
          <cell r="K472"/>
          <cell r="L472"/>
          <cell r="M472"/>
          <cell r="N472"/>
          <cell r="O472">
            <v>150</v>
          </cell>
          <cell r="P472"/>
          <cell r="Q472"/>
          <cell r="R472">
            <v>406.22</v>
          </cell>
          <cell r="S472">
            <v>21245.48</v>
          </cell>
          <cell r="T472"/>
          <cell r="U472"/>
          <cell r="V472">
            <v>0</v>
          </cell>
          <cell r="W472">
            <v>12.4</v>
          </cell>
          <cell r="X472">
            <v>13.7</v>
          </cell>
          <cell r="Y472"/>
          <cell r="Z472">
            <v>56.45</v>
          </cell>
          <cell r="AA472">
            <v>13.54</v>
          </cell>
          <cell r="AB472"/>
          <cell r="AC472" t="str">
            <v>حرفية ومعاونه</v>
          </cell>
        </row>
        <row r="473">
          <cell r="A473">
            <v>26305282500152</v>
          </cell>
          <cell r="B473">
            <v>470</v>
          </cell>
          <cell r="C473" t="str">
            <v>محمد ثابت محمد محمد</v>
          </cell>
          <cell r="D473">
            <v>1852.35</v>
          </cell>
          <cell r="E473">
            <v>383.35</v>
          </cell>
          <cell r="F473">
            <v>85.51</v>
          </cell>
          <cell r="G473"/>
          <cell r="H473">
            <v>100</v>
          </cell>
          <cell r="I473"/>
          <cell r="J473"/>
          <cell r="K473"/>
          <cell r="L473">
            <v>15</v>
          </cell>
          <cell r="M473"/>
          <cell r="N473"/>
          <cell r="O473">
            <v>115</v>
          </cell>
          <cell r="P473"/>
          <cell r="Q473"/>
          <cell r="R473">
            <v>541.20000000000005</v>
          </cell>
          <cell r="S473">
            <v>28913.78</v>
          </cell>
          <cell r="T473"/>
          <cell r="U473"/>
          <cell r="V473">
            <v>0</v>
          </cell>
          <cell r="W473">
            <v>15.95</v>
          </cell>
          <cell r="X473">
            <v>18.2</v>
          </cell>
          <cell r="Y473"/>
          <cell r="Z473">
            <v>103.62</v>
          </cell>
          <cell r="AA473">
            <v>25.45</v>
          </cell>
          <cell r="AB473"/>
          <cell r="AC473" t="str">
            <v>حرفية ومعاونه</v>
          </cell>
        </row>
        <row r="474">
          <cell r="A474">
            <v>26107062501399</v>
          </cell>
          <cell r="B474">
            <v>471</v>
          </cell>
          <cell r="C474" t="str">
            <v>محمد حسن إبراهيم محمد</v>
          </cell>
          <cell r="D474">
            <v>1822.35</v>
          </cell>
          <cell r="E474">
            <v>446.36</v>
          </cell>
          <cell r="F474">
            <v>85.84</v>
          </cell>
          <cell r="G474"/>
          <cell r="H474">
            <v>150</v>
          </cell>
          <cell r="I474"/>
          <cell r="J474"/>
          <cell r="K474"/>
          <cell r="L474"/>
          <cell r="M474"/>
          <cell r="N474"/>
          <cell r="O474">
            <v>150</v>
          </cell>
          <cell r="P474"/>
          <cell r="Q474"/>
          <cell r="R474">
            <v>552.25</v>
          </cell>
          <cell r="S474">
            <v>28546.839999999997</v>
          </cell>
          <cell r="T474"/>
          <cell r="U474"/>
          <cell r="V474">
            <v>0</v>
          </cell>
          <cell r="W474">
            <v>16.45</v>
          </cell>
          <cell r="X474">
            <v>18</v>
          </cell>
          <cell r="Y474"/>
          <cell r="Z474">
            <v>110.18</v>
          </cell>
          <cell r="AA474">
            <v>24.93</v>
          </cell>
          <cell r="AB474"/>
          <cell r="AC474" t="str">
            <v>حرفية ومعاونه</v>
          </cell>
        </row>
        <row r="475">
          <cell r="A475">
            <v>26012012503195</v>
          </cell>
          <cell r="B475">
            <v>472</v>
          </cell>
          <cell r="C475" t="str">
            <v>محمد عبد المجيد تمام عبد المجيد</v>
          </cell>
          <cell r="D475">
            <v>1471.45</v>
          </cell>
          <cell r="E475">
            <v>137.53</v>
          </cell>
          <cell r="F475">
            <v>39.17</v>
          </cell>
          <cell r="G475"/>
          <cell r="H475">
            <v>150</v>
          </cell>
          <cell r="I475"/>
          <cell r="J475"/>
          <cell r="K475"/>
          <cell r="L475"/>
          <cell r="M475"/>
          <cell r="N475"/>
          <cell r="O475">
            <v>150</v>
          </cell>
          <cell r="P475"/>
          <cell r="Q475"/>
          <cell r="R475">
            <v>375.98</v>
          </cell>
          <cell r="S475">
            <v>20186.469999999998</v>
          </cell>
          <cell r="T475">
            <v>13.32</v>
          </cell>
          <cell r="U475"/>
          <cell r="V475">
            <v>13.32</v>
          </cell>
          <cell r="W475">
            <v>11.75</v>
          </cell>
          <cell r="X475">
            <v>12.95</v>
          </cell>
          <cell r="Y475"/>
          <cell r="Z475">
            <v>46.62</v>
          </cell>
          <cell r="AA475">
            <v>11.48</v>
          </cell>
          <cell r="AB475"/>
          <cell r="AC475" t="str">
            <v>حرفية ومعاونه</v>
          </cell>
        </row>
        <row r="476">
          <cell r="A476">
            <v>27210272500556</v>
          </cell>
          <cell r="B476">
            <v>473</v>
          </cell>
          <cell r="C476" t="str">
            <v>محمد محمد محمد سليمان</v>
          </cell>
          <cell r="D476">
            <v>1344.08</v>
          </cell>
          <cell r="E476">
            <v>95.9</v>
          </cell>
          <cell r="F476">
            <v>25.28</v>
          </cell>
          <cell r="G476"/>
          <cell r="H476">
            <v>150</v>
          </cell>
          <cell r="I476"/>
          <cell r="J476"/>
          <cell r="K476"/>
          <cell r="L476"/>
          <cell r="M476"/>
          <cell r="N476"/>
          <cell r="O476">
            <v>150</v>
          </cell>
          <cell r="P476"/>
          <cell r="Q476"/>
          <cell r="R476">
            <v>343.22</v>
          </cell>
          <cell r="S476">
            <v>18776.320000000003</v>
          </cell>
          <cell r="T476"/>
          <cell r="U476"/>
          <cell r="V476">
            <v>0</v>
          </cell>
          <cell r="W476">
            <v>10.55</v>
          </cell>
          <cell r="X476">
            <v>11.7</v>
          </cell>
          <cell r="Y476"/>
          <cell r="Z476">
            <v>31.74</v>
          </cell>
          <cell r="AA476">
            <v>8.23</v>
          </cell>
          <cell r="AB476"/>
          <cell r="AC476" t="str">
            <v>حرفية ومعاونه</v>
          </cell>
        </row>
        <row r="477">
          <cell r="A477">
            <v>26109142500639</v>
          </cell>
          <cell r="B477">
            <v>474</v>
          </cell>
          <cell r="C477" t="str">
            <v>محمد محمود محمد ابراهيم</v>
          </cell>
          <cell r="D477">
            <v>1282.8599999999999</v>
          </cell>
          <cell r="E477"/>
          <cell r="F477">
            <v>8.01</v>
          </cell>
          <cell r="G477"/>
          <cell r="H477">
            <v>150</v>
          </cell>
          <cell r="I477"/>
          <cell r="J477"/>
          <cell r="K477"/>
          <cell r="L477"/>
          <cell r="M477"/>
          <cell r="N477"/>
          <cell r="O477">
            <v>150</v>
          </cell>
          <cell r="P477"/>
          <cell r="Q477"/>
          <cell r="R477">
            <v>300.20999999999998</v>
          </cell>
          <cell r="S477">
            <v>15912.490000000002</v>
          </cell>
          <cell r="T477">
            <v>22.45</v>
          </cell>
          <cell r="U477"/>
          <cell r="V477">
            <v>22.45</v>
          </cell>
          <cell r="W477">
            <v>9.4</v>
          </cell>
          <cell r="X477">
            <v>10.3</v>
          </cell>
          <cell r="Y477"/>
          <cell r="Z477">
            <v>14.1</v>
          </cell>
          <cell r="AA477">
            <v>4.58</v>
          </cell>
          <cell r="AB477"/>
          <cell r="AC477" t="str">
            <v>حرفية ومعاونه</v>
          </cell>
        </row>
        <row r="478">
          <cell r="A478">
            <v>27403302500036</v>
          </cell>
          <cell r="B478">
            <v>475</v>
          </cell>
          <cell r="C478" t="str">
            <v>محمدى محمد جابر حسانين</v>
          </cell>
          <cell r="D478">
            <v>1465.3</v>
          </cell>
          <cell r="E478">
            <v>150.30000000000001</v>
          </cell>
          <cell r="F478">
            <v>43.55</v>
          </cell>
          <cell r="G478"/>
          <cell r="H478">
            <v>145</v>
          </cell>
          <cell r="I478"/>
          <cell r="J478"/>
          <cell r="K478"/>
          <cell r="L478"/>
          <cell r="M478"/>
          <cell r="N478"/>
          <cell r="O478">
            <v>145</v>
          </cell>
          <cell r="P478"/>
          <cell r="Q478"/>
          <cell r="R478">
            <v>387.61</v>
          </cell>
          <cell r="S478">
            <v>18244.109999999997</v>
          </cell>
          <cell r="T478"/>
          <cell r="U478"/>
          <cell r="V478">
            <v>0</v>
          </cell>
          <cell r="W478">
            <v>11.8</v>
          </cell>
          <cell r="X478">
            <v>10.25</v>
          </cell>
          <cell r="Y478"/>
          <cell r="Z478">
            <v>48.38</v>
          </cell>
          <cell r="AA478">
            <v>4.46</v>
          </cell>
          <cell r="AB478"/>
          <cell r="AC478" t="str">
            <v>حرفية ومعاونه</v>
          </cell>
        </row>
        <row r="479">
          <cell r="A479">
            <v>25810222500831</v>
          </cell>
          <cell r="B479">
            <v>476</v>
          </cell>
          <cell r="C479" t="str">
            <v>محمود احمد جلال عبداللة</v>
          </cell>
          <cell r="D479">
            <v>1809.74</v>
          </cell>
          <cell r="E479">
            <v>309.24</v>
          </cell>
          <cell r="F479">
            <v>82.73</v>
          </cell>
          <cell r="G479"/>
          <cell r="H479">
            <v>150</v>
          </cell>
          <cell r="I479"/>
          <cell r="J479"/>
          <cell r="K479"/>
          <cell r="L479"/>
          <cell r="M479"/>
          <cell r="N479"/>
          <cell r="O479">
            <v>150</v>
          </cell>
          <cell r="P479"/>
          <cell r="Q479"/>
          <cell r="R479">
            <v>511.19</v>
          </cell>
          <cell r="S479">
            <v>26639.629999999997</v>
          </cell>
          <cell r="T479"/>
          <cell r="U479"/>
          <cell r="V479">
            <v>0</v>
          </cell>
          <cell r="W479">
            <v>15.45</v>
          </cell>
          <cell r="X479">
            <v>17</v>
          </cell>
          <cell r="Y479"/>
          <cell r="Z479">
            <v>96.83</v>
          </cell>
          <cell r="AA479">
            <v>22.26</v>
          </cell>
          <cell r="AB479"/>
          <cell r="AC479" t="str">
            <v>حرفية ومعاونه</v>
          </cell>
        </row>
        <row r="480">
          <cell r="A480">
            <v>26404212500056</v>
          </cell>
          <cell r="B480">
            <v>477</v>
          </cell>
          <cell r="C480" t="str">
            <v>محمود فاوي مصطفي عليوة</v>
          </cell>
          <cell r="D480">
            <v>1481.1</v>
          </cell>
          <cell r="E480">
            <v>159.55000000000001</v>
          </cell>
          <cell r="F480">
            <v>46.17</v>
          </cell>
          <cell r="G480"/>
          <cell r="H480">
            <v>150</v>
          </cell>
          <cell r="I480"/>
          <cell r="J480"/>
          <cell r="K480"/>
          <cell r="L480"/>
          <cell r="M480"/>
          <cell r="N480"/>
          <cell r="O480">
            <v>150</v>
          </cell>
          <cell r="P480"/>
          <cell r="Q480"/>
          <cell r="R480">
            <v>393.33</v>
          </cell>
          <cell r="S480">
            <v>20579.36</v>
          </cell>
          <cell r="T480">
            <v>6.78</v>
          </cell>
          <cell r="U480"/>
          <cell r="V480">
            <v>6.78</v>
          </cell>
          <cell r="W480">
            <v>12</v>
          </cell>
          <cell r="X480">
            <v>13.25</v>
          </cell>
          <cell r="Y480"/>
          <cell r="Z480">
            <v>50.65</v>
          </cell>
          <cell r="AA480">
            <v>12.31</v>
          </cell>
          <cell r="AB480"/>
          <cell r="AC480" t="str">
            <v>حرفية ومعاونه</v>
          </cell>
        </row>
        <row r="481">
          <cell r="A481">
            <v>27405122500118</v>
          </cell>
          <cell r="B481">
            <v>478</v>
          </cell>
          <cell r="C481" t="str">
            <v>مختار على محمد سيد</v>
          </cell>
          <cell r="D481">
            <v>1474.09</v>
          </cell>
          <cell r="E481">
            <v>138.80000000000001</v>
          </cell>
          <cell r="F481">
            <v>39.56</v>
          </cell>
          <cell r="G481"/>
          <cell r="H481">
            <v>150</v>
          </cell>
          <cell r="I481"/>
          <cell r="J481"/>
          <cell r="K481"/>
          <cell r="L481"/>
          <cell r="M481"/>
          <cell r="N481"/>
          <cell r="O481">
            <v>150</v>
          </cell>
          <cell r="P481"/>
          <cell r="Q481"/>
          <cell r="R481">
            <v>376.99</v>
          </cell>
          <cell r="S481">
            <v>20234.77</v>
          </cell>
          <cell r="T481"/>
          <cell r="U481"/>
          <cell r="V481">
            <v>0</v>
          </cell>
          <cell r="W481">
            <v>11.8</v>
          </cell>
          <cell r="X481">
            <v>13.05</v>
          </cell>
          <cell r="Y481"/>
          <cell r="Z481">
            <v>48.32</v>
          </cell>
          <cell r="AA481">
            <v>11.83</v>
          </cell>
          <cell r="AB481"/>
          <cell r="AC481" t="str">
            <v>حرفية ومعاونه</v>
          </cell>
        </row>
        <row r="482">
          <cell r="A482">
            <v>27309182500171</v>
          </cell>
          <cell r="B482">
            <v>479</v>
          </cell>
          <cell r="C482" t="str">
            <v>مرسى سيد حسانين احمد</v>
          </cell>
          <cell r="D482">
            <v>1474.09</v>
          </cell>
          <cell r="E482">
            <v>138.80000000000001</v>
          </cell>
          <cell r="F482">
            <v>39.56</v>
          </cell>
          <cell r="G482"/>
          <cell r="H482">
            <v>150</v>
          </cell>
          <cell r="I482"/>
          <cell r="J482"/>
          <cell r="K482"/>
          <cell r="L482"/>
          <cell r="M482"/>
          <cell r="N482"/>
          <cell r="O482">
            <v>150</v>
          </cell>
          <cell r="P482"/>
          <cell r="Q482"/>
          <cell r="R482">
            <v>376.99</v>
          </cell>
          <cell r="S482">
            <v>20234.77</v>
          </cell>
          <cell r="T482"/>
          <cell r="U482"/>
          <cell r="V482">
            <v>0</v>
          </cell>
          <cell r="W482">
            <v>11.8</v>
          </cell>
          <cell r="X482">
            <v>13.05</v>
          </cell>
          <cell r="Y482"/>
          <cell r="Z482">
            <v>48.32</v>
          </cell>
          <cell r="AA482">
            <v>11.83</v>
          </cell>
          <cell r="AB482"/>
          <cell r="AC482" t="str">
            <v>حرفية ومعاونه</v>
          </cell>
        </row>
        <row r="483">
          <cell r="A483">
            <v>26412152500259</v>
          </cell>
          <cell r="B483">
            <v>480</v>
          </cell>
          <cell r="C483" t="str">
            <v>ممدوح كامل احمد عبده</v>
          </cell>
          <cell r="D483">
            <v>1472.58</v>
          </cell>
          <cell r="E483">
            <v>138.04</v>
          </cell>
          <cell r="F483">
            <v>39.33</v>
          </cell>
          <cell r="G483"/>
          <cell r="H483">
            <v>150</v>
          </cell>
          <cell r="I483"/>
          <cell r="J483"/>
          <cell r="K483"/>
          <cell r="L483"/>
          <cell r="M483"/>
          <cell r="N483"/>
          <cell r="O483">
            <v>150</v>
          </cell>
          <cell r="P483"/>
          <cell r="Q483"/>
          <cell r="R483">
            <v>376.39</v>
          </cell>
          <cell r="S483">
            <v>20958.780000000002</v>
          </cell>
          <cell r="T483">
            <v>1.55</v>
          </cell>
          <cell r="U483"/>
          <cell r="V483">
            <v>1.55</v>
          </cell>
          <cell r="W483">
            <v>11.8</v>
          </cell>
          <cell r="X483">
            <v>13.05</v>
          </cell>
          <cell r="Y483"/>
          <cell r="Z483">
            <v>47.95</v>
          </cell>
          <cell r="AA483">
            <v>11.75</v>
          </cell>
          <cell r="AB483"/>
          <cell r="AC483" t="str">
            <v>حرفية ومعاونه</v>
          </cell>
        </row>
        <row r="484">
          <cell r="A484">
            <v>27103102500097</v>
          </cell>
          <cell r="B484">
            <v>481</v>
          </cell>
          <cell r="C484" t="str">
            <v>نادى كامل احمد عبدة</v>
          </cell>
          <cell r="D484">
            <v>1398.15</v>
          </cell>
          <cell r="E484">
            <v>49.51</v>
          </cell>
          <cell r="F484">
            <v>25.11</v>
          </cell>
          <cell r="G484"/>
          <cell r="H484">
            <v>150</v>
          </cell>
          <cell r="I484"/>
          <cell r="J484"/>
          <cell r="K484"/>
          <cell r="L484">
            <v>15</v>
          </cell>
          <cell r="M484"/>
          <cell r="N484"/>
          <cell r="O484">
            <v>165</v>
          </cell>
          <cell r="P484"/>
          <cell r="Q484"/>
          <cell r="R484">
            <v>342.11</v>
          </cell>
          <cell r="S484">
            <v>18352.07</v>
          </cell>
          <cell r="T484"/>
          <cell r="U484"/>
          <cell r="V484">
            <v>0</v>
          </cell>
          <cell r="W484">
            <v>10.7</v>
          </cell>
          <cell r="X484">
            <v>11.9</v>
          </cell>
          <cell r="Y484"/>
          <cell r="Z484">
            <v>33.76</v>
          </cell>
          <cell r="AA484">
            <v>8.76</v>
          </cell>
          <cell r="AB484"/>
          <cell r="AC484" t="str">
            <v>حرفية ومعاونه</v>
          </cell>
        </row>
        <row r="485">
          <cell r="A485">
            <v>27108132500654</v>
          </cell>
          <cell r="B485">
            <v>482</v>
          </cell>
          <cell r="C485" t="str">
            <v>ناصر هاشم سيد مصطفي</v>
          </cell>
          <cell r="D485">
            <v>1377.94</v>
          </cell>
          <cell r="E485">
            <v>111.21</v>
          </cell>
          <cell r="F485">
            <v>30.4</v>
          </cell>
          <cell r="G485"/>
          <cell r="H485">
            <v>150</v>
          </cell>
          <cell r="I485"/>
          <cell r="J485"/>
          <cell r="K485"/>
          <cell r="L485"/>
          <cell r="M485"/>
          <cell r="N485"/>
          <cell r="O485">
            <v>150</v>
          </cell>
          <cell r="P485"/>
          <cell r="Q485"/>
          <cell r="R485">
            <v>355.27</v>
          </cell>
          <cell r="S485">
            <v>19130.209999999995</v>
          </cell>
          <cell r="T485"/>
          <cell r="U485"/>
          <cell r="V485">
            <v>0</v>
          </cell>
          <cell r="W485">
            <v>10.9</v>
          </cell>
          <cell r="X485">
            <v>12.6</v>
          </cell>
          <cell r="Y485"/>
          <cell r="Z485">
            <v>36.54</v>
          </cell>
          <cell r="AA485">
            <v>10.65</v>
          </cell>
          <cell r="AB485"/>
          <cell r="AC485" t="str">
            <v>حرفية ومعاونه</v>
          </cell>
        </row>
        <row r="486">
          <cell r="A486">
            <v>27312072501351</v>
          </cell>
          <cell r="B486">
            <v>483</v>
          </cell>
          <cell r="C486" t="str">
            <v>يوسف عطية احمد محمود</v>
          </cell>
          <cell r="D486">
            <v>1433.21</v>
          </cell>
          <cell r="E486">
            <v>136.41</v>
          </cell>
          <cell r="F486">
            <v>38.76</v>
          </cell>
          <cell r="G486"/>
          <cell r="H486">
            <v>150</v>
          </cell>
          <cell r="I486"/>
          <cell r="J486"/>
          <cell r="K486"/>
          <cell r="L486"/>
          <cell r="M486"/>
          <cell r="N486"/>
          <cell r="O486">
            <v>150</v>
          </cell>
          <cell r="P486"/>
          <cell r="Q486"/>
          <cell r="R486">
            <v>375.11</v>
          </cell>
          <cell r="S486">
            <v>20984.079999999998</v>
          </cell>
          <cell r="T486"/>
          <cell r="U486"/>
          <cell r="V486">
            <v>0</v>
          </cell>
          <cell r="W486">
            <v>11.5</v>
          </cell>
          <cell r="X486">
            <v>13.25</v>
          </cell>
          <cell r="Y486"/>
          <cell r="Z486">
            <v>44.4</v>
          </cell>
          <cell r="AA486">
            <v>12.4</v>
          </cell>
          <cell r="AB486"/>
          <cell r="AC486" t="str">
            <v>حرفية ومعاونه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&#1610;&#1608;&#1606;&#1610;&#1577;%202018.xlsx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/>
  <dimension ref="A1:AD492"/>
  <sheetViews>
    <sheetView showGridLines="0" rightToLeft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2" sqref="A2:XFD2"/>
    </sheetView>
  </sheetViews>
  <sheetFormatPr defaultColWidth="8" defaultRowHeight="18" x14ac:dyDescent="0.25"/>
  <cols>
    <col min="1" max="1" width="6.25" style="241" customWidth="1"/>
    <col min="2" max="2" width="14.375" style="241" customWidth="1"/>
    <col min="3" max="3" width="25.625" style="242" customWidth="1"/>
    <col min="4" max="4" width="7" style="243" customWidth="1"/>
    <col min="5" max="5" width="6.625" style="243" customWidth="1"/>
    <col min="6" max="6" width="6.125" style="243" customWidth="1"/>
    <col min="7" max="7" width="5.625" style="243" customWidth="1"/>
    <col min="8" max="8" width="5.375" style="244" customWidth="1"/>
    <col min="9" max="9" width="6.25" style="243" customWidth="1"/>
    <col min="10" max="10" width="5.75" style="245" customWidth="1"/>
    <col min="11" max="14" width="5.375" style="243" customWidth="1"/>
    <col min="15" max="15" width="6.25" style="246" customWidth="1"/>
    <col min="16" max="16" width="8.25" style="243" customWidth="1"/>
    <col min="17" max="17" width="7.75" style="243" customWidth="1"/>
    <col min="18" max="18" width="6.375" style="246" customWidth="1"/>
    <col min="19" max="19" width="9.875" style="243" customWidth="1"/>
    <col min="20" max="20" width="5.75" style="243" customWidth="1"/>
    <col min="21" max="22" width="5.875" style="243" customWidth="1"/>
    <col min="23" max="23" width="5.625" style="246" customWidth="1"/>
    <col min="24" max="24" width="5.125" style="243" customWidth="1"/>
    <col min="25" max="25" width="7.25" style="243" customWidth="1"/>
    <col min="26" max="26" width="6.375" style="246" customWidth="1"/>
    <col min="27" max="27" width="6" style="243" customWidth="1"/>
    <col min="28" max="28" width="8" style="243" customWidth="1"/>
    <col min="29" max="29" width="8.75" style="247" bestFit="1" customWidth="1"/>
    <col min="30" max="30" width="11.375" style="141" customWidth="1"/>
    <col min="31" max="52" width="10.25" style="141" customWidth="1"/>
    <col min="53" max="16384" width="8" style="141"/>
  </cols>
  <sheetData>
    <row r="1" spans="1:30" x14ac:dyDescent="0.25">
      <c r="A1" s="139">
        <v>1</v>
      </c>
      <c r="B1" s="140">
        <v>2</v>
      </c>
      <c r="C1" s="140">
        <v>3</v>
      </c>
      <c r="D1" s="139">
        <v>4</v>
      </c>
      <c r="E1" s="140">
        <v>5</v>
      </c>
      <c r="F1" s="139">
        <v>6</v>
      </c>
      <c r="G1" s="140">
        <v>7</v>
      </c>
      <c r="H1" s="139">
        <v>8</v>
      </c>
      <c r="I1" s="140">
        <v>9</v>
      </c>
      <c r="J1" s="139">
        <v>10</v>
      </c>
      <c r="K1" s="140">
        <v>11</v>
      </c>
      <c r="L1" s="139">
        <v>12</v>
      </c>
      <c r="M1" s="140">
        <v>13</v>
      </c>
      <c r="N1" s="139">
        <v>14</v>
      </c>
      <c r="O1" s="140">
        <v>15</v>
      </c>
      <c r="P1" s="139">
        <v>16</v>
      </c>
      <c r="Q1" s="140"/>
      <c r="R1" s="139">
        <v>18</v>
      </c>
      <c r="S1" s="140">
        <v>19</v>
      </c>
      <c r="T1" s="139">
        <v>20</v>
      </c>
      <c r="U1" s="140">
        <v>21</v>
      </c>
      <c r="V1" s="140">
        <v>22</v>
      </c>
      <c r="W1" s="139">
        <v>23</v>
      </c>
      <c r="X1" s="140">
        <v>24</v>
      </c>
      <c r="Y1" s="139">
        <v>25</v>
      </c>
      <c r="Z1" s="140">
        <v>26</v>
      </c>
      <c r="AA1" s="139">
        <v>27</v>
      </c>
      <c r="AB1" s="140">
        <v>28</v>
      </c>
      <c r="AC1" s="139">
        <v>30</v>
      </c>
      <c r="AD1" s="141">
        <v>31</v>
      </c>
    </row>
    <row r="2" spans="1:30" s="154" customFormat="1" ht="64.5" thickBot="1" x14ac:dyDescent="0.25">
      <c r="A2" s="142" t="s">
        <v>68</v>
      </c>
      <c r="B2" s="143" t="s">
        <v>81</v>
      </c>
      <c r="C2" s="144" t="s">
        <v>69</v>
      </c>
      <c r="D2" s="145" t="s">
        <v>95</v>
      </c>
      <c r="E2" s="145" t="s">
        <v>275</v>
      </c>
      <c r="F2" s="145" t="s">
        <v>276</v>
      </c>
      <c r="G2" s="145" t="s">
        <v>277</v>
      </c>
      <c r="H2" s="146" t="s">
        <v>99</v>
      </c>
      <c r="I2" s="145" t="s">
        <v>278</v>
      </c>
      <c r="J2" s="147" t="s">
        <v>279</v>
      </c>
      <c r="K2" s="145" t="s">
        <v>280</v>
      </c>
      <c r="L2" s="145" t="s">
        <v>100</v>
      </c>
      <c r="M2" s="148" t="s">
        <v>281</v>
      </c>
      <c r="N2" s="148" t="s">
        <v>282</v>
      </c>
      <c r="O2" s="149" t="s">
        <v>283</v>
      </c>
      <c r="P2" s="150" t="s">
        <v>284</v>
      </c>
      <c r="Q2" s="145"/>
      <c r="R2" s="151" t="s">
        <v>285</v>
      </c>
      <c r="S2" s="150" t="s">
        <v>286</v>
      </c>
      <c r="T2" s="150" t="s">
        <v>112</v>
      </c>
      <c r="U2" s="145" t="s">
        <v>114</v>
      </c>
      <c r="V2" s="145" t="s">
        <v>287</v>
      </c>
      <c r="W2" s="145" t="s">
        <v>288</v>
      </c>
      <c r="X2" s="151" t="s">
        <v>289</v>
      </c>
      <c r="Y2" s="151" t="s">
        <v>290</v>
      </c>
      <c r="Z2" s="145" t="s">
        <v>291</v>
      </c>
      <c r="AA2" s="151" t="s">
        <v>292</v>
      </c>
      <c r="AB2" s="151" t="s">
        <v>293</v>
      </c>
      <c r="AC2" s="152" t="s">
        <v>294</v>
      </c>
      <c r="AD2" s="153" t="s">
        <v>295</v>
      </c>
    </row>
    <row r="3" spans="1:30" ht="18.75" hidden="1" thickBot="1" x14ac:dyDescent="0.3">
      <c r="A3" s="155">
        <v>1</v>
      </c>
      <c r="B3" s="156">
        <v>26801172500049</v>
      </c>
      <c r="C3" s="157" t="s">
        <v>296</v>
      </c>
      <c r="D3" s="158">
        <v>1818.93</v>
      </c>
      <c r="E3" s="158">
        <v>435.57</v>
      </c>
      <c r="F3" s="158">
        <v>86.87</v>
      </c>
      <c r="G3" s="158">
        <v>54.68</v>
      </c>
      <c r="H3" s="159">
        <v>150</v>
      </c>
      <c r="I3" s="158"/>
      <c r="J3" s="160"/>
      <c r="K3" s="158"/>
      <c r="L3" s="158"/>
      <c r="M3" s="161"/>
      <c r="N3" s="161"/>
      <c r="O3" s="162">
        <f t="shared" ref="O3:O66" si="0">SUM(H3:N3)</f>
        <v>150</v>
      </c>
      <c r="P3" s="163"/>
      <c r="Q3" s="158"/>
      <c r="R3" s="164">
        <v>546.89</v>
      </c>
      <c r="S3" s="165">
        <v>28071.71</v>
      </c>
      <c r="T3" s="163">
        <v>13.59</v>
      </c>
      <c r="U3" s="158"/>
      <c r="V3" s="166">
        <f>T3+U3</f>
        <v>13.59</v>
      </c>
      <c r="W3" s="158">
        <v>16.75</v>
      </c>
      <c r="X3" s="164">
        <v>18.149999999999999</v>
      </c>
      <c r="Y3" s="164"/>
      <c r="Z3" s="158">
        <v>112.46</v>
      </c>
      <c r="AA3" s="164">
        <v>25.37</v>
      </c>
      <c r="AB3" s="164"/>
      <c r="AC3" s="167" t="s">
        <v>297</v>
      </c>
    </row>
    <row r="4" spans="1:30" ht="18.75" hidden="1" thickBot="1" x14ac:dyDescent="0.3">
      <c r="A4" s="168">
        <v>2</v>
      </c>
      <c r="B4" s="169">
        <v>26305082500352</v>
      </c>
      <c r="C4" s="170" t="s">
        <v>298</v>
      </c>
      <c r="D4" s="171">
        <v>1752.72</v>
      </c>
      <c r="E4" s="171">
        <v>413.57</v>
      </c>
      <c r="F4" s="171">
        <v>83.06</v>
      </c>
      <c r="G4" s="171"/>
      <c r="H4" s="172">
        <v>150</v>
      </c>
      <c r="I4" s="171"/>
      <c r="J4" s="173"/>
      <c r="K4" s="171"/>
      <c r="L4" s="171"/>
      <c r="M4" s="174"/>
      <c r="N4" s="174"/>
      <c r="O4" s="175">
        <f t="shared" si="0"/>
        <v>150</v>
      </c>
      <c r="P4" s="176"/>
      <c r="Q4" s="171"/>
      <c r="R4" s="177">
        <v>526.41999999999996</v>
      </c>
      <c r="S4" s="165">
        <v>28174.23</v>
      </c>
      <c r="T4" s="176">
        <v>5.35</v>
      </c>
      <c r="U4" s="171"/>
      <c r="V4" s="166">
        <f t="shared" ref="V4:V67" si="1">T4+U4</f>
        <v>5.35</v>
      </c>
      <c r="W4" s="171">
        <v>15.75</v>
      </c>
      <c r="X4" s="177">
        <v>17.2</v>
      </c>
      <c r="Y4" s="177"/>
      <c r="Z4" s="171">
        <v>100.35</v>
      </c>
      <c r="AA4" s="177">
        <v>22.81</v>
      </c>
      <c r="AB4" s="177"/>
      <c r="AC4" s="178" t="s">
        <v>297</v>
      </c>
    </row>
    <row r="5" spans="1:30" ht="18.75" hidden="1" thickBot="1" x14ac:dyDescent="0.3">
      <c r="A5" s="168">
        <v>3</v>
      </c>
      <c r="B5" s="169">
        <v>26910012502049</v>
      </c>
      <c r="C5" s="170" t="s">
        <v>299</v>
      </c>
      <c r="D5" s="171">
        <v>1577.16</v>
      </c>
      <c r="E5" s="171">
        <v>328.08</v>
      </c>
      <c r="F5" s="171">
        <v>71.25</v>
      </c>
      <c r="G5" s="171"/>
      <c r="H5" s="172">
        <v>50</v>
      </c>
      <c r="I5" s="171"/>
      <c r="J5" s="173"/>
      <c r="K5" s="171"/>
      <c r="L5" s="171"/>
      <c r="M5" s="174"/>
      <c r="N5" s="174"/>
      <c r="O5" s="175">
        <f t="shared" si="0"/>
        <v>50</v>
      </c>
      <c r="P5" s="176"/>
      <c r="Q5" s="171"/>
      <c r="R5" s="177">
        <v>463.82</v>
      </c>
      <c r="S5" s="165">
        <v>25887.1</v>
      </c>
      <c r="T5" s="176">
        <v>76</v>
      </c>
      <c r="U5" s="171"/>
      <c r="V5" s="166">
        <f t="shared" si="1"/>
        <v>76</v>
      </c>
      <c r="W5" s="171">
        <v>13.2</v>
      </c>
      <c r="X5" s="177">
        <v>13.95</v>
      </c>
      <c r="Y5" s="177"/>
      <c r="Z5" s="171">
        <v>59.25</v>
      </c>
      <c r="AA5" s="177">
        <v>14.22</v>
      </c>
      <c r="AB5" s="177"/>
      <c r="AC5" s="178" t="s">
        <v>297</v>
      </c>
    </row>
    <row r="6" spans="1:30" ht="18.75" hidden="1" thickBot="1" x14ac:dyDescent="0.3">
      <c r="A6" s="155">
        <v>4</v>
      </c>
      <c r="B6" s="169">
        <v>27103102500143</v>
      </c>
      <c r="C6" s="170" t="s">
        <v>300</v>
      </c>
      <c r="D6" s="171">
        <v>1717.68</v>
      </c>
      <c r="E6" s="171">
        <v>394.03</v>
      </c>
      <c r="F6" s="171">
        <v>79.37</v>
      </c>
      <c r="G6" s="171"/>
      <c r="H6" s="172"/>
      <c r="I6" s="171"/>
      <c r="J6" s="173"/>
      <c r="K6" s="171"/>
      <c r="L6" s="171"/>
      <c r="M6" s="174"/>
      <c r="N6" s="174"/>
      <c r="O6" s="175">
        <f t="shared" si="0"/>
        <v>0</v>
      </c>
      <c r="P6" s="176"/>
      <c r="Q6" s="171"/>
      <c r="R6" s="177">
        <v>514.19000000000005</v>
      </c>
      <c r="S6" s="165">
        <v>27055.09</v>
      </c>
      <c r="T6" s="176"/>
      <c r="U6" s="171"/>
      <c r="V6" s="166">
        <f t="shared" si="1"/>
        <v>0</v>
      </c>
      <c r="W6" s="171">
        <v>14.25</v>
      </c>
      <c r="X6" s="177">
        <v>15.7</v>
      </c>
      <c r="Y6" s="177"/>
      <c r="Z6" s="171">
        <v>80.84</v>
      </c>
      <c r="AA6" s="177">
        <v>18.829999999999998</v>
      </c>
      <c r="AB6" s="177"/>
      <c r="AC6" s="178" t="s">
        <v>297</v>
      </c>
    </row>
    <row r="7" spans="1:30" ht="18.75" hidden="1" thickBot="1" x14ac:dyDescent="0.3">
      <c r="A7" s="168">
        <v>5</v>
      </c>
      <c r="B7" s="169">
        <v>26412282500188</v>
      </c>
      <c r="C7" s="170" t="s">
        <v>301</v>
      </c>
      <c r="D7" s="171">
        <v>1810.57</v>
      </c>
      <c r="E7" s="171">
        <v>432.36</v>
      </c>
      <c r="F7" s="171">
        <v>85.32</v>
      </c>
      <c r="G7" s="171">
        <v>54.43</v>
      </c>
      <c r="H7" s="172">
        <v>50</v>
      </c>
      <c r="I7" s="171"/>
      <c r="J7" s="173"/>
      <c r="K7" s="171"/>
      <c r="L7" s="171"/>
      <c r="M7" s="174"/>
      <c r="N7" s="174"/>
      <c r="O7" s="175">
        <f t="shared" si="0"/>
        <v>50</v>
      </c>
      <c r="P7" s="176"/>
      <c r="Q7" s="171"/>
      <c r="R7" s="177">
        <v>544.37</v>
      </c>
      <c r="S7" s="165">
        <v>27921.049999999996</v>
      </c>
      <c r="T7" s="176">
        <v>12.09</v>
      </c>
      <c r="U7" s="171"/>
      <c r="V7" s="166">
        <f t="shared" si="1"/>
        <v>12.09</v>
      </c>
      <c r="W7" s="171">
        <v>15.9</v>
      </c>
      <c r="X7" s="177">
        <v>17.350000000000001</v>
      </c>
      <c r="Y7" s="177"/>
      <c r="Z7" s="171">
        <v>101.5</v>
      </c>
      <c r="AA7" s="177">
        <v>23.16</v>
      </c>
      <c r="AB7" s="177"/>
      <c r="AC7" s="178" t="s">
        <v>297</v>
      </c>
    </row>
    <row r="8" spans="1:30" ht="18.75" hidden="1" thickBot="1" x14ac:dyDescent="0.3">
      <c r="A8" s="168">
        <v>6</v>
      </c>
      <c r="B8" s="169">
        <v>26903302500566</v>
      </c>
      <c r="C8" s="170" t="s">
        <v>302</v>
      </c>
      <c r="D8" s="171">
        <v>1915.58</v>
      </c>
      <c r="E8" s="171">
        <v>614.09</v>
      </c>
      <c r="F8" s="171">
        <v>95.41</v>
      </c>
      <c r="G8" s="171">
        <v>62.05</v>
      </c>
      <c r="H8" s="172">
        <v>100</v>
      </c>
      <c r="I8" s="171"/>
      <c r="J8" s="173"/>
      <c r="K8" s="171"/>
      <c r="L8" s="171"/>
      <c r="M8" s="174"/>
      <c r="N8" s="174"/>
      <c r="O8" s="175">
        <f t="shared" si="0"/>
        <v>100</v>
      </c>
      <c r="P8" s="176"/>
      <c r="Q8" s="171"/>
      <c r="R8" s="177">
        <v>620.53</v>
      </c>
      <c r="S8" s="165">
        <v>29160.010000000006</v>
      </c>
      <c r="T8" s="176"/>
      <c r="U8" s="171"/>
      <c r="V8" s="166">
        <f t="shared" si="1"/>
        <v>0</v>
      </c>
      <c r="W8" s="171">
        <v>18.3</v>
      </c>
      <c r="X8" s="177">
        <v>19.899999999999999</v>
      </c>
      <c r="Y8" s="177"/>
      <c r="Z8" s="171">
        <v>134.55000000000001</v>
      </c>
      <c r="AA8" s="177">
        <v>29.9</v>
      </c>
      <c r="AB8" s="177"/>
      <c r="AC8" s="178" t="s">
        <v>297</v>
      </c>
    </row>
    <row r="9" spans="1:30" s="185" customFormat="1" ht="18.75" thickBot="1" x14ac:dyDescent="0.3">
      <c r="A9" s="179">
        <v>1</v>
      </c>
      <c r="B9" s="180">
        <v>28310092500254</v>
      </c>
      <c r="C9" s="170" t="s">
        <v>137</v>
      </c>
      <c r="D9" s="177">
        <v>691.74</v>
      </c>
      <c r="E9" s="177"/>
      <c r="F9" s="177">
        <v>3.41</v>
      </c>
      <c r="G9" s="177"/>
      <c r="H9" s="172">
        <v>145</v>
      </c>
      <c r="I9" s="177"/>
      <c r="J9" s="173"/>
      <c r="K9" s="177"/>
      <c r="L9" s="177"/>
      <c r="M9" s="181"/>
      <c r="N9" s="181"/>
      <c r="O9" s="175">
        <f t="shared" si="0"/>
        <v>145</v>
      </c>
      <c r="P9" s="182">
        <f>'[2]شامل الضريبة2017 (5)'!C18</f>
        <v>1581.2299999999998</v>
      </c>
      <c r="Q9" s="177"/>
      <c r="R9" s="177">
        <v>259</v>
      </c>
      <c r="S9" s="165">
        <v>13983.76</v>
      </c>
      <c r="T9" s="183"/>
      <c r="U9" s="177"/>
      <c r="V9" s="166">
        <f t="shared" si="1"/>
        <v>0</v>
      </c>
      <c r="W9" s="177">
        <v>7.15</v>
      </c>
      <c r="X9" s="177">
        <v>5.2</v>
      </c>
      <c r="Y9" s="184">
        <f>'[2]شامل الضريبة2017 (5)'!M18</f>
        <v>5.2499999999999991</v>
      </c>
      <c r="Z9" s="177"/>
      <c r="AA9" s="177"/>
      <c r="AB9" s="184">
        <f>'[2]شامل الضريبة2017 (5)'!N18</f>
        <v>9.120000000000001</v>
      </c>
      <c r="AC9" s="178" t="s">
        <v>303</v>
      </c>
    </row>
    <row r="10" spans="1:30" ht="18.75" hidden="1" thickBot="1" x14ac:dyDescent="0.3">
      <c r="A10" s="186">
        <v>2</v>
      </c>
      <c r="B10" s="169">
        <v>26803042500074</v>
      </c>
      <c r="C10" s="170" t="s">
        <v>304</v>
      </c>
      <c r="D10" s="171">
        <v>1749.82</v>
      </c>
      <c r="E10" s="171">
        <v>412.47</v>
      </c>
      <c r="F10" s="171">
        <v>82.76</v>
      </c>
      <c r="G10" s="171"/>
      <c r="H10" s="172">
        <v>150</v>
      </c>
      <c r="I10" s="171"/>
      <c r="J10" s="173"/>
      <c r="K10" s="171"/>
      <c r="L10" s="171"/>
      <c r="M10" s="174"/>
      <c r="N10" s="174"/>
      <c r="O10" s="175">
        <f t="shared" si="0"/>
        <v>150</v>
      </c>
      <c r="P10" s="176"/>
      <c r="Q10" s="171"/>
      <c r="R10" s="177">
        <v>525.55999999999995</v>
      </c>
      <c r="S10" s="165">
        <v>27982.060000000005</v>
      </c>
      <c r="T10" s="176">
        <v>6.66</v>
      </c>
      <c r="U10" s="171"/>
      <c r="V10" s="166">
        <f t="shared" si="1"/>
        <v>6.66</v>
      </c>
      <c r="W10" s="171">
        <v>15.75</v>
      </c>
      <c r="X10" s="177">
        <v>17.149999999999999</v>
      </c>
      <c r="Y10" s="177"/>
      <c r="Z10" s="171">
        <v>99.84</v>
      </c>
      <c r="AA10" s="177">
        <v>22.7</v>
      </c>
      <c r="AB10" s="177"/>
      <c r="AC10" s="178" t="s">
        <v>297</v>
      </c>
    </row>
    <row r="11" spans="1:30" ht="18.75" hidden="1" thickBot="1" x14ac:dyDescent="0.3">
      <c r="A11" s="179">
        <v>3</v>
      </c>
      <c r="B11" s="169">
        <v>26711282500274</v>
      </c>
      <c r="C11" s="170" t="s">
        <v>305</v>
      </c>
      <c r="D11" s="171">
        <v>1698.92</v>
      </c>
      <c r="E11" s="171">
        <v>388.46</v>
      </c>
      <c r="F11" s="171">
        <v>78.62</v>
      </c>
      <c r="G11" s="171"/>
      <c r="H11" s="172">
        <v>150</v>
      </c>
      <c r="I11" s="171"/>
      <c r="J11" s="173"/>
      <c r="K11" s="171"/>
      <c r="L11" s="171"/>
      <c r="M11" s="174"/>
      <c r="N11" s="174"/>
      <c r="O11" s="175">
        <f t="shared" si="0"/>
        <v>150</v>
      </c>
      <c r="P11" s="176"/>
      <c r="Q11" s="171"/>
      <c r="R11" s="177">
        <v>506.66</v>
      </c>
      <c r="S11" s="165">
        <v>27003.390000000003</v>
      </c>
      <c r="T11" s="176"/>
      <c r="U11" s="171"/>
      <c r="V11" s="166">
        <f t="shared" si="1"/>
        <v>0</v>
      </c>
      <c r="W11" s="171">
        <v>15.2</v>
      </c>
      <c r="X11" s="177">
        <v>16.649999999999999</v>
      </c>
      <c r="Y11" s="177"/>
      <c r="Z11" s="171">
        <v>93.52</v>
      </c>
      <c r="AA11" s="177">
        <v>21.33</v>
      </c>
      <c r="AB11" s="177"/>
      <c r="AC11" s="178" t="s">
        <v>297</v>
      </c>
    </row>
    <row r="12" spans="1:30" ht="18.75" hidden="1" thickBot="1" x14ac:dyDescent="0.3">
      <c r="A12" s="186">
        <v>4</v>
      </c>
      <c r="B12" s="169">
        <v>26204272600131</v>
      </c>
      <c r="C12" s="170" t="s">
        <v>306</v>
      </c>
      <c r="D12" s="171">
        <v>1749.82</v>
      </c>
      <c r="E12" s="171">
        <v>412.47</v>
      </c>
      <c r="F12" s="171">
        <v>83.98</v>
      </c>
      <c r="G12" s="171"/>
      <c r="H12" s="172">
        <v>150</v>
      </c>
      <c r="I12" s="171"/>
      <c r="J12" s="173"/>
      <c r="K12" s="171"/>
      <c r="L12" s="171"/>
      <c r="M12" s="174"/>
      <c r="N12" s="174"/>
      <c r="O12" s="175">
        <f t="shared" si="0"/>
        <v>150</v>
      </c>
      <c r="P12" s="176"/>
      <c r="Q12" s="171"/>
      <c r="R12" s="177">
        <v>525.55999999999995</v>
      </c>
      <c r="S12" s="165">
        <v>29159.999999999996</v>
      </c>
      <c r="T12" s="176">
        <v>16.739999999999998</v>
      </c>
      <c r="U12" s="171"/>
      <c r="V12" s="166">
        <f t="shared" si="1"/>
        <v>16.739999999999998</v>
      </c>
      <c r="W12" s="171">
        <v>15.75</v>
      </c>
      <c r="X12" s="177">
        <v>17.100000000000001</v>
      </c>
      <c r="Y12" s="177"/>
      <c r="Z12" s="171">
        <v>98.84</v>
      </c>
      <c r="AA12" s="177">
        <v>22.5</v>
      </c>
      <c r="AB12" s="177"/>
      <c r="AC12" s="178" t="s">
        <v>297</v>
      </c>
    </row>
    <row r="13" spans="1:30" ht="18.75" hidden="1" thickBot="1" x14ac:dyDescent="0.3">
      <c r="A13" s="179">
        <v>5</v>
      </c>
      <c r="B13" s="169">
        <v>26010222500251</v>
      </c>
      <c r="C13" s="170" t="s">
        <v>307</v>
      </c>
      <c r="D13" s="171">
        <v>2086.39</v>
      </c>
      <c r="E13" s="171">
        <v>567.27</v>
      </c>
      <c r="F13" s="171">
        <v>101.48</v>
      </c>
      <c r="G13" s="171"/>
      <c r="H13" s="172">
        <v>150</v>
      </c>
      <c r="I13" s="171"/>
      <c r="J13" s="173"/>
      <c r="K13" s="171"/>
      <c r="L13" s="171"/>
      <c r="M13" s="174"/>
      <c r="N13" s="174"/>
      <c r="O13" s="175">
        <f t="shared" si="0"/>
        <v>150</v>
      </c>
      <c r="P13" s="176"/>
      <c r="Q13" s="171"/>
      <c r="R13" s="177">
        <v>647.45000000000005</v>
      </c>
      <c r="S13" s="165">
        <v>29160.000000000004</v>
      </c>
      <c r="T13" s="176"/>
      <c r="U13" s="171"/>
      <c r="V13" s="166">
        <f t="shared" si="1"/>
        <v>0</v>
      </c>
      <c r="W13" s="171">
        <v>19.149999999999999</v>
      </c>
      <c r="X13" s="177">
        <v>20.8</v>
      </c>
      <c r="Y13" s="177"/>
      <c r="Z13" s="171">
        <v>145.47</v>
      </c>
      <c r="AA13" s="177">
        <v>32.28</v>
      </c>
      <c r="AB13" s="177"/>
      <c r="AC13" s="178" t="s">
        <v>297</v>
      </c>
    </row>
    <row r="14" spans="1:30" ht="18.75" hidden="1" thickBot="1" x14ac:dyDescent="0.3">
      <c r="A14" s="186">
        <v>6</v>
      </c>
      <c r="B14" s="169">
        <v>26701012702295</v>
      </c>
      <c r="C14" s="170" t="s">
        <v>308</v>
      </c>
      <c r="D14" s="171">
        <v>1882.91</v>
      </c>
      <c r="E14" s="171">
        <v>603.28</v>
      </c>
      <c r="F14" s="171">
        <v>94.12</v>
      </c>
      <c r="G14" s="171">
        <v>60.88</v>
      </c>
      <c r="H14" s="172">
        <v>150</v>
      </c>
      <c r="I14" s="171"/>
      <c r="J14" s="173"/>
      <c r="K14" s="171"/>
      <c r="L14" s="171"/>
      <c r="M14" s="174"/>
      <c r="N14" s="174"/>
      <c r="O14" s="175">
        <f t="shared" si="0"/>
        <v>150</v>
      </c>
      <c r="P14" s="176"/>
      <c r="Q14" s="171"/>
      <c r="R14" s="177">
        <v>608.87</v>
      </c>
      <c r="S14" s="165">
        <v>29160</v>
      </c>
      <c r="T14" s="176"/>
      <c r="U14" s="171"/>
      <c r="V14" s="166">
        <f t="shared" si="1"/>
        <v>0</v>
      </c>
      <c r="W14" s="171">
        <v>18.399999999999999</v>
      </c>
      <c r="X14" s="177">
        <v>19.95</v>
      </c>
      <c r="Y14" s="177"/>
      <c r="Z14" s="171">
        <v>135.46</v>
      </c>
      <c r="AA14" s="177">
        <v>30.05</v>
      </c>
      <c r="AB14" s="177"/>
      <c r="AC14" s="178" t="s">
        <v>297</v>
      </c>
    </row>
    <row r="15" spans="1:30" ht="18.75" hidden="1" thickBot="1" x14ac:dyDescent="0.3">
      <c r="A15" s="179">
        <v>7</v>
      </c>
      <c r="B15" s="169">
        <v>26504202500079</v>
      </c>
      <c r="C15" s="170" t="s">
        <v>309</v>
      </c>
      <c r="D15" s="171">
        <v>1618.69</v>
      </c>
      <c r="E15" s="171">
        <v>349.72</v>
      </c>
      <c r="F15" s="171">
        <v>74.44</v>
      </c>
      <c r="G15" s="171"/>
      <c r="H15" s="172">
        <v>95</v>
      </c>
      <c r="I15" s="171"/>
      <c r="J15" s="173"/>
      <c r="K15" s="171"/>
      <c r="L15" s="171"/>
      <c r="M15" s="174"/>
      <c r="N15" s="174"/>
      <c r="O15" s="175">
        <f t="shared" si="0"/>
        <v>95</v>
      </c>
      <c r="P15" s="176"/>
      <c r="Q15" s="171"/>
      <c r="R15" s="177">
        <v>477.73</v>
      </c>
      <c r="S15" s="165">
        <v>26435.119999999999</v>
      </c>
      <c r="T15" s="176">
        <v>5.76</v>
      </c>
      <c r="U15" s="171"/>
      <c r="V15" s="166">
        <f t="shared" si="1"/>
        <v>5.76</v>
      </c>
      <c r="W15" s="171">
        <v>14</v>
      </c>
      <c r="X15" s="177">
        <v>15.35</v>
      </c>
      <c r="Y15" s="177"/>
      <c r="Z15" s="171">
        <v>76.599999999999994</v>
      </c>
      <c r="AA15" s="177">
        <v>17.87</v>
      </c>
      <c r="AB15" s="177"/>
      <c r="AC15" s="178" t="s">
        <v>297</v>
      </c>
    </row>
    <row r="16" spans="1:30" ht="18.75" hidden="1" thickBot="1" x14ac:dyDescent="0.3">
      <c r="A16" s="186">
        <v>8</v>
      </c>
      <c r="B16" s="169">
        <v>27509192800309</v>
      </c>
      <c r="C16" s="170" t="s">
        <v>310</v>
      </c>
      <c r="D16" s="171">
        <v>1456.07</v>
      </c>
      <c r="E16" s="171">
        <v>201.82</v>
      </c>
      <c r="F16" s="171">
        <v>47.85</v>
      </c>
      <c r="G16" s="171"/>
      <c r="H16" s="172">
        <v>95</v>
      </c>
      <c r="I16" s="171"/>
      <c r="J16" s="173"/>
      <c r="K16" s="171"/>
      <c r="L16" s="171"/>
      <c r="M16" s="174"/>
      <c r="N16" s="174"/>
      <c r="O16" s="175">
        <f t="shared" si="0"/>
        <v>95</v>
      </c>
      <c r="P16" s="176"/>
      <c r="Q16" s="171"/>
      <c r="R16" s="177">
        <v>398.27</v>
      </c>
      <c r="S16" s="165">
        <v>21828</v>
      </c>
      <c r="T16" s="176">
        <v>1.4</v>
      </c>
      <c r="U16" s="171"/>
      <c r="V16" s="166">
        <f t="shared" si="1"/>
        <v>1.4</v>
      </c>
      <c r="W16" s="171">
        <v>11.7</v>
      </c>
      <c r="X16" s="177">
        <v>12.95</v>
      </c>
      <c r="Y16" s="177"/>
      <c r="Z16" s="171">
        <v>47.17</v>
      </c>
      <c r="AA16" s="177">
        <v>11.54</v>
      </c>
      <c r="AB16" s="177"/>
      <c r="AC16" s="178" t="s">
        <v>297</v>
      </c>
    </row>
    <row r="17" spans="1:29" ht="18.75" hidden="1" thickBot="1" x14ac:dyDescent="0.3">
      <c r="A17" s="179">
        <v>9</v>
      </c>
      <c r="B17" s="169">
        <v>27504192500141</v>
      </c>
      <c r="C17" s="170" t="s">
        <v>311</v>
      </c>
      <c r="D17" s="171">
        <v>1646.73</v>
      </c>
      <c r="E17" s="171">
        <v>360.9</v>
      </c>
      <c r="F17" s="171">
        <v>75.459999999999994</v>
      </c>
      <c r="G17" s="171"/>
      <c r="H17" s="172">
        <v>50</v>
      </c>
      <c r="I17" s="171"/>
      <c r="J17" s="173"/>
      <c r="K17" s="171"/>
      <c r="L17" s="171"/>
      <c r="M17" s="174"/>
      <c r="N17" s="174"/>
      <c r="O17" s="175">
        <f t="shared" si="0"/>
        <v>50</v>
      </c>
      <c r="P17" s="176"/>
      <c r="Q17" s="171"/>
      <c r="R17" s="177">
        <v>488.1</v>
      </c>
      <c r="S17" s="165">
        <v>26211.61</v>
      </c>
      <c r="T17" s="176"/>
      <c r="U17" s="171"/>
      <c r="V17" s="166">
        <f t="shared" si="1"/>
        <v>0</v>
      </c>
      <c r="W17" s="171">
        <v>13.9</v>
      </c>
      <c r="X17" s="177">
        <v>15.3</v>
      </c>
      <c r="Y17" s="177"/>
      <c r="Z17" s="171">
        <v>76.27</v>
      </c>
      <c r="AA17" s="177">
        <v>17.760000000000002</v>
      </c>
      <c r="AB17" s="177"/>
      <c r="AC17" s="178" t="s">
        <v>297</v>
      </c>
    </row>
    <row r="18" spans="1:29" ht="18.75" hidden="1" thickBot="1" x14ac:dyDescent="0.3">
      <c r="A18" s="186">
        <v>10</v>
      </c>
      <c r="B18" s="169">
        <v>28004182500101</v>
      </c>
      <c r="C18" s="170" t="s">
        <v>312</v>
      </c>
      <c r="D18" s="171">
        <v>1467.87</v>
      </c>
      <c r="E18" s="171">
        <v>208.17</v>
      </c>
      <c r="F18" s="171">
        <v>49.7</v>
      </c>
      <c r="G18" s="171"/>
      <c r="H18" s="172">
        <v>140</v>
      </c>
      <c r="I18" s="171"/>
      <c r="J18" s="173"/>
      <c r="K18" s="171"/>
      <c r="L18" s="171"/>
      <c r="M18" s="174"/>
      <c r="N18" s="174"/>
      <c r="O18" s="175">
        <f t="shared" si="0"/>
        <v>140</v>
      </c>
      <c r="P18" s="176"/>
      <c r="Q18" s="171"/>
      <c r="R18" s="177">
        <v>403.27</v>
      </c>
      <c r="S18" s="165">
        <v>21623.75</v>
      </c>
      <c r="T18" s="176"/>
      <c r="U18" s="171"/>
      <c r="V18" s="166">
        <f t="shared" si="1"/>
        <v>0</v>
      </c>
      <c r="W18" s="171">
        <v>12.2</v>
      </c>
      <c r="X18" s="177">
        <v>13.45</v>
      </c>
      <c r="Y18" s="177"/>
      <c r="Z18" s="171">
        <v>53.63</v>
      </c>
      <c r="AA18" s="177">
        <v>12.86</v>
      </c>
      <c r="AB18" s="177"/>
      <c r="AC18" s="178" t="s">
        <v>297</v>
      </c>
    </row>
    <row r="19" spans="1:29" ht="18.75" hidden="1" thickBot="1" x14ac:dyDescent="0.3">
      <c r="A19" s="179">
        <v>11</v>
      </c>
      <c r="B19" s="169">
        <v>26911302500062</v>
      </c>
      <c r="C19" s="170" t="s">
        <v>313</v>
      </c>
      <c r="D19" s="171">
        <v>1777.99</v>
      </c>
      <c r="E19" s="171">
        <v>417.11</v>
      </c>
      <c r="F19" s="171">
        <v>82.69</v>
      </c>
      <c r="G19" s="171">
        <v>53.23</v>
      </c>
      <c r="H19" s="172">
        <v>145</v>
      </c>
      <c r="I19" s="171"/>
      <c r="J19" s="173"/>
      <c r="K19" s="171"/>
      <c r="L19" s="171"/>
      <c r="M19" s="174"/>
      <c r="N19" s="174"/>
      <c r="O19" s="175">
        <f t="shared" si="0"/>
        <v>145</v>
      </c>
      <c r="P19" s="176"/>
      <c r="Q19" s="171"/>
      <c r="R19" s="177">
        <v>532.36</v>
      </c>
      <c r="S19" s="165">
        <v>28338.23</v>
      </c>
      <c r="T19" s="176"/>
      <c r="U19" s="171"/>
      <c r="V19" s="166">
        <f t="shared" si="1"/>
        <v>0</v>
      </c>
      <c r="W19" s="171">
        <v>16.25</v>
      </c>
      <c r="X19" s="177">
        <v>18.45</v>
      </c>
      <c r="Y19" s="177"/>
      <c r="Z19" s="171">
        <v>107.57</v>
      </c>
      <c r="AA19" s="177">
        <v>26.08</v>
      </c>
      <c r="AB19" s="177"/>
      <c r="AC19" s="178" t="s">
        <v>297</v>
      </c>
    </row>
    <row r="20" spans="1:29" ht="18.75" hidden="1" thickBot="1" x14ac:dyDescent="0.3">
      <c r="A20" s="186">
        <v>12</v>
      </c>
      <c r="B20" s="169">
        <v>27212112501371</v>
      </c>
      <c r="C20" s="170" t="s">
        <v>314</v>
      </c>
      <c r="D20" s="171">
        <v>1578.28</v>
      </c>
      <c r="E20" s="171">
        <v>334.08</v>
      </c>
      <c r="F20" s="171">
        <v>72.38</v>
      </c>
      <c r="G20" s="171"/>
      <c r="H20" s="172">
        <v>140</v>
      </c>
      <c r="I20" s="171"/>
      <c r="J20" s="173"/>
      <c r="K20" s="171"/>
      <c r="L20" s="171"/>
      <c r="M20" s="174"/>
      <c r="N20" s="174"/>
      <c r="O20" s="175">
        <f t="shared" si="0"/>
        <v>140</v>
      </c>
      <c r="P20" s="176"/>
      <c r="Q20" s="171"/>
      <c r="R20" s="177">
        <v>463.82</v>
      </c>
      <c r="S20" s="165">
        <v>25398.230000000003</v>
      </c>
      <c r="T20" s="176">
        <v>2.31</v>
      </c>
      <c r="U20" s="171"/>
      <c r="V20" s="166">
        <f t="shared" si="1"/>
        <v>2.31</v>
      </c>
      <c r="W20" s="171">
        <v>13.95</v>
      </c>
      <c r="X20" s="177">
        <v>15.25</v>
      </c>
      <c r="Y20" s="177"/>
      <c r="Z20" s="171">
        <v>76.28</v>
      </c>
      <c r="AA20" s="177">
        <v>17.62</v>
      </c>
      <c r="AB20" s="177"/>
      <c r="AC20" s="178" t="s">
        <v>297</v>
      </c>
    </row>
    <row r="21" spans="1:29" s="185" customFormat="1" ht="18.75" thickBot="1" x14ac:dyDescent="0.3">
      <c r="A21" s="179">
        <v>2</v>
      </c>
      <c r="B21" s="180">
        <v>28301132500091</v>
      </c>
      <c r="C21" s="170" t="s">
        <v>315</v>
      </c>
      <c r="D21" s="177">
        <v>1096.17</v>
      </c>
      <c r="E21" s="177"/>
      <c r="F21" s="177">
        <v>5.47</v>
      </c>
      <c r="G21" s="177"/>
      <c r="H21" s="172">
        <v>50</v>
      </c>
      <c r="I21" s="177"/>
      <c r="J21" s="173">
        <v>219.37</v>
      </c>
      <c r="K21" s="177"/>
      <c r="L21" s="177"/>
      <c r="M21" s="181"/>
      <c r="N21" s="181"/>
      <c r="O21" s="175">
        <f t="shared" si="0"/>
        <v>269.37</v>
      </c>
      <c r="P21" s="182">
        <f>'[2]شامل الضريبة2017 (5)'!C34</f>
        <v>2206.1999999999998</v>
      </c>
      <c r="Q21" s="177"/>
      <c r="R21" s="177">
        <v>260</v>
      </c>
      <c r="S21" s="165">
        <v>15638.889999999998</v>
      </c>
      <c r="T21" s="183">
        <v>5.26</v>
      </c>
      <c r="U21" s="177"/>
      <c r="V21" s="166">
        <f t="shared" si="1"/>
        <v>5.26</v>
      </c>
      <c r="W21" s="177">
        <v>7.35</v>
      </c>
      <c r="X21" s="177">
        <v>9.75</v>
      </c>
      <c r="Y21" s="184">
        <f>'[2]شامل الضريبة2017 (5)'!M34</f>
        <v>9.4999999999999982</v>
      </c>
      <c r="Z21" s="177"/>
      <c r="AA21" s="177">
        <v>3.04</v>
      </c>
      <c r="AB21" s="184">
        <f>'[2]شامل الضريبة2017 (5)'!N34</f>
        <v>57.080000000000005</v>
      </c>
      <c r="AC21" s="178" t="s">
        <v>303</v>
      </c>
    </row>
    <row r="22" spans="1:29" ht="18.75" hidden="1" thickBot="1" x14ac:dyDescent="0.3">
      <c r="A22" s="186">
        <v>14</v>
      </c>
      <c r="B22" s="169">
        <v>26911102500106</v>
      </c>
      <c r="C22" s="170" t="s">
        <v>316</v>
      </c>
      <c r="D22" s="171">
        <v>1826.19</v>
      </c>
      <c r="E22" s="171">
        <v>444.27</v>
      </c>
      <c r="F22" s="171">
        <v>86.02</v>
      </c>
      <c r="G22" s="171"/>
      <c r="H22" s="172">
        <v>100</v>
      </c>
      <c r="I22" s="171"/>
      <c r="J22" s="173"/>
      <c r="K22" s="171">
        <v>10</v>
      </c>
      <c r="L22" s="171">
        <v>30</v>
      </c>
      <c r="M22" s="174"/>
      <c r="N22" s="174"/>
      <c r="O22" s="175">
        <f t="shared" si="0"/>
        <v>140</v>
      </c>
      <c r="P22" s="176"/>
      <c r="Q22" s="171"/>
      <c r="R22" s="177">
        <v>553.74</v>
      </c>
      <c r="S22" s="165">
        <v>29160</v>
      </c>
      <c r="T22" s="176"/>
      <c r="U22" s="171"/>
      <c r="V22" s="166">
        <f t="shared" si="1"/>
        <v>0</v>
      </c>
      <c r="W22" s="171">
        <v>16.399999999999999</v>
      </c>
      <c r="X22" s="177">
        <v>17.899999999999999</v>
      </c>
      <c r="Y22" s="177"/>
      <c r="Z22" s="171">
        <v>108.95</v>
      </c>
      <c r="AA22" s="177">
        <v>24.69</v>
      </c>
      <c r="AB22" s="177"/>
      <c r="AC22" s="178" t="s">
        <v>297</v>
      </c>
    </row>
    <row r="23" spans="1:29" ht="18.75" hidden="1" thickBot="1" x14ac:dyDescent="0.3">
      <c r="A23" s="179">
        <v>15</v>
      </c>
      <c r="B23" s="169">
        <v>27205302500145</v>
      </c>
      <c r="C23" s="170" t="s">
        <v>317</v>
      </c>
      <c r="D23" s="171">
        <v>1557.42</v>
      </c>
      <c r="E23" s="171">
        <v>320.12</v>
      </c>
      <c r="F23" s="171">
        <v>70.92</v>
      </c>
      <c r="G23" s="171"/>
      <c r="H23" s="172">
        <v>145</v>
      </c>
      <c r="I23" s="171"/>
      <c r="J23" s="173"/>
      <c r="K23" s="171"/>
      <c r="L23" s="171"/>
      <c r="M23" s="174"/>
      <c r="N23" s="174"/>
      <c r="O23" s="175">
        <f t="shared" si="0"/>
        <v>145</v>
      </c>
      <c r="P23" s="176"/>
      <c r="Q23" s="171"/>
      <c r="R23" s="177">
        <v>455.98</v>
      </c>
      <c r="S23" s="165">
        <v>25915.89</v>
      </c>
      <c r="T23" s="176">
        <v>2.23</v>
      </c>
      <c r="U23" s="171"/>
      <c r="V23" s="166">
        <f t="shared" si="1"/>
        <v>2.23</v>
      </c>
      <c r="W23" s="171">
        <v>13.7</v>
      </c>
      <c r="X23" s="177">
        <v>14.9</v>
      </c>
      <c r="Y23" s="177"/>
      <c r="Z23" s="171">
        <v>73.58</v>
      </c>
      <c r="AA23" s="177">
        <v>16.71</v>
      </c>
      <c r="AB23" s="177"/>
      <c r="AC23" s="178" t="s">
        <v>297</v>
      </c>
    </row>
    <row r="24" spans="1:29" ht="18.75" hidden="1" thickBot="1" x14ac:dyDescent="0.3">
      <c r="A24" s="186">
        <v>16</v>
      </c>
      <c r="B24" s="169">
        <v>25802082501359</v>
      </c>
      <c r="C24" s="170" t="s">
        <v>318</v>
      </c>
      <c r="D24" s="171">
        <v>2285.12</v>
      </c>
      <c r="E24" s="171">
        <v>785.92</v>
      </c>
      <c r="F24" s="171">
        <v>120.46</v>
      </c>
      <c r="G24" s="171">
        <v>225.8</v>
      </c>
      <c r="H24" s="172">
        <v>150</v>
      </c>
      <c r="I24" s="171"/>
      <c r="J24" s="173"/>
      <c r="K24" s="171"/>
      <c r="L24" s="171"/>
      <c r="M24" s="174"/>
      <c r="N24" s="174"/>
      <c r="O24" s="175">
        <f t="shared" si="0"/>
        <v>150</v>
      </c>
      <c r="P24" s="176"/>
      <c r="Q24" s="171"/>
      <c r="R24" s="177">
        <v>752.67</v>
      </c>
      <c r="S24" s="165">
        <v>29160</v>
      </c>
      <c r="T24" s="176">
        <v>15.92</v>
      </c>
      <c r="U24" s="171">
        <v>9.74</v>
      </c>
      <c r="V24" s="166">
        <f t="shared" si="1"/>
        <v>25.66</v>
      </c>
      <c r="W24" s="171">
        <v>23.65</v>
      </c>
      <c r="X24" s="177">
        <v>25.35</v>
      </c>
      <c r="Y24" s="177"/>
      <c r="Z24" s="171">
        <v>206.47</v>
      </c>
      <c r="AA24" s="177">
        <v>142.72</v>
      </c>
      <c r="AB24" s="177"/>
      <c r="AC24" s="178" t="s">
        <v>297</v>
      </c>
    </row>
    <row r="25" spans="1:29" ht="18.75" hidden="1" thickBot="1" x14ac:dyDescent="0.3">
      <c r="A25" s="179">
        <v>17</v>
      </c>
      <c r="B25" s="169">
        <v>26709142500199</v>
      </c>
      <c r="C25" s="170" t="s">
        <v>319</v>
      </c>
      <c r="D25" s="171">
        <v>1708.39</v>
      </c>
      <c r="E25" s="171">
        <v>392.88</v>
      </c>
      <c r="F25" s="171">
        <v>79.45</v>
      </c>
      <c r="G25" s="171"/>
      <c r="H25" s="172">
        <v>150</v>
      </c>
      <c r="I25" s="171"/>
      <c r="J25" s="173"/>
      <c r="K25" s="171"/>
      <c r="L25" s="171"/>
      <c r="M25" s="174"/>
      <c r="N25" s="174"/>
      <c r="O25" s="175">
        <f t="shared" si="0"/>
        <v>150</v>
      </c>
      <c r="P25" s="176"/>
      <c r="Q25" s="171"/>
      <c r="R25" s="177">
        <v>510.13</v>
      </c>
      <c r="S25" s="165">
        <v>27560.809999999998</v>
      </c>
      <c r="T25" s="176">
        <v>1.39</v>
      </c>
      <c r="U25" s="171"/>
      <c r="V25" s="166">
        <f t="shared" si="1"/>
        <v>1.39</v>
      </c>
      <c r="W25" s="171">
        <v>15.3</v>
      </c>
      <c r="X25" s="177">
        <v>16.75</v>
      </c>
      <c r="Y25" s="177"/>
      <c r="Z25" s="171">
        <v>94.69</v>
      </c>
      <c r="AA25" s="177">
        <v>21.58</v>
      </c>
      <c r="AB25" s="177"/>
      <c r="AC25" s="178" t="s">
        <v>297</v>
      </c>
    </row>
    <row r="26" spans="1:29" ht="18.75" hidden="1" thickBot="1" x14ac:dyDescent="0.3">
      <c r="A26" s="186">
        <v>18</v>
      </c>
      <c r="B26" s="169">
        <v>25808252500474</v>
      </c>
      <c r="C26" s="170" t="s">
        <v>320</v>
      </c>
      <c r="D26" s="171">
        <v>2296.5700000000002</v>
      </c>
      <c r="E26" s="171">
        <v>663.02</v>
      </c>
      <c r="F26" s="171">
        <v>113.8</v>
      </c>
      <c r="G26" s="171"/>
      <c r="H26" s="172">
        <v>150</v>
      </c>
      <c r="I26" s="171"/>
      <c r="J26" s="173"/>
      <c r="K26" s="171"/>
      <c r="L26" s="171"/>
      <c r="M26" s="174"/>
      <c r="N26" s="174"/>
      <c r="O26" s="175">
        <f t="shared" si="0"/>
        <v>150</v>
      </c>
      <c r="P26" s="176"/>
      <c r="Q26" s="171"/>
      <c r="R26" s="177">
        <v>722.83</v>
      </c>
      <c r="S26" s="165">
        <v>29160.010000000002</v>
      </c>
      <c r="T26" s="176">
        <v>0.56000000000000005</v>
      </c>
      <c r="U26" s="171">
        <v>2.84</v>
      </c>
      <c r="V26" s="166">
        <f t="shared" si="1"/>
        <v>3.4</v>
      </c>
      <c r="W26" s="171">
        <v>21.25</v>
      </c>
      <c r="X26" s="177">
        <v>23</v>
      </c>
      <c r="Y26" s="177"/>
      <c r="Z26" s="171">
        <v>173.34</v>
      </c>
      <c r="AA26" s="177">
        <v>114.54</v>
      </c>
      <c r="AB26" s="177"/>
      <c r="AC26" s="178" t="s">
        <v>297</v>
      </c>
    </row>
    <row r="27" spans="1:29" ht="18.75" hidden="1" thickBot="1" x14ac:dyDescent="0.3">
      <c r="A27" s="179">
        <v>19</v>
      </c>
      <c r="B27" s="169">
        <v>27703012500133</v>
      </c>
      <c r="C27" s="170" t="s">
        <v>321</v>
      </c>
      <c r="D27" s="171">
        <v>1500.56</v>
      </c>
      <c r="E27" s="171">
        <v>298.57</v>
      </c>
      <c r="F27" s="171">
        <v>63.67</v>
      </c>
      <c r="G27" s="171"/>
      <c r="H27" s="172">
        <v>150</v>
      </c>
      <c r="I27" s="171"/>
      <c r="J27" s="173"/>
      <c r="K27" s="171"/>
      <c r="L27" s="171"/>
      <c r="M27" s="174"/>
      <c r="N27" s="174"/>
      <c r="O27" s="175">
        <f t="shared" si="0"/>
        <v>150</v>
      </c>
      <c r="P27" s="176"/>
      <c r="Q27" s="171"/>
      <c r="R27" s="177">
        <v>435.86</v>
      </c>
      <c r="S27" s="165">
        <v>24451.599999999999</v>
      </c>
      <c r="T27" s="176"/>
      <c r="U27" s="171"/>
      <c r="V27" s="166">
        <f t="shared" si="1"/>
        <v>0</v>
      </c>
      <c r="W27" s="171">
        <v>13.2</v>
      </c>
      <c r="X27" s="177">
        <v>14.45</v>
      </c>
      <c r="Y27" s="177"/>
      <c r="Z27" s="171">
        <v>66.73</v>
      </c>
      <c r="AA27" s="177">
        <v>15.54</v>
      </c>
      <c r="AB27" s="177"/>
      <c r="AC27" s="178" t="s">
        <v>297</v>
      </c>
    </row>
    <row r="28" spans="1:29" ht="18.75" hidden="1" thickBot="1" x14ac:dyDescent="0.3">
      <c r="A28" s="186">
        <v>20</v>
      </c>
      <c r="B28" s="169">
        <v>25811052501779</v>
      </c>
      <c r="C28" s="170" t="s">
        <v>322</v>
      </c>
      <c r="D28" s="171">
        <v>2507.92</v>
      </c>
      <c r="E28" s="171">
        <v>889.65</v>
      </c>
      <c r="F28" s="171">
        <v>130.85</v>
      </c>
      <c r="G28" s="171">
        <v>83.43</v>
      </c>
      <c r="H28" s="172">
        <v>150</v>
      </c>
      <c r="I28" s="171"/>
      <c r="J28" s="173"/>
      <c r="K28" s="171"/>
      <c r="L28" s="171"/>
      <c r="M28" s="174"/>
      <c r="N28" s="174"/>
      <c r="O28" s="175">
        <f t="shared" si="0"/>
        <v>150</v>
      </c>
      <c r="P28" s="176"/>
      <c r="Q28" s="171"/>
      <c r="R28" s="177">
        <v>834.34</v>
      </c>
      <c r="S28" s="165">
        <v>29160</v>
      </c>
      <c r="T28" s="176"/>
      <c r="U28" s="171"/>
      <c r="V28" s="166">
        <f t="shared" si="1"/>
        <v>0</v>
      </c>
      <c r="W28" s="171">
        <v>25.05</v>
      </c>
      <c r="X28" s="177">
        <v>27</v>
      </c>
      <c r="Y28" s="177"/>
      <c r="Z28" s="171">
        <v>237.33</v>
      </c>
      <c r="AA28" s="177">
        <v>162.46</v>
      </c>
      <c r="AB28" s="177"/>
      <c r="AC28" s="178" t="s">
        <v>297</v>
      </c>
    </row>
    <row r="29" spans="1:29" ht="18.75" hidden="1" thickBot="1" x14ac:dyDescent="0.3">
      <c r="A29" s="179">
        <v>21</v>
      </c>
      <c r="B29" s="169">
        <v>26702152500371</v>
      </c>
      <c r="C29" s="170" t="s">
        <v>323</v>
      </c>
      <c r="D29" s="171">
        <v>1754.49</v>
      </c>
      <c r="E29" s="171">
        <v>413.96</v>
      </c>
      <c r="F29" s="171">
        <v>82.37</v>
      </c>
      <c r="G29" s="171"/>
      <c r="H29" s="172">
        <v>150</v>
      </c>
      <c r="I29" s="171"/>
      <c r="J29" s="173"/>
      <c r="K29" s="171"/>
      <c r="L29" s="171"/>
      <c r="M29" s="174"/>
      <c r="N29" s="174"/>
      <c r="O29" s="175">
        <f t="shared" si="0"/>
        <v>150</v>
      </c>
      <c r="P29" s="176"/>
      <c r="Q29" s="171"/>
      <c r="R29" s="177">
        <v>526.74</v>
      </c>
      <c r="S29" s="165">
        <v>29160</v>
      </c>
      <c r="T29" s="176"/>
      <c r="U29" s="171"/>
      <c r="V29" s="166">
        <f t="shared" si="1"/>
        <v>0</v>
      </c>
      <c r="W29" s="171">
        <v>15.8</v>
      </c>
      <c r="X29" s="177">
        <v>17.25</v>
      </c>
      <c r="Y29" s="177"/>
      <c r="Z29" s="171">
        <v>101.01</v>
      </c>
      <c r="AA29" s="177">
        <v>22.95</v>
      </c>
      <c r="AB29" s="177"/>
      <c r="AC29" s="178" t="s">
        <v>297</v>
      </c>
    </row>
    <row r="30" spans="1:29" ht="18.75" hidden="1" thickBot="1" x14ac:dyDescent="0.3">
      <c r="A30" s="186">
        <v>22</v>
      </c>
      <c r="B30" s="169">
        <v>26410192500194</v>
      </c>
      <c r="C30" s="170" t="s">
        <v>324</v>
      </c>
      <c r="D30" s="171">
        <v>1832.36</v>
      </c>
      <c r="E30" s="171">
        <v>446.05</v>
      </c>
      <c r="F30" s="171">
        <v>86.51</v>
      </c>
      <c r="G30" s="171">
        <v>55.19</v>
      </c>
      <c r="H30" s="172">
        <v>100</v>
      </c>
      <c r="I30" s="171"/>
      <c r="J30" s="173"/>
      <c r="K30" s="171"/>
      <c r="L30" s="171"/>
      <c r="M30" s="174"/>
      <c r="N30" s="174"/>
      <c r="O30" s="175">
        <f t="shared" si="0"/>
        <v>100</v>
      </c>
      <c r="P30" s="176"/>
      <c r="Q30" s="171"/>
      <c r="R30" s="177">
        <v>551.99</v>
      </c>
      <c r="S30" s="165">
        <v>29160</v>
      </c>
      <c r="T30" s="176"/>
      <c r="U30" s="171"/>
      <c r="V30" s="166">
        <f t="shared" si="1"/>
        <v>0</v>
      </c>
      <c r="W30" s="171">
        <v>16.55</v>
      </c>
      <c r="X30" s="177">
        <v>18.75</v>
      </c>
      <c r="Y30" s="177"/>
      <c r="Z30" s="171">
        <v>110.98</v>
      </c>
      <c r="AA30" s="177">
        <v>26.86</v>
      </c>
      <c r="AB30" s="177"/>
      <c r="AC30" s="178" t="s">
        <v>297</v>
      </c>
    </row>
    <row r="31" spans="1:29" ht="18.75" hidden="1" thickBot="1" x14ac:dyDescent="0.3">
      <c r="A31" s="179">
        <v>23</v>
      </c>
      <c r="B31" s="169">
        <v>26509222500395</v>
      </c>
      <c r="C31" s="170" t="s">
        <v>325</v>
      </c>
      <c r="D31" s="171">
        <v>1694.71</v>
      </c>
      <c r="E31" s="171">
        <v>387.57</v>
      </c>
      <c r="F31" s="171">
        <v>79.41</v>
      </c>
      <c r="G31" s="171"/>
      <c r="H31" s="172">
        <v>150</v>
      </c>
      <c r="I31" s="171"/>
      <c r="J31" s="173"/>
      <c r="K31" s="171"/>
      <c r="L31" s="171"/>
      <c r="M31" s="174"/>
      <c r="N31" s="174"/>
      <c r="O31" s="175">
        <f t="shared" si="0"/>
        <v>150</v>
      </c>
      <c r="P31" s="176"/>
      <c r="Q31" s="171"/>
      <c r="R31" s="177">
        <v>505.95</v>
      </c>
      <c r="S31" s="165">
        <v>28436.250000000004</v>
      </c>
      <c r="T31" s="176">
        <v>5.68</v>
      </c>
      <c r="U31" s="171"/>
      <c r="V31" s="166">
        <f t="shared" si="1"/>
        <v>5.68</v>
      </c>
      <c r="W31" s="171">
        <v>15.2</v>
      </c>
      <c r="X31" s="177">
        <v>16.55</v>
      </c>
      <c r="Y31" s="177"/>
      <c r="Z31" s="171">
        <v>92.57</v>
      </c>
      <c r="AA31" s="177">
        <v>21.13</v>
      </c>
      <c r="AB31" s="177"/>
      <c r="AC31" s="178" t="s">
        <v>297</v>
      </c>
    </row>
    <row r="32" spans="1:29" ht="18.75" hidden="1" thickBot="1" x14ac:dyDescent="0.3">
      <c r="A32" s="186">
        <v>24</v>
      </c>
      <c r="B32" s="169">
        <v>25807152500756</v>
      </c>
      <c r="C32" s="170" t="s">
        <v>326</v>
      </c>
      <c r="D32" s="171">
        <v>2278.46</v>
      </c>
      <c r="E32" s="171">
        <v>784.12</v>
      </c>
      <c r="F32" s="171">
        <v>116.98</v>
      </c>
      <c r="G32" s="171">
        <v>75.12</v>
      </c>
      <c r="H32" s="172">
        <v>150</v>
      </c>
      <c r="I32" s="171"/>
      <c r="J32" s="173"/>
      <c r="K32" s="171"/>
      <c r="L32" s="171"/>
      <c r="M32" s="174"/>
      <c r="N32" s="174"/>
      <c r="O32" s="175">
        <f t="shared" si="0"/>
        <v>150</v>
      </c>
      <c r="P32" s="176"/>
      <c r="Q32" s="171"/>
      <c r="R32" s="177">
        <v>751.26</v>
      </c>
      <c r="S32" s="165">
        <v>29160.000000000004</v>
      </c>
      <c r="T32" s="176"/>
      <c r="U32" s="171">
        <v>0.45</v>
      </c>
      <c r="V32" s="166">
        <f t="shared" si="1"/>
        <v>0.45</v>
      </c>
      <c r="W32" s="171">
        <v>22.5</v>
      </c>
      <c r="X32" s="177">
        <v>24.3</v>
      </c>
      <c r="Y32" s="177"/>
      <c r="Z32" s="171">
        <v>189.62</v>
      </c>
      <c r="AA32" s="177">
        <v>130.43</v>
      </c>
      <c r="AB32" s="177"/>
      <c r="AC32" s="178" t="s">
        <v>297</v>
      </c>
    </row>
    <row r="33" spans="1:29" ht="18.75" hidden="1" thickBot="1" x14ac:dyDescent="0.3">
      <c r="A33" s="179">
        <v>25</v>
      </c>
      <c r="B33" s="169">
        <v>27604102501777</v>
      </c>
      <c r="C33" s="170" t="s">
        <v>327</v>
      </c>
      <c r="D33" s="171">
        <v>1488.77</v>
      </c>
      <c r="E33" s="171">
        <v>292.22000000000003</v>
      </c>
      <c r="F33" s="171">
        <v>61.8</v>
      </c>
      <c r="G33" s="171"/>
      <c r="H33" s="172">
        <v>145</v>
      </c>
      <c r="I33" s="171"/>
      <c r="J33" s="173"/>
      <c r="K33" s="171"/>
      <c r="L33" s="171"/>
      <c r="M33" s="174"/>
      <c r="N33" s="174"/>
      <c r="O33" s="175">
        <f t="shared" si="0"/>
        <v>145</v>
      </c>
      <c r="P33" s="176"/>
      <c r="Q33" s="171"/>
      <c r="R33" s="177">
        <v>430.86</v>
      </c>
      <c r="S33" s="165"/>
      <c r="T33" s="176"/>
      <c r="U33" s="171"/>
      <c r="V33" s="166">
        <f t="shared" si="1"/>
        <v>0</v>
      </c>
      <c r="W33" s="171">
        <v>13</v>
      </c>
      <c r="X33" s="177"/>
      <c r="Y33" s="177"/>
      <c r="Z33" s="171">
        <v>64.47</v>
      </c>
      <c r="AA33" s="177"/>
      <c r="AB33" s="177"/>
      <c r="AC33" s="178" t="s">
        <v>297</v>
      </c>
    </row>
    <row r="34" spans="1:29" ht="18.75" hidden="1" thickBot="1" x14ac:dyDescent="0.3">
      <c r="A34" s="186">
        <v>26</v>
      </c>
      <c r="B34" s="169">
        <v>26912302500123</v>
      </c>
      <c r="C34" s="170" t="s">
        <v>328</v>
      </c>
      <c r="D34" s="171">
        <v>1849.46</v>
      </c>
      <c r="E34" s="171">
        <v>449.58</v>
      </c>
      <c r="F34" s="171">
        <v>86.85</v>
      </c>
      <c r="G34" s="171">
        <v>55.79</v>
      </c>
      <c r="H34" s="172">
        <v>100</v>
      </c>
      <c r="I34" s="171"/>
      <c r="J34" s="173"/>
      <c r="K34" s="171"/>
      <c r="L34" s="171"/>
      <c r="M34" s="174"/>
      <c r="N34" s="174"/>
      <c r="O34" s="175">
        <f t="shared" si="0"/>
        <v>100</v>
      </c>
      <c r="P34" s="176"/>
      <c r="Q34" s="171"/>
      <c r="R34" s="177">
        <v>557.92999999999995</v>
      </c>
      <c r="S34" s="165">
        <v>28739.030000000002</v>
      </c>
      <c r="T34" s="176"/>
      <c r="U34" s="171"/>
      <c r="V34" s="166">
        <f t="shared" si="1"/>
        <v>0</v>
      </c>
      <c r="W34" s="171">
        <v>16.649999999999999</v>
      </c>
      <c r="X34" s="177">
        <v>18.2</v>
      </c>
      <c r="Y34" s="177"/>
      <c r="Z34" s="171">
        <v>112.58</v>
      </c>
      <c r="AA34" s="177">
        <v>25.49</v>
      </c>
      <c r="AB34" s="177"/>
      <c r="AC34" s="178" t="s">
        <v>297</v>
      </c>
    </row>
    <row r="35" spans="1:29" ht="18.75" hidden="1" thickBot="1" x14ac:dyDescent="0.3">
      <c r="A35" s="179">
        <v>27</v>
      </c>
      <c r="B35" s="169">
        <v>27208012500329</v>
      </c>
      <c r="C35" s="170" t="s">
        <v>329</v>
      </c>
      <c r="D35" s="171">
        <v>1653.81</v>
      </c>
      <c r="E35" s="171">
        <v>292.52999999999997</v>
      </c>
      <c r="F35" s="171">
        <v>74.040000000000006</v>
      </c>
      <c r="G35" s="171"/>
      <c r="H35" s="172">
        <v>95</v>
      </c>
      <c r="I35" s="171"/>
      <c r="J35" s="173"/>
      <c r="K35" s="171"/>
      <c r="L35" s="171"/>
      <c r="M35" s="174"/>
      <c r="N35" s="174"/>
      <c r="O35" s="175">
        <f t="shared" si="0"/>
        <v>95</v>
      </c>
      <c r="P35" s="176"/>
      <c r="Q35" s="171"/>
      <c r="R35" s="177">
        <v>469.7</v>
      </c>
      <c r="S35" s="165">
        <v>22315.679999999997</v>
      </c>
      <c r="T35" s="176"/>
      <c r="U35" s="171"/>
      <c r="V35" s="166">
        <f t="shared" si="1"/>
        <v>0</v>
      </c>
      <c r="W35" s="171">
        <v>13.85</v>
      </c>
      <c r="X35" s="177">
        <v>15.25</v>
      </c>
      <c r="Y35" s="177"/>
      <c r="Z35" s="171">
        <v>75.28</v>
      </c>
      <c r="AA35" s="177">
        <v>17.600000000000001</v>
      </c>
      <c r="AB35" s="177"/>
      <c r="AC35" s="178" t="s">
        <v>297</v>
      </c>
    </row>
    <row r="36" spans="1:29" ht="18.75" hidden="1" thickBot="1" x14ac:dyDescent="0.3">
      <c r="A36" s="186">
        <v>28</v>
      </c>
      <c r="B36" s="169">
        <v>25811172501322</v>
      </c>
      <c r="C36" s="170" t="s">
        <v>330</v>
      </c>
      <c r="D36" s="171">
        <v>2710.19</v>
      </c>
      <c r="E36" s="171">
        <v>947.48</v>
      </c>
      <c r="F36" s="171">
        <v>150.28</v>
      </c>
      <c r="G36" s="171">
        <v>88.3</v>
      </c>
      <c r="H36" s="172">
        <v>50</v>
      </c>
      <c r="I36" s="171"/>
      <c r="J36" s="173"/>
      <c r="K36" s="171"/>
      <c r="L36" s="171"/>
      <c r="M36" s="174"/>
      <c r="N36" s="174"/>
      <c r="O36" s="175">
        <f t="shared" si="0"/>
        <v>50</v>
      </c>
      <c r="P36" s="176"/>
      <c r="Q36" s="171"/>
      <c r="R36" s="177">
        <v>883.04</v>
      </c>
      <c r="S36" s="165">
        <v>29160</v>
      </c>
      <c r="T36" s="176">
        <v>0.96</v>
      </c>
      <c r="U36" s="171"/>
      <c r="V36" s="166">
        <f t="shared" si="1"/>
        <v>0.96</v>
      </c>
      <c r="W36" s="171">
        <v>26.35</v>
      </c>
      <c r="X36" s="177">
        <v>28.45</v>
      </c>
      <c r="Y36" s="177"/>
      <c r="Z36" s="171">
        <v>263.48</v>
      </c>
      <c r="AA36" s="177">
        <v>179.32</v>
      </c>
      <c r="AB36" s="177"/>
      <c r="AC36" s="178" t="s">
        <v>297</v>
      </c>
    </row>
    <row r="37" spans="1:29" ht="18.75" hidden="1" thickBot="1" x14ac:dyDescent="0.3">
      <c r="A37" s="179">
        <v>29</v>
      </c>
      <c r="B37" s="169">
        <v>26507132500113</v>
      </c>
      <c r="C37" s="170" t="s">
        <v>331</v>
      </c>
      <c r="D37" s="171">
        <v>2101.14</v>
      </c>
      <c r="E37" s="171">
        <v>701.5</v>
      </c>
      <c r="F37" s="171">
        <v>106.48</v>
      </c>
      <c r="G37" s="171">
        <v>68.62</v>
      </c>
      <c r="H37" s="172">
        <v>145</v>
      </c>
      <c r="I37" s="171"/>
      <c r="J37" s="173"/>
      <c r="K37" s="171"/>
      <c r="L37" s="171"/>
      <c r="M37" s="174"/>
      <c r="N37" s="174"/>
      <c r="O37" s="175">
        <f t="shared" si="0"/>
        <v>145</v>
      </c>
      <c r="P37" s="176"/>
      <c r="Q37" s="171"/>
      <c r="R37" s="177">
        <v>686.21</v>
      </c>
      <c r="S37" s="165">
        <v>29160</v>
      </c>
      <c r="T37" s="176"/>
      <c r="U37" s="171"/>
      <c r="V37" s="166">
        <f t="shared" si="1"/>
        <v>0</v>
      </c>
      <c r="W37" s="171">
        <v>20.6</v>
      </c>
      <c r="X37" s="177">
        <v>22.25</v>
      </c>
      <c r="Y37" s="177"/>
      <c r="Z37" s="171">
        <v>164.7</v>
      </c>
      <c r="AA37" s="177">
        <v>36.1</v>
      </c>
      <c r="AB37" s="177"/>
      <c r="AC37" s="178" t="s">
        <v>297</v>
      </c>
    </row>
    <row r="38" spans="1:29" ht="18.75" hidden="1" thickBot="1" x14ac:dyDescent="0.3">
      <c r="A38" s="186">
        <v>30</v>
      </c>
      <c r="B38" s="169">
        <v>25712082502151</v>
      </c>
      <c r="C38" s="170" t="s">
        <v>332</v>
      </c>
      <c r="D38" s="171">
        <v>2506.0100000000002</v>
      </c>
      <c r="E38" s="171">
        <v>886.2</v>
      </c>
      <c r="F38" s="171">
        <v>134.99</v>
      </c>
      <c r="G38" s="171">
        <v>83.16</v>
      </c>
      <c r="H38" s="172">
        <v>100</v>
      </c>
      <c r="I38" s="171"/>
      <c r="J38" s="173"/>
      <c r="K38" s="171"/>
      <c r="L38" s="171">
        <v>30</v>
      </c>
      <c r="M38" s="174"/>
      <c r="N38" s="174">
        <v>37.5</v>
      </c>
      <c r="O38" s="175">
        <f t="shared" si="0"/>
        <v>167.5</v>
      </c>
      <c r="P38" s="176"/>
      <c r="Q38" s="171"/>
      <c r="R38" s="177">
        <v>831.66</v>
      </c>
      <c r="S38" s="165"/>
      <c r="T38" s="176">
        <v>0.8</v>
      </c>
      <c r="U38" s="171">
        <v>23.09</v>
      </c>
      <c r="V38" s="166">
        <f t="shared" si="1"/>
        <v>23.89</v>
      </c>
      <c r="W38" s="171">
        <v>25.15</v>
      </c>
      <c r="X38" s="177">
        <v>26.95</v>
      </c>
      <c r="Y38" s="177"/>
      <c r="Z38" s="171">
        <v>236.19</v>
      </c>
      <c r="AA38" s="177">
        <v>161.79</v>
      </c>
      <c r="AB38" s="177"/>
      <c r="AC38" s="178" t="s">
        <v>297</v>
      </c>
    </row>
    <row r="39" spans="1:29" ht="18.75" hidden="1" thickBot="1" x14ac:dyDescent="0.3">
      <c r="A39" s="179">
        <v>31</v>
      </c>
      <c r="B39" s="169">
        <v>27202262500032</v>
      </c>
      <c r="C39" s="170" t="s">
        <v>333</v>
      </c>
      <c r="D39" s="171">
        <v>1762.71</v>
      </c>
      <c r="E39" s="171">
        <v>414.06</v>
      </c>
      <c r="F39" s="171">
        <v>101.84</v>
      </c>
      <c r="G39" s="171">
        <v>52.68</v>
      </c>
      <c r="H39" s="172">
        <v>150</v>
      </c>
      <c r="I39" s="171"/>
      <c r="J39" s="173"/>
      <c r="K39" s="171"/>
      <c r="L39" s="171"/>
      <c r="M39" s="174"/>
      <c r="N39" s="174"/>
      <c r="O39" s="175">
        <f t="shared" si="0"/>
        <v>150</v>
      </c>
      <c r="P39" s="176"/>
      <c r="Q39" s="171"/>
      <c r="R39" s="177">
        <v>526.82000000000005</v>
      </c>
      <c r="S39" s="165">
        <v>25036.499999999996</v>
      </c>
      <c r="T39" s="176"/>
      <c r="U39" s="171">
        <v>152.4</v>
      </c>
      <c r="V39" s="166">
        <f t="shared" si="1"/>
        <v>152.4</v>
      </c>
      <c r="W39" s="171">
        <v>16.3</v>
      </c>
      <c r="X39" s="177">
        <v>17.3</v>
      </c>
      <c r="Y39" s="177"/>
      <c r="Z39" s="171">
        <v>92.88</v>
      </c>
      <c r="AA39" s="177">
        <v>23.12</v>
      </c>
      <c r="AB39" s="177"/>
      <c r="AC39" s="178" t="s">
        <v>297</v>
      </c>
    </row>
    <row r="40" spans="1:29" ht="18.75" hidden="1" thickBot="1" x14ac:dyDescent="0.3">
      <c r="A40" s="186">
        <v>32</v>
      </c>
      <c r="B40" s="169">
        <v>26709072500978</v>
      </c>
      <c r="C40" s="170" t="s">
        <v>334</v>
      </c>
      <c r="D40" s="171">
        <v>1602.58</v>
      </c>
      <c r="E40" s="171">
        <v>326.66000000000003</v>
      </c>
      <c r="F40" s="171">
        <v>72.53</v>
      </c>
      <c r="G40" s="171"/>
      <c r="H40" s="172">
        <v>150</v>
      </c>
      <c r="I40" s="171"/>
      <c r="J40" s="173"/>
      <c r="K40" s="171"/>
      <c r="L40" s="171"/>
      <c r="M40" s="174"/>
      <c r="N40" s="174"/>
      <c r="O40" s="175">
        <f t="shared" si="0"/>
        <v>150</v>
      </c>
      <c r="P40" s="176"/>
      <c r="Q40" s="171"/>
      <c r="R40" s="177">
        <v>457.98</v>
      </c>
      <c r="S40" s="165">
        <v>25305.91</v>
      </c>
      <c r="T40" s="176">
        <v>6.13</v>
      </c>
      <c r="U40" s="171"/>
      <c r="V40" s="166">
        <f t="shared" si="1"/>
        <v>6.13</v>
      </c>
      <c r="W40" s="171">
        <v>14.1</v>
      </c>
      <c r="X40" s="177">
        <v>15.45</v>
      </c>
      <c r="Y40" s="177"/>
      <c r="Z40" s="171">
        <v>78.08</v>
      </c>
      <c r="AA40" s="177">
        <v>18.100000000000001</v>
      </c>
      <c r="AB40" s="177"/>
      <c r="AC40" s="178" t="s">
        <v>297</v>
      </c>
    </row>
    <row r="41" spans="1:29" ht="18.75" hidden="1" thickBot="1" x14ac:dyDescent="0.3">
      <c r="A41" s="179">
        <v>33</v>
      </c>
      <c r="B41" s="169">
        <v>27003112500155</v>
      </c>
      <c r="C41" s="170" t="s">
        <v>335</v>
      </c>
      <c r="D41" s="171">
        <v>1453.1</v>
      </c>
      <c r="E41" s="171">
        <v>204.29</v>
      </c>
      <c r="F41" s="171">
        <v>47.82</v>
      </c>
      <c r="G41" s="171"/>
      <c r="H41" s="172">
        <v>50</v>
      </c>
      <c r="I41" s="171"/>
      <c r="J41" s="173"/>
      <c r="K41" s="171"/>
      <c r="L41" s="171"/>
      <c r="M41" s="174"/>
      <c r="N41" s="174"/>
      <c r="O41" s="175">
        <f t="shared" si="0"/>
        <v>50</v>
      </c>
      <c r="P41" s="176"/>
      <c r="Q41" s="171"/>
      <c r="R41" s="177">
        <v>397.07</v>
      </c>
      <c r="S41" s="165">
        <v>21690.69</v>
      </c>
      <c r="T41" s="176"/>
      <c r="U41" s="171"/>
      <c r="V41" s="166">
        <f t="shared" si="1"/>
        <v>0</v>
      </c>
      <c r="W41" s="171">
        <v>11.4</v>
      </c>
      <c r="X41" s="177">
        <v>12.6</v>
      </c>
      <c r="Y41" s="177"/>
      <c r="Z41" s="171">
        <v>42.89</v>
      </c>
      <c r="AA41" s="177">
        <v>10.68</v>
      </c>
      <c r="AB41" s="177"/>
      <c r="AC41" s="178" t="s">
        <v>297</v>
      </c>
    </row>
    <row r="42" spans="1:29" ht="18.75" hidden="1" thickBot="1" x14ac:dyDescent="0.3">
      <c r="A42" s="186">
        <v>34</v>
      </c>
      <c r="B42" s="169">
        <v>26006172500176</v>
      </c>
      <c r="C42" s="170" t="s">
        <v>336</v>
      </c>
      <c r="D42" s="171">
        <v>1721.82</v>
      </c>
      <c r="E42" s="171">
        <v>399.44</v>
      </c>
      <c r="F42" s="171">
        <v>81.709999999999994</v>
      </c>
      <c r="G42" s="171"/>
      <c r="H42" s="172">
        <v>150</v>
      </c>
      <c r="I42" s="171"/>
      <c r="J42" s="173"/>
      <c r="K42" s="171"/>
      <c r="L42" s="171"/>
      <c r="M42" s="174"/>
      <c r="N42" s="174"/>
      <c r="O42" s="175">
        <f t="shared" si="0"/>
        <v>150</v>
      </c>
      <c r="P42" s="176"/>
      <c r="Q42" s="171"/>
      <c r="R42" s="177">
        <v>515.29999999999995</v>
      </c>
      <c r="S42" s="165">
        <v>27605.35</v>
      </c>
      <c r="T42" s="176">
        <v>13.25</v>
      </c>
      <c r="U42" s="171"/>
      <c r="V42" s="166">
        <f t="shared" si="1"/>
        <v>13.25</v>
      </c>
      <c r="W42" s="171">
        <v>15.45</v>
      </c>
      <c r="X42" s="177">
        <v>16.8</v>
      </c>
      <c r="Y42" s="177"/>
      <c r="Z42" s="171">
        <v>95.46</v>
      </c>
      <c r="AA42" s="177">
        <v>21.77</v>
      </c>
      <c r="AB42" s="177"/>
      <c r="AC42" s="178" t="s">
        <v>297</v>
      </c>
    </row>
    <row r="43" spans="1:29" ht="18.75" hidden="1" thickBot="1" x14ac:dyDescent="0.3">
      <c r="A43" s="179">
        <v>35</v>
      </c>
      <c r="B43" s="169">
        <v>26712042500044</v>
      </c>
      <c r="C43" s="170" t="s">
        <v>337</v>
      </c>
      <c r="D43" s="171">
        <v>1603.78</v>
      </c>
      <c r="E43" s="171">
        <v>323.17</v>
      </c>
      <c r="F43" s="171">
        <v>72.23</v>
      </c>
      <c r="G43" s="171"/>
      <c r="H43" s="172"/>
      <c r="I43" s="171"/>
      <c r="J43" s="173"/>
      <c r="K43" s="171"/>
      <c r="L43" s="171"/>
      <c r="M43" s="174"/>
      <c r="N43" s="174"/>
      <c r="O43" s="175">
        <f t="shared" si="0"/>
        <v>0</v>
      </c>
      <c r="P43" s="176"/>
      <c r="Q43" s="171"/>
      <c r="R43" s="177">
        <v>458.38</v>
      </c>
      <c r="S43" s="165">
        <v>26267.9</v>
      </c>
      <c r="T43" s="176">
        <v>6.98</v>
      </c>
      <c r="U43" s="171"/>
      <c r="V43" s="166">
        <f t="shared" si="1"/>
        <v>6.98</v>
      </c>
      <c r="W43" s="171">
        <v>12.95</v>
      </c>
      <c r="X43" s="177">
        <v>14.3</v>
      </c>
      <c r="Y43" s="177"/>
      <c r="Z43" s="171">
        <v>62.87</v>
      </c>
      <c r="AA43" s="177">
        <v>15.07</v>
      </c>
      <c r="AB43" s="177"/>
      <c r="AC43" s="178" t="s">
        <v>297</v>
      </c>
    </row>
    <row r="44" spans="1:29" ht="18.75" hidden="1" thickBot="1" x14ac:dyDescent="0.3">
      <c r="A44" s="186">
        <v>36</v>
      </c>
      <c r="B44" s="169">
        <v>26405042400627</v>
      </c>
      <c r="C44" s="170" t="s">
        <v>338</v>
      </c>
      <c r="D44" s="171">
        <v>1533.78</v>
      </c>
      <c r="E44" s="171">
        <v>237.27</v>
      </c>
      <c r="F44" s="171">
        <v>59.65</v>
      </c>
      <c r="G44" s="171"/>
      <c r="H44" s="172">
        <v>50</v>
      </c>
      <c r="I44" s="171"/>
      <c r="J44" s="173"/>
      <c r="K44" s="171"/>
      <c r="L44" s="171"/>
      <c r="M44" s="174"/>
      <c r="N44" s="174"/>
      <c r="O44" s="175">
        <f t="shared" si="0"/>
        <v>50</v>
      </c>
      <c r="P44" s="176"/>
      <c r="Q44" s="171"/>
      <c r="R44" s="177">
        <v>426.17</v>
      </c>
      <c r="S44" s="165">
        <v>24053.089999999997</v>
      </c>
      <c r="T44" s="176"/>
      <c r="U44" s="171"/>
      <c r="V44" s="166">
        <f t="shared" si="1"/>
        <v>0</v>
      </c>
      <c r="W44" s="171">
        <v>12.2</v>
      </c>
      <c r="X44" s="177">
        <v>13.55</v>
      </c>
      <c r="Y44" s="177"/>
      <c r="Z44" s="171">
        <v>53.98</v>
      </c>
      <c r="AA44" s="177">
        <v>13.07</v>
      </c>
      <c r="AB44" s="177"/>
      <c r="AC44" s="178" t="s">
        <v>297</v>
      </c>
    </row>
    <row r="45" spans="1:29" ht="18.75" hidden="1" thickBot="1" x14ac:dyDescent="0.3">
      <c r="A45" s="179">
        <v>37</v>
      </c>
      <c r="B45" s="169">
        <v>25908082800189</v>
      </c>
      <c r="C45" s="170" t="s">
        <v>339</v>
      </c>
      <c r="D45" s="171">
        <v>2254.15</v>
      </c>
      <c r="E45" s="171">
        <v>768.89</v>
      </c>
      <c r="F45" s="171">
        <v>115.32</v>
      </c>
      <c r="G45" s="171">
        <v>74.239999999999995</v>
      </c>
      <c r="H45" s="172">
        <v>50</v>
      </c>
      <c r="I45" s="171"/>
      <c r="J45" s="173"/>
      <c r="K45" s="171"/>
      <c r="L45" s="171"/>
      <c r="M45" s="174"/>
      <c r="N45" s="174"/>
      <c r="O45" s="175">
        <f t="shared" si="0"/>
        <v>50</v>
      </c>
      <c r="P45" s="176"/>
      <c r="Q45" s="171"/>
      <c r="R45" s="177">
        <v>742.41</v>
      </c>
      <c r="S45" s="165">
        <v>29160</v>
      </c>
      <c r="T45" s="176"/>
      <c r="U45" s="171"/>
      <c r="V45" s="166">
        <f t="shared" si="1"/>
        <v>0</v>
      </c>
      <c r="W45" s="171">
        <v>21.45</v>
      </c>
      <c r="X45" s="177">
        <v>23.25</v>
      </c>
      <c r="Y45" s="177"/>
      <c r="Z45" s="171">
        <v>175.9</v>
      </c>
      <c r="AA45" s="177">
        <v>117.77</v>
      </c>
      <c r="AB45" s="177"/>
      <c r="AC45" s="178" t="s">
        <v>297</v>
      </c>
    </row>
    <row r="46" spans="1:29" ht="18.75" hidden="1" thickBot="1" x14ac:dyDescent="0.3">
      <c r="A46" s="186">
        <v>38</v>
      </c>
      <c r="B46" s="169">
        <v>26910272600605</v>
      </c>
      <c r="C46" s="170" t="s">
        <v>340</v>
      </c>
      <c r="D46" s="171">
        <v>1622.07</v>
      </c>
      <c r="E46" s="171">
        <v>350.23</v>
      </c>
      <c r="F46" s="171">
        <v>75.260000000000005</v>
      </c>
      <c r="G46" s="171"/>
      <c r="H46" s="172">
        <v>100</v>
      </c>
      <c r="I46" s="171"/>
      <c r="J46" s="173"/>
      <c r="K46" s="171"/>
      <c r="L46" s="171"/>
      <c r="M46" s="174"/>
      <c r="N46" s="174"/>
      <c r="O46" s="175">
        <f t="shared" si="0"/>
        <v>100</v>
      </c>
      <c r="P46" s="176"/>
      <c r="Q46" s="171"/>
      <c r="R46" s="177">
        <v>479.7</v>
      </c>
      <c r="S46" s="165">
        <v>26045.31</v>
      </c>
      <c r="T46" s="176">
        <v>8.0500000000000007</v>
      </c>
      <c r="U46" s="171"/>
      <c r="V46" s="166">
        <f t="shared" si="1"/>
        <v>8.0500000000000007</v>
      </c>
      <c r="W46" s="171">
        <v>14.05</v>
      </c>
      <c r="X46" s="177">
        <v>15.35</v>
      </c>
      <c r="Y46" s="177"/>
      <c r="Z46" s="171">
        <v>77.19</v>
      </c>
      <c r="AA46" s="177">
        <v>17.89</v>
      </c>
      <c r="AB46" s="177"/>
      <c r="AC46" s="178" t="s">
        <v>297</v>
      </c>
    </row>
    <row r="47" spans="1:29" ht="18.75" hidden="1" thickBot="1" x14ac:dyDescent="0.3">
      <c r="A47" s="179">
        <v>39</v>
      </c>
      <c r="B47" s="169">
        <v>27311092500281</v>
      </c>
      <c r="C47" s="170" t="s">
        <v>341</v>
      </c>
      <c r="D47" s="171">
        <v>1680.69</v>
      </c>
      <c r="E47" s="171">
        <v>377.39</v>
      </c>
      <c r="F47" s="171">
        <v>77.849999999999994</v>
      </c>
      <c r="G47" s="171"/>
      <c r="H47" s="172">
        <v>150</v>
      </c>
      <c r="I47" s="171"/>
      <c r="J47" s="173"/>
      <c r="K47" s="171"/>
      <c r="L47" s="171"/>
      <c r="M47" s="174"/>
      <c r="N47" s="174"/>
      <c r="O47" s="175">
        <f t="shared" si="0"/>
        <v>150</v>
      </c>
      <c r="P47" s="176"/>
      <c r="Q47" s="171"/>
      <c r="R47" s="177">
        <v>501.09</v>
      </c>
      <c r="S47" s="165">
        <v>27895.059999999994</v>
      </c>
      <c r="T47" s="176"/>
      <c r="U47" s="171"/>
      <c r="V47" s="166">
        <f t="shared" si="1"/>
        <v>0</v>
      </c>
      <c r="W47" s="171">
        <v>15</v>
      </c>
      <c r="X47" s="177">
        <v>16.45</v>
      </c>
      <c r="Y47" s="177"/>
      <c r="Z47" s="171">
        <v>90.86</v>
      </c>
      <c r="AA47" s="177">
        <v>20.76</v>
      </c>
      <c r="AB47" s="177"/>
      <c r="AC47" s="178" t="s">
        <v>297</v>
      </c>
    </row>
    <row r="48" spans="1:29" ht="18.75" hidden="1" thickBot="1" x14ac:dyDescent="0.3">
      <c r="A48" s="186">
        <v>40</v>
      </c>
      <c r="B48" s="169">
        <v>27503022500183</v>
      </c>
      <c r="C48" s="170" t="s">
        <v>342</v>
      </c>
      <c r="D48" s="171">
        <v>1680.95</v>
      </c>
      <c r="E48" s="171">
        <v>375.95</v>
      </c>
      <c r="F48" s="171">
        <v>78.08</v>
      </c>
      <c r="G48" s="171"/>
      <c r="H48" s="172">
        <v>50</v>
      </c>
      <c r="I48" s="171"/>
      <c r="J48" s="173"/>
      <c r="K48" s="171"/>
      <c r="L48" s="171"/>
      <c r="M48" s="174"/>
      <c r="N48" s="174"/>
      <c r="O48" s="175">
        <f t="shared" si="0"/>
        <v>50</v>
      </c>
      <c r="P48" s="176"/>
      <c r="Q48" s="171"/>
      <c r="R48" s="177">
        <v>499.95</v>
      </c>
      <c r="S48" s="165">
        <v>28044.870000000003</v>
      </c>
      <c r="T48" s="176"/>
      <c r="U48" s="171"/>
      <c r="V48" s="166">
        <f t="shared" si="1"/>
        <v>0</v>
      </c>
      <c r="W48" s="171">
        <v>14.25</v>
      </c>
      <c r="X48" s="177">
        <v>16.3</v>
      </c>
      <c r="Y48" s="177"/>
      <c r="Z48" s="171">
        <v>80.849999999999994</v>
      </c>
      <c r="AA48" s="177">
        <v>20.45</v>
      </c>
      <c r="AB48" s="177"/>
      <c r="AC48" s="178" t="s">
        <v>297</v>
      </c>
    </row>
    <row r="49" spans="1:29" ht="18.75" hidden="1" thickBot="1" x14ac:dyDescent="0.3">
      <c r="A49" s="179">
        <v>41</v>
      </c>
      <c r="B49" s="169">
        <v>27111242102329</v>
      </c>
      <c r="C49" s="170" t="s">
        <v>343</v>
      </c>
      <c r="D49" s="171">
        <v>1680.69</v>
      </c>
      <c r="E49" s="171">
        <v>377.39</v>
      </c>
      <c r="F49" s="171">
        <v>77.849999999999994</v>
      </c>
      <c r="G49" s="171"/>
      <c r="H49" s="172">
        <v>100</v>
      </c>
      <c r="I49" s="171"/>
      <c r="J49" s="173"/>
      <c r="K49" s="171"/>
      <c r="L49" s="171"/>
      <c r="M49" s="174"/>
      <c r="N49" s="174"/>
      <c r="O49" s="175">
        <f t="shared" si="0"/>
        <v>100</v>
      </c>
      <c r="P49" s="176"/>
      <c r="Q49" s="171"/>
      <c r="R49" s="177">
        <v>501.09</v>
      </c>
      <c r="S49" s="165">
        <v>28009.059999999994</v>
      </c>
      <c r="T49" s="176"/>
      <c r="U49" s="171"/>
      <c r="V49" s="166">
        <f t="shared" si="1"/>
        <v>0</v>
      </c>
      <c r="W49" s="171">
        <v>14.65</v>
      </c>
      <c r="X49" s="177">
        <v>16.05</v>
      </c>
      <c r="Y49" s="177"/>
      <c r="Z49" s="171">
        <v>85.8</v>
      </c>
      <c r="AA49" s="177">
        <v>19.739999999999998</v>
      </c>
      <c r="AB49" s="177"/>
      <c r="AC49" s="178" t="s">
        <v>297</v>
      </c>
    </row>
    <row r="50" spans="1:29" ht="18.75" hidden="1" thickBot="1" x14ac:dyDescent="0.3">
      <c r="A50" s="186">
        <v>42</v>
      </c>
      <c r="B50" s="169">
        <v>27007302500254</v>
      </c>
      <c r="C50" s="170" t="s">
        <v>344</v>
      </c>
      <c r="D50" s="171">
        <v>1887.89</v>
      </c>
      <c r="E50" s="171">
        <v>471.93</v>
      </c>
      <c r="F50" s="171">
        <v>89.24</v>
      </c>
      <c r="G50" s="171">
        <v>57.23</v>
      </c>
      <c r="H50" s="172">
        <v>150</v>
      </c>
      <c r="I50" s="171"/>
      <c r="J50" s="173"/>
      <c r="K50" s="171">
        <v>12.5</v>
      </c>
      <c r="L50" s="171">
        <v>30</v>
      </c>
      <c r="M50" s="174"/>
      <c r="N50" s="174"/>
      <c r="O50" s="175">
        <f t="shared" si="0"/>
        <v>192.5</v>
      </c>
      <c r="P50" s="176"/>
      <c r="Q50" s="171"/>
      <c r="R50" s="177">
        <v>572.37</v>
      </c>
      <c r="S50" s="165">
        <v>28652.760000000002</v>
      </c>
      <c r="T50" s="176"/>
      <c r="U50" s="171"/>
      <c r="V50" s="166">
        <f t="shared" si="1"/>
        <v>0</v>
      </c>
      <c r="W50" s="171">
        <v>17.75</v>
      </c>
      <c r="X50" s="177">
        <v>19.350000000000001</v>
      </c>
      <c r="Y50" s="177"/>
      <c r="Z50" s="171">
        <v>127.36</v>
      </c>
      <c r="AA50" s="177">
        <v>28.45</v>
      </c>
      <c r="AB50" s="177"/>
      <c r="AC50" s="178" t="s">
        <v>297</v>
      </c>
    </row>
    <row r="51" spans="1:29" ht="18.75" hidden="1" thickBot="1" x14ac:dyDescent="0.3">
      <c r="A51" s="179">
        <v>43</v>
      </c>
      <c r="B51" s="169">
        <v>26508032500732</v>
      </c>
      <c r="C51" s="170" t="s">
        <v>345</v>
      </c>
      <c r="D51" s="171">
        <v>1691.34</v>
      </c>
      <c r="E51" s="171">
        <v>386.3</v>
      </c>
      <c r="F51" s="171">
        <v>79.91</v>
      </c>
      <c r="G51" s="171"/>
      <c r="H51" s="172">
        <v>150</v>
      </c>
      <c r="I51" s="171"/>
      <c r="J51" s="173"/>
      <c r="K51" s="171"/>
      <c r="L51" s="171"/>
      <c r="M51" s="174"/>
      <c r="N51" s="174"/>
      <c r="O51" s="175">
        <f t="shared" si="0"/>
        <v>150</v>
      </c>
      <c r="P51" s="176"/>
      <c r="Q51" s="171"/>
      <c r="R51" s="177">
        <v>504.95</v>
      </c>
      <c r="S51" s="165">
        <v>27521.660000000003</v>
      </c>
      <c r="T51" s="176">
        <v>11.15</v>
      </c>
      <c r="U51" s="171"/>
      <c r="V51" s="166">
        <f t="shared" si="1"/>
        <v>11.15</v>
      </c>
      <c r="W51" s="171">
        <v>15.15</v>
      </c>
      <c r="X51" s="177">
        <v>16.5</v>
      </c>
      <c r="Y51" s="177"/>
      <c r="Z51" s="171">
        <v>91.66</v>
      </c>
      <c r="AA51" s="177">
        <v>20.94</v>
      </c>
      <c r="AB51" s="177"/>
      <c r="AC51" s="178" t="s">
        <v>297</v>
      </c>
    </row>
    <row r="52" spans="1:29" ht="18.75" hidden="1" thickBot="1" x14ac:dyDescent="0.3">
      <c r="A52" s="186">
        <v>44</v>
      </c>
      <c r="B52" s="169">
        <v>26807052500078</v>
      </c>
      <c r="C52" s="170" t="s">
        <v>346</v>
      </c>
      <c r="D52" s="171">
        <v>1909.03</v>
      </c>
      <c r="E52" s="171">
        <v>459.7</v>
      </c>
      <c r="F52" s="171">
        <v>88.11</v>
      </c>
      <c r="G52" s="171">
        <v>56.27</v>
      </c>
      <c r="H52" s="172">
        <v>150</v>
      </c>
      <c r="I52" s="171"/>
      <c r="J52" s="173"/>
      <c r="K52" s="171"/>
      <c r="L52" s="171"/>
      <c r="M52" s="174"/>
      <c r="N52" s="174"/>
      <c r="O52" s="175">
        <f t="shared" si="0"/>
        <v>150</v>
      </c>
      <c r="P52" s="176"/>
      <c r="Q52" s="171"/>
      <c r="R52" s="177">
        <v>562.73</v>
      </c>
      <c r="S52" s="165">
        <v>28590.260000000002</v>
      </c>
      <c r="T52" s="176"/>
      <c r="U52" s="171"/>
      <c r="V52" s="166">
        <f t="shared" si="1"/>
        <v>0</v>
      </c>
      <c r="W52" s="171">
        <v>17.5</v>
      </c>
      <c r="X52" s="177">
        <v>19.100000000000001</v>
      </c>
      <c r="Y52" s="177"/>
      <c r="Z52" s="171">
        <v>123.78</v>
      </c>
      <c r="AA52" s="177">
        <v>27.86</v>
      </c>
      <c r="AB52" s="177"/>
      <c r="AC52" s="178" t="s">
        <v>297</v>
      </c>
    </row>
    <row r="53" spans="1:29" ht="18.75" hidden="1" thickBot="1" x14ac:dyDescent="0.3">
      <c r="A53" s="179">
        <v>45</v>
      </c>
      <c r="B53" s="169">
        <v>27110032500066</v>
      </c>
      <c r="C53" s="170" t="s">
        <v>347</v>
      </c>
      <c r="D53" s="171">
        <v>1754.49</v>
      </c>
      <c r="E53" s="171">
        <v>407.96</v>
      </c>
      <c r="F53" s="171">
        <v>81.59</v>
      </c>
      <c r="G53" s="171"/>
      <c r="H53" s="172">
        <v>50</v>
      </c>
      <c r="I53" s="171"/>
      <c r="J53" s="173"/>
      <c r="K53" s="171"/>
      <c r="L53" s="171"/>
      <c r="M53" s="174"/>
      <c r="N53" s="174"/>
      <c r="O53" s="175">
        <f t="shared" si="0"/>
        <v>50</v>
      </c>
      <c r="P53" s="176"/>
      <c r="Q53" s="171"/>
      <c r="R53" s="177">
        <v>526.74</v>
      </c>
      <c r="S53" s="165">
        <v>28711.280000000002</v>
      </c>
      <c r="T53" s="176"/>
      <c r="U53" s="171"/>
      <c r="V53" s="166">
        <f t="shared" si="1"/>
        <v>0</v>
      </c>
      <c r="W53" s="171">
        <v>15</v>
      </c>
      <c r="X53" s="177">
        <v>16.45</v>
      </c>
      <c r="Y53" s="177"/>
      <c r="Z53" s="171">
        <v>90.48</v>
      </c>
      <c r="AA53" s="177">
        <v>20.84</v>
      </c>
      <c r="AB53" s="177"/>
      <c r="AC53" s="178" t="s">
        <v>297</v>
      </c>
    </row>
    <row r="54" spans="1:29" ht="18.75" hidden="1" thickBot="1" x14ac:dyDescent="0.3">
      <c r="A54" s="186">
        <v>46</v>
      </c>
      <c r="B54" s="169">
        <v>27309212500049</v>
      </c>
      <c r="C54" s="170" t="s">
        <v>348</v>
      </c>
      <c r="D54" s="171">
        <v>1537.88</v>
      </c>
      <c r="E54" s="171">
        <v>238.99</v>
      </c>
      <c r="F54" s="171">
        <v>60.23</v>
      </c>
      <c r="G54" s="171"/>
      <c r="H54" s="172">
        <v>145</v>
      </c>
      <c r="I54" s="171"/>
      <c r="J54" s="173"/>
      <c r="K54" s="171"/>
      <c r="L54" s="171">
        <v>15</v>
      </c>
      <c r="M54" s="174"/>
      <c r="N54" s="174"/>
      <c r="O54" s="175">
        <f t="shared" si="0"/>
        <v>160</v>
      </c>
      <c r="P54" s="176"/>
      <c r="Q54" s="171"/>
      <c r="R54" s="177">
        <v>427.54</v>
      </c>
      <c r="S54" s="165">
        <v>23598.269999999997</v>
      </c>
      <c r="T54" s="176"/>
      <c r="U54" s="171"/>
      <c r="V54" s="166">
        <f t="shared" si="1"/>
        <v>0</v>
      </c>
      <c r="W54" s="171">
        <v>13.1</v>
      </c>
      <c r="X54" s="177">
        <v>14.4</v>
      </c>
      <c r="Y54" s="177"/>
      <c r="Z54" s="171">
        <v>65.31</v>
      </c>
      <c r="AA54" s="177">
        <v>15.35</v>
      </c>
      <c r="AB54" s="177"/>
      <c r="AC54" s="178" t="s">
        <v>297</v>
      </c>
    </row>
    <row r="55" spans="1:29" ht="18.75" hidden="1" thickBot="1" x14ac:dyDescent="0.3">
      <c r="A55" s="179">
        <v>47</v>
      </c>
      <c r="B55" s="169">
        <v>27211072500051</v>
      </c>
      <c r="C55" s="170" t="s">
        <v>349</v>
      </c>
      <c r="D55" s="171">
        <v>1641.95</v>
      </c>
      <c r="E55" s="171">
        <v>363.63</v>
      </c>
      <c r="F55" s="171">
        <v>75.67</v>
      </c>
      <c r="G55" s="171"/>
      <c r="H55" s="172">
        <v>140</v>
      </c>
      <c r="I55" s="171"/>
      <c r="J55" s="173"/>
      <c r="K55" s="171"/>
      <c r="L55" s="171"/>
      <c r="M55" s="174"/>
      <c r="N55" s="174"/>
      <c r="O55" s="175">
        <f t="shared" si="0"/>
        <v>140</v>
      </c>
      <c r="P55" s="176"/>
      <c r="Q55" s="171"/>
      <c r="R55" s="177">
        <v>487.1</v>
      </c>
      <c r="S55" s="165">
        <v>26114.1</v>
      </c>
      <c r="T55" s="176"/>
      <c r="U55" s="171"/>
      <c r="V55" s="166">
        <f t="shared" si="1"/>
        <v>0</v>
      </c>
      <c r="W55" s="171">
        <v>14.55</v>
      </c>
      <c r="X55" s="177">
        <v>15.95</v>
      </c>
      <c r="Y55" s="177"/>
      <c r="Z55" s="171">
        <v>85.04</v>
      </c>
      <c r="AA55" s="177">
        <v>19.510000000000002</v>
      </c>
      <c r="AB55" s="177"/>
      <c r="AC55" s="178" t="s">
        <v>297</v>
      </c>
    </row>
    <row r="56" spans="1:29" s="185" customFormat="1" ht="18.75" thickBot="1" x14ac:dyDescent="0.3">
      <c r="A56" s="186">
        <v>3</v>
      </c>
      <c r="B56" s="180">
        <v>28606128800361</v>
      </c>
      <c r="C56" s="170" t="s">
        <v>140</v>
      </c>
      <c r="D56" s="177">
        <v>1117.3699999999999</v>
      </c>
      <c r="E56" s="177"/>
      <c r="F56" s="177">
        <v>5.54</v>
      </c>
      <c r="G56" s="177"/>
      <c r="H56" s="172">
        <v>50</v>
      </c>
      <c r="I56" s="177">
        <v>97</v>
      </c>
      <c r="J56" s="173"/>
      <c r="K56" s="177"/>
      <c r="L56" s="177"/>
      <c r="M56" s="177"/>
      <c r="N56" s="181"/>
      <c r="O56" s="175">
        <f t="shared" si="0"/>
        <v>147</v>
      </c>
      <c r="P56" s="182">
        <f>'[2]شامل الضريبة2017 (5)'!C50</f>
        <v>2283.42</v>
      </c>
      <c r="Q56" s="177"/>
      <c r="R56" s="177">
        <v>266</v>
      </c>
      <c r="S56" s="165">
        <v>16620.080000000002</v>
      </c>
      <c r="T56" s="183"/>
      <c r="U56" s="177"/>
      <c r="V56" s="166">
        <f t="shared" si="1"/>
        <v>0</v>
      </c>
      <c r="W56" s="177">
        <v>8.15</v>
      </c>
      <c r="X56" s="177">
        <v>9.1</v>
      </c>
      <c r="Y56" s="184">
        <f>'[2]شامل الضريبة2017 (5)'!M50</f>
        <v>10</v>
      </c>
      <c r="Z56" s="177">
        <v>0.16</v>
      </c>
      <c r="AA56" s="177">
        <v>1.39</v>
      </c>
      <c r="AB56" s="184">
        <f>'[2]شامل الضريبة2017 (5)'!N50</f>
        <v>107.35000000000002</v>
      </c>
      <c r="AC56" s="178" t="s">
        <v>350</v>
      </c>
    </row>
    <row r="57" spans="1:29" s="185" customFormat="1" ht="18.75" thickBot="1" x14ac:dyDescent="0.3">
      <c r="A57" s="179">
        <v>4</v>
      </c>
      <c r="B57" s="180">
        <v>28312138800447</v>
      </c>
      <c r="C57" s="170" t="s">
        <v>141</v>
      </c>
      <c r="D57" s="177">
        <v>1144.27</v>
      </c>
      <c r="E57" s="177"/>
      <c r="F57" s="177">
        <v>5.68</v>
      </c>
      <c r="G57" s="177"/>
      <c r="H57" s="172">
        <v>50</v>
      </c>
      <c r="I57" s="177"/>
      <c r="J57" s="173"/>
      <c r="K57" s="177"/>
      <c r="L57" s="177">
        <v>19.2</v>
      </c>
      <c r="M57" s="177"/>
      <c r="N57" s="181"/>
      <c r="O57" s="175">
        <f t="shared" si="0"/>
        <v>69.2</v>
      </c>
      <c r="P57" s="182">
        <f>'[2]شامل الضريبة2017 (5)'!C65</f>
        <v>2199.16</v>
      </c>
      <c r="Q57" s="177"/>
      <c r="R57" s="177">
        <v>268</v>
      </c>
      <c r="S57" s="165">
        <v>15498.200000000003</v>
      </c>
      <c r="T57" s="183">
        <v>2.44</v>
      </c>
      <c r="U57" s="177"/>
      <c r="V57" s="166">
        <f t="shared" si="1"/>
        <v>2.44</v>
      </c>
      <c r="W57" s="177">
        <v>7.8</v>
      </c>
      <c r="X57" s="177">
        <v>8.8000000000000007</v>
      </c>
      <c r="Y57" s="184">
        <f>'[2]شامل الضريبة2017 (5)'!M65</f>
        <v>9.9</v>
      </c>
      <c r="Z57" s="177"/>
      <c r="AA57" s="177">
        <v>0.51</v>
      </c>
      <c r="AB57" s="184">
        <f>'[2]شامل الضريبة2017 (5)'!N65</f>
        <v>82.880000000000024</v>
      </c>
      <c r="AC57" s="178" t="s">
        <v>350</v>
      </c>
    </row>
    <row r="58" spans="1:29" s="185" customFormat="1" ht="18.75" thickBot="1" x14ac:dyDescent="0.3">
      <c r="A58" s="186">
        <v>5</v>
      </c>
      <c r="B58" s="180">
        <v>28712162500142</v>
      </c>
      <c r="C58" s="170" t="s">
        <v>143</v>
      </c>
      <c r="D58" s="177">
        <v>1096.17</v>
      </c>
      <c r="E58" s="177"/>
      <c r="F58" s="177">
        <v>5.47</v>
      </c>
      <c r="G58" s="177"/>
      <c r="H58" s="172">
        <v>50</v>
      </c>
      <c r="I58" s="177"/>
      <c r="J58" s="173"/>
      <c r="K58" s="177"/>
      <c r="L58" s="177"/>
      <c r="M58" s="177"/>
      <c r="N58" s="181"/>
      <c r="O58" s="175">
        <f t="shared" si="0"/>
        <v>50</v>
      </c>
      <c r="P58" s="182">
        <f>'[2]شامل الضريبة2017 (5)'!C82</f>
        <v>2276.1999999999998</v>
      </c>
      <c r="Q58" s="177"/>
      <c r="R58" s="177">
        <v>260</v>
      </c>
      <c r="S58" s="165">
        <v>14727.03</v>
      </c>
      <c r="T58" s="183"/>
      <c r="U58" s="177"/>
      <c r="V58" s="166">
        <f t="shared" si="1"/>
        <v>0</v>
      </c>
      <c r="W58" s="177">
        <v>7.35</v>
      </c>
      <c r="X58" s="177">
        <v>8.3000000000000007</v>
      </c>
      <c r="Y58" s="184">
        <f>'[2]شامل الضريبة2017 (5)'!M82</f>
        <v>9.6499999999999986</v>
      </c>
      <c r="Z58" s="177"/>
      <c r="AA58" s="177"/>
      <c r="AB58" s="184">
        <f>'[2]شامل الضريبة2017 (5)'!N82</f>
        <v>64.78</v>
      </c>
      <c r="AC58" s="178" t="s">
        <v>303</v>
      </c>
    </row>
    <row r="59" spans="1:29" s="185" customFormat="1" ht="18.75" thickBot="1" x14ac:dyDescent="0.3">
      <c r="A59" s="186">
        <v>6</v>
      </c>
      <c r="B59" s="180">
        <v>28604152500066</v>
      </c>
      <c r="C59" s="170" t="s">
        <v>147</v>
      </c>
      <c r="D59" s="177">
        <v>1096.17</v>
      </c>
      <c r="E59" s="177"/>
      <c r="F59" s="177">
        <v>5.47</v>
      </c>
      <c r="G59" s="177"/>
      <c r="H59" s="172">
        <v>140</v>
      </c>
      <c r="I59" s="177"/>
      <c r="J59" s="173"/>
      <c r="K59" s="177"/>
      <c r="L59" s="177"/>
      <c r="M59" s="177"/>
      <c r="N59" s="181"/>
      <c r="O59" s="175">
        <f t="shared" si="0"/>
        <v>140</v>
      </c>
      <c r="P59" s="182">
        <f>'[2]شامل الضريبة2017 (5)'!C131</f>
        <v>3028.09</v>
      </c>
      <c r="Q59" s="177"/>
      <c r="R59" s="177">
        <v>260</v>
      </c>
      <c r="S59" s="165">
        <v>17317.37</v>
      </c>
      <c r="T59" s="183"/>
      <c r="U59" s="177"/>
      <c r="V59" s="166">
        <f t="shared" si="1"/>
        <v>0</v>
      </c>
      <c r="W59" s="177">
        <v>8.0500000000000007</v>
      </c>
      <c r="X59" s="177">
        <v>9</v>
      </c>
      <c r="Y59" s="184">
        <f>'[2]شامل الضريبة2017 (5)'!M131</f>
        <v>13.799999999999999</v>
      </c>
      <c r="Z59" s="177"/>
      <c r="AA59" s="177">
        <v>1.06</v>
      </c>
      <c r="AB59" s="184">
        <f>'[2]شامل الضريبة2017 (5)'!N131</f>
        <v>112.61000000000001</v>
      </c>
      <c r="AC59" s="178" t="s">
        <v>303</v>
      </c>
    </row>
    <row r="60" spans="1:29" ht="18.75" hidden="1" thickBot="1" x14ac:dyDescent="0.3">
      <c r="A60" s="179">
        <v>48.428571428571402</v>
      </c>
      <c r="B60" s="169">
        <v>28501302500228</v>
      </c>
      <c r="C60" s="170" t="s">
        <v>351</v>
      </c>
      <c r="D60" s="177">
        <v>961.72</v>
      </c>
      <c r="E60" s="177"/>
      <c r="F60" s="177">
        <v>5.14</v>
      </c>
      <c r="G60" s="177"/>
      <c r="H60" s="172">
        <v>50</v>
      </c>
      <c r="I60" s="177"/>
      <c r="J60" s="173"/>
      <c r="K60" s="177"/>
      <c r="L60" s="177"/>
      <c r="M60" s="177"/>
      <c r="N60" s="181"/>
      <c r="O60" s="175">
        <f t="shared" si="0"/>
        <v>50</v>
      </c>
      <c r="P60" s="183"/>
      <c r="Q60" s="177"/>
      <c r="R60" s="177">
        <v>255</v>
      </c>
      <c r="S60" s="165"/>
      <c r="T60" s="183"/>
      <c r="U60" s="177"/>
      <c r="V60" s="166">
        <f t="shared" si="1"/>
        <v>0</v>
      </c>
      <c r="W60" s="177">
        <v>6.05</v>
      </c>
      <c r="X60" s="177">
        <v>7.3</v>
      </c>
      <c r="Y60" s="177"/>
      <c r="Z60" s="177"/>
      <c r="AA60" s="177"/>
      <c r="AB60" s="177"/>
      <c r="AC60" s="178" t="s">
        <v>303</v>
      </c>
    </row>
    <row r="61" spans="1:29" ht="18.75" hidden="1" thickBot="1" x14ac:dyDescent="0.3">
      <c r="A61" s="179">
        <v>49.263736263736199</v>
      </c>
      <c r="B61" s="169">
        <v>28208232500315</v>
      </c>
      <c r="C61" s="170" t="s">
        <v>352</v>
      </c>
      <c r="D61" s="177">
        <v>1032.52</v>
      </c>
      <c r="E61" s="177"/>
      <c r="F61" s="177">
        <v>5.14</v>
      </c>
      <c r="G61" s="177"/>
      <c r="H61" s="172">
        <v>50</v>
      </c>
      <c r="I61" s="177"/>
      <c r="J61" s="173">
        <v>217.02</v>
      </c>
      <c r="K61" s="177"/>
      <c r="L61" s="177"/>
      <c r="M61" s="177"/>
      <c r="N61" s="181"/>
      <c r="O61" s="175">
        <f t="shared" si="0"/>
        <v>267.02</v>
      </c>
      <c r="P61" s="183"/>
      <c r="Q61" s="177"/>
      <c r="R61" s="177">
        <v>255</v>
      </c>
      <c r="S61" s="165">
        <v>21511.88</v>
      </c>
      <c r="T61" s="183">
        <v>37</v>
      </c>
      <c r="U61" s="177"/>
      <c r="V61" s="166">
        <f t="shared" si="1"/>
        <v>37</v>
      </c>
      <c r="W61" s="177">
        <v>4.8</v>
      </c>
      <c r="X61" s="177">
        <v>7.55</v>
      </c>
      <c r="Y61" s="177"/>
      <c r="Z61" s="177"/>
      <c r="AA61" s="177"/>
      <c r="AB61" s="177"/>
      <c r="AC61" s="178" t="s">
        <v>303</v>
      </c>
    </row>
    <row r="62" spans="1:29" s="185" customFormat="1" ht="18.75" thickBot="1" x14ac:dyDescent="0.3">
      <c r="A62" s="186">
        <v>7</v>
      </c>
      <c r="B62" s="180">
        <v>28109162500128</v>
      </c>
      <c r="C62" s="170" t="s">
        <v>148</v>
      </c>
      <c r="D62" s="177">
        <v>1145.97</v>
      </c>
      <c r="E62" s="177"/>
      <c r="F62" s="177">
        <v>5.58</v>
      </c>
      <c r="G62" s="177"/>
      <c r="H62" s="172">
        <v>50</v>
      </c>
      <c r="I62" s="177"/>
      <c r="J62" s="173"/>
      <c r="K62" s="177"/>
      <c r="L62" s="177"/>
      <c r="M62" s="177"/>
      <c r="N62" s="181"/>
      <c r="O62" s="175">
        <f t="shared" si="0"/>
        <v>50</v>
      </c>
      <c r="P62" s="182">
        <f>'[2]شامل الضريبة2017 (5)'!C148</f>
        <v>2396.38</v>
      </c>
      <c r="Q62" s="177"/>
      <c r="R62" s="177">
        <v>274</v>
      </c>
      <c r="S62" s="165">
        <v>15463.269999999999</v>
      </c>
      <c r="T62" s="183">
        <v>3.04</v>
      </c>
      <c r="U62" s="177"/>
      <c r="V62" s="166">
        <f t="shared" si="1"/>
        <v>3.04</v>
      </c>
      <c r="W62" s="177">
        <v>7.7</v>
      </c>
      <c r="X62" s="177">
        <v>8.65</v>
      </c>
      <c r="Y62" s="184">
        <f>'[2]شامل الضريبة2017 (5)'!M148</f>
        <v>10.55</v>
      </c>
      <c r="Z62" s="177"/>
      <c r="AA62" s="177">
        <v>0.19</v>
      </c>
      <c r="AB62" s="184">
        <f>'[2]شامل الضريبة2017 (5)'!N148</f>
        <v>84.880000000000024</v>
      </c>
      <c r="AC62" s="178" t="s">
        <v>350</v>
      </c>
    </row>
    <row r="63" spans="1:29" ht="18.75" hidden="1" thickBot="1" x14ac:dyDescent="0.3">
      <c r="A63" s="186">
        <v>50.934065934065899</v>
      </c>
      <c r="B63" s="169">
        <v>28706042500173</v>
      </c>
      <c r="C63" s="170" t="s">
        <v>353</v>
      </c>
      <c r="D63" s="177">
        <v>961.72</v>
      </c>
      <c r="E63" s="177"/>
      <c r="F63" s="177">
        <v>5.14</v>
      </c>
      <c r="G63" s="177"/>
      <c r="H63" s="172">
        <v>50</v>
      </c>
      <c r="I63" s="177"/>
      <c r="J63" s="173">
        <v>213.02</v>
      </c>
      <c r="K63" s="177"/>
      <c r="L63" s="177"/>
      <c r="M63" s="177"/>
      <c r="N63" s="181"/>
      <c r="O63" s="175">
        <f t="shared" si="0"/>
        <v>263.02</v>
      </c>
      <c r="P63" s="183"/>
      <c r="Q63" s="177"/>
      <c r="R63" s="177">
        <v>255</v>
      </c>
      <c r="S63" s="165">
        <v>12108.97</v>
      </c>
      <c r="T63" s="183"/>
      <c r="U63" s="177"/>
      <c r="V63" s="166">
        <f t="shared" si="1"/>
        <v>0</v>
      </c>
      <c r="W63" s="177">
        <v>6.05</v>
      </c>
      <c r="X63" s="177">
        <v>7.3</v>
      </c>
      <c r="Y63" s="177"/>
      <c r="Z63" s="177"/>
      <c r="AA63" s="177"/>
      <c r="AB63" s="177"/>
      <c r="AC63" s="178" t="s">
        <v>303</v>
      </c>
    </row>
    <row r="64" spans="1:29" s="185" customFormat="1" ht="18.75" thickBot="1" x14ac:dyDescent="0.3">
      <c r="A64" s="179">
        <v>8</v>
      </c>
      <c r="B64" s="180">
        <v>27108062500783</v>
      </c>
      <c r="C64" s="170" t="s">
        <v>149</v>
      </c>
      <c r="D64" s="177">
        <v>1600.23</v>
      </c>
      <c r="E64" s="177">
        <v>270.77999999999997</v>
      </c>
      <c r="F64" s="177">
        <v>70.06</v>
      </c>
      <c r="G64" s="177"/>
      <c r="H64" s="172">
        <v>100</v>
      </c>
      <c r="I64" s="177"/>
      <c r="J64" s="173"/>
      <c r="K64" s="177"/>
      <c r="L64" s="177"/>
      <c r="M64" s="177"/>
      <c r="N64" s="181"/>
      <c r="O64" s="175">
        <f t="shared" si="0"/>
        <v>100</v>
      </c>
      <c r="P64" s="182">
        <f>'[2]شامل الضريبة2017 (5)'!C169</f>
        <v>5176.57</v>
      </c>
      <c r="Q64" s="177"/>
      <c r="R64" s="177">
        <v>452.58</v>
      </c>
      <c r="S64" s="165">
        <v>26504.720000000001</v>
      </c>
      <c r="T64" s="183"/>
      <c r="U64" s="177"/>
      <c r="V64" s="166">
        <f t="shared" si="1"/>
        <v>0</v>
      </c>
      <c r="W64" s="177">
        <v>13.35</v>
      </c>
      <c r="X64" s="177">
        <v>15.15</v>
      </c>
      <c r="Y64" s="184">
        <f>'[2]شامل الضريبة2017 (5)'!M169</f>
        <v>27.75</v>
      </c>
      <c r="Z64" s="177">
        <v>68.760000000000005</v>
      </c>
      <c r="AA64" s="177">
        <v>17.37</v>
      </c>
      <c r="AB64" s="184">
        <f>'[2]شامل الضريبة2017 (5)'!N169</f>
        <v>221.23</v>
      </c>
      <c r="AC64" s="178" t="s">
        <v>350</v>
      </c>
    </row>
    <row r="65" spans="1:29" ht="18.75" thickBot="1" x14ac:dyDescent="0.3">
      <c r="A65" s="186">
        <v>9</v>
      </c>
      <c r="B65" s="169">
        <v>27412022500064</v>
      </c>
      <c r="C65" s="170" t="s">
        <v>150</v>
      </c>
      <c r="D65" s="177">
        <v>1162.82</v>
      </c>
      <c r="E65" s="177">
        <v>6.74</v>
      </c>
      <c r="F65" s="177">
        <v>5.69</v>
      </c>
      <c r="G65" s="177"/>
      <c r="H65" s="172">
        <v>95</v>
      </c>
      <c r="I65" s="177"/>
      <c r="J65" s="173"/>
      <c r="K65" s="177"/>
      <c r="L65" s="177"/>
      <c r="M65" s="177"/>
      <c r="N65" s="181"/>
      <c r="O65" s="175">
        <f t="shared" si="0"/>
        <v>95</v>
      </c>
      <c r="P65" s="182">
        <f>'[2]شامل الضريبة2017 (5)'!C185</f>
        <v>2468.36</v>
      </c>
      <c r="Q65" s="177"/>
      <c r="R65" s="177">
        <v>283</v>
      </c>
      <c r="S65" s="165">
        <v>16058.650000000001</v>
      </c>
      <c r="T65" s="183"/>
      <c r="U65" s="177"/>
      <c r="V65" s="166">
        <f t="shared" si="1"/>
        <v>0</v>
      </c>
      <c r="W65" s="177">
        <v>8.1999999999999993</v>
      </c>
      <c r="X65" s="177">
        <v>9.15</v>
      </c>
      <c r="Y65" s="184">
        <f>'[2]شامل الضريبة2017 (5)'!M185</f>
        <v>11.300000000000002</v>
      </c>
      <c r="Z65" s="177">
        <v>0.56000000000000005</v>
      </c>
      <c r="AA65" s="177">
        <v>1.52</v>
      </c>
      <c r="AB65" s="184">
        <f>'[2]شامل الضريبة2017 (5)'!N185</f>
        <v>128.54999999999998</v>
      </c>
      <c r="AC65" s="178" t="s">
        <v>350</v>
      </c>
    </row>
    <row r="66" spans="1:29" ht="18.75" thickBot="1" x14ac:dyDescent="0.3">
      <c r="A66" s="186">
        <v>10</v>
      </c>
      <c r="B66" s="169">
        <v>27811202502229</v>
      </c>
      <c r="C66" s="170" t="s">
        <v>151</v>
      </c>
      <c r="D66" s="177">
        <v>1152.69</v>
      </c>
      <c r="E66" s="177">
        <v>0.17</v>
      </c>
      <c r="F66" s="177">
        <v>5.71</v>
      </c>
      <c r="G66" s="177"/>
      <c r="H66" s="172">
        <v>95</v>
      </c>
      <c r="I66" s="177"/>
      <c r="J66" s="173"/>
      <c r="K66" s="177"/>
      <c r="L66" s="177"/>
      <c r="M66" s="177"/>
      <c r="N66" s="181"/>
      <c r="O66" s="175">
        <f t="shared" si="0"/>
        <v>95</v>
      </c>
      <c r="P66" s="182">
        <f>'[2]شامل الضريبة2017 (5)'!C202</f>
        <v>2445.77</v>
      </c>
      <c r="Q66" s="177"/>
      <c r="R66" s="177">
        <v>271</v>
      </c>
      <c r="S66" s="165">
        <v>15459.829999999998</v>
      </c>
      <c r="T66" s="183">
        <v>14.28</v>
      </c>
      <c r="U66" s="177"/>
      <c r="V66" s="166">
        <f t="shared" si="1"/>
        <v>14.28</v>
      </c>
      <c r="W66" s="177">
        <v>8.1</v>
      </c>
      <c r="X66" s="177">
        <v>8.9499999999999993</v>
      </c>
      <c r="Y66" s="184">
        <f>'[2]شامل الضريبة2017 (5)'!M202</f>
        <v>10.8</v>
      </c>
      <c r="Z66" s="177"/>
      <c r="AA66" s="177">
        <v>1</v>
      </c>
      <c r="AB66" s="184">
        <f>'[2]شامل الضريبة2017 (5)'!N202</f>
        <v>99.499999999999986</v>
      </c>
      <c r="AC66" s="178" t="s">
        <v>350</v>
      </c>
    </row>
    <row r="67" spans="1:29" ht="18.75" hidden="1" thickBot="1" x14ac:dyDescent="0.3">
      <c r="A67" s="179">
        <v>54.274725274725199</v>
      </c>
      <c r="B67" s="169">
        <v>28504212500228</v>
      </c>
      <c r="C67" s="170" t="s">
        <v>354</v>
      </c>
      <c r="D67" s="177">
        <v>1089.32</v>
      </c>
      <c r="E67" s="177"/>
      <c r="F67" s="177">
        <v>5.44</v>
      </c>
      <c r="G67" s="177"/>
      <c r="H67" s="172">
        <v>50</v>
      </c>
      <c r="I67" s="177">
        <v>97</v>
      </c>
      <c r="J67" s="173"/>
      <c r="K67" s="177"/>
      <c r="L67" s="177"/>
      <c r="M67" s="177"/>
      <c r="N67" s="181"/>
      <c r="O67" s="175">
        <f t="shared" ref="O67:O116" si="2">SUM(H67:N67)</f>
        <v>147</v>
      </c>
      <c r="P67" s="183"/>
      <c r="Q67" s="177"/>
      <c r="R67" s="177">
        <v>258</v>
      </c>
      <c r="S67" s="165">
        <v>15005.780000000002</v>
      </c>
      <c r="T67" s="183"/>
      <c r="U67" s="177"/>
      <c r="V67" s="166">
        <f t="shared" si="1"/>
        <v>0</v>
      </c>
      <c r="W67" s="177">
        <v>7.95</v>
      </c>
      <c r="X67" s="177">
        <v>8.9</v>
      </c>
      <c r="Y67" s="184">
        <f>'[2]شامل الضريبة2017 (5)'!M187</f>
        <v>0.3</v>
      </c>
      <c r="Z67" s="177"/>
      <c r="AA67" s="177">
        <v>0.85</v>
      </c>
      <c r="AB67" s="184">
        <f>'[2]شامل الضريبة2017 (5)'!N187</f>
        <v>6.23</v>
      </c>
      <c r="AC67" s="178" t="s">
        <v>303</v>
      </c>
    </row>
    <row r="68" spans="1:29" ht="18.75" thickBot="1" x14ac:dyDescent="0.3">
      <c r="A68" s="186">
        <v>11</v>
      </c>
      <c r="B68" s="169">
        <v>28009172501861</v>
      </c>
      <c r="C68" s="170" t="s">
        <v>152</v>
      </c>
      <c r="D68" s="177">
        <v>1145.97</v>
      </c>
      <c r="E68" s="177">
        <v>2.69</v>
      </c>
      <c r="F68" s="177">
        <v>5.63</v>
      </c>
      <c r="G68" s="177"/>
      <c r="H68" s="172">
        <v>50</v>
      </c>
      <c r="I68" s="177"/>
      <c r="J68" s="173"/>
      <c r="K68" s="177"/>
      <c r="L68" s="177"/>
      <c r="M68" s="177"/>
      <c r="N68" s="181"/>
      <c r="O68" s="175">
        <f t="shared" si="2"/>
        <v>50</v>
      </c>
      <c r="P68" s="182">
        <f>'[2]شامل الضريبة2017 (5)'!C217</f>
        <v>2252.8599999999997</v>
      </c>
      <c r="Q68" s="177"/>
      <c r="R68" s="177">
        <v>278</v>
      </c>
      <c r="S68" s="165">
        <v>15888.800000000001</v>
      </c>
      <c r="T68" s="183"/>
      <c r="U68" s="177"/>
      <c r="V68" s="166">
        <f t="shared" ref="V68:V131" si="3">T68+U68</f>
        <v>0</v>
      </c>
      <c r="W68" s="177">
        <v>7.7</v>
      </c>
      <c r="X68" s="177">
        <v>9.15</v>
      </c>
      <c r="Y68" s="184">
        <f>'[2]شامل الضريبة2017 (5)'!M217</f>
        <v>10.150000000000002</v>
      </c>
      <c r="Z68" s="177"/>
      <c r="AA68" s="177">
        <v>1.45</v>
      </c>
      <c r="AB68" s="184">
        <f>'[2]شامل الضريبة2017 (5)'!N217</f>
        <v>88.080000000000013</v>
      </c>
      <c r="AC68" s="178" t="s">
        <v>350</v>
      </c>
    </row>
    <row r="69" spans="1:29" ht="18.75" thickBot="1" x14ac:dyDescent="0.3">
      <c r="A69" s="186">
        <v>12</v>
      </c>
      <c r="B69" s="169">
        <v>28401292500181</v>
      </c>
      <c r="C69" s="170" t="s">
        <v>153</v>
      </c>
      <c r="D69" s="177">
        <v>1163.53</v>
      </c>
      <c r="E69" s="177"/>
      <c r="F69" s="177">
        <v>5.69</v>
      </c>
      <c r="G69" s="177"/>
      <c r="H69" s="172">
        <v>140</v>
      </c>
      <c r="I69" s="177"/>
      <c r="J69" s="173"/>
      <c r="K69" s="177"/>
      <c r="L69" s="177"/>
      <c r="M69" s="177"/>
      <c r="N69" s="181"/>
      <c r="O69" s="175">
        <f t="shared" si="2"/>
        <v>140</v>
      </c>
      <c r="P69" s="182">
        <f>'[2]شامل الضريبة2017 (5)'!C233</f>
        <v>2272.6800000000003</v>
      </c>
      <c r="Q69" s="177"/>
      <c r="R69" s="177">
        <v>264</v>
      </c>
      <c r="S69" s="165">
        <v>15522.649999999998</v>
      </c>
      <c r="T69" s="183"/>
      <c r="U69" s="177"/>
      <c r="V69" s="166">
        <f t="shared" si="3"/>
        <v>0</v>
      </c>
      <c r="W69" s="177">
        <v>8.5</v>
      </c>
      <c r="X69" s="177">
        <v>9.5</v>
      </c>
      <c r="Y69" s="184">
        <f>'[2]شامل الضريبة2017 (5)'!M233</f>
        <v>9.9500000000000011</v>
      </c>
      <c r="Z69" s="177">
        <v>4.57</v>
      </c>
      <c r="AA69" s="177">
        <v>2.4</v>
      </c>
      <c r="AB69" s="184">
        <f>'[2]شامل الضريبة2017 (5)'!N233</f>
        <v>111.73000000000002</v>
      </c>
      <c r="AC69" s="178" t="s">
        <v>350</v>
      </c>
    </row>
    <row r="70" spans="1:29" ht="18.75" thickBot="1" x14ac:dyDescent="0.3">
      <c r="A70" s="186">
        <v>13</v>
      </c>
      <c r="B70" s="169">
        <v>29109012503131</v>
      </c>
      <c r="C70" s="170" t="s">
        <v>355</v>
      </c>
      <c r="D70" s="177">
        <v>1041.98</v>
      </c>
      <c r="E70" s="177"/>
      <c r="F70" s="177">
        <v>5.24</v>
      </c>
      <c r="G70" s="177"/>
      <c r="H70" s="172">
        <v>100</v>
      </c>
      <c r="I70" s="177"/>
      <c r="J70" s="173"/>
      <c r="K70" s="177"/>
      <c r="L70" s="177"/>
      <c r="M70" s="177"/>
      <c r="N70" s="181"/>
      <c r="O70" s="175">
        <f t="shared" si="2"/>
        <v>100</v>
      </c>
      <c r="P70" s="182">
        <f>'[2]شامل الضريبة2017 (5)'!C243</f>
        <v>1612.5</v>
      </c>
      <c r="Q70" s="177"/>
      <c r="R70" s="177">
        <v>250</v>
      </c>
      <c r="S70" s="165">
        <v>12508.539999999999</v>
      </c>
      <c r="T70" s="183"/>
      <c r="U70" s="177"/>
      <c r="V70" s="166">
        <f t="shared" si="3"/>
        <v>0</v>
      </c>
      <c r="W70" s="177">
        <v>6.1</v>
      </c>
      <c r="X70" s="177">
        <v>8.25</v>
      </c>
      <c r="Y70" s="184">
        <f>'[2]شامل الضريبة2017 (5)'!M243</f>
        <v>7.2000000000000011</v>
      </c>
      <c r="Z70" s="177"/>
      <c r="AA70" s="177"/>
      <c r="AB70" s="184">
        <f>'[2]شامل الضريبة2017 (5)'!N243</f>
        <v>19.34</v>
      </c>
      <c r="AC70" s="178" t="s">
        <v>303</v>
      </c>
    </row>
    <row r="71" spans="1:29" ht="18.75" hidden="1" thickBot="1" x14ac:dyDescent="0.3">
      <c r="A71" s="186">
        <v>14</v>
      </c>
      <c r="B71" s="169">
        <v>28006112500051</v>
      </c>
      <c r="C71" s="170" t="s">
        <v>356</v>
      </c>
      <c r="D71" s="177">
        <v>1145.97</v>
      </c>
      <c r="E71" s="177"/>
      <c r="F71" s="177">
        <v>5.7</v>
      </c>
      <c r="G71" s="177"/>
      <c r="H71" s="172">
        <v>95</v>
      </c>
      <c r="I71" s="177"/>
      <c r="J71" s="173"/>
      <c r="K71" s="177"/>
      <c r="L71" s="177"/>
      <c r="M71" s="177"/>
      <c r="N71" s="181"/>
      <c r="O71" s="175">
        <f t="shared" si="2"/>
        <v>95</v>
      </c>
      <c r="P71" s="183"/>
      <c r="Q71" s="177"/>
      <c r="R71" s="177">
        <v>275</v>
      </c>
      <c r="S71" s="165">
        <v>16071.709999999997</v>
      </c>
      <c r="T71" s="183">
        <v>8.67</v>
      </c>
      <c r="U71" s="177"/>
      <c r="V71" s="166">
        <f t="shared" si="3"/>
        <v>8.67</v>
      </c>
      <c r="W71" s="177">
        <v>8.15</v>
      </c>
      <c r="X71" s="177">
        <v>9.1</v>
      </c>
      <c r="Y71" s="184">
        <f>'[2]شامل الضريبة2017 (5)'!M191</f>
        <v>1.45</v>
      </c>
      <c r="Z71" s="177"/>
      <c r="AA71" s="177">
        <v>1.31</v>
      </c>
      <c r="AB71" s="184">
        <f>'[2]شامل الضريبة2017 (5)'!N191</f>
        <v>20.94</v>
      </c>
      <c r="AC71" s="178" t="s">
        <v>350</v>
      </c>
    </row>
    <row r="72" spans="1:29" ht="18.75" hidden="1" thickBot="1" x14ac:dyDescent="0.3">
      <c r="A72" s="179">
        <v>15</v>
      </c>
      <c r="B72" s="169">
        <v>26712172501956</v>
      </c>
      <c r="C72" s="170" t="s">
        <v>357</v>
      </c>
      <c r="D72" s="171">
        <v>1736.75</v>
      </c>
      <c r="E72" s="171">
        <v>407.13</v>
      </c>
      <c r="F72" s="171">
        <v>82.52</v>
      </c>
      <c r="G72" s="171"/>
      <c r="H72" s="172">
        <v>150</v>
      </c>
      <c r="I72" s="171"/>
      <c r="J72" s="173"/>
      <c r="K72" s="171"/>
      <c r="L72" s="171"/>
      <c r="M72" s="171"/>
      <c r="N72" s="174"/>
      <c r="O72" s="175">
        <f t="shared" si="2"/>
        <v>150</v>
      </c>
      <c r="P72" s="176"/>
      <c r="Q72" s="171"/>
      <c r="R72" s="177">
        <v>521.35</v>
      </c>
      <c r="S72" s="165">
        <v>29160</v>
      </c>
      <c r="T72" s="176">
        <v>6.13</v>
      </c>
      <c r="U72" s="171"/>
      <c r="V72" s="166">
        <f t="shared" si="3"/>
        <v>6.13</v>
      </c>
      <c r="W72" s="171">
        <v>15.6</v>
      </c>
      <c r="X72" s="177">
        <v>17.05</v>
      </c>
      <c r="Y72" s="184">
        <f>'[2]شامل الضريبة2017 (5)'!M192</f>
        <v>0.3</v>
      </c>
      <c r="Z72" s="171">
        <v>98.25</v>
      </c>
      <c r="AA72" s="177">
        <v>22.35</v>
      </c>
      <c r="AB72" s="184">
        <f>'[2]شامل الضريبة2017 (5)'!N192</f>
        <v>0.25</v>
      </c>
      <c r="AC72" s="178" t="s">
        <v>297</v>
      </c>
    </row>
    <row r="73" spans="1:29" ht="18.75" thickBot="1" x14ac:dyDescent="0.3">
      <c r="A73" s="186">
        <v>16</v>
      </c>
      <c r="B73" s="169">
        <v>28510032502061</v>
      </c>
      <c r="C73" s="170" t="s">
        <v>358</v>
      </c>
      <c r="D73" s="177">
        <v>1109.45</v>
      </c>
      <c r="E73" s="177"/>
      <c r="F73" s="177">
        <v>5.51</v>
      </c>
      <c r="G73" s="177"/>
      <c r="H73" s="172">
        <v>95</v>
      </c>
      <c r="I73" s="177"/>
      <c r="J73" s="173"/>
      <c r="K73" s="177"/>
      <c r="L73" s="177"/>
      <c r="M73" s="177"/>
      <c r="N73" s="181"/>
      <c r="O73" s="175">
        <f t="shared" si="2"/>
        <v>95</v>
      </c>
      <c r="P73" s="182">
        <f>'[2]شامل الضريبة2017 (5)'!C98</f>
        <v>2267.3100000000004</v>
      </c>
      <c r="Q73" s="177"/>
      <c r="R73" s="177">
        <v>263</v>
      </c>
      <c r="S73" s="165">
        <v>14827.150000000001</v>
      </c>
      <c r="T73" s="183"/>
      <c r="U73" s="177"/>
      <c r="V73" s="166">
        <f t="shared" si="3"/>
        <v>0</v>
      </c>
      <c r="W73" s="177">
        <v>7.8</v>
      </c>
      <c r="X73" s="177">
        <v>8.75</v>
      </c>
      <c r="Y73" s="184">
        <f>'[2]شامل الضريبة2017 (5)'!M98</f>
        <v>9.9500000000000011</v>
      </c>
      <c r="Z73" s="177"/>
      <c r="AA73" s="177">
        <v>0.41</v>
      </c>
      <c r="AB73" s="184">
        <f>'[2]شامل الضريبة2017 (5)'!N98</f>
        <v>80.820000000000007</v>
      </c>
      <c r="AC73" s="178" t="s">
        <v>350</v>
      </c>
    </row>
    <row r="74" spans="1:29" ht="18.75" hidden="1" thickBot="1" x14ac:dyDescent="0.3">
      <c r="A74" s="186">
        <v>72</v>
      </c>
      <c r="B74" s="169">
        <v>27610262501447</v>
      </c>
      <c r="C74" s="170" t="s">
        <v>359</v>
      </c>
      <c r="D74" s="177">
        <v>1238.3</v>
      </c>
      <c r="E74" s="177">
        <v>43.06</v>
      </c>
      <c r="F74" s="177">
        <v>8.64</v>
      </c>
      <c r="G74" s="177"/>
      <c r="H74" s="172">
        <v>150</v>
      </c>
      <c r="I74" s="177"/>
      <c r="J74" s="173">
        <v>235.17</v>
      </c>
      <c r="K74" s="177"/>
      <c r="L74" s="177"/>
      <c r="M74" s="177"/>
      <c r="N74" s="181"/>
      <c r="O74" s="175">
        <f t="shared" si="2"/>
        <v>385.16999999999996</v>
      </c>
      <c r="P74" s="183"/>
      <c r="Q74" s="177"/>
      <c r="R74" s="177">
        <v>304.76</v>
      </c>
      <c r="S74" s="165">
        <v>28360.39</v>
      </c>
      <c r="T74" s="183"/>
      <c r="U74" s="177"/>
      <c r="V74" s="166">
        <f t="shared" si="3"/>
        <v>0</v>
      </c>
      <c r="W74" s="177">
        <v>9.35</v>
      </c>
      <c r="X74" s="177">
        <v>10.45</v>
      </c>
      <c r="Y74" s="184">
        <f>'[2]شامل الضريبة2017 (5)'!M194</f>
        <v>0.3</v>
      </c>
      <c r="Z74" s="177">
        <v>16.25</v>
      </c>
      <c r="AA74" s="177">
        <v>4.9000000000000004</v>
      </c>
      <c r="AB74" s="184">
        <f>'[2]شامل الضريبة2017 (5)'!N194</f>
        <v>1.7</v>
      </c>
      <c r="AC74" s="178" t="s">
        <v>303</v>
      </c>
    </row>
    <row r="75" spans="1:29" ht="18.75" hidden="1" thickBot="1" x14ac:dyDescent="0.3">
      <c r="A75" s="179">
        <v>73</v>
      </c>
      <c r="B75" s="169">
        <v>28008162500321</v>
      </c>
      <c r="C75" s="170" t="s">
        <v>360</v>
      </c>
      <c r="D75" s="177">
        <v>1131.7</v>
      </c>
      <c r="E75" s="177"/>
      <c r="F75" s="177">
        <v>5.51</v>
      </c>
      <c r="G75" s="177"/>
      <c r="H75" s="172"/>
      <c r="I75" s="177"/>
      <c r="J75" s="173">
        <v>223.18</v>
      </c>
      <c r="K75" s="177"/>
      <c r="L75" s="177"/>
      <c r="M75" s="177"/>
      <c r="N75" s="181"/>
      <c r="O75" s="175">
        <f t="shared" si="2"/>
        <v>223.18</v>
      </c>
      <c r="P75" s="183"/>
      <c r="Q75" s="177"/>
      <c r="R75" s="177">
        <v>263</v>
      </c>
      <c r="S75" s="165">
        <v>26843.649999999998</v>
      </c>
      <c r="T75" s="183"/>
      <c r="U75" s="177"/>
      <c r="V75" s="166">
        <f t="shared" si="3"/>
        <v>0</v>
      </c>
      <c r="W75" s="177">
        <v>7.2</v>
      </c>
      <c r="X75" s="177">
        <v>8.1999999999999993</v>
      </c>
      <c r="Y75" s="184">
        <f>'[2]شامل الضريبة2017 (5)'!M195</f>
        <v>1.45</v>
      </c>
      <c r="Z75" s="177"/>
      <c r="AA75" s="177"/>
      <c r="AB75" s="184">
        <f>'[2]شامل الضريبة2017 (5)'!N195</f>
        <v>4.8499999999999996</v>
      </c>
      <c r="AC75" s="178" t="s">
        <v>303</v>
      </c>
    </row>
    <row r="76" spans="1:29" ht="18.75" thickBot="1" x14ac:dyDescent="0.3">
      <c r="A76" s="186">
        <v>17</v>
      </c>
      <c r="B76" s="169">
        <v>28806242500229</v>
      </c>
      <c r="C76" s="170" t="s">
        <v>361</v>
      </c>
      <c r="D76" s="177">
        <v>1096.17</v>
      </c>
      <c r="E76" s="177"/>
      <c r="F76" s="177">
        <v>5.47</v>
      </c>
      <c r="G76" s="177"/>
      <c r="H76" s="172">
        <v>50</v>
      </c>
      <c r="I76" s="177"/>
      <c r="J76" s="173">
        <v>221.37</v>
      </c>
      <c r="K76" s="177"/>
      <c r="L76" s="177"/>
      <c r="M76" s="177"/>
      <c r="N76" s="181"/>
      <c r="O76" s="175">
        <f t="shared" si="2"/>
        <v>271.37</v>
      </c>
      <c r="P76" s="182">
        <f>'[2]شامل الضريبة2017 (5)'!C112</f>
        <v>1769.8500000000001</v>
      </c>
      <c r="Q76" s="177"/>
      <c r="R76" s="177">
        <v>260</v>
      </c>
      <c r="S76" s="165">
        <v>13540.750000000002</v>
      </c>
      <c r="T76" s="183"/>
      <c r="U76" s="177"/>
      <c r="V76" s="166">
        <f t="shared" si="3"/>
        <v>0</v>
      </c>
      <c r="W76" s="177"/>
      <c r="X76" s="177">
        <v>8.3000000000000007</v>
      </c>
      <c r="Y76" s="184">
        <f>'[2]شامل الضريبة2017 (5)'!M112</f>
        <v>6.6999999999999993</v>
      </c>
      <c r="Z76" s="177"/>
      <c r="AA76" s="177"/>
      <c r="AB76" s="184">
        <f>'[2]شامل الضريبة2017 (5)'!N112</f>
        <v>36.18</v>
      </c>
      <c r="AC76" s="178" t="s">
        <v>303</v>
      </c>
    </row>
    <row r="77" spans="1:29" ht="18.75" hidden="1" thickBot="1" x14ac:dyDescent="0.3">
      <c r="A77" s="186">
        <v>75</v>
      </c>
      <c r="B77" s="169">
        <v>28711042500088</v>
      </c>
      <c r="C77" s="170" t="s">
        <v>362</v>
      </c>
      <c r="D77" s="177">
        <v>1032.52</v>
      </c>
      <c r="E77" s="177"/>
      <c r="F77" s="177">
        <v>5.14</v>
      </c>
      <c r="G77" s="177"/>
      <c r="H77" s="172">
        <v>50</v>
      </c>
      <c r="I77" s="177"/>
      <c r="J77" s="173"/>
      <c r="K77" s="177"/>
      <c r="L77" s="177"/>
      <c r="M77" s="177"/>
      <c r="N77" s="181"/>
      <c r="O77" s="175">
        <f t="shared" si="2"/>
        <v>50</v>
      </c>
      <c r="P77" s="183"/>
      <c r="Q77" s="177"/>
      <c r="R77" s="177">
        <v>255</v>
      </c>
      <c r="S77" s="165">
        <v>11319.57</v>
      </c>
      <c r="T77" s="183"/>
      <c r="U77" s="177"/>
      <c r="V77" s="166">
        <f t="shared" si="3"/>
        <v>0</v>
      </c>
      <c r="W77" s="177">
        <v>6.45</v>
      </c>
      <c r="X77" s="177">
        <v>7.85</v>
      </c>
      <c r="Y77" s="184">
        <f>'[2]شامل الضريبة2017 (5)'!M197</f>
        <v>0.3</v>
      </c>
      <c r="Z77" s="177"/>
      <c r="AA77" s="177"/>
      <c r="AB77" s="184">
        <f>'[2]شامل الضريبة2017 (5)'!N197</f>
        <v>1.7</v>
      </c>
      <c r="AC77" s="178" t="s">
        <v>303</v>
      </c>
    </row>
    <row r="78" spans="1:29" ht="18.75" thickBot="1" x14ac:dyDescent="0.3">
      <c r="A78" s="179">
        <v>18</v>
      </c>
      <c r="B78" s="169">
        <v>28504252500204</v>
      </c>
      <c r="C78" s="170" t="s">
        <v>363</v>
      </c>
      <c r="D78" s="177">
        <v>1021.91</v>
      </c>
      <c r="E78" s="177"/>
      <c r="F78" s="177">
        <v>5.13</v>
      </c>
      <c r="G78" s="177"/>
      <c r="H78" s="172">
        <v>50</v>
      </c>
      <c r="I78" s="177"/>
      <c r="J78" s="173">
        <v>184.45</v>
      </c>
      <c r="K78" s="177"/>
      <c r="L78" s="177"/>
      <c r="M78" s="177"/>
      <c r="N78" s="181"/>
      <c r="O78" s="175">
        <f t="shared" si="2"/>
        <v>234.45</v>
      </c>
      <c r="P78" s="182">
        <f>'[2]شامل الضريبة2017 (5)'!C260</f>
        <v>2158.52</v>
      </c>
      <c r="Q78" s="177"/>
      <c r="R78" s="177">
        <v>232.5</v>
      </c>
      <c r="S78" s="165">
        <v>23603.920000000002</v>
      </c>
      <c r="T78" s="183"/>
      <c r="U78" s="177"/>
      <c r="V78" s="166">
        <f t="shared" si="3"/>
        <v>0</v>
      </c>
      <c r="W78" s="177">
        <v>6.4</v>
      </c>
      <c r="X78" s="177">
        <v>7.75</v>
      </c>
      <c r="Y78" s="184">
        <f>'[2]شامل الضريبة2017 (5)'!M292</f>
        <v>10.200000000000001</v>
      </c>
      <c r="Z78" s="177"/>
      <c r="AA78" s="177"/>
      <c r="AB78" s="184">
        <f>'[2]شامل الضريبة2017 (5)'!N260</f>
        <v>42.41</v>
      </c>
      <c r="AC78" s="178" t="s">
        <v>303</v>
      </c>
    </row>
    <row r="79" spans="1:29" ht="18.75" thickBot="1" x14ac:dyDescent="0.3">
      <c r="A79" s="186">
        <v>19</v>
      </c>
      <c r="B79" s="169">
        <v>28302182500226</v>
      </c>
      <c r="C79" s="170" t="s">
        <v>154</v>
      </c>
      <c r="D79" s="177">
        <v>1145.97</v>
      </c>
      <c r="E79" s="177"/>
      <c r="F79" s="177">
        <v>5.5</v>
      </c>
      <c r="G79" s="177"/>
      <c r="H79" s="172">
        <v>50</v>
      </c>
      <c r="I79" s="177"/>
      <c r="J79" s="173"/>
      <c r="K79" s="177"/>
      <c r="L79" s="177"/>
      <c r="M79" s="177"/>
      <c r="N79" s="181"/>
      <c r="O79" s="175">
        <f t="shared" si="2"/>
        <v>50</v>
      </c>
      <c r="P79" s="182">
        <f>'[2]شامل الضريبة2017 (5)'!C276</f>
        <v>2410.38</v>
      </c>
      <c r="Q79" s="177"/>
      <c r="R79" s="177">
        <v>265.16000000000003</v>
      </c>
      <c r="S79" s="165">
        <v>14686.810000000001</v>
      </c>
      <c r="T79" s="183"/>
      <c r="U79" s="177"/>
      <c r="V79" s="166">
        <f t="shared" si="3"/>
        <v>0</v>
      </c>
      <c r="W79" s="177">
        <v>7.55</v>
      </c>
      <c r="X79" s="177">
        <v>8.8000000000000007</v>
      </c>
      <c r="Y79" s="184">
        <f>'[2]شامل الضريبة2017 (5)'!M276</f>
        <v>11.3</v>
      </c>
      <c r="Z79" s="177"/>
      <c r="AA79" s="177">
        <v>0.51</v>
      </c>
      <c r="AB79" s="184">
        <f>'[2]شامل الضريبة2017 (5)'!N276</f>
        <v>101.04</v>
      </c>
      <c r="AC79" s="178" t="s">
        <v>350</v>
      </c>
    </row>
    <row r="80" spans="1:29" ht="18.75" hidden="1" thickBot="1" x14ac:dyDescent="0.3">
      <c r="A80" s="186">
        <v>78</v>
      </c>
      <c r="B80" s="169">
        <v>28409302500186</v>
      </c>
      <c r="C80" s="170" t="s">
        <v>364</v>
      </c>
      <c r="D80" s="177">
        <v>1032.52</v>
      </c>
      <c r="E80" s="177"/>
      <c r="F80" s="177">
        <v>5.14</v>
      </c>
      <c r="G80" s="177"/>
      <c r="H80" s="172">
        <v>50</v>
      </c>
      <c r="I80" s="177"/>
      <c r="J80" s="173">
        <v>201.59</v>
      </c>
      <c r="K80" s="177"/>
      <c r="L80" s="177"/>
      <c r="M80" s="177"/>
      <c r="N80" s="181"/>
      <c r="O80" s="175">
        <f t="shared" si="2"/>
        <v>251.59</v>
      </c>
      <c r="P80" s="183"/>
      <c r="Q80" s="177"/>
      <c r="R80" s="177">
        <v>255</v>
      </c>
      <c r="S80" s="165">
        <v>14329.259999999998</v>
      </c>
      <c r="T80" s="183"/>
      <c r="U80" s="177"/>
      <c r="V80" s="166">
        <f t="shared" si="3"/>
        <v>0</v>
      </c>
      <c r="W80" s="177">
        <v>6</v>
      </c>
      <c r="X80" s="177">
        <v>7.45</v>
      </c>
      <c r="Y80" s="184">
        <f>'[2]شامل الضريبة2017 (5)'!M200</f>
        <v>0.3</v>
      </c>
      <c r="Z80" s="177"/>
      <c r="AA80" s="177"/>
      <c r="AB80" s="184">
        <f>'[2]شامل الضريبة2017 (5)'!N200</f>
        <v>1.7</v>
      </c>
      <c r="AC80" s="178" t="s">
        <v>303</v>
      </c>
    </row>
    <row r="81" spans="1:29" ht="18.75" thickBot="1" x14ac:dyDescent="0.3">
      <c r="A81" s="179">
        <v>20</v>
      </c>
      <c r="B81" s="169">
        <v>28009152500311</v>
      </c>
      <c r="C81" s="170" t="s">
        <v>155</v>
      </c>
      <c r="D81" s="177">
        <v>1126.3599999999999</v>
      </c>
      <c r="E81" s="177">
        <v>0.9</v>
      </c>
      <c r="F81" s="177">
        <v>5.53</v>
      </c>
      <c r="G81" s="177"/>
      <c r="H81" s="172">
        <v>100</v>
      </c>
      <c r="I81" s="177"/>
      <c r="J81" s="173"/>
      <c r="K81" s="177"/>
      <c r="L81" s="177"/>
      <c r="M81" s="177"/>
      <c r="N81" s="181"/>
      <c r="O81" s="175">
        <f t="shared" si="2"/>
        <v>100</v>
      </c>
      <c r="P81" s="182">
        <f>'[2]شامل الضريبة2017 (5)'!C292</f>
        <v>2304.8999999999996</v>
      </c>
      <c r="Q81" s="177"/>
      <c r="R81" s="177">
        <v>270</v>
      </c>
      <c r="S81" s="165">
        <v>15043.490000000002</v>
      </c>
      <c r="T81" s="183"/>
      <c r="U81" s="177">
        <v>6.48</v>
      </c>
      <c r="V81" s="166">
        <f t="shared" si="3"/>
        <v>6.48</v>
      </c>
      <c r="W81" s="177">
        <v>7.95</v>
      </c>
      <c r="X81" s="177">
        <v>8.85</v>
      </c>
      <c r="Y81" s="184">
        <f>'[2]شامل الضريبة2017 (5)'!M292</f>
        <v>10.200000000000001</v>
      </c>
      <c r="Z81" s="177"/>
      <c r="AA81" s="177">
        <v>0.74</v>
      </c>
      <c r="AB81" s="184">
        <f>'[2]شامل الضريبة2017 (5)'!N292</f>
        <v>91.660000000000025</v>
      </c>
      <c r="AC81" s="178" t="s">
        <v>350</v>
      </c>
    </row>
    <row r="82" spans="1:29" ht="18.75" thickBot="1" x14ac:dyDescent="0.3">
      <c r="A82" s="186">
        <v>21</v>
      </c>
      <c r="B82" s="169">
        <v>29005272502634</v>
      </c>
      <c r="C82" s="170" t="s">
        <v>268</v>
      </c>
      <c r="D82" s="177">
        <v>903.04</v>
      </c>
      <c r="E82" s="177"/>
      <c r="F82" s="177">
        <v>4.54</v>
      </c>
      <c r="G82" s="177"/>
      <c r="H82" s="172">
        <v>50</v>
      </c>
      <c r="I82" s="177"/>
      <c r="J82" s="173"/>
      <c r="K82" s="177"/>
      <c r="L82" s="177"/>
      <c r="M82" s="177"/>
      <c r="N82" s="181"/>
      <c r="O82" s="175">
        <f t="shared" si="2"/>
        <v>50</v>
      </c>
      <c r="P82" s="182">
        <f>'[2]شامل الضريبة2017 (5)'!C308</f>
        <v>2152.5</v>
      </c>
      <c r="Q82" s="177"/>
      <c r="R82" s="177">
        <v>216.67</v>
      </c>
      <c r="S82" s="165">
        <v>13492.669999999998</v>
      </c>
      <c r="T82" s="183"/>
      <c r="U82" s="177"/>
      <c r="V82" s="166">
        <f t="shared" si="3"/>
        <v>0</v>
      </c>
      <c r="W82" s="177">
        <v>6.55</v>
      </c>
      <c r="X82" s="177">
        <v>6.4</v>
      </c>
      <c r="Y82" s="184">
        <f>'[2]شامل الضريبة2017 (5)'!M308</f>
        <v>8.7000000000000011</v>
      </c>
      <c r="Z82" s="177"/>
      <c r="AA82" s="177"/>
      <c r="AB82" s="184">
        <f>'[2]شامل الضريبة2017 (5)'!N308</f>
        <v>40.17</v>
      </c>
      <c r="AC82" s="178" t="s">
        <v>303</v>
      </c>
    </row>
    <row r="83" spans="1:29" s="188" customFormat="1" ht="18.75" thickBot="1" x14ac:dyDescent="0.3">
      <c r="A83" s="186">
        <v>22</v>
      </c>
      <c r="B83" s="187">
        <v>28511172500374</v>
      </c>
      <c r="C83" s="170" t="s">
        <v>156</v>
      </c>
      <c r="D83" s="177">
        <v>1109.45</v>
      </c>
      <c r="E83" s="177"/>
      <c r="F83" s="177">
        <v>5.51</v>
      </c>
      <c r="G83" s="177"/>
      <c r="H83" s="172">
        <v>50</v>
      </c>
      <c r="I83" s="177"/>
      <c r="J83" s="173"/>
      <c r="K83" s="177"/>
      <c r="L83" s="177"/>
      <c r="M83" s="177"/>
      <c r="N83" s="181"/>
      <c r="O83" s="175">
        <f t="shared" si="2"/>
        <v>50</v>
      </c>
      <c r="P83" s="182">
        <f>'[2]شامل الضريبة2017 (5)'!C323</f>
        <v>2172.3100000000004</v>
      </c>
      <c r="Q83" s="177"/>
      <c r="R83" s="177">
        <v>263</v>
      </c>
      <c r="S83" s="165">
        <v>15353.150000000001</v>
      </c>
      <c r="T83" s="183"/>
      <c r="U83" s="177"/>
      <c r="V83" s="166">
        <f t="shared" si="3"/>
        <v>0</v>
      </c>
      <c r="W83" s="177">
        <v>7.45</v>
      </c>
      <c r="X83" s="177">
        <v>8.4</v>
      </c>
      <c r="Y83" s="184">
        <f>'[2]شامل الضريبة2017 (5)'!M323</f>
        <v>9.6499999999999986</v>
      </c>
      <c r="Z83" s="177"/>
      <c r="AA83" s="177"/>
      <c r="AB83" s="184">
        <f>'[2]شامل الضريبة2017 (5)'!N323</f>
        <v>62.2</v>
      </c>
      <c r="AC83" s="178" t="s">
        <v>350</v>
      </c>
    </row>
    <row r="84" spans="1:29" s="188" customFormat="1" ht="18.75" thickBot="1" x14ac:dyDescent="0.3">
      <c r="A84" s="179">
        <v>23</v>
      </c>
      <c r="B84" s="187">
        <v>28606012505753</v>
      </c>
      <c r="C84" s="170" t="s">
        <v>263</v>
      </c>
      <c r="D84" s="177">
        <v>1096.17</v>
      </c>
      <c r="E84" s="177"/>
      <c r="F84" s="177">
        <v>5.47</v>
      </c>
      <c r="G84" s="177"/>
      <c r="H84" s="172">
        <v>50</v>
      </c>
      <c r="I84" s="177"/>
      <c r="J84" s="173">
        <v>219.37</v>
      </c>
      <c r="K84" s="177"/>
      <c r="L84" s="177"/>
      <c r="M84" s="181"/>
      <c r="N84" s="181"/>
      <c r="O84" s="175">
        <f t="shared" si="2"/>
        <v>269.37</v>
      </c>
      <c r="P84" s="182">
        <f>'[2]شامل الضريبة2017 (5)'!C343</f>
        <v>3317.0199999999995</v>
      </c>
      <c r="Q84" s="177"/>
      <c r="R84" s="177">
        <v>260</v>
      </c>
      <c r="S84" s="165">
        <v>17865.169999999998</v>
      </c>
      <c r="T84" s="183"/>
      <c r="U84" s="177"/>
      <c r="V84" s="166">
        <f t="shared" si="3"/>
        <v>0</v>
      </c>
      <c r="W84" s="177">
        <v>7.35</v>
      </c>
      <c r="X84" s="177">
        <v>8.3000000000000007</v>
      </c>
      <c r="Y84" s="184">
        <f>'[2]شامل الضريبة2017 (5)'!M343</f>
        <v>15.45</v>
      </c>
      <c r="Z84" s="177"/>
      <c r="AA84" s="177"/>
      <c r="AB84" s="184">
        <f>'[2]شامل الضريبة2017 (5)'!N343</f>
        <v>78.37</v>
      </c>
      <c r="AC84" s="178" t="s">
        <v>303</v>
      </c>
    </row>
    <row r="85" spans="1:29" s="188" customFormat="1" ht="18.75" thickBot="1" x14ac:dyDescent="0.3">
      <c r="A85" s="186">
        <v>24</v>
      </c>
      <c r="B85" s="187">
        <v>28710202500351</v>
      </c>
      <c r="C85" s="170" t="s">
        <v>157</v>
      </c>
      <c r="D85" s="177">
        <v>1159.31</v>
      </c>
      <c r="E85" s="177"/>
      <c r="F85" s="177">
        <v>5.51</v>
      </c>
      <c r="G85" s="177"/>
      <c r="H85" s="172">
        <v>100</v>
      </c>
      <c r="I85" s="177"/>
      <c r="J85" s="173">
        <v>223.18</v>
      </c>
      <c r="K85" s="177"/>
      <c r="L85" s="177"/>
      <c r="M85" s="181"/>
      <c r="N85" s="181"/>
      <c r="O85" s="175">
        <f t="shared" si="2"/>
        <v>323.18</v>
      </c>
      <c r="P85" s="182">
        <f>'[2]شامل الضريبة2017 (5)'!C369</f>
        <v>3537.3100000000004</v>
      </c>
      <c r="Q85" s="177"/>
      <c r="R85" s="177">
        <v>263</v>
      </c>
      <c r="S85" s="165">
        <v>27391.87</v>
      </c>
      <c r="T85" s="183"/>
      <c r="U85" s="177"/>
      <c r="V85" s="166">
        <f t="shared" si="3"/>
        <v>0</v>
      </c>
      <c r="W85" s="177">
        <v>7.8</v>
      </c>
      <c r="X85" s="177">
        <v>9.15</v>
      </c>
      <c r="Y85" s="184">
        <f>'[2]شامل الضريبة2017 (5)'!M369</f>
        <v>14.499999999999998</v>
      </c>
      <c r="Z85" s="177"/>
      <c r="AA85" s="177">
        <v>1.53</v>
      </c>
      <c r="AB85" s="184">
        <f>'[2]شامل الضريبة2017 (5)'!N369</f>
        <v>138.15999999999997</v>
      </c>
      <c r="AC85" s="178" t="s">
        <v>303</v>
      </c>
    </row>
    <row r="86" spans="1:29" s="188" customFormat="1" ht="18.75" thickBot="1" x14ac:dyDescent="0.3">
      <c r="A86" s="186">
        <v>25</v>
      </c>
      <c r="B86" s="187">
        <v>28102032500229</v>
      </c>
      <c r="C86" s="170" t="s">
        <v>158</v>
      </c>
      <c r="D86" s="177">
        <v>1145.97</v>
      </c>
      <c r="E86" s="177">
        <v>4.6900000000000004</v>
      </c>
      <c r="F86" s="177">
        <v>5.63</v>
      </c>
      <c r="G86" s="177"/>
      <c r="H86" s="172">
        <v>50</v>
      </c>
      <c r="I86" s="177"/>
      <c r="J86" s="173"/>
      <c r="K86" s="177"/>
      <c r="L86" s="177"/>
      <c r="M86" s="181"/>
      <c r="N86" s="181"/>
      <c r="O86" s="175">
        <f t="shared" si="2"/>
        <v>50</v>
      </c>
      <c r="P86" s="182">
        <f>'[2]شامل الضريبة2017 (5)'!C386</f>
        <v>2486.8599999999997</v>
      </c>
      <c r="Q86" s="177"/>
      <c r="R86" s="177">
        <v>278</v>
      </c>
      <c r="S86" s="165">
        <v>15385.400000000001</v>
      </c>
      <c r="T86" s="183"/>
      <c r="U86" s="177"/>
      <c r="V86" s="166">
        <f t="shared" si="3"/>
        <v>0</v>
      </c>
      <c r="W86" s="177">
        <v>7.7</v>
      </c>
      <c r="X86" s="177">
        <v>8.6999999999999993</v>
      </c>
      <c r="Y86" s="184">
        <f>'[2]شامل الضريبة2017 (5)'!M386</f>
        <v>11.000000000000004</v>
      </c>
      <c r="Z86" s="177"/>
      <c r="AA86" s="177">
        <v>0.33</v>
      </c>
      <c r="AB86" s="184">
        <f>'[2]شامل الضريبة2017 (5)'!N386</f>
        <v>84.080000000000013</v>
      </c>
      <c r="AC86" s="178" t="s">
        <v>350</v>
      </c>
    </row>
    <row r="87" spans="1:29" s="188" customFormat="1" ht="18.75" thickBot="1" x14ac:dyDescent="0.3">
      <c r="A87" s="179">
        <v>26</v>
      </c>
      <c r="B87" s="187">
        <v>29208022500243</v>
      </c>
      <c r="C87" s="170" t="s">
        <v>159</v>
      </c>
      <c r="D87" s="177">
        <v>942.46</v>
      </c>
      <c r="E87" s="177"/>
      <c r="F87" s="177">
        <v>5.08</v>
      </c>
      <c r="G87" s="177"/>
      <c r="H87" s="172">
        <v>50</v>
      </c>
      <c r="I87" s="177"/>
      <c r="J87" s="173"/>
      <c r="K87" s="177"/>
      <c r="L87" s="177"/>
      <c r="M87" s="181"/>
      <c r="N87" s="181"/>
      <c r="O87" s="175">
        <f t="shared" si="2"/>
        <v>50</v>
      </c>
      <c r="P87" s="182">
        <f>'[2]شامل الضريبة2017 (5)'!C394</f>
        <v>1411.02</v>
      </c>
      <c r="Q87" s="177"/>
      <c r="R87" s="177">
        <v>246</v>
      </c>
      <c r="S87" s="165">
        <v>10904.46</v>
      </c>
      <c r="T87" s="183"/>
      <c r="U87" s="177"/>
      <c r="V87" s="166">
        <f t="shared" si="3"/>
        <v>0</v>
      </c>
      <c r="W87" s="177">
        <v>5.9</v>
      </c>
      <c r="X87" s="177">
        <v>6.65</v>
      </c>
      <c r="Y87" s="184">
        <f>'[2]شامل الضريبة2017 (5)'!M394</f>
        <v>6.6499999999999995</v>
      </c>
      <c r="Z87" s="177"/>
      <c r="AA87" s="177"/>
      <c r="AB87" s="184">
        <f>'[2]شامل الضريبة2017 (5)'!N394</f>
        <v>7.55</v>
      </c>
      <c r="AC87" s="178" t="s">
        <v>303</v>
      </c>
    </row>
    <row r="88" spans="1:29" s="188" customFormat="1" ht="18.75" thickBot="1" x14ac:dyDescent="0.3">
      <c r="A88" s="186">
        <v>27</v>
      </c>
      <c r="B88" s="187">
        <v>28606212500276</v>
      </c>
      <c r="C88" s="170" t="s">
        <v>160</v>
      </c>
      <c r="D88" s="177">
        <v>1104.0999999999999</v>
      </c>
      <c r="E88" s="177"/>
      <c r="F88" s="177">
        <v>5.51</v>
      </c>
      <c r="G88" s="177"/>
      <c r="H88" s="172">
        <v>50</v>
      </c>
      <c r="I88" s="177"/>
      <c r="J88" s="173"/>
      <c r="K88" s="177"/>
      <c r="L88" s="177"/>
      <c r="M88" s="181"/>
      <c r="N88" s="181"/>
      <c r="O88" s="175">
        <f t="shared" si="2"/>
        <v>50</v>
      </c>
      <c r="P88" s="182">
        <f>'[2]شامل الضريبة2017 (5)'!C410</f>
        <v>2222.3100000000004</v>
      </c>
      <c r="Q88" s="177"/>
      <c r="R88" s="177">
        <v>263</v>
      </c>
      <c r="S88" s="165">
        <v>14639.31</v>
      </c>
      <c r="T88" s="183"/>
      <c r="U88" s="177"/>
      <c r="V88" s="166">
        <f t="shared" si="3"/>
        <v>0</v>
      </c>
      <c r="W88" s="177">
        <v>7.4</v>
      </c>
      <c r="X88" s="177">
        <v>8.35</v>
      </c>
      <c r="Y88" s="184">
        <f>'[2]شامل الضريبة2017 (5)'!M410</f>
        <v>9.4999999999999982</v>
      </c>
      <c r="Z88" s="177"/>
      <c r="AA88" s="177"/>
      <c r="AB88" s="184">
        <f>'[2]شامل الضريبة2017 (5)'!N410</f>
        <v>61.650000000000006</v>
      </c>
      <c r="AC88" s="178" t="s">
        <v>303</v>
      </c>
    </row>
    <row r="89" spans="1:29" s="188" customFormat="1" ht="18.75" thickBot="1" x14ac:dyDescent="0.3">
      <c r="A89" s="186">
        <v>28</v>
      </c>
      <c r="B89" s="187">
        <v>28211082500321</v>
      </c>
      <c r="C89" s="170" t="s">
        <v>223</v>
      </c>
      <c r="D89" s="177">
        <v>955.3</v>
      </c>
      <c r="E89" s="177"/>
      <c r="F89" s="177">
        <v>5.0999999999999996</v>
      </c>
      <c r="G89" s="177"/>
      <c r="H89" s="172"/>
      <c r="I89" s="177"/>
      <c r="J89" s="173"/>
      <c r="K89" s="177"/>
      <c r="L89" s="177"/>
      <c r="M89" s="181"/>
      <c r="N89" s="181"/>
      <c r="O89" s="175">
        <f t="shared" si="2"/>
        <v>0</v>
      </c>
      <c r="P89" s="182">
        <f>'[2]شامل الضريبة2017 (5)'!C422</f>
        <v>1641.2399999999998</v>
      </c>
      <c r="Q89" s="177"/>
      <c r="R89" s="177">
        <v>252</v>
      </c>
      <c r="S89" s="165">
        <v>11944.93</v>
      </c>
      <c r="T89" s="183"/>
      <c r="U89" s="177"/>
      <c r="V89" s="166">
        <f t="shared" si="3"/>
        <v>0</v>
      </c>
      <c r="W89" s="177">
        <v>5.65</v>
      </c>
      <c r="X89" s="177">
        <v>6.4</v>
      </c>
      <c r="Y89" s="184">
        <f>'[2]شامل الضريبة2017 (5)'!M422</f>
        <v>7.0500000000000007</v>
      </c>
      <c r="Z89" s="177"/>
      <c r="AA89" s="177"/>
      <c r="AB89" s="184">
        <f>'[2]شامل الضريبة2017 (5)'!N422</f>
        <v>11.290000000000001</v>
      </c>
      <c r="AC89" s="178" t="s">
        <v>303</v>
      </c>
    </row>
    <row r="90" spans="1:29" s="188" customFormat="1" ht="18.75" thickBot="1" x14ac:dyDescent="0.3">
      <c r="A90" s="179">
        <v>29</v>
      </c>
      <c r="B90" s="187">
        <v>27808192500183</v>
      </c>
      <c r="C90" s="170" t="s">
        <v>161</v>
      </c>
      <c r="D90" s="177">
        <v>1191.8900000000001</v>
      </c>
      <c r="E90" s="177"/>
      <c r="F90" s="177">
        <v>5.69</v>
      </c>
      <c r="G90" s="177"/>
      <c r="H90" s="172">
        <v>50</v>
      </c>
      <c r="I90" s="177"/>
      <c r="J90" s="173"/>
      <c r="K90" s="177"/>
      <c r="L90" s="177"/>
      <c r="M90" s="181"/>
      <c r="N90" s="181"/>
      <c r="O90" s="175">
        <f t="shared" si="2"/>
        <v>50</v>
      </c>
      <c r="P90" s="182">
        <f>'[2]شامل الضريبة2017 (5)'!C439</f>
        <v>2347.8599999999997</v>
      </c>
      <c r="Q90" s="177"/>
      <c r="R90" s="177">
        <v>278</v>
      </c>
      <c r="S90" s="165">
        <v>16346.539999999999</v>
      </c>
      <c r="T90" s="183"/>
      <c r="U90" s="177"/>
      <c r="V90" s="166">
        <f t="shared" si="3"/>
        <v>0</v>
      </c>
      <c r="W90" s="177">
        <v>8</v>
      </c>
      <c r="X90" s="177">
        <v>8.9499999999999993</v>
      </c>
      <c r="Y90" s="184">
        <f>'[2]شامل الضريبة2017 (5)'!M439</f>
        <v>10.450000000000003</v>
      </c>
      <c r="Z90" s="177"/>
      <c r="AA90" s="177">
        <v>0.92</v>
      </c>
      <c r="AB90" s="184">
        <f>'[2]شامل الضريبة2017 (5)'!N439</f>
        <v>95.860000000000014</v>
      </c>
      <c r="AC90" s="178" t="s">
        <v>350</v>
      </c>
    </row>
    <row r="91" spans="1:29" s="188" customFormat="1" ht="18.75" thickBot="1" x14ac:dyDescent="0.3">
      <c r="A91" s="186">
        <v>30</v>
      </c>
      <c r="B91" s="187">
        <v>28110182500181</v>
      </c>
      <c r="C91" s="170" t="s">
        <v>162</v>
      </c>
      <c r="D91" s="177">
        <v>1104.0999999999999</v>
      </c>
      <c r="E91" s="177"/>
      <c r="F91" s="177">
        <v>5.51</v>
      </c>
      <c r="G91" s="177"/>
      <c r="H91" s="172">
        <v>50</v>
      </c>
      <c r="I91" s="177"/>
      <c r="J91" s="173"/>
      <c r="K91" s="177"/>
      <c r="L91" s="177"/>
      <c r="M91" s="181"/>
      <c r="N91" s="181"/>
      <c r="O91" s="175">
        <f t="shared" si="2"/>
        <v>50</v>
      </c>
      <c r="P91" s="182">
        <f>'[2]شامل الضريبة2017 (5)'!C456</f>
        <v>2485.3100000000004</v>
      </c>
      <c r="Q91" s="177"/>
      <c r="R91" s="177">
        <v>263</v>
      </c>
      <c r="S91" s="165">
        <v>14902.32</v>
      </c>
      <c r="T91" s="183"/>
      <c r="U91" s="177"/>
      <c r="V91" s="166">
        <f t="shared" si="3"/>
        <v>0</v>
      </c>
      <c r="W91" s="177">
        <v>7.4</v>
      </c>
      <c r="X91" s="177">
        <v>8.35</v>
      </c>
      <c r="Y91" s="184">
        <f>'[2]شامل الضريبة2017 (5)'!M456</f>
        <v>10.899999999999999</v>
      </c>
      <c r="Z91" s="177"/>
      <c r="AA91" s="177"/>
      <c r="AB91" s="184">
        <f>'[2]شامل الضريبة2017 (5)'!N456</f>
        <v>66.350000000000009</v>
      </c>
      <c r="AC91" s="178" t="s">
        <v>303</v>
      </c>
    </row>
    <row r="92" spans="1:29" s="188" customFormat="1" ht="18.75" thickBot="1" x14ac:dyDescent="0.3">
      <c r="A92" s="186">
        <v>31</v>
      </c>
      <c r="B92" s="187">
        <v>28209102500301</v>
      </c>
      <c r="C92" s="170" t="s">
        <v>163</v>
      </c>
      <c r="D92" s="177">
        <v>687.76</v>
      </c>
      <c r="E92" s="177"/>
      <c r="F92" s="177">
        <v>3.29</v>
      </c>
      <c r="G92" s="177"/>
      <c r="H92" s="172"/>
      <c r="I92" s="177">
        <v>63.05</v>
      </c>
      <c r="J92" s="173"/>
      <c r="K92" s="177"/>
      <c r="L92" s="177"/>
      <c r="M92" s="181"/>
      <c r="N92" s="181"/>
      <c r="O92" s="175">
        <f t="shared" si="2"/>
        <v>63.05</v>
      </c>
      <c r="P92" s="182">
        <f>'[2]شامل الضريبة2017 (5)'!C470</f>
        <v>1420.06</v>
      </c>
      <c r="Q92" s="177"/>
      <c r="R92" s="177">
        <v>267</v>
      </c>
      <c r="S92" s="165">
        <v>15195.82</v>
      </c>
      <c r="T92" s="183"/>
      <c r="U92" s="177"/>
      <c r="V92" s="166">
        <f t="shared" si="3"/>
        <v>0</v>
      </c>
      <c r="W92" s="177">
        <v>4</v>
      </c>
      <c r="X92" s="177">
        <v>5.6</v>
      </c>
      <c r="Y92" s="184">
        <f>'[2]شامل الضريبة2017 (5)'!M470</f>
        <v>5.0499999999999989</v>
      </c>
      <c r="Z92" s="177"/>
      <c r="AA92" s="177"/>
      <c r="AB92" s="184">
        <f>'[2]شامل الضريبة2017 (5)'!N470</f>
        <v>0</v>
      </c>
      <c r="AC92" s="178" t="s">
        <v>350</v>
      </c>
    </row>
    <row r="93" spans="1:29" s="188" customFormat="1" ht="18.75" thickBot="1" x14ac:dyDescent="0.3">
      <c r="A93" s="179">
        <v>32</v>
      </c>
      <c r="B93" s="187">
        <v>28412312500207</v>
      </c>
      <c r="C93" s="170" t="s">
        <v>164</v>
      </c>
      <c r="D93" s="177">
        <v>1126.3599999999999</v>
      </c>
      <c r="E93" s="177"/>
      <c r="F93" s="177">
        <v>5.53</v>
      </c>
      <c r="G93" s="177"/>
      <c r="H93" s="172">
        <v>95</v>
      </c>
      <c r="I93" s="177"/>
      <c r="J93" s="173"/>
      <c r="K93" s="177"/>
      <c r="L93" s="177"/>
      <c r="M93" s="181"/>
      <c r="N93" s="181"/>
      <c r="O93" s="175">
        <f t="shared" si="2"/>
        <v>95</v>
      </c>
      <c r="P93" s="182">
        <f>'[2]شامل الضريبة2017 (5)'!C486</f>
        <v>2304.8999999999996</v>
      </c>
      <c r="Q93" s="177"/>
      <c r="R93" s="177">
        <v>270</v>
      </c>
      <c r="S93" s="165">
        <v>15032.69</v>
      </c>
      <c r="T93" s="183"/>
      <c r="U93" s="177"/>
      <c r="V93" s="166">
        <f t="shared" si="3"/>
        <v>0</v>
      </c>
      <c r="W93" s="177">
        <v>7.9</v>
      </c>
      <c r="X93" s="177">
        <v>8.85</v>
      </c>
      <c r="Y93" s="184">
        <f>'[2]شامل الضريبة2017 (5)'!M486</f>
        <v>10.200000000000001</v>
      </c>
      <c r="Z93" s="177"/>
      <c r="AA93" s="177">
        <v>0.75</v>
      </c>
      <c r="AB93" s="184">
        <f>'[2]شامل الضريبة2017 (5)'!N486</f>
        <v>88.560000000000016</v>
      </c>
      <c r="AC93" s="178" t="s">
        <v>350</v>
      </c>
    </row>
    <row r="94" spans="1:29" s="188" customFormat="1" ht="18.75" thickBot="1" x14ac:dyDescent="0.3">
      <c r="A94" s="186">
        <v>33</v>
      </c>
      <c r="B94" s="187">
        <v>28110092500107</v>
      </c>
      <c r="C94" s="170" t="s">
        <v>165</v>
      </c>
      <c r="D94" s="177">
        <v>1104.0999999999999</v>
      </c>
      <c r="E94" s="177"/>
      <c r="F94" s="177">
        <v>5.51</v>
      </c>
      <c r="G94" s="177"/>
      <c r="H94" s="172">
        <v>50</v>
      </c>
      <c r="I94" s="177"/>
      <c r="J94" s="173">
        <v>225.18</v>
      </c>
      <c r="K94" s="177"/>
      <c r="L94" s="177"/>
      <c r="M94" s="181">
        <v>14.4</v>
      </c>
      <c r="N94" s="181"/>
      <c r="O94" s="175">
        <f t="shared" si="2"/>
        <v>289.58</v>
      </c>
      <c r="P94" s="182">
        <f>'[2]شامل الضريبة2017 (5)'!C508</f>
        <v>3537.3100000000004</v>
      </c>
      <c r="Q94" s="177"/>
      <c r="R94" s="177">
        <v>263</v>
      </c>
      <c r="S94" s="165">
        <v>27304.16</v>
      </c>
      <c r="T94" s="183">
        <v>7.54</v>
      </c>
      <c r="U94" s="177"/>
      <c r="V94" s="166">
        <f t="shared" si="3"/>
        <v>7.54</v>
      </c>
      <c r="W94" s="177">
        <v>7.5</v>
      </c>
      <c r="X94" s="177">
        <v>8.85</v>
      </c>
      <c r="Y94" s="184">
        <f>'[2]شامل الضريبة2017 (5)'!M508</f>
        <v>16.5</v>
      </c>
      <c r="Z94" s="177"/>
      <c r="AA94" s="177">
        <v>0.64</v>
      </c>
      <c r="AB94" s="184">
        <f>'[2]شامل الضريبة2017 (5)'!N508</f>
        <v>152.70000000000002</v>
      </c>
      <c r="AC94" s="178" t="s">
        <v>303</v>
      </c>
    </row>
    <row r="95" spans="1:29" ht="18.75" hidden="1" thickBot="1" x14ac:dyDescent="0.3">
      <c r="A95" s="168">
        <v>93</v>
      </c>
      <c r="B95" s="169">
        <v>28611182500091</v>
      </c>
      <c r="C95" s="189" t="s">
        <v>365</v>
      </c>
      <c r="D95" s="190"/>
      <c r="E95" s="190"/>
      <c r="F95" s="190"/>
      <c r="G95" s="191"/>
      <c r="H95" s="192"/>
      <c r="I95" s="190"/>
      <c r="J95" s="193"/>
      <c r="K95" s="191"/>
      <c r="L95" s="190"/>
      <c r="M95" s="194"/>
      <c r="N95" s="195"/>
      <c r="O95" s="175">
        <f t="shared" si="2"/>
        <v>0</v>
      </c>
      <c r="P95" s="196"/>
      <c r="Q95" s="191"/>
      <c r="R95" s="190"/>
      <c r="S95" s="197">
        <v>10344.1</v>
      </c>
      <c r="T95" s="198"/>
      <c r="U95" s="191"/>
      <c r="V95" s="166">
        <f t="shared" si="3"/>
        <v>0</v>
      </c>
      <c r="W95" s="190">
        <v>6.65</v>
      </c>
      <c r="X95" s="191"/>
      <c r="Y95" s="184">
        <f>'[2]شامل الضريبة2017 (5)'!M509</f>
        <v>0.25</v>
      </c>
      <c r="Z95" s="190"/>
      <c r="AA95" s="191"/>
      <c r="AB95" s="184">
        <f>'[2]شامل الضريبة2017 (5)'!N509</f>
        <v>1.61</v>
      </c>
      <c r="AC95" s="199" t="s">
        <v>303</v>
      </c>
    </row>
    <row r="96" spans="1:29" s="188" customFormat="1" ht="18.75" thickBot="1" x14ac:dyDescent="0.3">
      <c r="A96" s="179">
        <v>34</v>
      </c>
      <c r="B96" s="187">
        <v>28303132500264</v>
      </c>
      <c r="C96" s="170" t="s">
        <v>166</v>
      </c>
      <c r="D96" s="177">
        <v>1096.17</v>
      </c>
      <c r="E96" s="177"/>
      <c r="F96" s="177">
        <v>5.47</v>
      </c>
      <c r="G96" s="177"/>
      <c r="H96" s="172">
        <v>50</v>
      </c>
      <c r="I96" s="177"/>
      <c r="J96" s="173"/>
      <c r="K96" s="177"/>
      <c r="L96" s="177"/>
      <c r="M96" s="181"/>
      <c r="N96" s="181"/>
      <c r="O96" s="175">
        <f t="shared" si="2"/>
        <v>50</v>
      </c>
      <c r="P96" s="182">
        <f>'[2]شامل الضريبة2017 (5)'!C524</f>
        <v>2186.1999999999998</v>
      </c>
      <c r="Q96" s="177"/>
      <c r="R96" s="177">
        <v>260</v>
      </c>
      <c r="S96" s="165">
        <v>14477.03</v>
      </c>
      <c r="T96" s="183"/>
      <c r="U96" s="177"/>
      <c r="V96" s="166">
        <f t="shared" si="3"/>
        <v>0</v>
      </c>
      <c r="W96" s="177">
        <v>7.35</v>
      </c>
      <c r="X96" s="177">
        <v>8.3000000000000007</v>
      </c>
      <c r="Y96" s="184">
        <f>'[2]شامل الضريبة2017 (5)'!M524</f>
        <v>9.3999999999999986</v>
      </c>
      <c r="Z96" s="177"/>
      <c r="AA96" s="177"/>
      <c r="AB96" s="184">
        <f>'[2]شامل الضريبة2017 (5)'!N524</f>
        <v>64.78</v>
      </c>
      <c r="AC96" s="178" t="s">
        <v>303</v>
      </c>
    </row>
    <row r="97" spans="1:29" s="188" customFormat="1" ht="18.75" thickBot="1" x14ac:dyDescent="0.3">
      <c r="A97" s="186">
        <v>35</v>
      </c>
      <c r="B97" s="187">
        <v>28309012505066</v>
      </c>
      <c r="C97" s="170" t="s">
        <v>167</v>
      </c>
      <c r="D97" s="177">
        <v>1106.06</v>
      </c>
      <c r="E97" s="177"/>
      <c r="F97" s="177">
        <v>5.52</v>
      </c>
      <c r="G97" s="177"/>
      <c r="H97" s="172">
        <v>140</v>
      </c>
      <c r="I97" s="177"/>
      <c r="J97" s="173">
        <v>226.45</v>
      </c>
      <c r="K97" s="177"/>
      <c r="L97" s="177"/>
      <c r="M97" s="181"/>
      <c r="N97" s="181"/>
      <c r="O97" s="175">
        <f t="shared" si="2"/>
        <v>366.45</v>
      </c>
      <c r="P97" s="182">
        <f>'[2]شامل الضريبة2017 (5)'!C540</f>
        <v>2227.6800000000003</v>
      </c>
      <c r="Q97" s="177"/>
      <c r="R97" s="177">
        <v>264</v>
      </c>
      <c r="S97" s="165">
        <v>15041.169999999998</v>
      </c>
      <c r="T97" s="183">
        <v>9.06</v>
      </c>
      <c r="U97" s="177"/>
      <c r="V97" s="166">
        <f t="shared" si="3"/>
        <v>9.06</v>
      </c>
      <c r="W97" s="177">
        <v>8.1</v>
      </c>
      <c r="X97" s="177">
        <v>9.4</v>
      </c>
      <c r="Y97" s="184">
        <f>'[2]شامل الضريبة2017 (5)'!M540</f>
        <v>9.4999999999999982</v>
      </c>
      <c r="Z97" s="177"/>
      <c r="AA97" s="177">
        <v>2.19</v>
      </c>
      <c r="AB97" s="184">
        <f>'[2]شامل الضريبة2017 (5)'!N540</f>
        <v>92.4</v>
      </c>
      <c r="AC97" s="178" t="s">
        <v>303</v>
      </c>
    </row>
    <row r="98" spans="1:29" s="188" customFormat="1" ht="18.75" thickBot="1" x14ac:dyDescent="0.3">
      <c r="A98" s="186">
        <v>36</v>
      </c>
      <c r="B98" s="187">
        <v>26804232500107</v>
      </c>
      <c r="C98" s="170" t="s">
        <v>168</v>
      </c>
      <c r="D98" s="171">
        <v>1575.3</v>
      </c>
      <c r="E98" s="171">
        <v>329.01</v>
      </c>
      <c r="F98" s="171">
        <v>71.38</v>
      </c>
      <c r="G98" s="171"/>
      <c r="H98" s="172">
        <v>150</v>
      </c>
      <c r="I98" s="171"/>
      <c r="J98" s="173"/>
      <c r="K98" s="171"/>
      <c r="L98" s="171"/>
      <c r="M98" s="174"/>
      <c r="N98" s="174"/>
      <c r="O98" s="175">
        <f t="shared" si="2"/>
        <v>150</v>
      </c>
      <c r="P98" s="200">
        <f>'[2]شامل الضريبة2017 (5)'!C565</f>
        <v>5100.82</v>
      </c>
      <c r="Q98" s="177"/>
      <c r="R98" s="177">
        <v>462.98</v>
      </c>
      <c r="S98" s="165">
        <v>26683.53</v>
      </c>
      <c r="T98" s="176"/>
      <c r="U98" s="171"/>
      <c r="V98" s="166">
        <f t="shared" si="3"/>
        <v>0</v>
      </c>
      <c r="W98" s="171">
        <v>13.95</v>
      </c>
      <c r="X98" s="177">
        <v>15.25</v>
      </c>
      <c r="Y98" s="184">
        <f>'[2]شامل الضريبة2017 (5)'!M565</f>
        <v>27.1</v>
      </c>
      <c r="Z98" s="171">
        <v>76.7</v>
      </c>
      <c r="AA98" s="177">
        <v>17.690000000000001</v>
      </c>
      <c r="AB98" s="184">
        <f>'[2]شامل الضريبة2017 (5)'!N565</f>
        <v>230.69000000000003</v>
      </c>
      <c r="AC98" s="178" t="s">
        <v>297</v>
      </c>
    </row>
    <row r="99" spans="1:29" ht="18.75" hidden="1" thickBot="1" x14ac:dyDescent="0.3">
      <c r="A99" s="155">
        <v>97</v>
      </c>
      <c r="B99" s="169">
        <v>28610262500215</v>
      </c>
      <c r="C99" s="189" t="s">
        <v>366</v>
      </c>
      <c r="D99" s="190">
        <v>1096.17</v>
      </c>
      <c r="E99" s="190"/>
      <c r="F99" s="190">
        <v>5.47</v>
      </c>
      <c r="G99" s="191"/>
      <c r="H99" s="192">
        <v>50</v>
      </c>
      <c r="I99" s="190"/>
      <c r="J99" s="193"/>
      <c r="K99" s="191"/>
      <c r="L99" s="190"/>
      <c r="M99" s="194"/>
      <c r="N99" s="195"/>
      <c r="O99" s="175">
        <f t="shared" si="2"/>
        <v>50</v>
      </c>
      <c r="P99" s="196"/>
      <c r="Q99" s="191"/>
      <c r="R99" s="190">
        <v>260</v>
      </c>
      <c r="S99" s="197">
        <v>14372.03</v>
      </c>
      <c r="T99" s="198"/>
      <c r="U99" s="191"/>
      <c r="V99" s="166">
        <f t="shared" si="3"/>
        <v>0</v>
      </c>
      <c r="W99" s="190">
        <v>7.35</v>
      </c>
      <c r="X99" s="191">
        <v>8.3000000000000007</v>
      </c>
      <c r="Y99" s="184">
        <f>'[2]شامل الضريبة2017 (5)'!M513</f>
        <v>2.0499999999999998</v>
      </c>
      <c r="Z99" s="190"/>
      <c r="AA99" s="191"/>
      <c r="AB99" s="184">
        <f>'[2]شامل الضريبة2017 (5)'!N513</f>
        <v>19.86</v>
      </c>
      <c r="AC99" s="199" t="s">
        <v>303</v>
      </c>
    </row>
    <row r="100" spans="1:29" s="188" customFormat="1" ht="18.75" thickBot="1" x14ac:dyDescent="0.3">
      <c r="A100" s="186">
        <v>37</v>
      </c>
      <c r="B100" s="187">
        <v>28008042500107</v>
      </c>
      <c r="C100" s="170" t="s">
        <v>170</v>
      </c>
      <c r="D100" s="177">
        <v>1104.0999999999999</v>
      </c>
      <c r="E100" s="177"/>
      <c r="F100" s="177">
        <v>5.51</v>
      </c>
      <c r="G100" s="177"/>
      <c r="H100" s="172">
        <v>50</v>
      </c>
      <c r="I100" s="177"/>
      <c r="J100" s="173">
        <v>223.18</v>
      </c>
      <c r="K100" s="177"/>
      <c r="L100" s="177"/>
      <c r="M100" s="181"/>
      <c r="N100" s="181"/>
      <c r="O100" s="175">
        <f t="shared" si="2"/>
        <v>273.18</v>
      </c>
      <c r="P100" s="182">
        <f>'[2]شامل الضريبة2017 (5)'!C583</f>
        <v>1630.2</v>
      </c>
      <c r="Q100" s="177"/>
      <c r="R100" s="177">
        <v>263</v>
      </c>
      <c r="S100" s="165">
        <v>29160</v>
      </c>
      <c r="T100" s="183">
        <v>10.69</v>
      </c>
      <c r="U100" s="177"/>
      <c r="V100" s="166">
        <f t="shared" si="3"/>
        <v>10.69</v>
      </c>
      <c r="W100" s="177">
        <v>6.05</v>
      </c>
      <c r="X100" s="177">
        <v>9.8000000000000007</v>
      </c>
      <c r="Y100" s="184">
        <f>'[2]شامل الضريبة2017 (5)'!M583</f>
        <v>6.6999999999999993</v>
      </c>
      <c r="Z100" s="177"/>
      <c r="AA100" s="177">
        <v>3.16</v>
      </c>
      <c r="AB100" s="184">
        <f>'[2]شامل الضريبة2017 (5)'!N583</f>
        <v>35.129999999999995</v>
      </c>
      <c r="AC100" s="178" t="s">
        <v>303</v>
      </c>
    </row>
    <row r="101" spans="1:29" ht="18.75" hidden="1" thickBot="1" x14ac:dyDescent="0.3">
      <c r="A101" s="168">
        <v>99</v>
      </c>
      <c r="B101" s="169">
        <v>28602182503687</v>
      </c>
      <c r="C101" s="189" t="s">
        <v>367</v>
      </c>
      <c r="D101" s="190">
        <v>1064.22</v>
      </c>
      <c r="E101" s="190"/>
      <c r="F101" s="190">
        <v>5.24</v>
      </c>
      <c r="G101" s="191"/>
      <c r="H101" s="192">
        <v>50</v>
      </c>
      <c r="I101" s="190"/>
      <c r="J101" s="193"/>
      <c r="K101" s="191"/>
      <c r="L101" s="190"/>
      <c r="M101" s="194"/>
      <c r="N101" s="195"/>
      <c r="O101" s="175">
        <f t="shared" si="2"/>
        <v>50</v>
      </c>
      <c r="P101" s="196"/>
      <c r="Q101" s="191"/>
      <c r="R101" s="190">
        <v>259</v>
      </c>
      <c r="S101" s="197">
        <v>13341.830000000002</v>
      </c>
      <c r="T101" s="198"/>
      <c r="U101" s="191"/>
      <c r="V101" s="166">
        <f t="shared" si="3"/>
        <v>0</v>
      </c>
      <c r="W101" s="190">
        <v>3.7</v>
      </c>
      <c r="X101" s="191">
        <v>8.0500000000000007</v>
      </c>
      <c r="Y101" s="184">
        <f>'[2]شامل الضريبة2017 (5)'!M584</f>
        <v>0.3</v>
      </c>
      <c r="Z101" s="190"/>
      <c r="AA101" s="191"/>
      <c r="AB101" s="184">
        <f>'[2]شامل الضريبة2017 (5)'!N515</f>
        <v>0.44</v>
      </c>
      <c r="AC101" s="199" t="s">
        <v>303</v>
      </c>
    </row>
    <row r="102" spans="1:29" s="188" customFormat="1" ht="18.75" thickBot="1" x14ac:dyDescent="0.3">
      <c r="A102" s="179">
        <v>38</v>
      </c>
      <c r="B102" s="187">
        <v>28308012503041</v>
      </c>
      <c r="C102" s="170" t="s">
        <v>171</v>
      </c>
      <c r="D102" s="177">
        <v>1126.3599999999999</v>
      </c>
      <c r="E102" s="177"/>
      <c r="F102" s="177">
        <v>5.53</v>
      </c>
      <c r="G102" s="177"/>
      <c r="H102" s="172">
        <v>50</v>
      </c>
      <c r="I102" s="177"/>
      <c r="J102" s="173"/>
      <c r="K102" s="177"/>
      <c r="L102" s="177"/>
      <c r="M102" s="181"/>
      <c r="N102" s="181"/>
      <c r="O102" s="175">
        <f t="shared" si="2"/>
        <v>50</v>
      </c>
      <c r="P102" s="182">
        <f>'[2]شامل الضريبة2017 (5)'!C600</f>
        <v>2164.6799999999998</v>
      </c>
      <c r="Q102" s="177"/>
      <c r="R102" s="177">
        <v>270</v>
      </c>
      <c r="S102" s="165">
        <v>14670.46</v>
      </c>
      <c r="T102" s="183"/>
      <c r="U102" s="177"/>
      <c r="V102" s="166">
        <f t="shared" si="3"/>
        <v>0</v>
      </c>
      <c r="W102" s="177">
        <v>7.55</v>
      </c>
      <c r="X102" s="177">
        <v>8.5500000000000007</v>
      </c>
      <c r="Y102" s="184">
        <f>'[2]شامل الضريبة2017 (5)'!M600</f>
        <v>8.85</v>
      </c>
      <c r="Z102" s="177"/>
      <c r="AA102" s="177"/>
      <c r="AB102" s="184">
        <f>'[2]شامل الضريبة2017 (5)'!N600</f>
        <v>44.37</v>
      </c>
      <c r="AC102" s="178" t="s">
        <v>350</v>
      </c>
    </row>
    <row r="103" spans="1:29" s="188" customFormat="1" ht="18.75" thickBot="1" x14ac:dyDescent="0.3">
      <c r="A103" s="186">
        <v>39</v>
      </c>
      <c r="B103" s="187">
        <v>28402062500227</v>
      </c>
      <c r="C103" s="170" t="s">
        <v>172</v>
      </c>
      <c r="D103" s="177">
        <v>1145.97</v>
      </c>
      <c r="E103" s="177"/>
      <c r="F103" s="177">
        <v>5.71</v>
      </c>
      <c r="G103" s="177"/>
      <c r="H103" s="172">
        <v>50</v>
      </c>
      <c r="I103" s="177"/>
      <c r="J103" s="173"/>
      <c r="K103" s="177"/>
      <c r="L103" s="177"/>
      <c r="M103" s="181"/>
      <c r="N103" s="181"/>
      <c r="O103" s="175">
        <f t="shared" si="2"/>
        <v>50</v>
      </c>
      <c r="P103" s="182">
        <f>'[2]شامل الضريبة2017 (5)'!C613</f>
        <v>1859.74</v>
      </c>
      <c r="Q103" s="177"/>
      <c r="R103" s="177">
        <v>271</v>
      </c>
      <c r="S103" s="165">
        <v>15112.97</v>
      </c>
      <c r="T103" s="183"/>
      <c r="U103" s="177"/>
      <c r="V103" s="166">
        <f t="shared" si="3"/>
        <v>0</v>
      </c>
      <c r="W103" s="177">
        <v>7.7</v>
      </c>
      <c r="X103" s="177">
        <v>9</v>
      </c>
      <c r="Y103" s="184">
        <f>'[2]شامل الضريبة2017 (5)'!M613</f>
        <v>8.75</v>
      </c>
      <c r="Z103" s="177"/>
      <c r="AA103" s="177">
        <v>1.1499999999999999</v>
      </c>
      <c r="AB103" s="184">
        <f>'[2]شامل الضريبة2017 (5)'!N613</f>
        <v>82.050000000000011</v>
      </c>
      <c r="AC103" s="178" t="s">
        <v>350</v>
      </c>
    </row>
    <row r="104" spans="1:29" s="188" customFormat="1" ht="18.75" thickBot="1" x14ac:dyDescent="0.3">
      <c r="A104" s="186">
        <v>40</v>
      </c>
      <c r="B104" s="187">
        <v>28311190104789</v>
      </c>
      <c r="C104" s="170" t="s">
        <v>173</v>
      </c>
      <c r="D104" s="177">
        <v>880</v>
      </c>
      <c r="E104" s="177"/>
      <c r="F104" s="177"/>
      <c r="G104" s="177"/>
      <c r="H104" s="172">
        <v>145</v>
      </c>
      <c r="I104" s="177"/>
      <c r="J104" s="173"/>
      <c r="K104" s="177"/>
      <c r="L104" s="177"/>
      <c r="M104" s="181"/>
      <c r="N104" s="181"/>
      <c r="O104" s="175">
        <f t="shared" si="2"/>
        <v>145</v>
      </c>
      <c r="P104" s="182">
        <f>'[2]شامل الضريبة2017 (5)'!C629</f>
        <v>2199.3599999999997</v>
      </c>
      <c r="Q104" s="177"/>
      <c r="R104" s="177">
        <v>246</v>
      </c>
      <c r="S104" s="165">
        <v>11838.34</v>
      </c>
      <c r="T104" s="183"/>
      <c r="U104" s="177"/>
      <c r="V104" s="166">
        <f t="shared" si="3"/>
        <v>0</v>
      </c>
      <c r="W104" s="177">
        <v>6.15</v>
      </c>
      <c r="X104" s="177">
        <v>7.4</v>
      </c>
      <c r="Y104" s="184">
        <f>'[2]شامل الضريبة2017 (5)'!M629</f>
        <v>8.65</v>
      </c>
      <c r="Z104" s="177"/>
      <c r="AA104" s="177"/>
      <c r="AB104" s="184">
        <f>'[2]شامل الضريبة2017 (5)'!N629</f>
        <v>25.999999999999996</v>
      </c>
      <c r="AC104" s="178" t="s">
        <v>303</v>
      </c>
    </row>
    <row r="105" spans="1:29" ht="18.75" hidden="1" thickBot="1" x14ac:dyDescent="0.3">
      <c r="A105" s="155">
        <v>103</v>
      </c>
      <c r="B105" s="169">
        <v>28501112500035</v>
      </c>
      <c r="C105" s="189" t="s">
        <v>368</v>
      </c>
      <c r="D105" s="190">
        <v>1064.22</v>
      </c>
      <c r="E105" s="190"/>
      <c r="F105" s="190">
        <v>5.24</v>
      </c>
      <c r="G105" s="191"/>
      <c r="H105" s="192">
        <v>95</v>
      </c>
      <c r="I105" s="190"/>
      <c r="J105" s="193"/>
      <c r="K105" s="191"/>
      <c r="L105" s="190"/>
      <c r="M105" s="194"/>
      <c r="N105" s="195"/>
      <c r="O105" s="175">
        <f t="shared" si="2"/>
        <v>95</v>
      </c>
      <c r="P105" s="196"/>
      <c r="Q105" s="191"/>
      <c r="R105" s="190">
        <v>259</v>
      </c>
      <c r="S105" s="197">
        <v>13871.850000000002</v>
      </c>
      <c r="T105" s="198"/>
      <c r="U105" s="191"/>
      <c r="V105" s="166">
        <f t="shared" si="3"/>
        <v>0</v>
      </c>
      <c r="W105" s="190">
        <v>7.5</v>
      </c>
      <c r="X105" s="191">
        <v>8.4</v>
      </c>
      <c r="Y105" s="184">
        <f>'[2]شامل الضريبة2017 (5)'!M588</f>
        <v>0.3</v>
      </c>
      <c r="Z105" s="190"/>
      <c r="AA105" s="191"/>
      <c r="AB105" s="184">
        <f>'[2]شامل الضريبة2017 (5)'!N603</f>
        <v>7.02</v>
      </c>
      <c r="AC105" s="199" t="s">
        <v>303</v>
      </c>
    </row>
    <row r="106" spans="1:29" ht="18.75" hidden="1" thickBot="1" x14ac:dyDescent="0.3">
      <c r="A106" s="168">
        <v>104</v>
      </c>
      <c r="B106" s="169">
        <v>28406092500049</v>
      </c>
      <c r="C106" s="189" t="s">
        <v>369</v>
      </c>
      <c r="D106" s="190">
        <v>961.72</v>
      </c>
      <c r="E106" s="190"/>
      <c r="F106" s="190">
        <v>5.14</v>
      </c>
      <c r="G106" s="191"/>
      <c r="H106" s="192">
        <v>50</v>
      </c>
      <c r="I106" s="190"/>
      <c r="J106" s="193">
        <v>215.02</v>
      </c>
      <c r="K106" s="191"/>
      <c r="L106" s="190"/>
      <c r="M106" s="194"/>
      <c r="N106" s="195"/>
      <c r="O106" s="175">
        <f t="shared" si="2"/>
        <v>265.02</v>
      </c>
      <c r="P106" s="196"/>
      <c r="Q106" s="191"/>
      <c r="R106" s="190">
        <v>255</v>
      </c>
      <c r="S106" s="197">
        <v>14023.69</v>
      </c>
      <c r="T106" s="198">
        <v>29</v>
      </c>
      <c r="U106" s="191"/>
      <c r="V106" s="166">
        <f t="shared" si="3"/>
        <v>29</v>
      </c>
      <c r="W106" s="190">
        <v>6.05</v>
      </c>
      <c r="X106" s="191">
        <v>8.5</v>
      </c>
      <c r="Y106" s="184">
        <f>'[2]شامل الضريبة2017 (5)'!M589</f>
        <v>0.2</v>
      </c>
      <c r="Z106" s="190"/>
      <c r="AA106" s="191"/>
      <c r="AB106" s="184">
        <f>'[2]شامل الضريبة2017 (5)'!N604</f>
        <v>5.0199999999999996</v>
      </c>
      <c r="AC106" s="199" t="s">
        <v>303</v>
      </c>
    </row>
    <row r="107" spans="1:29" s="188" customFormat="1" ht="18.75" thickBot="1" x14ac:dyDescent="0.3">
      <c r="A107" s="186">
        <v>41</v>
      </c>
      <c r="B107" s="187">
        <v>27706242500131</v>
      </c>
      <c r="C107" s="170" t="s">
        <v>1</v>
      </c>
      <c r="D107" s="177">
        <v>1039.5999999999999</v>
      </c>
      <c r="E107" s="177"/>
      <c r="F107" s="177">
        <v>5.1100000000000003</v>
      </c>
      <c r="G107" s="177"/>
      <c r="H107" s="172">
        <v>140</v>
      </c>
      <c r="I107" s="177"/>
      <c r="J107" s="173"/>
      <c r="K107" s="177"/>
      <c r="L107" s="177"/>
      <c r="M107" s="181"/>
      <c r="N107" s="181"/>
      <c r="O107" s="175">
        <f t="shared" si="2"/>
        <v>140</v>
      </c>
      <c r="P107" s="182">
        <f>'[2]شامل الضريبة2017 (5)'!C645</f>
        <v>2105.46</v>
      </c>
      <c r="Q107" s="177"/>
      <c r="R107" s="177">
        <v>258</v>
      </c>
      <c r="S107" s="165">
        <v>13724.77</v>
      </c>
      <c r="T107" s="183"/>
      <c r="U107" s="177"/>
      <c r="V107" s="166">
        <f t="shared" si="3"/>
        <v>0</v>
      </c>
      <c r="W107" s="177">
        <v>7.65</v>
      </c>
      <c r="X107" s="177">
        <v>8.5500000000000007</v>
      </c>
      <c r="Y107" s="184">
        <f>'[2]شامل الضريبة2017 (5)'!M645</f>
        <v>9.0500000000000007</v>
      </c>
      <c r="Z107" s="177"/>
      <c r="AA107" s="177"/>
      <c r="AB107" s="184">
        <f>'[2]شامل الضريبة2017 (5)'!N645</f>
        <v>70.87</v>
      </c>
      <c r="AC107" s="178" t="s">
        <v>303</v>
      </c>
    </row>
    <row r="108" spans="1:29" ht="18.75" hidden="1" thickBot="1" x14ac:dyDescent="0.3">
      <c r="A108" s="155">
        <v>106</v>
      </c>
      <c r="B108" s="169">
        <v>28709052605142</v>
      </c>
      <c r="C108" s="189" t="s">
        <v>370</v>
      </c>
      <c r="D108" s="190"/>
      <c r="E108" s="190"/>
      <c r="F108" s="190"/>
      <c r="G108" s="191"/>
      <c r="H108" s="192"/>
      <c r="I108" s="190"/>
      <c r="J108" s="193"/>
      <c r="K108" s="191"/>
      <c r="L108" s="190"/>
      <c r="M108" s="194">
        <v>14.4</v>
      </c>
      <c r="N108" s="195"/>
      <c r="O108" s="175">
        <f t="shared" si="2"/>
        <v>14.4</v>
      </c>
      <c r="P108" s="196"/>
      <c r="Q108" s="191"/>
      <c r="R108" s="190"/>
      <c r="S108" s="197">
        <v>8887.2900000000009</v>
      </c>
      <c r="T108" s="198"/>
      <c r="U108" s="191"/>
      <c r="V108" s="166">
        <f t="shared" si="3"/>
        <v>0</v>
      </c>
      <c r="W108" s="190">
        <v>6.1</v>
      </c>
      <c r="X108" s="191"/>
      <c r="Y108" s="184">
        <f>'[2]شامل الضريبة2017 (5)'!M591</f>
        <v>1.45</v>
      </c>
      <c r="Z108" s="190"/>
      <c r="AA108" s="191"/>
      <c r="AB108" s="184">
        <f>'[2]شامل الضريبة2017 (5)'!N606</f>
        <v>21.75</v>
      </c>
      <c r="AC108" s="199" t="s">
        <v>303</v>
      </c>
    </row>
    <row r="109" spans="1:29" s="188" customFormat="1" ht="18.75" thickBot="1" x14ac:dyDescent="0.3">
      <c r="A109" s="186">
        <v>42</v>
      </c>
      <c r="B109" s="187">
        <v>28410222500183</v>
      </c>
      <c r="C109" s="170" t="s">
        <v>175</v>
      </c>
      <c r="D109" s="177">
        <v>1137.06</v>
      </c>
      <c r="E109" s="177"/>
      <c r="F109" s="177">
        <v>5.51</v>
      </c>
      <c r="G109" s="177"/>
      <c r="H109" s="172">
        <v>50</v>
      </c>
      <c r="I109" s="177"/>
      <c r="J109" s="173"/>
      <c r="K109" s="177"/>
      <c r="L109" s="177"/>
      <c r="M109" s="181"/>
      <c r="N109" s="181"/>
      <c r="O109" s="175">
        <f t="shared" si="2"/>
        <v>50</v>
      </c>
      <c r="P109" s="182">
        <f>'[2]شامل الضريبة2017 (5)'!C660</f>
        <v>2340.3100000000004</v>
      </c>
      <c r="Q109" s="177"/>
      <c r="R109" s="177">
        <v>263</v>
      </c>
      <c r="S109" s="165">
        <v>15350.539999999999</v>
      </c>
      <c r="T109" s="183"/>
      <c r="U109" s="177"/>
      <c r="V109" s="166">
        <f t="shared" si="3"/>
        <v>0</v>
      </c>
      <c r="W109" s="177">
        <v>7.65</v>
      </c>
      <c r="X109" s="177">
        <v>8.6</v>
      </c>
      <c r="Y109" s="184">
        <f>'[2]شامل الضريبة2017 (5)'!M660</f>
        <v>10.750000000000002</v>
      </c>
      <c r="Z109" s="177"/>
      <c r="AA109" s="177">
        <v>0.08</v>
      </c>
      <c r="AB109" s="184">
        <f>'[2]شامل الضريبة2017 (5)'!N660</f>
        <v>86.000000000000014</v>
      </c>
      <c r="AC109" s="178" t="s">
        <v>350</v>
      </c>
    </row>
    <row r="110" spans="1:29" s="188" customFormat="1" ht="18.75" thickBot="1" x14ac:dyDescent="0.3">
      <c r="A110" s="186">
        <v>43</v>
      </c>
      <c r="B110" s="187">
        <v>28607031900244</v>
      </c>
      <c r="C110" s="170" t="s">
        <v>176</v>
      </c>
      <c r="D110" s="177">
        <v>1088.25</v>
      </c>
      <c r="E110" s="177"/>
      <c r="F110" s="177">
        <v>5.43</v>
      </c>
      <c r="G110" s="177"/>
      <c r="H110" s="172">
        <v>140</v>
      </c>
      <c r="I110" s="177"/>
      <c r="J110" s="173"/>
      <c r="K110" s="177"/>
      <c r="L110" s="177"/>
      <c r="M110" s="181"/>
      <c r="N110" s="181"/>
      <c r="O110" s="175">
        <f t="shared" si="2"/>
        <v>140</v>
      </c>
      <c r="P110" s="182">
        <f>'[2]شامل الضريبة2017 (5)'!C671</f>
        <v>1740.0900000000001</v>
      </c>
      <c r="Q110" s="177"/>
      <c r="R110" s="177">
        <v>257</v>
      </c>
      <c r="S110" s="165">
        <v>13835.04</v>
      </c>
      <c r="T110" s="183"/>
      <c r="U110" s="177"/>
      <c r="V110" s="166">
        <f t="shared" si="3"/>
        <v>0</v>
      </c>
      <c r="W110" s="177">
        <v>8</v>
      </c>
      <c r="X110" s="177">
        <v>8.9499999999999993</v>
      </c>
      <c r="Y110" s="184">
        <f>'[2]شامل الضريبة2017 (5)'!M671</f>
        <v>8.0500000000000007</v>
      </c>
      <c r="Z110" s="177"/>
      <c r="AA110" s="177">
        <v>0.9</v>
      </c>
      <c r="AB110" s="184">
        <f>'[2]شامل الضريبة2017 (5)'!N671</f>
        <v>67.87</v>
      </c>
      <c r="AC110" s="178" t="s">
        <v>303</v>
      </c>
    </row>
    <row r="111" spans="1:29" s="188" customFormat="1" ht="18.75" thickBot="1" x14ac:dyDescent="0.3">
      <c r="A111" s="179">
        <v>44</v>
      </c>
      <c r="B111" s="187">
        <v>26712062501837</v>
      </c>
      <c r="C111" s="170" t="s">
        <v>177</v>
      </c>
      <c r="D111" s="177">
        <v>1088.25</v>
      </c>
      <c r="E111" s="177"/>
      <c r="F111" s="177">
        <v>5.43</v>
      </c>
      <c r="G111" s="177"/>
      <c r="H111" s="172">
        <v>145</v>
      </c>
      <c r="I111" s="177"/>
      <c r="J111" s="173">
        <v>221.56</v>
      </c>
      <c r="K111" s="177"/>
      <c r="L111" s="177"/>
      <c r="M111" s="181">
        <v>14.4</v>
      </c>
      <c r="N111" s="181"/>
      <c r="O111" s="175">
        <f t="shared" si="2"/>
        <v>380.96</v>
      </c>
      <c r="P111" s="182">
        <f>'[2]شامل الضريبة2017 (5)'!C693</f>
        <v>3475.09</v>
      </c>
      <c r="Q111" s="177"/>
      <c r="R111" s="177">
        <v>257</v>
      </c>
      <c r="S111" s="165">
        <v>26011.699999999997</v>
      </c>
      <c r="T111" s="183">
        <v>34.03</v>
      </c>
      <c r="U111" s="177"/>
      <c r="V111" s="166">
        <f t="shared" si="3"/>
        <v>34.03</v>
      </c>
      <c r="W111" s="177">
        <v>8.1</v>
      </c>
      <c r="X111" s="177">
        <v>8.8000000000000007</v>
      </c>
      <c r="Y111" s="184">
        <f>'[2]شامل الضريبة2017 (5)'!M693</f>
        <v>16.05</v>
      </c>
      <c r="Z111" s="177"/>
      <c r="AA111" s="177">
        <v>0.57999999999999996</v>
      </c>
      <c r="AB111" s="184">
        <f>'[2]شامل الضريبة2017 (5)'!N693</f>
        <v>161.54999999999998</v>
      </c>
      <c r="AC111" s="178" t="s">
        <v>303</v>
      </c>
    </row>
    <row r="112" spans="1:29" s="188" customFormat="1" ht="18.75" thickBot="1" x14ac:dyDescent="0.3">
      <c r="A112" s="186">
        <v>45</v>
      </c>
      <c r="B112" s="187">
        <v>28707062500061</v>
      </c>
      <c r="C112" s="170" t="s">
        <v>178</v>
      </c>
      <c r="D112" s="177">
        <v>1080.3399999999999</v>
      </c>
      <c r="E112" s="177"/>
      <c r="F112" s="177">
        <v>5.45</v>
      </c>
      <c r="G112" s="177"/>
      <c r="H112" s="172">
        <v>50</v>
      </c>
      <c r="I112" s="177"/>
      <c r="J112" s="173"/>
      <c r="K112" s="177"/>
      <c r="L112" s="177"/>
      <c r="M112" s="181"/>
      <c r="N112" s="181"/>
      <c r="O112" s="175">
        <f t="shared" si="2"/>
        <v>50</v>
      </c>
      <c r="P112" s="182">
        <f>'[2]شامل الضريبة2017 (5)'!C709</f>
        <v>2173.98</v>
      </c>
      <c r="Q112" s="177"/>
      <c r="R112" s="177">
        <v>254</v>
      </c>
      <c r="S112" s="165">
        <v>14348.71</v>
      </c>
      <c r="T112" s="183"/>
      <c r="U112" s="177"/>
      <c r="V112" s="166">
        <f t="shared" si="3"/>
        <v>0</v>
      </c>
      <c r="W112" s="177">
        <v>7.25</v>
      </c>
      <c r="X112" s="177">
        <v>8.1999999999999993</v>
      </c>
      <c r="Y112" s="184">
        <f>'[2]شامل الضريبة2017 (5)'!M709</f>
        <v>9.2000000000000011</v>
      </c>
      <c r="Z112" s="177"/>
      <c r="AA112" s="177"/>
      <c r="AB112" s="184">
        <f>'[2]شامل الضريبة2017 (5)'!N709</f>
        <v>52.809999999999995</v>
      </c>
      <c r="AC112" s="178" t="s">
        <v>303</v>
      </c>
    </row>
    <row r="113" spans="1:29" s="188" customFormat="1" ht="18.75" thickBot="1" x14ac:dyDescent="0.3">
      <c r="A113" s="186">
        <v>46</v>
      </c>
      <c r="B113" s="187">
        <v>26106032500111</v>
      </c>
      <c r="C113" s="170" t="s">
        <v>179</v>
      </c>
      <c r="D113" s="177">
        <v>1162.82</v>
      </c>
      <c r="E113" s="177">
        <v>50.68</v>
      </c>
      <c r="F113" s="177">
        <v>5.98</v>
      </c>
      <c r="G113" s="177"/>
      <c r="H113" s="172">
        <v>150</v>
      </c>
      <c r="I113" s="177"/>
      <c r="J113" s="173"/>
      <c r="K113" s="177"/>
      <c r="L113" s="177"/>
      <c r="M113" s="181"/>
      <c r="N113" s="181"/>
      <c r="O113" s="175">
        <f t="shared" si="2"/>
        <v>150</v>
      </c>
      <c r="P113" s="182">
        <f>'[2]شامل الضريبة2017 (5)'!C725</f>
        <v>2401.5600000000004</v>
      </c>
      <c r="Q113" s="177"/>
      <c r="R113" s="177">
        <v>288</v>
      </c>
      <c r="S113" s="165">
        <v>16494.75</v>
      </c>
      <c r="T113" s="183"/>
      <c r="U113" s="177"/>
      <c r="V113" s="166">
        <f t="shared" si="3"/>
        <v>0</v>
      </c>
      <c r="W113" s="177">
        <v>8.9</v>
      </c>
      <c r="X113" s="177">
        <v>9.85</v>
      </c>
      <c r="Y113" s="184">
        <f>'[2]شامل الضريبة2017 (5)'!M725</f>
        <v>10.800000000000002</v>
      </c>
      <c r="Z113" s="177">
        <v>9.9499999999999993</v>
      </c>
      <c r="AA113" s="177">
        <v>3.39</v>
      </c>
      <c r="AB113" s="184">
        <f>'[2]شامل الضريبة2017 (5)'!N725</f>
        <v>118.12000000000002</v>
      </c>
      <c r="AC113" s="178" t="s">
        <v>350</v>
      </c>
    </row>
    <row r="114" spans="1:29" s="188" customFormat="1" ht="18.75" thickBot="1" x14ac:dyDescent="0.3">
      <c r="A114" s="179">
        <v>47</v>
      </c>
      <c r="B114" s="187">
        <v>27203062500221</v>
      </c>
      <c r="C114" s="170" t="s">
        <v>180</v>
      </c>
      <c r="D114" s="177">
        <v>1145.97</v>
      </c>
      <c r="E114" s="177"/>
      <c r="F114" s="177">
        <v>5.64</v>
      </c>
      <c r="G114" s="177"/>
      <c r="H114" s="172">
        <v>50</v>
      </c>
      <c r="I114" s="177"/>
      <c r="J114" s="173"/>
      <c r="K114" s="177"/>
      <c r="L114" s="177"/>
      <c r="M114" s="181"/>
      <c r="N114" s="181"/>
      <c r="O114" s="175">
        <f t="shared" si="2"/>
        <v>50</v>
      </c>
      <c r="P114" s="182">
        <f>'[2]شامل الضريبة2017 (5)'!C742</f>
        <v>2326.38</v>
      </c>
      <c r="Q114" s="177"/>
      <c r="R114" s="177">
        <v>274</v>
      </c>
      <c r="S114" s="165">
        <v>15730.039999999997</v>
      </c>
      <c r="T114" s="183">
        <v>49.96</v>
      </c>
      <c r="U114" s="177"/>
      <c r="V114" s="166">
        <f t="shared" si="3"/>
        <v>49.96</v>
      </c>
      <c r="W114" s="177">
        <v>7.7</v>
      </c>
      <c r="X114" s="177">
        <v>8.3000000000000007</v>
      </c>
      <c r="Y114" s="184">
        <f>'[2]شامل الضريبة2017 (5)'!M742</f>
        <v>10.4</v>
      </c>
      <c r="Z114" s="177"/>
      <c r="AA114" s="177"/>
      <c r="AB114" s="184">
        <f>'[2]شامل الضريبة2017 (5)'!N742</f>
        <v>61.420000000000016</v>
      </c>
      <c r="AC114" s="178" t="s">
        <v>350</v>
      </c>
    </row>
    <row r="115" spans="1:29" ht="18.75" hidden="1" thickBot="1" x14ac:dyDescent="0.3">
      <c r="A115" s="168">
        <v>113</v>
      </c>
      <c r="B115" s="169">
        <v>28305182401049</v>
      </c>
      <c r="C115" s="189" t="s">
        <v>371</v>
      </c>
      <c r="D115" s="190">
        <v>961.72</v>
      </c>
      <c r="E115" s="190"/>
      <c r="F115" s="190">
        <v>5.14</v>
      </c>
      <c r="G115" s="191"/>
      <c r="H115" s="192">
        <v>50</v>
      </c>
      <c r="I115" s="190"/>
      <c r="J115" s="193"/>
      <c r="K115" s="191"/>
      <c r="L115" s="190"/>
      <c r="M115" s="194"/>
      <c r="N115" s="195"/>
      <c r="O115" s="175">
        <f t="shared" si="2"/>
        <v>50</v>
      </c>
      <c r="P115" s="196"/>
      <c r="Q115" s="191"/>
      <c r="R115" s="190">
        <v>255</v>
      </c>
      <c r="S115" s="197">
        <v>12655.27</v>
      </c>
      <c r="T115" s="198"/>
      <c r="U115" s="191"/>
      <c r="V115" s="166">
        <f t="shared" si="3"/>
        <v>0</v>
      </c>
      <c r="W115" s="190">
        <v>6.05</v>
      </c>
      <c r="X115" s="191">
        <v>7.3</v>
      </c>
      <c r="Y115" s="184">
        <f>'[2]شامل الضريبة2017 (5)'!M676</f>
        <v>0.25</v>
      </c>
      <c r="Z115" s="190"/>
      <c r="AA115" s="191"/>
      <c r="AB115" s="184">
        <f>'[2]شامل الضريبة2017 (5)'!N712</f>
        <v>8.52</v>
      </c>
      <c r="AC115" s="199" t="s">
        <v>303</v>
      </c>
    </row>
    <row r="116" spans="1:29" ht="18.75" hidden="1" thickBot="1" x14ac:dyDescent="0.3">
      <c r="A116" s="168">
        <v>114</v>
      </c>
      <c r="B116" s="169">
        <v>28310292500283</v>
      </c>
      <c r="C116" s="189" t="s">
        <v>372</v>
      </c>
      <c r="D116" s="190">
        <v>1096.17</v>
      </c>
      <c r="E116" s="190"/>
      <c r="F116" s="190">
        <v>5.47</v>
      </c>
      <c r="G116" s="191"/>
      <c r="H116" s="192">
        <v>95</v>
      </c>
      <c r="I116" s="190"/>
      <c r="J116" s="193">
        <v>221.37</v>
      </c>
      <c r="K116" s="191"/>
      <c r="L116" s="190"/>
      <c r="M116" s="194"/>
      <c r="N116" s="195"/>
      <c r="O116" s="175">
        <f t="shared" si="2"/>
        <v>316.37</v>
      </c>
      <c r="P116" s="196"/>
      <c r="Q116" s="191"/>
      <c r="R116" s="190">
        <v>260</v>
      </c>
      <c r="S116" s="197">
        <v>22025.7</v>
      </c>
      <c r="T116" s="198"/>
      <c r="U116" s="191"/>
      <c r="V116" s="166">
        <f t="shared" si="3"/>
        <v>0</v>
      </c>
      <c r="W116" s="190">
        <v>7.7</v>
      </c>
      <c r="X116" s="191">
        <v>8.65</v>
      </c>
      <c r="Y116" s="184">
        <f>'[2]شامل الضريبة2017 (5)'!M677</f>
        <v>2</v>
      </c>
      <c r="Z116" s="190"/>
      <c r="AA116" s="191">
        <v>0.16</v>
      </c>
      <c r="AB116" s="184">
        <f>'[2]شامل الضريبة2017 (5)'!N713</f>
        <v>8.52</v>
      </c>
      <c r="AC116" s="199" t="s">
        <v>303</v>
      </c>
    </row>
    <row r="117" spans="1:29" ht="18.75" hidden="1" thickBot="1" x14ac:dyDescent="0.3">
      <c r="A117" s="155">
        <v>115</v>
      </c>
      <c r="B117" s="169">
        <v>28412162501722</v>
      </c>
      <c r="C117" s="189" t="s">
        <v>373</v>
      </c>
      <c r="D117" s="190">
        <v>1088.25</v>
      </c>
      <c r="E117" s="190"/>
      <c r="F117" s="190">
        <v>5.43</v>
      </c>
      <c r="G117" s="191"/>
      <c r="H117" s="192">
        <v>145</v>
      </c>
      <c r="I117" s="190"/>
      <c r="J117" s="193">
        <v>217.56</v>
      </c>
      <c r="K117" s="191"/>
      <c r="L117" s="190"/>
      <c r="M117" s="194"/>
      <c r="N117" s="195"/>
      <c r="O117" s="201"/>
      <c r="P117" s="196"/>
      <c r="Q117" s="191"/>
      <c r="R117" s="190">
        <v>257</v>
      </c>
      <c r="S117" s="197">
        <v>21919.48</v>
      </c>
      <c r="T117" s="198"/>
      <c r="U117" s="191"/>
      <c r="V117" s="166">
        <f t="shared" si="3"/>
        <v>0</v>
      </c>
      <c r="W117" s="190"/>
      <c r="X117" s="191">
        <v>8.9499999999999993</v>
      </c>
      <c r="Y117" s="184">
        <f>'[2]شامل الضريبة2017 (5)'!M678</f>
        <v>1.35</v>
      </c>
      <c r="Z117" s="190"/>
      <c r="AA117" s="191">
        <v>1</v>
      </c>
      <c r="AB117" s="184">
        <f>'[2]شامل الضريبة2017 (5)'!N714</f>
        <v>35.54</v>
      </c>
      <c r="AC117" s="199" t="s">
        <v>303</v>
      </c>
    </row>
    <row r="118" spans="1:29" s="188" customFormat="1" ht="18.75" thickBot="1" x14ac:dyDescent="0.3">
      <c r="A118" s="186">
        <v>48</v>
      </c>
      <c r="B118" s="187">
        <v>28505012500157</v>
      </c>
      <c r="C118" s="170" t="s">
        <v>181</v>
      </c>
      <c r="D118" s="177">
        <v>1191.8900000000001</v>
      </c>
      <c r="E118" s="177"/>
      <c r="F118" s="177">
        <v>5.69</v>
      </c>
      <c r="G118" s="177"/>
      <c r="H118" s="172">
        <v>95</v>
      </c>
      <c r="I118" s="177"/>
      <c r="J118" s="173"/>
      <c r="K118" s="177"/>
      <c r="L118" s="177"/>
      <c r="M118" s="181"/>
      <c r="N118" s="181"/>
      <c r="O118" s="175">
        <f>SUM(H118:N118)</f>
        <v>95</v>
      </c>
      <c r="P118" s="182">
        <f>'[2]شامل الضريبة2017 (5)'!C760</f>
        <v>3128.8199999999997</v>
      </c>
      <c r="Q118" s="177"/>
      <c r="R118" s="177">
        <v>278</v>
      </c>
      <c r="S118" s="165">
        <v>18854.530000000002</v>
      </c>
      <c r="T118" s="183"/>
      <c r="U118" s="177"/>
      <c r="V118" s="166">
        <f t="shared" si="3"/>
        <v>0</v>
      </c>
      <c r="W118" s="177">
        <v>8.35</v>
      </c>
      <c r="X118" s="177">
        <v>9.3000000000000007</v>
      </c>
      <c r="Y118" s="184">
        <f>'[2]شامل الضريبة2017 (5)'!M760</f>
        <v>14.850000000000001</v>
      </c>
      <c r="Z118" s="177">
        <v>2.58</v>
      </c>
      <c r="AA118" s="177">
        <v>1.85</v>
      </c>
      <c r="AB118" s="184">
        <f>'[2]شامل الضريبة2017 (5)'!N742</f>
        <v>61.420000000000016</v>
      </c>
      <c r="AC118" s="178" t="s">
        <v>350</v>
      </c>
    </row>
    <row r="119" spans="1:29" s="188" customFormat="1" ht="18.75" thickBot="1" x14ac:dyDescent="0.3">
      <c r="A119" s="186">
        <v>49</v>
      </c>
      <c r="B119" s="187">
        <v>28206262500473</v>
      </c>
      <c r="C119" s="170" t="s">
        <v>182</v>
      </c>
      <c r="D119" s="177">
        <v>1145.97</v>
      </c>
      <c r="E119" s="177"/>
      <c r="F119" s="177">
        <v>5.58</v>
      </c>
      <c r="G119" s="177"/>
      <c r="H119" s="172">
        <v>95</v>
      </c>
      <c r="I119" s="177"/>
      <c r="J119" s="173"/>
      <c r="K119" s="177"/>
      <c r="L119" s="177"/>
      <c r="M119" s="181">
        <v>21</v>
      </c>
      <c r="N119" s="181"/>
      <c r="O119" s="175">
        <f>SUM(H119:N119)</f>
        <v>116</v>
      </c>
      <c r="P119" s="182">
        <f>'[2]شامل الضريبة2017 (5)'!C782</f>
        <v>3689.61</v>
      </c>
      <c r="Q119" s="177"/>
      <c r="R119" s="177">
        <v>274</v>
      </c>
      <c r="S119" s="165">
        <v>16078.269999999999</v>
      </c>
      <c r="T119" s="183"/>
      <c r="U119" s="177"/>
      <c r="V119" s="166">
        <f t="shared" si="3"/>
        <v>0</v>
      </c>
      <c r="W119" s="177">
        <v>8.15</v>
      </c>
      <c r="X119" s="177">
        <v>9.15</v>
      </c>
      <c r="Y119" s="184">
        <f>'[2]شامل الضريبة2017 (5)'!M782</f>
        <v>17.850000000000001</v>
      </c>
      <c r="Z119" s="177">
        <v>0.36</v>
      </c>
      <c r="AA119" s="177">
        <v>1.51</v>
      </c>
      <c r="AB119" s="184">
        <f>'[2]شامل الضريبة2017 (5)'!N782</f>
        <v>189.05</v>
      </c>
      <c r="AC119" s="178" t="s">
        <v>350</v>
      </c>
    </row>
    <row r="120" spans="1:29" ht="18.75" hidden="1" thickBot="1" x14ac:dyDescent="0.3">
      <c r="A120" s="155">
        <v>118</v>
      </c>
      <c r="B120" s="169">
        <v>28912102500266</v>
      </c>
      <c r="C120" s="189" t="s">
        <v>374</v>
      </c>
      <c r="D120" s="190">
        <v>636.86</v>
      </c>
      <c r="E120" s="190"/>
      <c r="F120" s="190">
        <v>3.4</v>
      </c>
      <c r="G120" s="191"/>
      <c r="H120" s="192">
        <v>50</v>
      </c>
      <c r="I120" s="190"/>
      <c r="J120" s="193"/>
      <c r="K120" s="191"/>
      <c r="L120" s="190"/>
      <c r="M120" s="194"/>
      <c r="N120" s="195"/>
      <c r="O120" s="201"/>
      <c r="P120" s="196"/>
      <c r="Q120" s="191"/>
      <c r="R120" s="190">
        <v>168</v>
      </c>
      <c r="S120" s="197">
        <v>11344.529999999999</v>
      </c>
      <c r="T120" s="198"/>
      <c r="U120" s="191"/>
      <c r="V120" s="166">
        <f t="shared" si="3"/>
        <v>0</v>
      </c>
      <c r="W120" s="190"/>
      <c r="X120" s="191">
        <v>4.55</v>
      </c>
      <c r="Y120" s="184">
        <f>'[2]شامل الضريبة2017 (5)'!M681</f>
        <v>0.25</v>
      </c>
      <c r="Z120" s="190"/>
      <c r="AA120" s="191"/>
      <c r="AB120" s="184">
        <f>'[2]شامل الضريبة2017 (5)'!N717</f>
        <v>1.55</v>
      </c>
      <c r="AC120" s="199" t="s">
        <v>303</v>
      </c>
    </row>
    <row r="121" spans="1:29" s="188" customFormat="1" ht="18.75" thickBot="1" x14ac:dyDescent="0.3">
      <c r="A121" s="186">
        <v>50</v>
      </c>
      <c r="B121" s="187">
        <v>28307182502212</v>
      </c>
      <c r="C121" s="170" t="s">
        <v>183</v>
      </c>
      <c r="D121" s="177">
        <v>1096.17</v>
      </c>
      <c r="E121" s="177"/>
      <c r="F121" s="177">
        <v>5.47</v>
      </c>
      <c r="G121" s="177"/>
      <c r="H121" s="172">
        <v>50</v>
      </c>
      <c r="I121" s="177"/>
      <c r="J121" s="173">
        <v>221.37</v>
      </c>
      <c r="K121" s="177"/>
      <c r="L121" s="177"/>
      <c r="M121" s="181"/>
      <c r="N121" s="181"/>
      <c r="O121" s="175">
        <f t="shared" ref="O121:O168" si="4">SUM(H121:N121)</f>
        <v>271.37</v>
      </c>
      <c r="P121" s="182">
        <f>'[2]شامل الضريبة2017 (5)'!C799</f>
        <v>2206.1999999999998</v>
      </c>
      <c r="Q121" s="177"/>
      <c r="R121" s="177">
        <v>260</v>
      </c>
      <c r="S121" s="165">
        <v>15648.88</v>
      </c>
      <c r="T121" s="183">
        <v>16</v>
      </c>
      <c r="U121" s="177"/>
      <c r="V121" s="166">
        <f t="shared" si="3"/>
        <v>16</v>
      </c>
      <c r="W121" s="177">
        <v>7.35</v>
      </c>
      <c r="X121" s="177">
        <v>9.65</v>
      </c>
      <c r="Y121" s="184">
        <f>'[2]شامل الضريبة2017 (5)'!M799</f>
        <v>9.4999999999999982</v>
      </c>
      <c r="Z121" s="177"/>
      <c r="AA121" s="177">
        <v>2.86</v>
      </c>
      <c r="AB121" s="184">
        <f>'[2]شامل الضريبة2017 (5)'!N799</f>
        <v>57.819999999999993</v>
      </c>
      <c r="AC121" s="178" t="s">
        <v>303</v>
      </c>
    </row>
    <row r="122" spans="1:29" ht="18.75" hidden="1" thickBot="1" x14ac:dyDescent="0.3">
      <c r="A122" s="168">
        <v>120</v>
      </c>
      <c r="B122" s="169">
        <v>27012092500071</v>
      </c>
      <c r="C122" s="189" t="s">
        <v>375</v>
      </c>
      <c r="D122" s="190">
        <v>1399.23</v>
      </c>
      <c r="E122" s="190">
        <v>183.44</v>
      </c>
      <c r="F122" s="190">
        <v>40.549999999999997</v>
      </c>
      <c r="G122" s="190"/>
      <c r="H122" s="192">
        <v>150</v>
      </c>
      <c r="I122" s="190"/>
      <c r="J122" s="193"/>
      <c r="K122" s="191"/>
      <c r="L122" s="190"/>
      <c r="M122" s="194"/>
      <c r="N122" s="195"/>
      <c r="O122" s="175">
        <f t="shared" si="4"/>
        <v>150</v>
      </c>
      <c r="P122" s="196"/>
      <c r="Q122" s="191"/>
      <c r="R122" s="190">
        <v>380.65</v>
      </c>
      <c r="S122" s="197">
        <v>19459.760000000002</v>
      </c>
      <c r="T122" s="198"/>
      <c r="U122" s="190"/>
      <c r="V122" s="166">
        <f t="shared" si="3"/>
        <v>0</v>
      </c>
      <c r="W122" s="190">
        <v>11.6</v>
      </c>
      <c r="X122" s="190">
        <v>12.8</v>
      </c>
      <c r="Y122" s="184">
        <f>'[2]شامل الضريبة2017 (5)'!M444</f>
        <v>2.0499999999999998</v>
      </c>
      <c r="Z122" s="190">
        <v>45.63</v>
      </c>
      <c r="AA122" s="190">
        <v>11.11</v>
      </c>
      <c r="AB122" s="184">
        <f>'[2]شامل الضريبة2017 (5)'!N719</f>
        <v>5.15</v>
      </c>
      <c r="AC122" s="199" t="s">
        <v>350</v>
      </c>
    </row>
    <row r="123" spans="1:29" s="188" customFormat="1" ht="18.75" thickBot="1" x14ac:dyDescent="0.3">
      <c r="A123" s="179">
        <v>51</v>
      </c>
      <c r="B123" s="187">
        <v>28507012500494</v>
      </c>
      <c r="C123" s="170" t="s">
        <v>184</v>
      </c>
      <c r="D123" s="177">
        <v>1088.25</v>
      </c>
      <c r="E123" s="177"/>
      <c r="F123" s="177">
        <v>5.43</v>
      </c>
      <c r="G123" s="177"/>
      <c r="H123" s="172">
        <v>100</v>
      </c>
      <c r="I123" s="177">
        <v>97</v>
      </c>
      <c r="J123" s="173">
        <v>217.56</v>
      </c>
      <c r="K123" s="177"/>
      <c r="L123" s="177"/>
      <c r="M123" s="181">
        <v>14.4</v>
      </c>
      <c r="N123" s="181"/>
      <c r="O123" s="175">
        <f t="shared" si="4"/>
        <v>428.96</v>
      </c>
      <c r="P123" s="182">
        <f>'[2]شامل الضريبة2017 (5)'!C820</f>
        <v>3475.09</v>
      </c>
      <c r="Q123" s="177"/>
      <c r="R123" s="177">
        <v>257</v>
      </c>
      <c r="S123" s="165">
        <v>27055.699999999997</v>
      </c>
      <c r="T123" s="183"/>
      <c r="U123" s="177"/>
      <c r="V123" s="166">
        <f t="shared" si="3"/>
        <v>0</v>
      </c>
      <c r="W123" s="177">
        <v>8.4499999999999993</v>
      </c>
      <c r="X123" s="177">
        <v>9.35</v>
      </c>
      <c r="Y123" s="184">
        <f>'[2]شامل الضريبة2017 (5)'!M820</f>
        <v>16.05</v>
      </c>
      <c r="Z123" s="177">
        <v>3.9</v>
      </c>
      <c r="AA123" s="177">
        <v>2.0699999999999998</v>
      </c>
      <c r="AB123" s="184">
        <f>'[2]شامل الضريبة2017 (5)'!N820</f>
        <v>181.51999999999998</v>
      </c>
      <c r="AC123" s="178" t="s">
        <v>303</v>
      </c>
    </row>
    <row r="124" spans="1:29" s="188" customFormat="1" ht="18.75" thickBot="1" x14ac:dyDescent="0.3">
      <c r="A124" s="186">
        <v>52</v>
      </c>
      <c r="B124" s="187">
        <v>28112020101791</v>
      </c>
      <c r="C124" s="170" t="s">
        <v>185</v>
      </c>
      <c r="D124" s="177">
        <v>774.39</v>
      </c>
      <c r="E124" s="177"/>
      <c r="F124" s="177">
        <v>3.34</v>
      </c>
      <c r="G124" s="177"/>
      <c r="H124" s="172">
        <v>150</v>
      </c>
      <c r="I124" s="177">
        <v>58.2</v>
      </c>
      <c r="J124" s="173">
        <v>215.21</v>
      </c>
      <c r="K124" s="177"/>
      <c r="L124" s="177"/>
      <c r="M124" s="181">
        <v>8.64</v>
      </c>
      <c r="N124" s="181"/>
      <c r="O124" s="175">
        <f t="shared" si="4"/>
        <v>432.04999999999995</v>
      </c>
      <c r="P124" s="182">
        <f>'[2]شامل الضريبة2017 (5)'!C841</f>
        <v>2208.0699999999997</v>
      </c>
      <c r="Q124" s="177"/>
      <c r="R124" s="177">
        <v>255</v>
      </c>
      <c r="S124" s="165">
        <v>22713.969999999998</v>
      </c>
      <c r="T124" s="183"/>
      <c r="U124" s="177"/>
      <c r="V124" s="166">
        <f t="shared" si="3"/>
        <v>0</v>
      </c>
      <c r="W124" s="177">
        <v>5.8</v>
      </c>
      <c r="X124" s="177">
        <v>5.55</v>
      </c>
      <c r="Y124" s="184">
        <f>'[2]شامل الضريبة2017 (5)'!M841</f>
        <v>7.6499999999999986</v>
      </c>
      <c r="Z124" s="177"/>
      <c r="AA124" s="177"/>
      <c r="AB124" s="184">
        <f>'[2]شامل الضريبة2017 (5)'!N841</f>
        <v>7.0299999999999994</v>
      </c>
      <c r="AC124" s="178" t="s">
        <v>303</v>
      </c>
    </row>
    <row r="125" spans="1:29" s="188" customFormat="1" ht="18.75" thickBot="1" x14ac:dyDescent="0.3">
      <c r="A125" s="186">
        <v>53</v>
      </c>
      <c r="B125" s="187">
        <v>27912222500339</v>
      </c>
      <c r="C125" s="170" t="s">
        <v>186</v>
      </c>
      <c r="D125" s="177">
        <v>1162.82</v>
      </c>
      <c r="E125" s="177">
        <v>14.66</v>
      </c>
      <c r="F125" s="177">
        <v>5.7</v>
      </c>
      <c r="G125" s="177"/>
      <c r="H125" s="172">
        <v>145</v>
      </c>
      <c r="I125" s="177">
        <v>297</v>
      </c>
      <c r="J125" s="173"/>
      <c r="K125" s="177"/>
      <c r="L125" s="177"/>
      <c r="M125" s="181"/>
      <c r="N125" s="181"/>
      <c r="O125" s="175">
        <f t="shared" si="4"/>
        <v>442</v>
      </c>
      <c r="P125" s="182">
        <f>'[2]شامل الضريبة2017 (5)'!C857</f>
        <v>2285.08</v>
      </c>
      <c r="Q125" s="177"/>
      <c r="R125" s="177">
        <v>284</v>
      </c>
      <c r="S125" s="165">
        <v>19792.75</v>
      </c>
      <c r="T125" s="183"/>
      <c r="U125" s="177"/>
      <c r="V125" s="166">
        <f t="shared" si="3"/>
        <v>0</v>
      </c>
      <c r="W125" s="177">
        <v>9.25</v>
      </c>
      <c r="X125" s="177">
        <v>11.55</v>
      </c>
      <c r="Y125" s="184">
        <f>'[2]شامل الضريبة2017 (5)'!M857</f>
        <v>10.450000000000003</v>
      </c>
      <c r="Z125" s="177">
        <v>14.9</v>
      </c>
      <c r="AA125" s="177">
        <v>7.9</v>
      </c>
      <c r="AB125" s="184">
        <f>'[2]شامل الضريبة2017 (5)'!N857</f>
        <v>100.54000000000002</v>
      </c>
      <c r="AC125" s="178" t="s">
        <v>350</v>
      </c>
    </row>
    <row r="126" spans="1:29" s="188" customFormat="1" ht="18.75" thickBot="1" x14ac:dyDescent="0.3">
      <c r="A126" s="179">
        <v>54</v>
      </c>
      <c r="B126" s="187">
        <v>28109012500413</v>
      </c>
      <c r="C126" s="170" t="s">
        <v>187</v>
      </c>
      <c r="D126" s="177">
        <v>694.91</v>
      </c>
      <c r="E126" s="177"/>
      <c r="F126" s="177">
        <v>3.7</v>
      </c>
      <c r="G126" s="177"/>
      <c r="H126" s="172">
        <v>100</v>
      </c>
      <c r="I126" s="177"/>
      <c r="J126" s="173">
        <v>226.45</v>
      </c>
      <c r="K126" s="177"/>
      <c r="L126" s="177"/>
      <c r="M126" s="181">
        <v>8.64</v>
      </c>
      <c r="N126" s="181"/>
      <c r="O126" s="175">
        <f t="shared" si="4"/>
        <v>335.09</v>
      </c>
      <c r="P126" s="182">
        <f>'[2]شامل الضريبة2017 (5)'!C877</f>
        <v>2034.52</v>
      </c>
      <c r="Q126" s="177"/>
      <c r="R126" s="177">
        <v>264</v>
      </c>
      <c r="S126" s="165">
        <v>14891.46</v>
      </c>
      <c r="T126" s="183"/>
      <c r="U126" s="177"/>
      <c r="V126" s="166">
        <f t="shared" si="3"/>
        <v>0</v>
      </c>
      <c r="W126" s="177">
        <v>4.4000000000000004</v>
      </c>
      <c r="X126" s="177">
        <v>5.35</v>
      </c>
      <c r="Y126" s="184">
        <f>'[2]شامل الضريبة2017 (5)'!M877</f>
        <v>7.1000000000000005</v>
      </c>
      <c r="Z126" s="177"/>
      <c r="AA126" s="177"/>
      <c r="AB126" s="184">
        <f>'[2]شامل الضريبة2017 (5)'!N877</f>
        <v>0.18</v>
      </c>
      <c r="AC126" s="178" t="s">
        <v>303</v>
      </c>
    </row>
    <row r="127" spans="1:29" s="188" customFormat="1" ht="18.75" thickBot="1" x14ac:dyDescent="0.3">
      <c r="A127" s="186">
        <v>55</v>
      </c>
      <c r="B127" s="187">
        <v>27909242500041</v>
      </c>
      <c r="C127" s="170" t="s">
        <v>188</v>
      </c>
      <c r="D127" s="177">
        <v>1126.3599999999999</v>
      </c>
      <c r="E127" s="177"/>
      <c r="F127" s="177">
        <v>5.53</v>
      </c>
      <c r="G127" s="177"/>
      <c r="H127" s="172">
        <v>145</v>
      </c>
      <c r="I127" s="177"/>
      <c r="J127" s="173"/>
      <c r="K127" s="177"/>
      <c r="L127" s="177"/>
      <c r="M127" s="181"/>
      <c r="N127" s="181"/>
      <c r="O127" s="175">
        <f t="shared" si="4"/>
        <v>145</v>
      </c>
      <c r="P127" s="182">
        <f>'[2]شامل الضريبة2017 (5)'!C896</f>
        <v>2776.47</v>
      </c>
      <c r="Q127" s="177"/>
      <c r="R127" s="177">
        <v>270</v>
      </c>
      <c r="S127" s="165">
        <v>15239.259999999998</v>
      </c>
      <c r="T127" s="183"/>
      <c r="U127" s="177"/>
      <c r="V127" s="166">
        <f t="shared" si="3"/>
        <v>0</v>
      </c>
      <c r="W127" s="177">
        <v>8.25</v>
      </c>
      <c r="X127" s="177">
        <v>9.25</v>
      </c>
      <c r="Y127" s="184">
        <f>'[2]شامل الضريبة2017 (5)'!M896</f>
        <v>12.15</v>
      </c>
      <c r="Z127" s="177">
        <v>1.71</v>
      </c>
      <c r="AA127" s="177">
        <v>1.74</v>
      </c>
      <c r="AB127" s="184">
        <f>'[2]شامل الضريبة2017 (5)'!N896</f>
        <v>124.17</v>
      </c>
      <c r="AC127" s="178" t="s">
        <v>350</v>
      </c>
    </row>
    <row r="128" spans="1:29" s="188" customFormat="1" ht="18.75" thickBot="1" x14ac:dyDescent="0.3">
      <c r="A128" s="186">
        <v>56</v>
      </c>
      <c r="B128" s="187">
        <v>28004262500242</v>
      </c>
      <c r="C128" s="170" t="s">
        <v>189</v>
      </c>
      <c r="D128" s="177">
        <v>1145.97</v>
      </c>
      <c r="E128" s="177"/>
      <c r="F128" s="177">
        <v>5.58</v>
      </c>
      <c r="G128" s="177"/>
      <c r="H128" s="172">
        <v>50</v>
      </c>
      <c r="I128" s="177"/>
      <c r="J128" s="173"/>
      <c r="K128" s="177"/>
      <c r="L128" s="177"/>
      <c r="M128" s="181"/>
      <c r="N128" s="181"/>
      <c r="O128" s="175">
        <f t="shared" si="4"/>
        <v>50</v>
      </c>
      <c r="P128" s="182">
        <f>'[2]شامل الضريبة2017 (5)'!C917</f>
        <v>3287.0000000000005</v>
      </c>
      <c r="Q128" s="177"/>
      <c r="R128" s="177">
        <v>274</v>
      </c>
      <c r="S128" s="165">
        <v>17455.089999999997</v>
      </c>
      <c r="T128" s="183">
        <v>5.19</v>
      </c>
      <c r="U128" s="177"/>
      <c r="V128" s="166">
        <f t="shared" si="3"/>
        <v>5.19</v>
      </c>
      <c r="W128" s="177">
        <v>7.7</v>
      </c>
      <c r="X128" s="177">
        <v>9</v>
      </c>
      <c r="Y128" s="184">
        <f>'[2]شامل الضريبة2017 (5)'!M917</f>
        <v>15.3</v>
      </c>
      <c r="Z128" s="177"/>
      <c r="AA128" s="177">
        <v>1.1399999999999999</v>
      </c>
      <c r="AB128" s="184">
        <f>'[2]شامل الضريبة2017 (5)'!N917</f>
        <v>131.66999999999999</v>
      </c>
      <c r="AC128" s="178" t="s">
        <v>350</v>
      </c>
    </row>
    <row r="129" spans="1:29" s="188" customFormat="1" ht="18.75" thickBot="1" x14ac:dyDescent="0.3">
      <c r="A129" s="179">
        <v>57</v>
      </c>
      <c r="B129" s="187">
        <v>28603178800223</v>
      </c>
      <c r="C129" s="170" t="s">
        <v>190</v>
      </c>
      <c r="D129" s="177">
        <v>1145.17</v>
      </c>
      <c r="E129" s="177"/>
      <c r="F129" s="177">
        <v>5.54</v>
      </c>
      <c r="G129" s="177"/>
      <c r="H129" s="172">
        <v>50</v>
      </c>
      <c r="I129" s="177"/>
      <c r="J129" s="173"/>
      <c r="K129" s="177"/>
      <c r="L129" s="177"/>
      <c r="M129" s="181"/>
      <c r="N129" s="181"/>
      <c r="O129" s="175">
        <f t="shared" si="4"/>
        <v>50</v>
      </c>
      <c r="P129" s="182">
        <f>'[2]شامل الضريبة2017 (5)'!C934</f>
        <v>2283.42</v>
      </c>
      <c r="Q129" s="177"/>
      <c r="R129" s="177">
        <v>266</v>
      </c>
      <c r="S129" s="165">
        <v>15281.56</v>
      </c>
      <c r="T129" s="183"/>
      <c r="U129" s="177"/>
      <c r="V129" s="166">
        <f t="shared" si="3"/>
        <v>0</v>
      </c>
      <c r="W129" s="177">
        <v>7.7</v>
      </c>
      <c r="X129" s="177">
        <v>8.6999999999999993</v>
      </c>
      <c r="Y129" s="184">
        <f>'[2]شامل الضريبة2017 (5)'!M934</f>
        <v>10</v>
      </c>
      <c r="Z129" s="177"/>
      <c r="AA129" s="177">
        <v>0.24</v>
      </c>
      <c r="AB129" s="184">
        <f>'[2]شامل الضريبة2017 (5)'!N934</f>
        <v>76.310000000000016</v>
      </c>
      <c r="AC129" s="178" t="s">
        <v>350</v>
      </c>
    </row>
    <row r="130" spans="1:29" s="188" customFormat="1" ht="18.75" thickBot="1" x14ac:dyDescent="0.3">
      <c r="A130" s="186">
        <v>58</v>
      </c>
      <c r="B130" s="187">
        <v>28612082503685</v>
      </c>
      <c r="C130" s="170" t="s">
        <v>191</v>
      </c>
      <c r="D130" s="177">
        <v>1096.17</v>
      </c>
      <c r="E130" s="177"/>
      <c r="F130" s="177">
        <v>5.47</v>
      </c>
      <c r="G130" s="177"/>
      <c r="H130" s="172">
        <v>50</v>
      </c>
      <c r="I130" s="177"/>
      <c r="J130" s="173"/>
      <c r="K130" s="177"/>
      <c r="L130" s="177">
        <v>19.2</v>
      </c>
      <c r="M130" s="181"/>
      <c r="N130" s="181"/>
      <c r="O130" s="175">
        <f t="shared" si="4"/>
        <v>69.2</v>
      </c>
      <c r="P130" s="182">
        <f>'[2]شامل الضريبة2017 (5)'!C949</f>
        <v>2116.1999999999998</v>
      </c>
      <c r="Q130" s="177"/>
      <c r="R130" s="177">
        <v>260</v>
      </c>
      <c r="S130" s="165">
        <v>14682.429999999998</v>
      </c>
      <c r="T130" s="183"/>
      <c r="U130" s="177"/>
      <c r="V130" s="166">
        <f t="shared" si="3"/>
        <v>0</v>
      </c>
      <c r="W130" s="177">
        <v>7.5</v>
      </c>
      <c r="X130" s="177">
        <v>8.4499999999999993</v>
      </c>
      <c r="Y130" s="184">
        <f>'[2]شامل الضريبة2017 (5)'!M949</f>
        <v>9.2499999999999982</v>
      </c>
      <c r="Z130" s="177"/>
      <c r="AA130" s="177"/>
      <c r="AB130" s="184">
        <f>'[2]شامل الضريبة2017 (5)'!N949</f>
        <v>60.519999999999989</v>
      </c>
      <c r="AC130" s="178" t="s">
        <v>303</v>
      </c>
    </row>
    <row r="131" spans="1:29" ht="18.75" hidden="1" thickBot="1" x14ac:dyDescent="0.3">
      <c r="A131" s="168">
        <v>129</v>
      </c>
      <c r="B131" s="169">
        <v>28004192500037</v>
      </c>
      <c r="C131" s="189" t="s">
        <v>376</v>
      </c>
      <c r="D131" s="190">
        <v>1338.78</v>
      </c>
      <c r="E131" s="190">
        <v>156.02000000000001</v>
      </c>
      <c r="F131" s="190">
        <v>31.38</v>
      </c>
      <c r="G131" s="190"/>
      <c r="H131" s="192">
        <v>140</v>
      </c>
      <c r="I131" s="190"/>
      <c r="J131" s="193"/>
      <c r="K131" s="191"/>
      <c r="L131" s="190"/>
      <c r="M131" s="194"/>
      <c r="N131" s="195"/>
      <c r="O131" s="175">
        <f t="shared" si="4"/>
        <v>140</v>
      </c>
      <c r="P131" s="196"/>
      <c r="Q131" s="191"/>
      <c r="R131" s="190">
        <v>359.06</v>
      </c>
      <c r="S131" s="197">
        <v>25113.22</v>
      </c>
      <c r="T131" s="198"/>
      <c r="U131" s="190"/>
      <c r="V131" s="166">
        <f t="shared" si="3"/>
        <v>0</v>
      </c>
      <c r="W131" s="190">
        <v>10.85</v>
      </c>
      <c r="X131" s="190">
        <v>12</v>
      </c>
      <c r="Y131" s="184">
        <f>'[2]شامل الضريبة2017 (5)'!M453</f>
        <v>1.4</v>
      </c>
      <c r="Z131" s="190">
        <v>36.06</v>
      </c>
      <c r="AA131" s="190">
        <v>9.07</v>
      </c>
      <c r="AB131" s="184" t="e">
        <f>'[2]شامل الضريبة2017 (5)'!N251</f>
        <v>#REF!</v>
      </c>
      <c r="AC131" s="199" t="s">
        <v>350</v>
      </c>
    </row>
    <row r="132" spans="1:29" s="188" customFormat="1" ht="18.75" thickBot="1" x14ac:dyDescent="0.3">
      <c r="A132" s="179">
        <v>59</v>
      </c>
      <c r="B132" s="187">
        <v>28109172500291</v>
      </c>
      <c r="C132" s="170" t="s">
        <v>193</v>
      </c>
      <c r="D132" s="177">
        <v>1096.17</v>
      </c>
      <c r="E132" s="177"/>
      <c r="F132" s="177">
        <v>5.47</v>
      </c>
      <c r="G132" s="177"/>
      <c r="H132" s="172">
        <v>50</v>
      </c>
      <c r="I132" s="177"/>
      <c r="J132" s="173">
        <v>219.37</v>
      </c>
      <c r="K132" s="177"/>
      <c r="L132" s="177"/>
      <c r="M132" s="181"/>
      <c r="N132" s="181"/>
      <c r="O132" s="175">
        <f t="shared" si="4"/>
        <v>269.37</v>
      </c>
      <c r="P132" s="182">
        <f>'[2]شامل الضريبة2017 (5)'!C965</f>
        <v>2206.1999999999998</v>
      </c>
      <c r="Q132" s="177"/>
      <c r="R132" s="177">
        <v>260</v>
      </c>
      <c r="S132" s="165">
        <v>25106.190000000002</v>
      </c>
      <c r="T132" s="183"/>
      <c r="U132" s="177"/>
      <c r="V132" s="166">
        <f t="shared" ref="V132:V195" si="5">T132+U132</f>
        <v>0</v>
      </c>
      <c r="W132" s="177">
        <v>7.35</v>
      </c>
      <c r="X132" s="177">
        <v>8.3000000000000007</v>
      </c>
      <c r="Y132" s="184">
        <f>'[2]شامل الضريبة2017 (5)'!M965</f>
        <v>9.4999999999999982</v>
      </c>
      <c r="Z132" s="177"/>
      <c r="AA132" s="177"/>
      <c r="AB132" s="184">
        <f>'[2]شامل الضريبة2017 (5)'!N965</f>
        <v>58.68</v>
      </c>
      <c r="AC132" s="178" t="s">
        <v>303</v>
      </c>
    </row>
    <row r="133" spans="1:29" ht="18.75" hidden="1" thickBot="1" x14ac:dyDescent="0.3">
      <c r="A133" s="168">
        <v>131</v>
      </c>
      <c r="B133" s="169">
        <v>27503308800273</v>
      </c>
      <c r="C133" s="189" t="s">
        <v>377</v>
      </c>
      <c r="D133" s="190">
        <v>1145.97</v>
      </c>
      <c r="E133" s="190"/>
      <c r="F133" s="190">
        <v>5.64</v>
      </c>
      <c r="G133" s="190"/>
      <c r="H133" s="192">
        <v>50</v>
      </c>
      <c r="I133" s="190"/>
      <c r="J133" s="193"/>
      <c r="K133" s="191"/>
      <c r="L133" s="190"/>
      <c r="M133" s="194"/>
      <c r="N133" s="195"/>
      <c r="O133" s="175">
        <f t="shared" si="4"/>
        <v>50</v>
      </c>
      <c r="P133" s="196"/>
      <c r="Q133" s="191"/>
      <c r="R133" s="190">
        <v>274</v>
      </c>
      <c r="S133" s="197">
        <v>15828.449999999997</v>
      </c>
      <c r="T133" s="198">
        <v>24.34</v>
      </c>
      <c r="U133" s="190"/>
      <c r="V133" s="166">
        <f t="shared" si="5"/>
        <v>24.34</v>
      </c>
      <c r="W133" s="190">
        <v>7.7</v>
      </c>
      <c r="X133" s="190">
        <v>8.5</v>
      </c>
      <c r="Y133" s="184" t="e">
        <f>'[2]شامل الضريبة2017 (5)'!M966</f>
        <v>#REF!</v>
      </c>
      <c r="Z133" s="190"/>
      <c r="AA133" s="190"/>
      <c r="AB133" s="184" t="e">
        <f>'[2]شامل الضريبة2017 (5)'!N966</f>
        <v>#REF!</v>
      </c>
      <c r="AC133" s="199" t="s">
        <v>350</v>
      </c>
    </row>
    <row r="134" spans="1:29" ht="18.75" hidden="1" thickBot="1" x14ac:dyDescent="0.3">
      <c r="A134" s="168">
        <v>132</v>
      </c>
      <c r="B134" s="169">
        <v>27011242500117</v>
      </c>
      <c r="C134" s="189" t="s">
        <v>378</v>
      </c>
      <c r="D134" s="190">
        <v>1398</v>
      </c>
      <c r="E134" s="190">
        <v>180.17</v>
      </c>
      <c r="F134" s="190">
        <v>40.06</v>
      </c>
      <c r="G134" s="190"/>
      <c r="H134" s="192">
        <v>95</v>
      </c>
      <c r="I134" s="190"/>
      <c r="J134" s="193"/>
      <c r="K134" s="191"/>
      <c r="L134" s="190"/>
      <c r="M134" s="194"/>
      <c r="N134" s="195"/>
      <c r="O134" s="175">
        <f t="shared" si="4"/>
        <v>95</v>
      </c>
      <c r="P134" s="196"/>
      <c r="Q134" s="191"/>
      <c r="R134" s="190">
        <v>379.65</v>
      </c>
      <c r="S134" s="197">
        <v>21282.01</v>
      </c>
      <c r="T134" s="198"/>
      <c r="U134" s="190"/>
      <c r="V134" s="166">
        <f t="shared" si="5"/>
        <v>0</v>
      </c>
      <c r="W134" s="190">
        <v>11.15</v>
      </c>
      <c r="X134" s="190">
        <v>12</v>
      </c>
      <c r="Y134" s="184">
        <f>'[2]شامل الضريبة2017 (5)'!M967</f>
        <v>0.25</v>
      </c>
      <c r="Z134" s="190">
        <v>39.729999999999997</v>
      </c>
      <c r="AA134" s="190">
        <v>9.08</v>
      </c>
      <c r="AB134" s="184">
        <f>'[2]شامل الضريبة2017 (5)'!N967</f>
        <v>1.61</v>
      </c>
      <c r="AC134" s="199" t="s">
        <v>350</v>
      </c>
    </row>
    <row r="135" spans="1:29" s="188" customFormat="1" ht="18.75" thickBot="1" x14ac:dyDescent="0.3">
      <c r="A135" s="179">
        <v>60</v>
      </c>
      <c r="B135" s="187">
        <v>28508292500032</v>
      </c>
      <c r="C135" s="170" t="s">
        <v>192</v>
      </c>
      <c r="D135" s="177">
        <v>1025.45</v>
      </c>
      <c r="E135" s="177"/>
      <c r="F135" s="177">
        <v>5.0999999999999996</v>
      </c>
      <c r="G135" s="177"/>
      <c r="H135" s="172">
        <v>50</v>
      </c>
      <c r="I135" s="177"/>
      <c r="J135" s="173">
        <v>209.09</v>
      </c>
      <c r="K135" s="177"/>
      <c r="L135" s="177"/>
      <c r="M135" s="181">
        <v>14.4</v>
      </c>
      <c r="N135" s="181"/>
      <c r="O135" s="175">
        <f t="shared" si="4"/>
        <v>273.49</v>
      </c>
      <c r="P135" s="182">
        <f>'[2]شامل الضريبة2017 (5)'!C987</f>
        <v>3423.24</v>
      </c>
      <c r="Q135" s="177"/>
      <c r="R135" s="177">
        <v>252</v>
      </c>
      <c r="S135" s="165">
        <v>24742.949999999997</v>
      </c>
      <c r="T135" s="183"/>
      <c r="U135" s="177"/>
      <c r="V135" s="166">
        <f t="shared" si="5"/>
        <v>0</v>
      </c>
      <c r="W135" s="177">
        <v>6.5</v>
      </c>
      <c r="X135" s="177">
        <v>7.85</v>
      </c>
      <c r="Y135" s="184">
        <f>'[2]شامل الضريبة2017 (5)'!M987</f>
        <v>15.899999999999999</v>
      </c>
      <c r="Z135" s="177"/>
      <c r="AA135" s="177"/>
      <c r="AB135" s="184">
        <f>'[2]شامل الضريبة2017 (5)'!N987</f>
        <v>110.72</v>
      </c>
      <c r="AC135" s="178" t="s">
        <v>303</v>
      </c>
    </row>
    <row r="136" spans="1:29" s="188" customFormat="1" ht="18.75" thickBot="1" x14ac:dyDescent="0.3">
      <c r="A136" s="186">
        <v>61</v>
      </c>
      <c r="B136" s="187">
        <v>28801012517392</v>
      </c>
      <c r="C136" s="170" t="s">
        <v>194</v>
      </c>
      <c r="D136" s="177">
        <v>1080.3399999999999</v>
      </c>
      <c r="E136" s="177"/>
      <c r="F136" s="177">
        <v>5.45</v>
      </c>
      <c r="G136" s="177"/>
      <c r="H136" s="172">
        <v>100</v>
      </c>
      <c r="I136" s="177"/>
      <c r="J136" s="173">
        <v>213.75</v>
      </c>
      <c r="K136" s="177"/>
      <c r="L136" s="177"/>
      <c r="M136" s="181"/>
      <c r="N136" s="181"/>
      <c r="O136" s="175">
        <f t="shared" si="4"/>
        <v>313.75</v>
      </c>
      <c r="P136" s="182">
        <f>'[2]شامل الضريبة2017 (5)'!C1003</f>
        <v>2173.98</v>
      </c>
      <c r="Q136" s="177"/>
      <c r="R136" s="177">
        <v>254</v>
      </c>
      <c r="S136" s="165">
        <v>24744.269999999997</v>
      </c>
      <c r="T136" s="183"/>
      <c r="U136" s="177"/>
      <c r="V136" s="166">
        <f t="shared" si="5"/>
        <v>0</v>
      </c>
      <c r="W136" s="177">
        <v>7.65</v>
      </c>
      <c r="X136" s="177">
        <v>8.5500000000000007</v>
      </c>
      <c r="Y136" s="184">
        <f>'[2]شامل الضريبة2017 (5)'!M1003</f>
        <v>9.2000000000000011</v>
      </c>
      <c r="Z136" s="177"/>
      <c r="AA136" s="177"/>
      <c r="AB136" s="184">
        <f>'[2]شامل الضريبة2017 (5)'!N1003</f>
        <v>68.989999999999995</v>
      </c>
      <c r="AC136" s="178" t="s">
        <v>303</v>
      </c>
    </row>
    <row r="137" spans="1:29" s="188" customFormat="1" ht="18.75" thickBot="1" x14ac:dyDescent="0.3">
      <c r="A137" s="186">
        <v>62</v>
      </c>
      <c r="B137" s="187">
        <v>28008252500151</v>
      </c>
      <c r="C137" s="170" t="s">
        <v>379</v>
      </c>
      <c r="D137" s="177">
        <v>1126.3599999999999</v>
      </c>
      <c r="E137" s="177">
        <v>2.9</v>
      </c>
      <c r="F137" s="177">
        <v>5.53</v>
      </c>
      <c r="G137" s="177"/>
      <c r="H137" s="172">
        <v>145</v>
      </c>
      <c r="I137" s="177"/>
      <c r="J137" s="173"/>
      <c r="K137" s="177"/>
      <c r="L137" s="177"/>
      <c r="M137" s="181"/>
      <c r="N137" s="181"/>
      <c r="O137" s="175">
        <f t="shared" si="4"/>
        <v>145</v>
      </c>
      <c r="P137" s="182">
        <f>'[2]شامل الضريبة2017 (5)'!C1021</f>
        <v>2565.8699999999994</v>
      </c>
      <c r="Q137" s="177"/>
      <c r="R137" s="177">
        <v>270</v>
      </c>
      <c r="S137" s="165">
        <v>15423.46</v>
      </c>
      <c r="T137" s="183"/>
      <c r="U137" s="177"/>
      <c r="V137" s="166">
        <f t="shared" si="5"/>
        <v>0</v>
      </c>
      <c r="W137" s="177">
        <v>8.3000000000000007</v>
      </c>
      <c r="X137" s="177">
        <v>9.25</v>
      </c>
      <c r="Y137" s="184">
        <f>'[2]شامل الضريبة2017 (5)'!M1021</f>
        <v>11.6</v>
      </c>
      <c r="Z137" s="177">
        <v>1.96</v>
      </c>
      <c r="AA137" s="177">
        <v>1.79</v>
      </c>
      <c r="AB137" s="184">
        <f>'[2]شامل الضريبة2017 (5)'!N1021</f>
        <v>123.66000000000001</v>
      </c>
      <c r="AC137" s="178" t="s">
        <v>350</v>
      </c>
    </row>
    <row r="138" spans="1:29" s="188" customFormat="1" ht="18.75" thickBot="1" x14ac:dyDescent="0.3">
      <c r="A138" s="179">
        <v>63</v>
      </c>
      <c r="B138" s="187">
        <v>28301222500171</v>
      </c>
      <c r="C138" s="170" t="s">
        <v>195</v>
      </c>
      <c r="D138" s="177">
        <v>1096.17</v>
      </c>
      <c r="E138" s="177"/>
      <c r="F138" s="177">
        <v>5.47</v>
      </c>
      <c r="G138" s="177"/>
      <c r="H138" s="172">
        <v>50</v>
      </c>
      <c r="I138" s="177"/>
      <c r="J138" s="173">
        <v>223.37</v>
      </c>
      <c r="K138" s="177"/>
      <c r="L138" s="177"/>
      <c r="M138" s="181"/>
      <c r="N138" s="181"/>
      <c r="O138" s="175">
        <f t="shared" si="4"/>
        <v>273.37</v>
      </c>
      <c r="P138" s="182">
        <f>'[2]شامل الضريبة2017 (5)'!C1040</f>
        <v>2711.4199999999996</v>
      </c>
      <c r="Q138" s="177"/>
      <c r="R138" s="177">
        <v>260</v>
      </c>
      <c r="S138" s="165">
        <v>15047.250000000002</v>
      </c>
      <c r="T138" s="183">
        <v>5.1100000000000003</v>
      </c>
      <c r="U138" s="177"/>
      <c r="V138" s="166">
        <f t="shared" si="5"/>
        <v>5.1100000000000003</v>
      </c>
      <c r="W138" s="177">
        <v>7.35</v>
      </c>
      <c r="X138" s="177">
        <v>8.25</v>
      </c>
      <c r="Y138" s="184">
        <f>'[2]شامل الضريبة2017 (5)'!M1040</f>
        <v>11.799999999999999</v>
      </c>
      <c r="Z138" s="177"/>
      <c r="AA138" s="177"/>
      <c r="AB138" s="184">
        <f>'[2]شامل الضريبة2017 (5)'!N1040</f>
        <v>80.05</v>
      </c>
      <c r="AC138" s="178" t="s">
        <v>303</v>
      </c>
    </row>
    <row r="139" spans="1:29" ht="18.75" hidden="1" thickBot="1" x14ac:dyDescent="0.3">
      <c r="A139" s="168">
        <v>137</v>
      </c>
      <c r="B139" s="169">
        <v>26702232501874</v>
      </c>
      <c r="C139" s="189" t="s">
        <v>380</v>
      </c>
      <c r="D139" s="190">
        <v>1466.5</v>
      </c>
      <c r="E139" s="190">
        <v>213.51</v>
      </c>
      <c r="F139" s="190">
        <v>50.74</v>
      </c>
      <c r="G139" s="190"/>
      <c r="H139" s="192">
        <v>150</v>
      </c>
      <c r="I139" s="190"/>
      <c r="J139" s="193"/>
      <c r="K139" s="191"/>
      <c r="L139" s="190"/>
      <c r="M139" s="194"/>
      <c r="N139" s="195"/>
      <c r="O139" s="175">
        <f t="shared" si="4"/>
        <v>150</v>
      </c>
      <c r="P139" s="196"/>
      <c r="Q139" s="191"/>
      <c r="R139" s="190">
        <v>404.33</v>
      </c>
      <c r="S139" s="197">
        <v>22431.9</v>
      </c>
      <c r="T139" s="198">
        <v>9.5299999999999994</v>
      </c>
      <c r="U139" s="190"/>
      <c r="V139" s="166">
        <f t="shared" si="5"/>
        <v>9.5299999999999994</v>
      </c>
      <c r="W139" s="190">
        <v>12.3</v>
      </c>
      <c r="X139" s="190">
        <v>13.55</v>
      </c>
      <c r="Y139" s="184">
        <f>'[2]شامل الضريبة2017 (5)'!M1006</f>
        <v>0.3</v>
      </c>
      <c r="Z139" s="190">
        <v>54.19</v>
      </c>
      <c r="AA139" s="190">
        <v>13.17</v>
      </c>
      <c r="AB139" s="184">
        <f>'[2]شامل الضريبة2017 (5)'!N972</f>
        <v>6.34</v>
      </c>
      <c r="AC139" s="199" t="s">
        <v>350</v>
      </c>
    </row>
    <row r="140" spans="1:29" s="188" customFormat="1" ht="18.75" thickBot="1" x14ac:dyDescent="0.3">
      <c r="A140" s="186">
        <v>64</v>
      </c>
      <c r="B140" s="187">
        <v>28309102500411</v>
      </c>
      <c r="C140" s="170" t="s">
        <v>196</v>
      </c>
      <c r="D140" s="177">
        <v>1032.52</v>
      </c>
      <c r="E140" s="177"/>
      <c r="F140" s="177">
        <v>5.14</v>
      </c>
      <c r="G140" s="177"/>
      <c r="H140" s="172"/>
      <c r="I140" s="177"/>
      <c r="J140" s="173">
        <v>203.59</v>
      </c>
      <c r="K140" s="177"/>
      <c r="L140" s="177"/>
      <c r="M140" s="181"/>
      <c r="N140" s="181"/>
      <c r="O140" s="175">
        <f t="shared" si="4"/>
        <v>203.59</v>
      </c>
      <c r="P140" s="182">
        <f>'[2]شامل الضريبة2017 (5)'!C1053</f>
        <v>1909.3500000000001</v>
      </c>
      <c r="Q140" s="177"/>
      <c r="R140" s="177">
        <v>255</v>
      </c>
      <c r="S140" s="165">
        <v>13093.5</v>
      </c>
      <c r="T140" s="183"/>
      <c r="U140" s="177"/>
      <c r="V140" s="166">
        <f t="shared" si="5"/>
        <v>0</v>
      </c>
      <c r="W140" s="177">
        <v>6.1</v>
      </c>
      <c r="X140" s="177">
        <v>7.45</v>
      </c>
      <c r="Y140" s="184">
        <f>'[2]شامل الضريبة2017 (5)'!M1053</f>
        <v>8.5500000000000007</v>
      </c>
      <c r="Z140" s="177"/>
      <c r="AA140" s="177"/>
      <c r="AB140" s="184">
        <f>'[2]شامل الضريبة2017 (5)'!N1053</f>
        <v>25.549999999999997</v>
      </c>
      <c r="AC140" s="178" t="s">
        <v>303</v>
      </c>
    </row>
    <row r="141" spans="1:29" s="188" customFormat="1" ht="18.75" thickBot="1" x14ac:dyDescent="0.3">
      <c r="A141" s="179">
        <v>65</v>
      </c>
      <c r="B141" s="187">
        <v>28409242500254</v>
      </c>
      <c r="C141" s="170" t="s">
        <v>197</v>
      </c>
      <c r="D141" s="177">
        <v>1096.17</v>
      </c>
      <c r="E141" s="177"/>
      <c r="F141" s="177">
        <v>5.47</v>
      </c>
      <c r="G141" s="177"/>
      <c r="H141" s="172">
        <v>50</v>
      </c>
      <c r="I141" s="177"/>
      <c r="J141" s="173"/>
      <c r="K141" s="177"/>
      <c r="L141" s="177"/>
      <c r="M141" s="181"/>
      <c r="N141" s="181"/>
      <c r="O141" s="175">
        <f t="shared" si="4"/>
        <v>50</v>
      </c>
      <c r="P141" s="182">
        <f>'[2]شامل الضريبة2017 (5)'!C1069</f>
        <v>2206.1999999999998</v>
      </c>
      <c r="Q141" s="177"/>
      <c r="R141" s="177">
        <v>260</v>
      </c>
      <c r="S141" s="165">
        <v>14542.03</v>
      </c>
      <c r="T141" s="183"/>
      <c r="U141" s="177"/>
      <c r="V141" s="166">
        <f t="shared" si="5"/>
        <v>0</v>
      </c>
      <c r="W141" s="177">
        <v>7.35</v>
      </c>
      <c r="X141" s="177">
        <v>8.3000000000000007</v>
      </c>
      <c r="Y141" s="184">
        <f>'[2]شامل الضريبة2017 (5)'!M1069</f>
        <v>9.4999999999999982</v>
      </c>
      <c r="Z141" s="177"/>
      <c r="AA141" s="177"/>
      <c r="AB141" s="184">
        <f>'[2]شامل الضريبة2017 (5)'!N1069</f>
        <v>58.68</v>
      </c>
      <c r="AC141" s="178" t="s">
        <v>303</v>
      </c>
    </row>
    <row r="142" spans="1:29" ht="18.75" hidden="1" thickBot="1" x14ac:dyDescent="0.3">
      <c r="A142" s="168">
        <v>140</v>
      </c>
      <c r="B142" s="169">
        <v>28201012501162</v>
      </c>
      <c r="C142" s="189" t="s">
        <v>381</v>
      </c>
      <c r="D142" s="190">
        <v>1357.69</v>
      </c>
      <c r="E142" s="190">
        <v>159.11000000000001</v>
      </c>
      <c r="F142" s="190">
        <v>33.619999999999997</v>
      </c>
      <c r="G142" s="190"/>
      <c r="H142" s="192">
        <v>95</v>
      </c>
      <c r="I142" s="190"/>
      <c r="J142" s="193"/>
      <c r="K142" s="191">
        <v>10</v>
      </c>
      <c r="L142" s="190"/>
      <c r="M142" s="194"/>
      <c r="N142" s="195"/>
      <c r="O142" s="175">
        <f t="shared" si="4"/>
        <v>105</v>
      </c>
      <c r="P142" s="196"/>
      <c r="Q142" s="191"/>
      <c r="R142" s="190">
        <v>364.64</v>
      </c>
      <c r="S142" s="197">
        <v>20017.440000000002</v>
      </c>
      <c r="T142" s="198"/>
      <c r="U142" s="190"/>
      <c r="V142" s="166">
        <f t="shared" si="5"/>
        <v>0</v>
      </c>
      <c r="W142" s="190">
        <v>10.75</v>
      </c>
      <c r="X142" s="190">
        <v>11.9</v>
      </c>
      <c r="Y142" s="184">
        <f>'[2]شامل الضريبة2017 (5)'!M262</f>
        <v>0.3</v>
      </c>
      <c r="Z142" s="190">
        <v>34.630000000000003</v>
      </c>
      <c r="AA142" s="190">
        <v>8.82</v>
      </c>
      <c r="AB142" s="184">
        <f>'[2]شامل الضريبة2017 (5)'!N262</f>
        <v>1.7</v>
      </c>
      <c r="AC142" s="199" t="s">
        <v>350</v>
      </c>
    </row>
    <row r="143" spans="1:29" s="188" customFormat="1" ht="18.75" thickBot="1" x14ac:dyDescent="0.3">
      <c r="A143" s="186">
        <v>66</v>
      </c>
      <c r="B143" s="187">
        <v>28602042500319</v>
      </c>
      <c r="C143" s="170" t="s">
        <v>199</v>
      </c>
      <c r="D143" s="177">
        <v>1056.81</v>
      </c>
      <c r="E143" s="177"/>
      <c r="F143" s="177">
        <v>5.26</v>
      </c>
      <c r="G143" s="177"/>
      <c r="H143" s="172">
        <v>50</v>
      </c>
      <c r="I143" s="177"/>
      <c r="J143" s="173"/>
      <c r="K143" s="177"/>
      <c r="L143" s="177"/>
      <c r="M143" s="181"/>
      <c r="N143" s="181"/>
      <c r="O143" s="175">
        <f t="shared" si="4"/>
        <v>50</v>
      </c>
      <c r="P143" s="182">
        <f>'[2]شامل الضريبة2017 (5)'!C1085</f>
        <v>2184.7199999999998</v>
      </c>
      <c r="Q143" s="177"/>
      <c r="R143" s="177">
        <v>256</v>
      </c>
      <c r="S143" s="165">
        <v>14040.999999999998</v>
      </c>
      <c r="T143" s="183"/>
      <c r="U143" s="177"/>
      <c r="V143" s="166">
        <f t="shared" si="5"/>
        <v>0</v>
      </c>
      <c r="W143" s="177">
        <v>6.65</v>
      </c>
      <c r="X143" s="177">
        <v>8</v>
      </c>
      <c r="Y143" s="184">
        <f>'[2]شامل الضريبة2017 (5)'!M1085</f>
        <v>9.3000000000000007</v>
      </c>
      <c r="Z143" s="177"/>
      <c r="AA143" s="177"/>
      <c r="AB143" s="184">
        <f>'[2]شامل الضريبة2017 (5)'!N1085</f>
        <v>46.83</v>
      </c>
      <c r="AC143" s="178" t="s">
        <v>303</v>
      </c>
    </row>
    <row r="144" spans="1:29" s="188" customFormat="1" ht="18.75" thickBot="1" x14ac:dyDescent="0.3">
      <c r="A144" s="179">
        <v>67</v>
      </c>
      <c r="B144" s="187">
        <v>27804112500107</v>
      </c>
      <c r="C144" s="170" t="s">
        <v>200</v>
      </c>
      <c r="D144" s="177">
        <v>1559.79</v>
      </c>
      <c r="E144" s="177">
        <v>188.74</v>
      </c>
      <c r="F144" s="177">
        <v>56.73</v>
      </c>
      <c r="G144" s="177"/>
      <c r="H144" s="172">
        <v>50</v>
      </c>
      <c r="I144" s="177"/>
      <c r="J144" s="173"/>
      <c r="K144" s="177"/>
      <c r="L144" s="177"/>
      <c r="M144" s="181"/>
      <c r="N144" s="181"/>
      <c r="O144" s="175">
        <f t="shared" si="4"/>
        <v>50</v>
      </c>
      <c r="P144" s="182">
        <f>'[2]شامل الضريبة2017 (5)'!C1102</f>
        <v>3107.55</v>
      </c>
      <c r="Q144" s="177"/>
      <c r="R144" s="177">
        <v>419.47</v>
      </c>
      <c r="S144" s="165">
        <v>23128.32</v>
      </c>
      <c r="T144" s="183"/>
      <c r="U144" s="177"/>
      <c r="V144" s="166">
        <f t="shared" si="5"/>
        <v>0</v>
      </c>
      <c r="W144" s="177">
        <v>12.05</v>
      </c>
      <c r="X144" s="177">
        <v>13.4</v>
      </c>
      <c r="Y144" s="184">
        <f>'[2]شامل الضريبة2017 (5)'!M1102</f>
        <v>15.700000000000005</v>
      </c>
      <c r="Z144" s="177">
        <v>51.81</v>
      </c>
      <c r="AA144" s="177">
        <v>12.71</v>
      </c>
      <c r="AB144" s="184">
        <f>'[2]شامل الضريبة2017 (5)'!N1102</f>
        <v>146.24999999999997</v>
      </c>
      <c r="AC144" s="178" t="s">
        <v>350</v>
      </c>
    </row>
    <row r="145" spans="1:29" ht="18.75" hidden="1" thickBot="1" x14ac:dyDescent="0.3">
      <c r="A145" s="168">
        <v>143</v>
      </c>
      <c r="B145" s="169">
        <v>26405312500203</v>
      </c>
      <c r="C145" s="189" t="s">
        <v>382</v>
      </c>
      <c r="D145" s="190">
        <v>1441.24</v>
      </c>
      <c r="E145" s="190">
        <v>196.52</v>
      </c>
      <c r="F145" s="190">
        <v>46.23</v>
      </c>
      <c r="G145" s="190"/>
      <c r="H145" s="192">
        <v>50</v>
      </c>
      <c r="I145" s="190"/>
      <c r="J145" s="193"/>
      <c r="K145" s="191"/>
      <c r="L145" s="190"/>
      <c r="M145" s="194"/>
      <c r="N145" s="195"/>
      <c r="O145" s="175">
        <f t="shared" si="4"/>
        <v>50</v>
      </c>
      <c r="P145" s="196"/>
      <c r="Q145" s="191"/>
      <c r="R145" s="190">
        <v>395.67</v>
      </c>
      <c r="S145" s="197">
        <v>21834.71</v>
      </c>
      <c r="T145" s="198"/>
      <c r="U145" s="190"/>
      <c r="V145" s="166">
        <f t="shared" si="5"/>
        <v>0</v>
      </c>
      <c r="W145" s="190">
        <v>11.25</v>
      </c>
      <c r="X145" s="190">
        <v>11.85</v>
      </c>
      <c r="Y145" s="184">
        <f>'[2]شامل الضريبة2017 (5)'!M1103</f>
        <v>0.25</v>
      </c>
      <c r="Z145" s="190">
        <v>41.07</v>
      </c>
      <c r="AA145" s="190">
        <v>8.59</v>
      </c>
      <c r="AB145" s="184">
        <f>'[2]شامل الضريبة2017 (5)'!N1103</f>
        <v>1.61</v>
      </c>
      <c r="AC145" s="199" t="s">
        <v>350</v>
      </c>
    </row>
    <row r="146" spans="1:29" ht="18.75" hidden="1" thickBot="1" x14ac:dyDescent="0.3">
      <c r="A146" s="168">
        <v>144</v>
      </c>
      <c r="B146" s="169">
        <v>27405112501756</v>
      </c>
      <c r="C146" s="189" t="s">
        <v>383</v>
      </c>
      <c r="D146" s="190">
        <v>1543.62</v>
      </c>
      <c r="E146" s="190">
        <v>249.81</v>
      </c>
      <c r="F146" s="190">
        <v>62.52</v>
      </c>
      <c r="G146" s="190"/>
      <c r="H146" s="192">
        <v>140</v>
      </c>
      <c r="I146" s="190"/>
      <c r="J146" s="193"/>
      <c r="K146" s="191"/>
      <c r="L146" s="190"/>
      <c r="M146" s="194"/>
      <c r="N146" s="195"/>
      <c r="O146" s="175">
        <f t="shared" si="4"/>
        <v>140</v>
      </c>
      <c r="P146" s="196"/>
      <c r="Q146" s="191"/>
      <c r="R146" s="190">
        <v>432.9</v>
      </c>
      <c r="S146" s="197">
        <v>23356.639999999999</v>
      </c>
      <c r="T146" s="198"/>
      <c r="U146" s="190"/>
      <c r="V146" s="166">
        <f t="shared" si="5"/>
        <v>0</v>
      </c>
      <c r="W146" s="190">
        <v>13.05</v>
      </c>
      <c r="X146" s="190">
        <v>14.4</v>
      </c>
      <c r="Y146" s="184">
        <f>'[2]شامل الضريبة2017 (5)'!M1104</f>
        <v>0.25</v>
      </c>
      <c r="Z146" s="190">
        <v>65.22</v>
      </c>
      <c r="AA146" s="190">
        <v>15.34</v>
      </c>
      <c r="AB146" s="184" t="e">
        <f>'[2]شامل الضريبة2017 (5)'!N1104</f>
        <v>#REF!</v>
      </c>
      <c r="AC146" s="199" t="s">
        <v>350</v>
      </c>
    </row>
    <row r="147" spans="1:29" ht="18.75" hidden="1" thickBot="1" x14ac:dyDescent="0.3">
      <c r="A147" s="155">
        <v>145</v>
      </c>
      <c r="B147" s="169">
        <v>26710122500263</v>
      </c>
      <c r="C147" s="189" t="s">
        <v>384</v>
      </c>
      <c r="D147" s="190">
        <v>1415.02</v>
      </c>
      <c r="E147" s="190">
        <v>188.04</v>
      </c>
      <c r="F147" s="190">
        <v>42.66</v>
      </c>
      <c r="G147" s="190"/>
      <c r="H147" s="192">
        <v>150</v>
      </c>
      <c r="I147" s="190"/>
      <c r="J147" s="193"/>
      <c r="K147" s="191"/>
      <c r="L147" s="190"/>
      <c r="M147" s="194"/>
      <c r="N147" s="195"/>
      <c r="O147" s="175">
        <f t="shared" si="4"/>
        <v>150</v>
      </c>
      <c r="P147" s="196"/>
      <c r="Q147" s="191"/>
      <c r="R147" s="190">
        <v>385.85</v>
      </c>
      <c r="S147" s="197">
        <v>21054.22</v>
      </c>
      <c r="T147" s="198">
        <v>17.45</v>
      </c>
      <c r="U147" s="190"/>
      <c r="V147" s="166">
        <f t="shared" si="5"/>
        <v>17.45</v>
      </c>
      <c r="W147" s="190">
        <v>11.75</v>
      </c>
      <c r="X147" s="190">
        <v>12.5</v>
      </c>
      <c r="Y147" s="184">
        <f>'[2]شامل الضريبة2017 (5)'!M1105</f>
        <v>0.25</v>
      </c>
      <c r="Z147" s="190">
        <v>45.88</v>
      </c>
      <c r="AA147" s="190">
        <v>10.35</v>
      </c>
      <c r="AB147" s="184">
        <f>'[2]شامل الضريبة2017 (5)'!N1105</f>
        <v>8.08</v>
      </c>
      <c r="AC147" s="199" t="s">
        <v>350</v>
      </c>
    </row>
    <row r="148" spans="1:29" ht="18.75" hidden="1" thickBot="1" x14ac:dyDescent="0.3">
      <c r="A148" s="168">
        <v>146</v>
      </c>
      <c r="B148" s="169">
        <v>28009142501786</v>
      </c>
      <c r="C148" s="189" t="s">
        <v>385</v>
      </c>
      <c r="D148" s="190">
        <v>1109.45</v>
      </c>
      <c r="E148" s="190"/>
      <c r="F148" s="190">
        <v>5.51</v>
      </c>
      <c r="G148" s="190"/>
      <c r="H148" s="192">
        <v>50</v>
      </c>
      <c r="I148" s="190"/>
      <c r="J148" s="193"/>
      <c r="K148" s="191"/>
      <c r="L148" s="190"/>
      <c r="M148" s="194"/>
      <c r="N148" s="195"/>
      <c r="O148" s="175">
        <f t="shared" si="4"/>
        <v>50</v>
      </c>
      <c r="P148" s="196"/>
      <c r="Q148" s="191"/>
      <c r="R148" s="190">
        <v>263</v>
      </c>
      <c r="S148" s="197">
        <v>14250.730000000003</v>
      </c>
      <c r="T148" s="198"/>
      <c r="U148" s="190"/>
      <c r="V148" s="166">
        <f t="shared" si="5"/>
        <v>0</v>
      </c>
      <c r="W148" s="190">
        <v>7.45</v>
      </c>
      <c r="X148" s="190">
        <v>8.4</v>
      </c>
      <c r="Y148" s="184">
        <f>'[2]شامل الضريبة2017 (5)'!M1106</f>
        <v>1.4</v>
      </c>
      <c r="Z148" s="190"/>
      <c r="AA148" s="190"/>
      <c r="AB148" s="184">
        <f>'[2]شامل الضريبة2017 (5)'!N1106</f>
        <v>11.03</v>
      </c>
      <c r="AC148" s="199" t="s">
        <v>350</v>
      </c>
    </row>
    <row r="149" spans="1:29" s="188" customFormat="1" ht="18.75" thickBot="1" x14ac:dyDescent="0.3">
      <c r="A149" s="186">
        <v>68</v>
      </c>
      <c r="B149" s="187">
        <v>28607162500063</v>
      </c>
      <c r="C149" s="170" t="s">
        <v>201</v>
      </c>
      <c r="D149" s="177">
        <v>1096.17</v>
      </c>
      <c r="E149" s="177"/>
      <c r="F149" s="177">
        <v>5.47</v>
      </c>
      <c r="G149" s="177"/>
      <c r="H149" s="172">
        <v>50</v>
      </c>
      <c r="I149" s="177"/>
      <c r="J149" s="173"/>
      <c r="K149" s="177"/>
      <c r="L149" s="177"/>
      <c r="M149" s="181"/>
      <c r="N149" s="181"/>
      <c r="O149" s="175">
        <f t="shared" si="4"/>
        <v>50</v>
      </c>
      <c r="P149" s="182">
        <f>'[2]شامل الضريبة2017 (5)'!C1119</f>
        <v>2466.1999999999998</v>
      </c>
      <c r="Q149" s="177"/>
      <c r="R149" s="177">
        <v>260</v>
      </c>
      <c r="S149" s="165">
        <v>15322.030000000004</v>
      </c>
      <c r="T149" s="183"/>
      <c r="U149" s="177"/>
      <c r="V149" s="166">
        <f t="shared" si="5"/>
        <v>0</v>
      </c>
      <c r="W149" s="177">
        <v>7.35</v>
      </c>
      <c r="X149" s="177">
        <v>8.3000000000000007</v>
      </c>
      <c r="Y149" s="184">
        <f>'[2]شامل الضريبة2017 (5)'!M1119</f>
        <v>10.9</v>
      </c>
      <c r="Z149" s="177"/>
      <c r="AA149" s="177"/>
      <c r="AB149" s="184">
        <f>'[2]شامل الضريبة2017 (5)'!N1119</f>
        <v>79.25</v>
      </c>
      <c r="AC149" s="178" t="s">
        <v>303</v>
      </c>
    </row>
    <row r="150" spans="1:29" s="188" customFormat="1" ht="18.75" thickBot="1" x14ac:dyDescent="0.3">
      <c r="A150" s="179">
        <v>69</v>
      </c>
      <c r="B150" s="187">
        <v>28501142500382</v>
      </c>
      <c r="C150" s="170" t="s">
        <v>202</v>
      </c>
      <c r="D150" s="177">
        <v>1096.17</v>
      </c>
      <c r="E150" s="177"/>
      <c r="F150" s="177">
        <v>5.47</v>
      </c>
      <c r="G150" s="177"/>
      <c r="H150" s="172">
        <v>50</v>
      </c>
      <c r="I150" s="177"/>
      <c r="J150" s="173"/>
      <c r="K150" s="177"/>
      <c r="L150" s="177"/>
      <c r="M150" s="181"/>
      <c r="N150" s="181"/>
      <c r="O150" s="175">
        <f t="shared" si="4"/>
        <v>50</v>
      </c>
      <c r="P150" s="182">
        <f>'[2]شامل الضريبة2017 (5)'!C1135</f>
        <v>2206.1999999999998</v>
      </c>
      <c r="Q150" s="177"/>
      <c r="R150" s="177">
        <v>260</v>
      </c>
      <c r="S150" s="165">
        <v>14542.03</v>
      </c>
      <c r="T150" s="183"/>
      <c r="U150" s="177"/>
      <c r="V150" s="166">
        <f t="shared" si="5"/>
        <v>0</v>
      </c>
      <c r="W150" s="177">
        <v>7.35</v>
      </c>
      <c r="X150" s="177">
        <v>8.3000000000000007</v>
      </c>
      <c r="Y150" s="184">
        <f>'[2]شامل الضريبة2017 (5)'!M1135</f>
        <v>9.4999999999999982</v>
      </c>
      <c r="Z150" s="177"/>
      <c r="AA150" s="177"/>
      <c r="AB150" s="184">
        <f>'[2]شامل الضريبة2017 (5)'!N1135</f>
        <v>58.68</v>
      </c>
      <c r="AC150" s="178" t="s">
        <v>303</v>
      </c>
    </row>
    <row r="151" spans="1:29" ht="18.75" hidden="1" thickBot="1" x14ac:dyDescent="0.3">
      <c r="A151" s="168">
        <v>149</v>
      </c>
      <c r="B151" s="169">
        <v>28304192500162</v>
      </c>
      <c r="C151" s="189" t="s">
        <v>386</v>
      </c>
      <c r="D151" s="190">
        <v>1300.98</v>
      </c>
      <c r="E151" s="190">
        <v>67.010000000000005</v>
      </c>
      <c r="F151" s="190">
        <v>17.010000000000002</v>
      </c>
      <c r="G151" s="190"/>
      <c r="H151" s="192">
        <v>50</v>
      </c>
      <c r="I151" s="190"/>
      <c r="J151" s="193"/>
      <c r="K151" s="191"/>
      <c r="L151" s="190"/>
      <c r="M151" s="194"/>
      <c r="N151" s="195"/>
      <c r="O151" s="175">
        <f t="shared" si="4"/>
        <v>50</v>
      </c>
      <c r="P151" s="196"/>
      <c r="Q151" s="191"/>
      <c r="R151" s="190">
        <v>325.2</v>
      </c>
      <c r="S151" s="197">
        <v>18672.61</v>
      </c>
      <c r="T151" s="198"/>
      <c r="U151" s="190"/>
      <c r="V151" s="166">
        <f t="shared" si="5"/>
        <v>0</v>
      </c>
      <c r="W151" s="190">
        <v>9.25</v>
      </c>
      <c r="X151" s="190">
        <v>10.35</v>
      </c>
      <c r="Y151" s="184">
        <f>'[2]شامل الضريبة2017 (5)'!M1109</f>
        <v>1.4</v>
      </c>
      <c r="Z151" s="190">
        <v>14.66</v>
      </c>
      <c r="AA151" s="190">
        <v>4.72</v>
      </c>
      <c r="AB151" s="184">
        <f>'[2]شامل الضريبة2017 (5)'!N1109</f>
        <v>11.99</v>
      </c>
      <c r="AC151" s="199" t="s">
        <v>350</v>
      </c>
    </row>
    <row r="152" spans="1:29" ht="18.75" hidden="1" thickBot="1" x14ac:dyDescent="0.3">
      <c r="A152" s="168">
        <v>150</v>
      </c>
      <c r="B152" s="169">
        <v>28310042500156</v>
      </c>
      <c r="C152" s="189" t="s">
        <v>387</v>
      </c>
      <c r="D152" s="190">
        <v>1117.3699999999999</v>
      </c>
      <c r="E152" s="190"/>
      <c r="F152" s="190">
        <v>5.54</v>
      </c>
      <c r="G152" s="190"/>
      <c r="H152" s="192">
        <v>50</v>
      </c>
      <c r="I152" s="190"/>
      <c r="J152" s="193"/>
      <c r="K152" s="191"/>
      <c r="L152" s="190"/>
      <c r="M152" s="194"/>
      <c r="N152" s="195"/>
      <c r="O152" s="175">
        <f t="shared" si="4"/>
        <v>50</v>
      </c>
      <c r="P152" s="196"/>
      <c r="Q152" s="191"/>
      <c r="R152" s="190">
        <v>266</v>
      </c>
      <c r="S152" s="197">
        <v>14650.85</v>
      </c>
      <c r="T152" s="198"/>
      <c r="U152" s="190"/>
      <c r="V152" s="166">
        <f t="shared" si="5"/>
        <v>0</v>
      </c>
      <c r="W152" s="190">
        <v>7.5</v>
      </c>
      <c r="X152" s="190">
        <v>7.9</v>
      </c>
      <c r="Y152" s="184">
        <f>'[2]شامل الضريبة2017 (5)'!M1110</f>
        <v>0.25</v>
      </c>
      <c r="Z152" s="190"/>
      <c r="AA152" s="190"/>
      <c r="AB152" s="184">
        <f>'[2]شامل الضريبة2017 (5)'!N1110</f>
        <v>0.44</v>
      </c>
      <c r="AC152" s="199" t="s">
        <v>350</v>
      </c>
    </row>
    <row r="153" spans="1:29" s="188" customFormat="1" ht="18.75" thickBot="1" x14ac:dyDescent="0.3">
      <c r="A153" s="179">
        <v>70</v>
      </c>
      <c r="B153" s="187">
        <v>28201032504214</v>
      </c>
      <c r="C153" s="170" t="s">
        <v>203</v>
      </c>
      <c r="D153" s="177">
        <v>687.58</v>
      </c>
      <c r="E153" s="177"/>
      <c r="F153" s="177">
        <v>3.35</v>
      </c>
      <c r="G153" s="177"/>
      <c r="H153" s="172">
        <v>100</v>
      </c>
      <c r="I153" s="177"/>
      <c r="J153" s="173"/>
      <c r="K153" s="177"/>
      <c r="L153" s="177"/>
      <c r="M153" s="181"/>
      <c r="N153" s="181"/>
      <c r="O153" s="175">
        <f t="shared" si="4"/>
        <v>100</v>
      </c>
      <c r="P153" s="182">
        <f>'[2]شامل الضريبة2017 (5)'!C1151</f>
        <v>2027.38</v>
      </c>
      <c r="Q153" s="177"/>
      <c r="R153" s="177">
        <v>274</v>
      </c>
      <c r="S153" s="165">
        <v>15329.209999999997</v>
      </c>
      <c r="T153" s="183"/>
      <c r="U153" s="177"/>
      <c r="V153" s="166">
        <f t="shared" si="5"/>
        <v>0</v>
      </c>
      <c r="W153" s="177">
        <v>4.3</v>
      </c>
      <c r="X153" s="177">
        <v>9.0500000000000007</v>
      </c>
      <c r="Y153" s="184">
        <f>'[2]شامل الضريبة2017 (5)'!M1151</f>
        <v>8.2999999999999989</v>
      </c>
      <c r="Z153" s="177"/>
      <c r="AA153" s="177">
        <v>1.24</v>
      </c>
      <c r="AB153" s="184">
        <f>'[2]شامل الضريبة2017 (5)'!N1151</f>
        <v>23.69</v>
      </c>
      <c r="AC153" s="178" t="s">
        <v>350</v>
      </c>
    </row>
    <row r="154" spans="1:29" s="188" customFormat="1" ht="18.75" thickBot="1" x14ac:dyDescent="0.3">
      <c r="A154" s="186">
        <v>71</v>
      </c>
      <c r="B154" s="187">
        <v>28403242500051</v>
      </c>
      <c r="C154" s="170" t="s">
        <v>204</v>
      </c>
      <c r="D154" s="177">
        <v>1104.0999999999999</v>
      </c>
      <c r="E154" s="177"/>
      <c r="F154" s="177">
        <v>5.51</v>
      </c>
      <c r="G154" s="177"/>
      <c r="H154" s="172">
        <v>50</v>
      </c>
      <c r="I154" s="177"/>
      <c r="J154" s="173">
        <v>223.18</v>
      </c>
      <c r="K154" s="177"/>
      <c r="L154" s="177"/>
      <c r="M154" s="181"/>
      <c r="N154" s="181"/>
      <c r="O154" s="175">
        <f t="shared" si="4"/>
        <v>273.18</v>
      </c>
      <c r="P154" s="182">
        <f>'[2]شامل الضريبة2017 (5)'!C1168</f>
        <v>2292.3100000000004</v>
      </c>
      <c r="Q154" s="177"/>
      <c r="R154" s="177">
        <v>263</v>
      </c>
      <c r="S154" s="165">
        <v>14824.32</v>
      </c>
      <c r="T154" s="183"/>
      <c r="U154" s="177"/>
      <c r="V154" s="166">
        <f t="shared" si="5"/>
        <v>0</v>
      </c>
      <c r="W154" s="177">
        <v>7.4</v>
      </c>
      <c r="X154" s="177">
        <v>8.35</v>
      </c>
      <c r="Y154" s="184">
        <f>'[2]شامل الضريبة2017 (5)'!M1168</f>
        <v>9.6499999999999986</v>
      </c>
      <c r="Z154" s="177"/>
      <c r="AA154" s="177"/>
      <c r="AB154" s="184">
        <f>'[2]شامل الضريبة2017 (5)'!N1168</f>
        <v>69.2</v>
      </c>
      <c r="AC154" s="178" t="s">
        <v>303</v>
      </c>
    </row>
    <row r="155" spans="1:29" s="188" customFormat="1" ht="18.75" thickBot="1" x14ac:dyDescent="0.3">
      <c r="A155" s="186">
        <v>72</v>
      </c>
      <c r="B155" s="187">
        <v>27807022501821</v>
      </c>
      <c r="C155" s="170" t="s">
        <v>205</v>
      </c>
      <c r="D155" s="177">
        <v>1145.97</v>
      </c>
      <c r="E155" s="177">
        <v>34.42</v>
      </c>
      <c r="F155" s="177">
        <v>5.82</v>
      </c>
      <c r="G155" s="177"/>
      <c r="H155" s="172">
        <v>50</v>
      </c>
      <c r="I155" s="177"/>
      <c r="J155" s="173"/>
      <c r="K155" s="177"/>
      <c r="L155" s="177"/>
      <c r="M155" s="181"/>
      <c r="N155" s="181"/>
      <c r="O155" s="175">
        <f t="shared" si="4"/>
        <v>50</v>
      </c>
      <c r="P155" s="182">
        <f>'[2]شامل الضريبة2017 (5)'!C1185</f>
        <v>2428.6000000000004</v>
      </c>
      <c r="Q155" s="177"/>
      <c r="R155" s="177">
        <v>280</v>
      </c>
      <c r="S155" s="165">
        <v>16266.08</v>
      </c>
      <c r="T155" s="183">
        <v>8.44</v>
      </c>
      <c r="U155" s="177"/>
      <c r="V155" s="166">
        <f t="shared" si="5"/>
        <v>8.44</v>
      </c>
      <c r="W155" s="177">
        <v>7.9</v>
      </c>
      <c r="X155" s="177">
        <v>9.3000000000000007</v>
      </c>
      <c r="Y155" s="184">
        <f>'[2]شامل الضريبة2017 (5)'!M1185</f>
        <v>10.650000000000002</v>
      </c>
      <c r="Z155" s="177"/>
      <c r="AA155" s="177">
        <v>1.84</v>
      </c>
      <c r="AB155" s="184">
        <f>'[2]شامل الضريبة2017 (5)'!N1185</f>
        <v>98.910000000000025</v>
      </c>
      <c r="AC155" s="178" t="s">
        <v>350</v>
      </c>
    </row>
    <row r="156" spans="1:29" s="188" customFormat="1" ht="18.75" thickBot="1" x14ac:dyDescent="0.3">
      <c r="A156" s="179">
        <v>73</v>
      </c>
      <c r="B156" s="187">
        <v>28409202500227</v>
      </c>
      <c r="C156" s="170" t="s">
        <v>206</v>
      </c>
      <c r="D156" s="177">
        <v>712.51</v>
      </c>
      <c r="E156" s="177"/>
      <c r="F156" s="177">
        <v>3.56</v>
      </c>
      <c r="G156" s="177"/>
      <c r="H156" s="172">
        <v>50</v>
      </c>
      <c r="I156" s="177"/>
      <c r="J156" s="173"/>
      <c r="K156" s="177"/>
      <c r="L156" s="177"/>
      <c r="M156" s="181"/>
      <c r="N156" s="181"/>
      <c r="O156" s="175">
        <f t="shared" si="4"/>
        <v>50</v>
      </c>
      <c r="P156" s="182">
        <f>'[2]شامل الضريبة2017 (5)'!C1196</f>
        <v>1637.9999999999998</v>
      </c>
      <c r="Q156" s="177"/>
      <c r="R156" s="177">
        <v>260</v>
      </c>
      <c r="S156" s="165">
        <v>13831.89</v>
      </c>
      <c r="T156" s="183"/>
      <c r="U156" s="177"/>
      <c r="V156" s="166">
        <f t="shared" si="5"/>
        <v>0</v>
      </c>
      <c r="W156" s="177">
        <v>7.35</v>
      </c>
      <c r="X156" s="177">
        <v>4.7</v>
      </c>
      <c r="Y156" s="184">
        <f>'[2]شامل الضريبة2017 (5)'!M1196</f>
        <v>7.6499999999999995</v>
      </c>
      <c r="Z156" s="177"/>
      <c r="AA156" s="177"/>
      <c r="AB156" s="184">
        <f>'[2]شامل الضريبة2017 (5)'!N1196</f>
        <v>50.860000000000007</v>
      </c>
      <c r="AC156" s="178" t="s">
        <v>303</v>
      </c>
    </row>
    <row r="157" spans="1:29" s="188" customFormat="1" ht="18.75" thickBot="1" x14ac:dyDescent="0.3">
      <c r="A157" s="186">
        <v>74</v>
      </c>
      <c r="B157" s="187">
        <v>28003102503168</v>
      </c>
      <c r="C157" s="170" t="s">
        <v>207</v>
      </c>
      <c r="D157" s="177">
        <v>1032.52</v>
      </c>
      <c r="E157" s="177"/>
      <c r="F157" s="177">
        <v>5.14</v>
      </c>
      <c r="G157" s="177"/>
      <c r="H157" s="172">
        <v>50</v>
      </c>
      <c r="I157" s="177"/>
      <c r="J157" s="173">
        <v>215.02</v>
      </c>
      <c r="K157" s="177"/>
      <c r="L157" s="177"/>
      <c r="M157" s="181"/>
      <c r="N157" s="181"/>
      <c r="O157" s="175">
        <f t="shared" si="4"/>
        <v>265.02</v>
      </c>
      <c r="P157" s="182">
        <f>'[2]شامل الضريبة2017 (5)'!C1212</f>
        <v>2179.3500000000004</v>
      </c>
      <c r="Q157" s="177"/>
      <c r="R157" s="177">
        <v>255</v>
      </c>
      <c r="S157" s="165">
        <v>13729.39</v>
      </c>
      <c r="T157" s="183"/>
      <c r="U157" s="177"/>
      <c r="V157" s="166">
        <f t="shared" si="5"/>
        <v>0</v>
      </c>
      <c r="W157" s="177">
        <v>6.45</v>
      </c>
      <c r="X157" s="177">
        <v>7.85</v>
      </c>
      <c r="Y157" s="184">
        <f>'[2]شامل الضريبة2017 (5)'!M1212</f>
        <v>9.3000000000000007</v>
      </c>
      <c r="Z157" s="177"/>
      <c r="AA157" s="177"/>
      <c r="AB157" s="184">
        <f>'[2]شامل الضريبة2017 (5)'!N1212</f>
        <v>40.419999999999995</v>
      </c>
      <c r="AC157" s="178" t="s">
        <v>303</v>
      </c>
    </row>
    <row r="158" spans="1:29" s="188" customFormat="1" ht="18.75" thickBot="1" x14ac:dyDescent="0.3">
      <c r="A158" s="186">
        <v>75</v>
      </c>
      <c r="B158" s="187">
        <v>27806222500083</v>
      </c>
      <c r="C158" s="170" t="s">
        <v>208</v>
      </c>
      <c r="D158" s="177">
        <v>1162.82</v>
      </c>
      <c r="E158" s="177">
        <v>4.74</v>
      </c>
      <c r="F158" s="177">
        <v>5.69</v>
      </c>
      <c r="G158" s="177"/>
      <c r="H158" s="172">
        <v>50</v>
      </c>
      <c r="I158" s="177"/>
      <c r="J158" s="173"/>
      <c r="K158" s="177"/>
      <c r="L158" s="177"/>
      <c r="M158" s="181"/>
      <c r="N158" s="181"/>
      <c r="O158" s="175">
        <f t="shared" si="4"/>
        <v>50</v>
      </c>
      <c r="P158" s="182">
        <f>'[2]شامل الضريبة2017 (5)'!C1228</f>
        <v>2374.71</v>
      </c>
      <c r="Q158" s="177"/>
      <c r="R158" s="177">
        <v>283</v>
      </c>
      <c r="S158" s="165">
        <v>15516.510000000002</v>
      </c>
      <c r="T158" s="183"/>
      <c r="U158" s="177"/>
      <c r="V158" s="166">
        <f t="shared" si="5"/>
        <v>0</v>
      </c>
      <c r="W158" s="177">
        <v>7.85</v>
      </c>
      <c r="X158" s="177">
        <v>8.8000000000000007</v>
      </c>
      <c r="Y158" s="184">
        <f>'[2]شامل الضريبة2017 (5)'!M1228</f>
        <v>10.750000000000002</v>
      </c>
      <c r="Z158" s="177"/>
      <c r="AA158" s="177">
        <v>0.59</v>
      </c>
      <c r="AB158" s="184">
        <f>'[2]شامل الضريبة2017 (5)'!N1228</f>
        <v>91.28</v>
      </c>
      <c r="AC158" s="178" t="s">
        <v>350</v>
      </c>
    </row>
    <row r="159" spans="1:29" s="188" customFormat="1" ht="18.75" thickBot="1" x14ac:dyDescent="0.3">
      <c r="A159" s="179">
        <v>76</v>
      </c>
      <c r="B159" s="187">
        <v>27512112500165</v>
      </c>
      <c r="C159" s="170" t="s">
        <v>209</v>
      </c>
      <c r="D159" s="177">
        <v>1162.82</v>
      </c>
      <c r="E159" s="177">
        <v>46.68</v>
      </c>
      <c r="F159" s="177">
        <v>5.92</v>
      </c>
      <c r="G159" s="177"/>
      <c r="H159" s="172">
        <v>150</v>
      </c>
      <c r="I159" s="177"/>
      <c r="J159" s="173"/>
      <c r="K159" s="177"/>
      <c r="L159" s="177"/>
      <c r="M159" s="181"/>
      <c r="N159" s="181"/>
      <c r="O159" s="175">
        <f t="shared" si="4"/>
        <v>150</v>
      </c>
      <c r="P159" s="182">
        <f>'[2]شامل الضريبة2017 (5)'!C1245</f>
        <v>2545.5600000000004</v>
      </c>
      <c r="Q159" s="177"/>
      <c r="R159" s="177">
        <v>288</v>
      </c>
      <c r="S159" s="165">
        <v>16058.349999999999</v>
      </c>
      <c r="T159" s="183">
        <v>5.52</v>
      </c>
      <c r="U159" s="177"/>
      <c r="V159" s="166">
        <f t="shared" si="5"/>
        <v>5.52</v>
      </c>
      <c r="W159" s="177">
        <v>8.85</v>
      </c>
      <c r="X159" s="177">
        <v>9.8000000000000007</v>
      </c>
      <c r="Y159" s="184">
        <f>'[2]شامل الضريبة2017 (5)'!M1245</f>
        <v>11.400000000000002</v>
      </c>
      <c r="Z159" s="177">
        <v>9.0399999999999991</v>
      </c>
      <c r="AA159" s="177">
        <v>3.21</v>
      </c>
      <c r="AB159" s="184">
        <f>'[2]شامل الضريبة2017 (5)'!N1245</f>
        <v>120.87000000000002</v>
      </c>
      <c r="AC159" s="178" t="s">
        <v>350</v>
      </c>
    </row>
    <row r="160" spans="1:29" s="188" customFormat="1" ht="18.75" thickBot="1" x14ac:dyDescent="0.3">
      <c r="A160" s="186">
        <v>77</v>
      </c>
      <c r="B160" s="187">
        <v>28108052500126</v>
      </c>
      <c r="C160" s="170" t="s">
        <v>210</v>
      </c>
      <c r="D160" s="177">
        <v>1145.97</v>
      </c>
      <c r="E160" s="177">
        <v>15.97</v>
      </c>
      <c r="F160" s="177">
        <v>5.7</v>
      </c>
      <c r="G160" s="177"/>
      <c r="H160" s="172">
        <v>50</v>
      </c>
      <c r="I160" s="177"/>
      <c r="J160" s="173"/>
      <c r="K160" s="177"/>
      <c r="L160" s="177"/>
      <c r="M160" s="181"/>
      <c r="N160" s="181"/>
      <c r="O160" s="175">
        <f t="shared" si="4"/>
        <v>50</v>
      </c>
      <c r="P160" s="182">
        <f>'[2]شامل الضريبة2017 (5)'!C1261</f>
        <v>2331.75</v>
      </c>
      <c r="Q160" s="177"/>
      <c r="R160" s="177">
        <v>275</v>
      </c>
      <c r="S160" s="165">
        <v>15481.709999999995</v>
      </c>
      <c r="T160" s="183">
        <v>2.5299999999999998</v>
      </c>
      <c r="U160" s="177"/>
      <c r="V160" s="166">
        <f t="shared" si="5"/>
        <v>2.5299999999999998</v>
      </c>
      <c r="W160" s="177">
        <v>7.8</v>
      </c>
      <c r="X160" s="177">
        <v>8.8000000000000007</v>
      </c>
      <c r="Y160" s="184">
        <f>'[2]شامل الضريبة2017 (5)'!M1261</f>
        <v>10.4</v>
      </c>
      <c r="Z160" s="177"/>
      <c r="AA160" s="177">
        <v>0.54</v>
      </c>
      <c r="AB160" s="184">
        <f>'[2]شامل الضريبة2017 (5)'!N1261</f>
        <v>85.510000000000019</v>
      </c>
      <c r="AC160" s="178" t="s">
        <v>350</v>
      </c>
    </row>
    <row r="161" spans="1:29" s="188" customFormat="1" ht="18.75" thickBot="1" x14ac:dyDescent="0.3">
      <c r="A161" s="186">
        <v>78</v>
      </c>
      <c r="B161" s="187">
        <v>26701012500404</v>
      </c>
      <c r="C161" s="170" t="s">
        <v>211</v>
      </c>
      <c r="D161" s="177">
        <v>1145.97</v>
      </c>
      <c r="E161" s="177">
        <v>2.69</v>
      </c>
      <c r="F161" s="177">
        <v>5.63</v>
      </c>
      <c r="G161" s="177"/>
      <c r="H161" s="172">
        <v>50</v>
      </c>
      <c r="I161" s="177"/>
      <c r="J161" s="173"/>
      <c r="K161" s="177"/>
      <c r="L161" s="177"/>
      <c r="M161" s="181"/>
      <c r="N161" s="181"/>
      <c r="O161" s="175">
        <f t="shared" si="4"/>
        <v>50</v>
      </c>
      <c r="P161" s="182">
        <f>'[2]شامل الضريبة2017 (5)'!C1280</f>
        <v>3029.1000000000004</v>
      </c>
      <c r="Q161" s="177"/>
      <c r="R161" s="177">
        <v>278</v>
      </c>
      <c r="S161" s="165">
        <v>16130.04</v>
      </c>
      <c r="T161" s="183">
        <v>29.76</v>
      </c>
      <c r="U161" s="177"/>
      <c r="V161" s="166">
        <f t="shared" si="5"/>
        <v>29.76</v>
      </c>
      <c r="W161" s="177">
        <v>7.7</v>
      </c>
      <c r="X161" s="177">
        <v>8.9</v>
      </c>
      <c r="Y161" s="184">
        <f>'[2]شامل الضريبة2017 (5)'!M1280</f>
        <v>13.800000000000002</v>
      </c>
      <c r="Z161" s="177"/>
      <c r="AA161" s="177">
        <v>0.86</v>
      </c>
      <c r="AB161" s="184">
        <f>'[2]شامل الضريبة2017 (5)'!N1280</f>
        <v>100.30000000000003</v>
      </c>
      <c r="AC161" s="178" t="s">
        <v>350</v>
      </c>
    </row>
    <row r="162" spans="1:29" s="188" customFormat="1" ht="18.75" thickBot="1" x14ac:dyDescent="0.3">
      <c r="A162" s="179">
        <v>79</v>
      </c>
      <c r="B162" s="187">
        <v>28409082500082</v>
      </c>
      <c r="C162" s="170" t="s">
        <v>212</v>
      </c>
      <c r="D162" s="177">
        <v>1145.97</v>
      </c>
      <c r="E162" s="177"/>
      <c r="F162" s="177">
        <v>5.58</v>
      </c>
      <c r="G162" s="177"/>
      <c r="H162" s="172">
        <v>95</v>
      </c>
      <c r="I162" s="177"/>
      <c r="J162" s="173"/>
      <c r="K162" s="177"/>
      <c r="L162" s="177"/>
      <c r="M162" s="181"/>
      <c r="N162" s="181"/>
      <c r="O162" s="175">
        <f t="shared" si="4"/>
        <v>95</v>
      </c>
      <c r="P162" s="182">
        <f>'[2]شامل الضريبة2017 (5)'!C1295</f>
        <v>2035.7299999999998</v>
      </c>
      <c r="Q162" s="177"/>
      <c r="R162" s="177">
        <v>274</v>
      </c>
      <c r="S162" s="165">
        <v>14973.56</v>
      </c>
      <c r="T162" s="183"/>
      <c r="U162" s="177"/>
      <c r="V162" s="166">
        <f t="shared" si="5"/>
        <v>0</v>
      </c>
      <c r="W162" s="177">
        <v>8.0500000000000007</v>
      </c>
      <c r="X162" s="177">
        <v>9</v>
      </c>
      <c r="Y162" s="184">
        <f>'[2]شامل الضريبة2017 (5)'!M1295</f>
        <v>8.7999999999999989</v>
      </c>
      <c r="Z162" s="177"/>
      <c r="AA162" s="177">
        <v>1.1399999999999999</v>
      </c>
      <c r="AB162" s="184">
        <f>'[2]شامل الضريبة2017 (5)'!N1295</f>
        <v>86.79</v>
      </c>
      <c r="AC162" s="178" t="s">
        <v>350</v>
      </c>
    </row>
    <row r="163" spans="1:29" ht="18.75" hidden="1" thickBot="1" x14ac:dyDescent="0.3">
      <c r="A163" s="168">
        <v>161</v>
      </c>
      <c r="B163" s="169">
        <v>27003302500151</v>
      </c>
      <c r="C163" s="189" t="s">
        <v>388</v>
      </c>
      <c r="D163" s="190">
        <v>1795.4</v>
      </c>
      <c r="E163" s="190">
        <v>304.05</v>
      </c>
      <c r="F163" s="190">
        <v>79.790000000000006</v>
      </c>
      <c r="G163" s="190"/>
      <c r="H163" s="192">
        <v>150</v>
      </c>
      <c r="I163" s="190"/>
      <c r="J163" s="193"/>
      <c r="K163" s="191"/>
      <c r="L163" s="190"/>
      <c r="M163" s="194"/>
      <c r="N163" s="195"/>
      <c r="O163" s="175">
        <f t="shared" si="4"/>
        <v>150</v>
      </c>
      <c r="P163" s="196"/>
      <c r="Q163" s="191"/>
      <c r="R163" s="190">
        <v>507.11</v>
      </c>
      <c r="S163" s="197">
        <v>29160</v>
      </c>
      <c r="T163" s="198"/>
      <c r="U163" s="190">
        <v>11.33</v>
      </c>
      <c r="V163" s="166">
        <f t="shared" si="5"/>
        <v>11.33</v>
      </c>
      <c r="W163" s="190">
        <v>15.3</v>
      </c>
      <c r="X163" s="190">
        <v>16.649999999999999</v>
      </c>
      <c r="Y163" s="184">
        <f>'[2]شامل الضريبة2017 (5)'!M1218</f>
        <v>1.55</v>
      </c>
      <c r="Z163" s="190">
        <v>93.71</v>
      </c>
      <c r="AA163" s="190">
        <v>21.39</v>
      </c>
      <c r="AB163" s="184">
        <f>'[2]شامل الضريبة2017 (5)'!N1218</f>
        <v>20.22</v>
      </c>
      <c r="AC163" s="199" t="s">
        <v>350</v>
      </c>
    </row>
    <row r="164" spans="1:29" s="188" customFormat="1" ht="18.75" thickBot="1" x14ac:dyDescent="0.3">
      <c r="A164" s="186">
        <v>80</v>
      </c>
      <c r="B164" s="187">
        <v>28310112500426</v>
      </c>
      <c r="C164" s="170" t="s">
        <v>213</v>
      </c>
      <c r="D164" s="177">
        <v>1011.29</v>
      </c>
      <c r="E164" s="177"/>
      <c r="F164" s="177">
        <v>5.08</v>
      </c>
      <c r="G164" s="177"/>
      <c r="H164" s="172">
        <v>50</v>
      </c>
      <c r="I164" s="177"/>
      <c r="J164" s="173"/>
      <c r="K164" s="177"/>
      <c r="L164" s="177"/>
      <c r="M164" s="181"/>
      <c r="N164" s="181"/>
      <c r="O164" s="175">
        <f t="shared" si="4"/>
        <v>50</v>
      </c>
      <c r="P164" s="182">
        <f>'[2]شامل الضريبة2017 (5)'!C1311</f>
        <v>2131.02</v>
      </c>
      <c r="Q164" s="177"/>
      <c r="R164" s="177">
        <v>246</v>
      </c>
      <c r="S164" s="165">
        <v>13971.300000000001</v>
      </c>
      <c r="T164" s="183"/>
      <c r="U164" s="177">
        <v>216.5</v>
      </c>
      <c r="V164" s="166">
        <f t="shared" si="5"/>
        <v>216.5</v>
      </c>
      <c r="W164" s="177">
        <v>6.35</v>
      </c>
      <c r="X164" s="177">
        <v>5.65</v>
      </c>
      <c r="Y164" s="184">
        <f>'[2]شامل الضريبة2017 (5)'!M1311</f>
        <v>8.65</v>
      </c>
      <c r="Z164" s="177"/>
      <c r="AA164" s="177"/>
      <c r="AB164" s="184">
        <f>'[2]شامل الضريبة2017 (5)'!N1311</f>
        <v>1.96</v>
      </c>
      <c r="AC164" s="178" t="s">
        <v>303</v>
      </c>
    </row>
    <row r="165" spans="1:29" s="188" customFormat="1" ht="18.75" thickBot="1" x14ac:dyDescent="0.3">
      <c r="A165" s="179">
        <v>81</v>
      </c>
      <c r="B165" s="187">
        <v>28712152500268</v>
      </c>
      <c r="C165" s="170" t="s">
        <v>214</v>
      </c>
      <c r="D165" s="177">
        <v>955.3</v>
      </c>
      <c r="E165" s="177"/>
      <c r="F165" s="177">
        <v>5.0999999999999996</v>
      </c>
      <c r="G165" s="177"/>
      <c r="H165" s="172">
        <v>50</v>
      </c>
      <c r="I165" s="177"/>
      <c r="J165" s="173"/>
      <c r="K165" s="177"/>
      <c r="L165" s="177"/>
      <c r="M165" s="181"/>
      <c r="N165" s="181">
        <v>14.4</v>
      </c>
      <c r="O165" s="175">
        <f t="shared" si="4"/>
        <v>64.400000000000006</v>
      </c>
      <c r="P165" s="182">
        <f>'[2]شامل الضريبة2017 (5)'!C1327</f>
        <v>2168.31</v>
      </c>
      <c r="Q165" s="177"/>
      <c r="R165" s="177">
        <v>252</v>
      </c>
      <c r="S165" s="165">
        <v>12679.77</v>
      </c>
      <c r="T165" s="183"/>
      <c r="U165" s="177"/>
      <c r="V165" s="166">
        <f t="shared" si="5"/>
        <v>0</v>
      </c>
      <c r="W165" s="177">
        <v>6.1</v>
      </c>
      <c r="X165" s="177">
        <v>7.35</v>
      </c>
      <c r="Y165" s="184">
        <f>'[2]شامل الضريبة2017 (5)'!M1327</f>
        <v>9.2000000000000011</v>
      </c>
      <c r="Z165" s="177"/>
      <c r="AA165" s="177"/>
      <c r="AB165" s="184">
        <f>'[2]شامل الضريبة2017 (5)'!N1327</f>
        <v>25.099999999999998</v>
      </c>
      <c r="AC165" s="178" t="s">
        <v>303</v>
      </c>
    </row>
    <row r="166" spans="1:29" ht="18.75" hidden="1" thickBot="1" x14ac:dyDescent="0.3">
      <c r="A166" s="168">
        <v>164</v>
      </c>
      <c r="B166" s="169">
        <v>27201270103488</v>
      </c>
      <c r="C166" s="189" t="s">
        <v>389</v>
      </c>
      <c r="D166" s="190">
        <v>1355.44</v>
      </c>
      <c r="E166" s="190">
        <v>159.19</v>
      </c>
      <c r="F166" s="190">
        <v>33.36</v>
      </c>
      <c r="G166" s="190"/>
      <c r="H166" s="192">
        <v>50</v>
      </c>
      <c r="I166" s="190"/>
      <c r="J166" s="193"/>
      <c r="K166" s="191"/>
      <c r="L166" s="190"/>
      <c r="M166" s="194"/>
      <c r="N166" s="195"/>
      <c r="O166" s="175">
        <f t="shared" si="4"/>
        <v>50</v>
      </c>
      <c r="P166" s="196"/>
      <c r="Q166" s="191"/>
      <c r="R166" s="190">
        <v>364.71</v>
      </c>
      <c r="S166" s="197">
        <v>20245.64</v>
      </c>
      <c r="T166" s="198">
        <v>9.83</v>
      </c>
      <c r="U166" s="190"/>
      <c r="V166" s="166">
        <f t="shared" si="5"/>
        <v>9.83</v>
      </c>
      <c r="W166" s="190">
        <v>10.35</v>
      </c>
      <c r="X166" s="190">
        <v>11.4</v>
      </c>
      <c r="Y166" s="184">
        <f>'[2]شامل الضريبة2017 (5)'!M1313</f>
        <v>0.25</v>
      </c>
      <c r="Z166" s="190">
        <v>28.07</v>
      </c>
      <c r="AA166" s="190">
        <v>7.51</v>
      </c>
      <c r="AB166" s="184">
        <f>'[2]شامل الضريبة2017 (5)'!N1221</f>
        <v>1.7</v>
      </c>
      <c r="AC166" s="199" t="s">
        <v>350</v>
      </c>
    </row>
    <row r="167" spans="1:29" s="188" customFormat="1" ht="18.75" thickBot="1" x14ac:dyDescent="0.3">
      <c r="A167" s="186">
        <v>82</v>
      </c>
      <c r="B167" s="187">
        <v>28708232500181</v>
      </c>
      <c r="C167" s="170" t="s">
        <v>215</v>
      </c>
      <c r="D167" s="177">
        <v>671.14</v>
      </c>
      <c r="E167" s="177"/>
      <c r="F167" s="177">
        <v>3.34</v>
      </c>
      <c r="G167" s="177"/>
      <c r="H167" s="172">
        <v>50</v>
      </c>
      <c r="I167" s="177"/>
      <c r="J167" s="173">
        <v>213.02</v>
      </c>
      <c r="K167" s="177"/>
      <c r="L167" s="177"/>
      <c r="M167" s="181"/>
      <c r="N167" s="181"/>
      <c r="O167" s="175">
        <f t="shared" si="4"/>
        <v>263.02</v>
      </c>
      <c r="P167" s="182">
        <f>'[2]شامل الضريبة2017 (5)'!C1341</f>
        <v>2266.37</v>
      </c>
      <c r="Q167" s="177"/>
      <c r="R167" s="177">
        <v>255</v>
      </c>
      <c r="S167" s="165">
        <v>24072.710000000003</v>
      </c>
      <c r="T167" s="183"/>
      <c r="U167" s="177"/>
      <c r="V167" s="166">
        <f t="shared" si="5"/>
        <v>0</v>
      </c>
      <c r="W167" s="177">
        <v>6.45</v>
      </c>
      <c r="X167" s="177">
        <v>4.4000000000000004</v>
      </c>
      <c r="Y167" s="184">
        <f>'[2]شامل الضريبة2017 (5)'!M1341</f>
        <v>10.749999999999998</v>
      </c>
      <c r="Z167" s="177"/>
      <c r="AA167" s="177"/>
      <c r="AB167" s="184">
        <f>'[2]شامل الضريبة2017 (5)'!N1341</f>
        <v>49.52</v>
      </c>
      <c r="AC167" s="178" t="s">
        <v>303</v>
      </c>
    </row>
    <row r="168" spans="1:29" s="188" customFormat="1" ht="18.75" thickBot="1" x14ac:dyDescent="0.3">
      <c r="A168" s="179">
        <v>83</v>
      </c>
      <c r="B168" s="187">
        <v>28309202500125</v>
      </c>
      <c r="C168" s="170" t="s">
        <v>216</v>
      </c>
      <c r="D168" s="177">
        <v>1145.97</v>
      </c>
      <c r="E168" s="177">
        <v>15.97</v>
      </c>
      <c r="F168" s="177">
        <v>5.7</v>
      </c>
      <c r="G168" s="177"/>
      <c r="H168" s="172">
        <v>50</v>
      </c>
      <c r="I168" s="177"/>
      <c r="J168" s="173"/>
      <c r="K168" s="177"/>
      <c r="L168" s="177"/>
      <c r="M168" s="181"/>
      <c r="N168" s="181"/>
      <c r="O168" s="175">
        <f t="shared" si="4"/>
        <v>50</v>
      </c>
      <c r="P168" s="182">
        <f>'[2]شامل الضريبة2017 (5)'!C1357</f>
        <v>2331.75</v>
      </c>
      <c r="Q168" s="177"/>
      <c r="R168" s="177">
        <v>275</v>
      </c>
      <c r="S168" s="165">
        <v>15481.709999999995</v>
      </c>
      <c r="T168" s="183"/>
      <c r="U168" s="177"/>
      <c r="V168" s="166">
        <f t="shared" si="5"/>
        <v>0</v>
      </c>
      <c r="W168" s="177">
        <v>7.8</v>
      </c>
      <c r="X168" s="177">
        <v>8.8000000000000007</v>
      </c>
      <c r="Y168" s="184">
        <f>'[2]شامل الضريبة2017 (5)'!M1357</f>
        <v>10.4</v>
      </c>
      <c r="Z168" s="177"/>
      <c r="AA168" s="177">
        <v>0.59</v>
      </c>
      <c r="AB168" s="184">
        <f>'[2]شامل الضريبة2017 (5)'!N1357</f>
        <v>86.810000000000031</v>
      </c>
      <c r="AC168" s="178" t="s">
        <v>350</v>
      </c>
    </row>
    <row r="169" spans="1:29" s="188" customFormat="1" ht="18.75" thickBot="1" x14ac:dyDescent="0.3">
      <c r="A169" s="186">
        <v>84</v>
      </c>
      <c r="B169" s="187">
        <v>28204210100288</v>
      </c>
      <c r="C169" s="170" t="s">
        <v>217</v>
      </c>
      <c r="D169" s="177">
        <v>1159.31</v>
      </c>
      <c r="E169" s="177"/>
      <c r="F169" s="177">
        <v>5.51</v>
      </c>
      <c r="G169" s="177"/>
      <c r="H169" s="172"/>
      <c r="I169" s="177"/>
      <c r="J169" s="173"/>
      <c r="K169" s="177"/>
      <c r="L169" s="177"/>
      <c r="M169" s="181"/>
      <c r="N169" s="181"/>
      <c r="O169" s="202"/>
      <c r="P169" s="182">
        <f>'[2]شامل الضريبة2017 (5)'!C1371</f>
        <v>1878.21</v>
      </c>
      <c r="Q169" s="177"/>
      <c r="R169" s="177">
        <v>263</v>
      </c>
      <c r="S169" s="165">
        <v>13919.679999999998</v>
      </c>
      <c r="T169" s="183"/>
      <c r="U169" s="177"/>
      <c r="V169" s="166">
        <f t="shared" si="5"/>
        <v>0</v>
      </c>
      <c r="W169" s="177"/>
      <c r="X169" s="177">
        <v>8.4</v>
      </c>
      <c r="Y169" s="184">
        <f>'[2]شامل الضريبة2017 (5)'!M1371</f>
        <v>7.9</v>
      </c>
      <c r="Z169" s="177"/>
      <c r="AA169" s="177"/>
      <c r="AB169" s="184">
        <f>'[2]شامل الضريبة2017 (5)'!N1371</f>
        <v>57.83</v>
      </c>
      <c r="AC169" s="178" t="s">
        <v>303</v>
      </c>
    </row>
    <row r="170" spans="1:29" s="188" customFormat="1" ht="18.75" thickBot="1" x14ac:dyDescent="0.3">
      <c r="A170" s="186">
        <v>85</v>
      </c>
      <c r="B170" s="187">
        <v>28707172500121</v>
      </c>
      <c r="C170" s="170" t="s">
        <v>218</v>
      </c>
      <c r="D170" s="177">
        <v>1096.17</v>
      </c>
      <c r="E170" s="177"/>
      <c r="F170" s="177">
        <v>5.47</v>
      </c>
      <c r="G170" s="177"/>
      <c r="H170" s="172">
        <v>50</v>
      </c>
      <c r="I170" s="177"/>
      <c r="J170" s="173">
        <v>221.37</v>
      </c>
      <c r="K170" s="177"/>
      <c r="L170" s="177"/>
      <c r="M170" s="181"/>
      <c r="N170" s="181"/>
      <c r="O170" s="175">
        <f t="shared" ref="O170:O233" si="6">SUM(H170:N170)</f>
        <v>271.37</v>
      </c>
      <c r="P170" s="182">
        <f>'[2]شامل الضريبة2017 (5)'!C1383</f>
        <v>1846.2</v>
      </c>
      <c r="Q170" s="177"/>
      <c r="R170" s="177">
        <v>260</v>
      </c>
      <c r="S170" s="165">
        <v>14177.03</v>
      </c>
      <c r="T170" s="183"/>
      <c r="U170" s="177"/>
      <c r="V170" s="166">
        <f t="shared" si="5"/>
        <v>0</v>
      </c>
      <c r="W170" s="177">
        <v>7.35</v>
      </c>
      <c r="X170" s="177">
        <v>8.3000000000000007</v>
      </c>
      <c r="Y170" s="184">
        <f>'[2]شامل الضريبة2017 (5)'!M1383</f>
        <v>8.4999999999999982</v>
      </c>
      <c r="Z170" s="177"/>
      <c r="AA170" s="177"/>
      <c r="AB170" s="184">
        <f>'[2]شامل الضريبة2017 (5)'!N1383</f>
        <v>55.750000000000007</v>
      </c>
      <c r="AC170" s="178" t="s">
        <v>303</v>
      </c>
    </row>
    <row r="171" spans="1:29" s="188" customFormat="1" ht="18.75" thickBot="1" x14ac:dyDescent="0.3">
      <c r="A171" s="179">
        <v>86</v>
      </c>
      <c r="B171" s="187">
        <v>28610012513826</v>
      </c>
      <c r="C171" s="170" t="s">
        <v>273</v>
      </c>
      <c r="D171" s="177">
        <v>1096.17</v>
      </c>
      <c r="E171" s="177"/>
      <c r="F171" s="177">
        <v>5.47</v>
      </c>
      <c r="G171" s="177"/>
      <c r="H171" s="172">
        <v>50</v>
      </c>
      <c r="I171" s="177"/>
      <c r="J171" s="173"/>
      <c r="K171" s="177"/>
      <c r="L171" s="177"/>
      <c r="M171" s="181"/>
      <c r="N171" s="181"/>
      <c r="O171" s="175">
        <f t="shared" si="6"/>
        <v>50</v>
      </c>
      <c r="P171" s="182">
        <f>'[2]شامل الضريبة2017 (5)'!C1397</f>
        <v>2196.1999999999998</v>
      </c>
      <c r="Q171" s="177"/>
      <c r="R171" s="177">
        <v>260</v>
      </c>
      <c r="S171" s="165">
        <v>13300.84</v>
      </c>
      <c r="T171" s="183"/>
      <c r="U171" s="177"/>
      <c r="V171" s="166">
        <f t="shared" si="5"/>
        <v>0</v>
      </c>
      <c r="W171" s="177">
        <v>7.35</v>
      </c>
      <c r="X171" s="177">
        <v>8.3000000000000007</v>
      </c>
      <c r="Y171" s="184">
        <f>'[2]شامل الضريبة2017 (5)'!M1397</f>
        <v>10.149999999999999</v>
      </c>
      <c r="Z171" s="177"/>
      <c r="AA171" s="177"/>
      <c r="AB171" s="184">
        <f>'[2]شامل الضريبة2017 (5)'!N1397</f>
        <v>78.83</v>
      </c>
      <c r="AC171" s="178" t="s">
        <v>303</v>
      </c>
    </row>
    <row r="172" spans="1:29" s="188" customFormat="1" ht="18.75" thickBot="1" x14ac:dyDescent="0.3">
      <c r="A172" s="186">
        <v>87</v>
      </c>
      <c r="B172" s="187">
        <v>27601152500187</v>
      </c>
      <c r="C172" s="170" t="s">
        <v>390</v>
      </c>
      <c r="D172" s="177">
        <v>1174.6199999999999</v>
      </c>
      <c r="E172" s="177"/>
      <c r="F172" s="177">
        <v>5.71</v>
      </c>
      <c r="G172" s="177"/>
      <c r="H172" s="172">
        <v>50</v>
      </c>
      <c r="I172" s="177"/>
      <c r="J172" s="173"/>
      <c r="K172" s="177"/>
      <c r="L172" s="177"/>
      <c r="M172" s="181"/>
      <c r="N172" s="181"/>
      <c r="O172" s="175">
        <f t="shared" si="6"/>
        <v>50</v>
      </c>
      <c r="P172" s="182">
        <f>'[2]شامل الضريبة2017 (5)'!C1413</f>
        <v>2310.27</v>
      </c>
      <c r="Q172" s="177"/>
      <c r="R172" s="177">
        <v>271</v>
      </c>
      <c r="S172" s="165">
        <v>16084.73</v>
      </c>
      <c r="T172" s="183">
        <v>21</v>
      </c>
      <c r="U172" s="177"/>
      <c r="V172" s="166">
        <f t="shared" si="5"/>
        <v>21</v>
      </c>
      <c r="W172" s="177">
        <v>7.95</v>
      </c>
      <c r="X172" s="177">
        <v>8.8000000000000007</v>
      </c>
      <c r="Y172" s="184">
        <f>'[2]شامل الضريبة2017 (5)'!M1413</f>
        <v>10.25</v>
      </c>
      <c r="Z172" s="177"/>
      <c r="AA172" s="177">
        <v>0.61</v>
      </c>
      <c r="AB172" s="184">
        <f>'[2]شامل الضريبة2017 (5)'!N1413</f>
        <v>83.139999999999986</v>
      </c>
      <c r="AC172" s="178" t="s">
        <v>350</v>
      </c>
    </row>
    <row r="173" spans="1:29" s="188" customFormat="1" ht="18.75" thickBot="1" x14ac:dyDescent="0.3">
      <c r="A173" s="186">
        <v>88</v>
      </c>
      <c r="B173" s="187">
        <v>28703202500168</v>
      </c>
      <c r="C173" s="170" t="s">
        <v>219</v>
      </c>
      <c r="D173" s="177">
        <v>1096.17</v>
      </c>
      <c r="E173" s="177"/>
      <c r="F173" s="177">
        <v>5.47</v>
      </c>
      <c r="G173" s="177"/>
      <c r="H173" s="172">
        <v>50</v>
      </c>
      <c r="I173" s="177"/>
      <c r="J173" s="173">
        <v>221.37</v>
      </c>
      <c r="K173" s="177"/>
      <c r="L173" s="177"/>
      <c r="M173" s="181"/>
      <c r="N173" s="181"/>
      <c r="O173" s="175">
        <f t="shared" si="6"/>
        <v>271.37</v>
      </c>
      <c r="P173" s="182">
        <f>'[2]شامل الضريبة2017 (5)'!C1429</f>
        <v>2206.1999999999998</v>
      </c>
      <c r="Q173" s="177"/>
      <c r="R173" s="177">
        <v>260</v>
      </c>
      <c r="S173" s="165">
        <v>14452.03</v>
      </c>
      <c r="T173" s="183"/>
      <c r="U173" s="177"/>
      <c r="V173" s="166">
        <f t="shared" si="5"/>
        <v>0</v>
      </c>
      <c r="W173" s="177">
        <v>7.35</v>
      </c>
      <c r="X173" s="177">
        <v>8.3000000000000007</v>
      </c>
      <c r="Y173" s="184">
        <f>'[2]شامل الضريبة2017 (5)'!M1429</f>
        <v>9.4999999999999982</v>
      </c>
      <c r="Z173" s="177"/>
      <c r="AA173" s="177"/>
      <c r="AB173" s="184">
        <f>'[2]شامل الضريبة2017 (5)'!N1429</f>
        <v>58.68</v>
      </c>
      <c r="AC173" s="178" t="s">
        <v>303</v>
      </c>
    </row>
    <row r="174" spans="1:29" ht="18.75" hidden="1" thickBot="1" x14ac:dyDescent="0.3">
      <c r="A174" s="155">
        <v>172</v>
      </c>
      <c r="B174" s="169">
        <v>28505042500224</v>
      </c>
      <c r="C174" s="189" t="s">
        <v>391</v>
      </c>
      <c r="D174" s="190">
        <v>1109.45</v>
      </c>
      <c r="E174" s="190"/>
      <c r="F174" s="190">
        <v>5.51</v>
      </c>
      <c r="G174" s="190"/>
      <c r="H174" s="192">
        <v>50</v>
      </c>
      <c r="I174" s="190"/>
      <c r="J174" s="193"/>
      <c r="K174" s="191"/>
      <c r="L174" s="190"/>
      <c r="M174" s="194"/>
      <c r="N174" s="195"/>
      <c r="O174" s="175">
        <f t="shared" si="6"/>
        <v>50</v>
      </c>
      <c r="P174" s="196"/>
      <c r="Q174" s="191"/>
      <c r="R174" s="190">
        <v>263</v>
      </c>
      <c r="S174" s="197">
        <v>14659.160000000003</v>
      </c>
      <c r="T174" s="198"/>
      <c r="U174" s="190"/>
      <c r="V174" s="166">
        <f t="shared" si="5"/>
        <v>0</v>
      </c>
      <c r="W174" s="190">
        <v>7.45</v>
      </c>
      <c r="X174" s="190">
        <v>8.4</v>
      </c>
      <c r="Y174" s="184">
        <f>'[2]شامل الضريبة2017 (5)'!M294</f>
        <v>0.25</v>
      </c>
      <c r="Z174" s="190"/>
      <c r="AA174" s="190"/>
      <c r="AB174" s="184" t="e">
        <f>'[2]شامل الضريبة2017 (5)'!N294</f>
        <v>#REF!</v>
      </c>
      <c r="AC174" s="199" t="s">
        <v>350</v>
      </c>
    </row>
    <row r="175" spans="1:29" ht="18.75" hidden="1" thickBot="1" x14ac:dyDescent="0.3">
      <c r="A175" s="168">
        <v>173</v>
      </c>
      <c r="B175" s="169">
        <v>26810012701225</v>
      </c>
      <c r="C175" s="189" t="s">
        <v>392</v>
      </c>
      <c r="D175" s="190">
        <v>1639.31</v>
      </c>
      <c r="E175" s="190">
        <v>289.19</v>
      </c>
      <c r="F175" s="190">
        <v>71.67</v>
      </c>
      <c r="G175" s="190"/>
      <c r="H175" s="192">
        <v>150</v>
      </c>
      <c r="I175" s="190"/>
      <c r="J175" s="193"/>
      <c r="K175" s="191"/>
      <c r="L175" s="190"/>
      <c r="M175" s="194"/>
      <c r="N175" s="195"/>
      <c r="O175" s="175">
        <f t="shared" si="6"/>
        <v>150</v>
      </c>
      <c r="P175" s="196"/>
      <c r="Q175" s="191"/>
      <c r="R175" s="190">
        <v>467.07</v>
      </c>
      <c r="S175" s="197">
        <v>26701.960000000003</v>
      </c>
      <c r="T175" s="198"/>
      <c r="U175" s="190"/>
      <c r="V175" s="166">
        <f t="shared" si="5"/>
        <v>0</v>
      </c>
      <c r="W175" s="190">
        <v>14.1</v>
      </c>
      <c r="X175" s="190">
        <v>15.5</v>
      </c>
      <c r="Y175" s="184">
        <f>'[2]شامل الضريبة2017 (5)'!M295</f>
        <v>0.25</v>
      </c>
      <c r="Z175" s="190">
        <v>78.88</v>
      </c>
      <c r="AA175" s="190">
        <v>18.28</v>
      </c>
      <c r="AB175" s="184" t="e">
        <f>'[2]شامل الضريبة2017 (5)'!N295</f>
        <v>#REF!</v>
      </c>
      <c r="AC175" s="199" t="s">
        <v>350</v>
      </c>
    </row>
    <row r="176" spans="1:29" ht="18.75" hidden="1" thickBot="1" x14ac:dyDescent="0.3">
      <c r="A176" s="168">
        <v>176</v>
      </c>
      <c r="B176" s="169">
        <v>27809202501643</v>
      </c>
      <c r="C176" s="189" t="s">
        <v>393</v>
      </c>
      <c r="D176" s="190">
        <v>1535.61</v>
      </c>
      <c r="E176" s="190">
        <v>176.45</v>
      </c>
      <c r="F176" s="190">
        <v>52.9</v>
      </c>
      <c r="G176" s="191"/>
      <c r="H176" s="192">
        <v>100</v>
      </c>
      <c r="I176" s="190"/>
      <c r="J176" s="193"/>
      <c r="K176" s="191"/>
      <c r="L176" s="190"/>
      <c r="M176" s="194"/>
      <c r="N176" s="195"/>
      <c r="O176" s="175">
        <f t="shared" si="6"/>
        <v>100</v>
      </c>
      <c r="P176" s="196"/>
      <c r="Q176" s="191"/>
      <c r="R176" s="190">
        <v>409.81</v>
      </c>
      <c r="S176" s="197">
        <v>22180.039999999997</v>
      </c>
      <c r="T176" s="198"/>
      <c r="U176" s="190"/>
      <c r="V176" s="166">
        <f t="shared" si="5"/>
        <v>0</v>
      </c>
      <c r="W176" s="190">
        <v>12.15</v>
      </c>
      <c r="X176" s="190">
        <v>13.45</v>
      </c>
      <c r="Y176" s="184">
        <f>'[2]شامل الضريبة2017 (5)'!M296</f>
        <v>0.25</v>
      </c>
      <c r="Z176" s="190">
        <v>53.21</v>
      </c>
      <c r="AA176" s="190">
        <v>12.94</v>
      </c>
      <c r="AB176" s="184">
        <f>'[2]شامل الضريبة2017 (5)'!N296</f>
        <v>8.08</v>
      </c>
      <c r="AC176" s="199" t="s">
        <v>350</v>
      </c>
    </row>
    <row r="177" spans="1:29" ht="18.75" hidden="1" thickBot="1" x14ac:dyDescent="0.3">
      <c r="A177" s="155">
        <v>175</v>
      </c>
      <c r="B177" s="169">
        <v>27510292500181</v>
      </c>
      <c r="C177" s="189" t="s">
        <v>394</v>
      </c>
      <c r="D177" s="190">
        <v>1357.24</v>
      </c>
      <c r="E177" s="190">
        <v>160.38</v>
      </c>
      <c r="F177" s="190">
        <v>33.68</v>
      </c>
      <c r="G177" s="190"/>
      <c r="H177" s="192">
        <v>145</v>
      </c>
      <c r="I177" s="190"/>
      <c r="J177" s="193"/>
      <c r="K177" s="191"/>
      <c r="L177" s="190"/>
      <c r="M177" s="194"/>
      <c r="N177" s="195"/>
      <c r="O177" s="175">
        <f t="shared" si="6"/>
        <v>145</v>
      </c>
      <c r="P177" s="196"/>
      <c r="Q177" s="191"/>
      <c r="R177" s="190">
        <v>365.64</v>
      </c>
      <c r="S177" s="197">
        <v>20120.27</v>
      </c>
      <c r="T177" s="198">
        <v>5.89</v>
      </c>
      <c r="U177" s="190"/>
      <c r="V177" s="166">
        <f t="shared" si="5"/>
        <v>5.89</v>
      </c>
      <c r="W177" s="190">
        <v>11.05</v>
      </c>
      <c r="X177" s="190">
        <v>12.2</v>
      </c>
      <c r="Y177" s="184">
        <f>'[2]شامل الضريبة2017 (5)'!M297</f>
        <v>1.95</v>
      </c>
      <c r="Z177" s="190">
        <v>38.19</v>
      </c>
      <c r="AA177" s="190">
        <v>9.5299999999999994</v>
      </c>
      <c r="AB177" s="184">
        <f>'[2]شامل الضريبة2017 (5)'!N297</f>
        <v>13.95</v>
      </c>
      <c r="AC177" s="199" t="s">
        <v>350</v>
      </c>
    </row>
    <row r="178" spans="1:29" s="188" customFormat="1" ht="18.75" thickBot="1" x14ac:dyDescent="0.3">
      <c r="A178" s="186">
        <v>89</v>
      </c>
      <c r="B178" s="187">
        <v>28607202503745</v>
      </c>
      <c r="C178" s="170" t="s">
        <v>220</v>
      </c>
      <c r="D178" s="177">
        <v>1096.17</v>
      </c>
      <c r="E178" s="177"/>
      <c r="F178" s="177">
        <v>5.47</v>
      </c>
      <c r="G178" s="177"/>
      <c r="H178" s="172">
        <v>50</v>
      </c>
      <c r="I178" s="177"/>
      <c r="J178" s="173">
        <v>221.37</v>
      </c>
      <c r="K178" s="177"/>
      <c r="L178" s="177"/>
      <c r="M178" s="181"/>
      <c r="N178" s="181"/>
      <c r="O178" s="175">
        <f t="shared" si="6"/>
        <v>271.37</v>
      </c>
      <c r="P178" s="182">
        <f>'[2]شامل الضريبة2017 (5)'!C1443</f>
        <v>2006.2</v>
      </c>
      <c r="Q178" s="177"/>
      <c r="R178" s="177">
        <v>260</v>
      </c>
      <c r="S178" s="165">
        <v>13485.84</v>
      </c>
      <c r="T178" s="183"/>
      <c r="U178" s="177"/>
      <c r="V178" s="166">
        <f t="shared" si="5"/>
        <v>0</v>
      </c>
      <c r="W178" s="177">
        <v>7.35</v>
      </c>
      <c r="X178" s="177">
        <v>8.3000000000000007</v>
      </c>
      <c r="Y178" s="184">
        <f>'[2]شامل الضريبة2017 (5)'!M1443</f>
        <v>8.8999999999999986</v>
      </c>
      <c r="Z178" s="177"/>
      <c r="AA178" s="177"/>
      <c r="AB178" s="184">
        <f>'[2]شامل الضريبة2017 (5)'!N1443</f>
        <v>60.680000000000007</v>
      </c>
      <c r="AC178" s="178" t="s">
        <v>303</v>
      </c>
    </row>
    <row r="179" spans="1:29" ht="18.75" hidden="1" thickBot="1" x14ac:dyDescent="0.3">
      <c r="A179" s="168">
        <v>1</v>
      </c>
      <c r="B179" s="203"/>
      <c r="C179" s="189" t="s">
        <v>395</v>
      </c>
      <c r="D179" s="204">
        <v>1115.5899999999999</v>
      </c>
      <c r="E179" s="204"/>
      <c r="F179" s="204">
        <v>5.35</v>
      </c>
      <c r="G179" s="205"/>
      <c r="H179" s="192">
        <v>95</v>
      </c>
      <c r="I179" s="205"/>
      <c r="J179" s="193"/>
      <c r="K179" s="205"/>
      <c r="L179" s="204"/>
      <c r="M179" s="206"/>
      <c r="N179" s="207"/>
      <c r="O179" s="175">
        <f t="shared" si="6"/>
        <v>95</v>
      </c>
      <c r="P179" s="208"/>
      <c r="Q179" s="205"/>
      <c r="R179" s="190">
        <v>236.5</v>
      </c>
      <c r="S179" s="197">
        <v>14787.35</v>
      </c>
      <c r="T179" s="209"/>
      <c r="U179" s="205"/>
      <c r="V179" s="166">
        <f t="shared" si="5"/>
        <v>0</v>
      </c>
      <c r="W179" s="204">
        <v>6.65</v>
      </c>
      <c r="X179" s="204">
        <v>8.3000000000000007</v>
      </c>
      <c r="Y179" s="205"/>
      <c r="Z179" s="204"/>
      <c r="AA179" s="204"/>
      <c r="AB179" s="205"/>
      <c r="AC179" s="199" t="s">
        <v>396</v>
      </c>
    </row>
    <row r="180" spans="1:29" ht="18.75" hidden="1" thickBot="1" x14ac:dyDescent="0.3">
      <c r="A180" s="155">
        <v>2</v>
      </c>
      <c r="B180" s="210"/>
      <c r="C180" s="189" t="s">
        <v>397</v>
      </c>
      <c r="D180" s="204">
        <v>1177.24</v>
      </c>
      <c r="E180" s="204"/>
      <c r="F180" s="204">
        <v>6.07</v>
      </c>
      <c r="G180" s="205"/>
      <c r="H180" s="192">
        <v>100</v>
      </c>
      <c r="I180" s="205"/>
      <c r="J180" s="193"/>
      <c r="K180" s="205"/>
      <c r="L180" s="204"/>
      <c r="M180" s="206"/>
      <c r="N180" s="207"/>
      <c r="O180" s="175">
        <f t="shared" si="6"/>
        <v>100</v>
      </c>
      <c r="P180" s="208"/>
      <c r="Q180" s="205"/>
      <c r="R180" s="190">
        <v>264.5</v>
      </c>
      <c r="S180" s="197">
        <v>15443.3</v>
      </c>
      <c r="T180" s="209"/>
      <c r="U180" s="205"/>
      <c r="V180" s="166">
        <f t="shared" si="5"/>
        <v>0</v>
      </c>
      <c r="W180" s="204">
        <v>7.95</v>
      </c>
      <c r="X180" s="204">
        <v>9.3000000000000007</v>
      </c>
      <c r="Y180" s="205"/>
      <c r="Z180" s="204"/>
      <c r="AA180" s="204">
        <v>1.9</v>
      </c>
      <c r="AB180" s="205"/>
      <c r="AC180" s="199" t="s">
        <v>396</v>
      </c>
    </row>
    <row r="181" spans="1:29" ht="18.75" hidden="1" thickBot="1" x14ac:dyDescent="0.3">
      <c r="A181" s="168">
        <v>3</v>
      </c>
      <c r="B181" s="203"/>
      <c r="C181" s="189" t="s">
        <v>398</v>
      </c>
      <c r="D181" s="204">
        <v>1109.46</v>
      </c>
      <c r="E181" s="204"/>
      <c r="F181" s="204">
        <v>5.33</v>
      </c>
      <c r="G181" s="205"/>
      <c r="H181" s="192">
        <v>50</v>
      </c>
      <c r="I181" s="205"/>
      <c r="J181" s="193">
        <v>186.99</v>
      </c>
      <c r="K181" s="205"/>
      <c r="L181" s="204"/>
      <c r="M181" s="206"/>
      <c r="N181" s="207"/>
      <c r="O181" s="175">
        <f t="shared" si="6"/>
        <v>236.99</v>
      </c>
      <c r="P181" s="208"/>
      <c r="Q181" s="205"/>
      <c r="R181" s="190">
        <v>234.5</v>
      </c>
      <c r="S181" s="197">
        <v>29160.000000000004</v>
      </c>
      <c r="T181" s="209">
        <v>8</v>
      </c>
      <c r="U181" s="205"/>
      <c r="V181" s="166">
        <f t="shared" si="5"/>
        <v>8</v>
      </c>
      <c r="W181" s="204">
        <v>6.65</v>
      </c>
      <c r="X181" s="204">
        <v>9.6</v>
      </c>
      <c r="Y181" s="205"/>
      <c r="Z181" s="204"/>
      <c r="AA181" s="204">
        <v>2.7</v>
      </c>
      <c r="AB181" s="205"/>
      <c r="AC181" s="199" t="s">
        <v>396</v>
      </c>
    </row>
    <row r="182" spans="1:29" ht="18.75" hidden="1" thickBot="1" x14ac:dyDescent="0.3">
      <c r="A182" s="155">
        <v>4</v>
      </c>
      <c r="B182" s="210"/>
      <c r="C182" s="189" t="s">
        <v>399</v>
      </c>
      <c r="D182" s="204">
        <v>1040.56</v>
      </c>
      <c r="E182" s="204"/>
      <c r="F182" s="204">
        <v>5.65</v>
      </c>
      <c r="G182" s="205"/>
      <c r="H182" s="192">
        <v>100</v>
      </c>
      <c r="I182" s="205"/>
      <c r="J182" s="193"/>
      <c r="K182" s="205"/>
      <c r="L182" s="204"/>
      <c r="M182" s="206"/>
      <c r="N182" s="207"/>
      <c r="O182" s="175">
        <f t="shared" si="6"/>
        <v>100</v>
      </c>
      <c r="P182" s="208"/>
      <c r="Q182" s="205"/>
      <c r="R182" s="190">
        <v>220.5</v>
      </c>
      <c r="S182" s="197">
        <v>13752.29</v>
      </c>
      <c r="T182" s="209"/>
      <c r="U182" s="205"/>
      <c r="V182" s="166">
        <f t="shared" si="5"/>
        <v>0</v>
      </c>
      <c r="W182" s="204">
        <v>6.55</v>
      </c>
      <c r="X182" s="204">
        <v>8.25</v>
      </c>
      <c r="Y182" s="205"/>
      <c r="Z182" s="204"/>
      <c r="AA182" s="204"/>
      <c r="AB182" s="205"/>
      <c r="AC182" s="199" t="s">
        <v>396</v>
      </c>
    </row>
    <row r="183" spans="1:29" ht="18.75" hidden="1" thickBot="1" x14ac:dyDescent="0.3">
      <c r="A183" s="168">
        <v>5</v>
      </c>
      <c r="B183" s="203"/>
      <c r="C183" s="189" t="s">
        <v>400</v>
      </c>
      <c r="D183" s="204">
        <v>1341.36</v>
      </c>
      <c r="E183" s="204">
        <v>79.78</v>
      </c>
      <c r="F183" s="204">
        <v>19.86</v>
      </c>
      <c r="G183" s="205"/>
      <c r="H183" s="192">
        <v>140</v>
      </c>
      <c r="I183" s="205"/>
      <c r="J183" s="193"/>
      <c r="K183" s="205"/>
      <c r="L183" s="204"/>
      <c r="M183" s="206"/>
      <c r="N183" s="207"/>
      <c r="O183" s="175">
        <f t="shared" si="6"/>
        <v>140</v>
      </c>
      <c r="P183" s="208"/>
      <c r="Q183" s="205"/>
      <c r="R183" s="190">
        <v>330.53</v>
      </c>
      <c r="S183" s="197">
        <v>18935.8</v>
      </c>
      <c r="T183" s="209"/>
      <c r="U183" s="205"/>
      <c r="V183" s="166">
        <f t="shared" si="5"/>
        <v>0</v>
      </c>
      <c r="W183" s="204">
        <v>9.9499999999999993</v>
      </c>
      <c r="X183" s="204">
        <v>11.45</v>
      </c>
      <c r="Y183" s="205"/>
      <c r="Z183" s="204">
        <v>23.87</v>
      </c>
      <c r="AA183" s="204">
        <v>7.6</v>
      </c>
      <c r="AB183" s="205"/>
      <c r="AC183" s="199" t="s">
        <v>396</v>
      </c>
    </row>
    <row r="184" spans="1:29" ht="18.75" hidden="1" thickBot="1" x14ac:dyDescent="0.3">
      <c r="A184" s="155">
        <v>6</v>
      </c>
      <c r="B184" s="211"/>
      <c r="C184" s="212" t="s">
        <v>401</v>
      </c>
      <c r="D184" s="213">
        <v>1074.5999999999999</v>
      </c>
      <c r="E184" s="213"/>
      <c r="F184" s="213">
        <v>5.84</v>
      </c>
      <c r="G184" s="214"/>
      <c r="H184" s="215">
        <v>145</v>
      </c>
      <c r="I184" s="214"/>
      <c r="J184" s="216">
        <v>93.16</v>
      </c>
      <c r="K184" s="214"/>
      <c r="L184" s="213"/>
      <c r="M184" s="217"/>
      <c r="N184" s="218"/>
      <c r="O184" s="219">
        <f t="shared" si="6"/>
        <v>238.16</v>
      </c>
      <c r="P184" s="220"/>
      <c r="Q184" s="214"/>
      <c r="R184" s="221">
        <v>222.5</v>
      </c>
      <c r="S184" s="197">
        <v>13361.079999999998</v>
      </c>
      <c r="T184" s="222"/>
      <c r="U184" s="214"/>
      <c r="V184" s="166">
        <f t="shared" si="5"/>
        <v>0</v>
      </c>
      <c r="W184" s="213">
        <v>7.25</v>
      </c>
      <c r="X184" s="213">
        <v>9.5</v>
      </c>
      <c r="Y184" s="214"/>
      <c r="Z184" s="213"/>
      <c r="AA184" s="213">
        <v>2.4</v>
      </c>
      <c r="AB184" s="214"/>
      <c r="AC184" s="223" t="s">
        <v>396</v>
      </c>
    </row>
    <row r="185" spans="1:29" ht="18.75" hidden="1" thickBot="1" x14ac:dyDescent="0.3">
      <c r="A185" s="168">
        <v>7</v>
      </c>
      <c r="B185" s="203"/>
      <c r="C185" s="189" t="s">
        <v>402</v>
      </c>
      <c r="D185" s="204">
        <v>1014.91</v>
      </c>
      <c r="E185" s="204"/>
      <c r="F185" s="204">
        <v>5.49</v>
      </c>
      <c r="G185" s="205"/>
      <c r="H185" s="192">
        <v>95</v>
      </c>
      <c r="I185" s="205"/>
      <c r="J185" s="193"/>
      <c r="K185" s="205"/>
      <c r="L185" s="204"/>
      <c r="M185" s="204"/>
      <c r="N185" s="205"/>
      <c r="O185" s="184">
        <f t="shared" si="6"/>
        <v>95</v>
      </c>
      <c r="P185" s="205"/>
      <c r="Q185" s="205"/>
      <c r="R185" s="190">
        <v>220.5</v>
      </c>
      <c r="S185" s="197">
        <v>13623.65</v>
      </c>
      <c r="T185" s="204"/>
      <c r="U185" s="205"/>
      <c r="V185" s="166">
        <f t="shared" si="5"/>
        <v>0</v>
      </c>
      <c r="W185" s="204">
        <v>6.2</v>
      </c>
      <c r="X185" s="204">
        <v>8.0500000000000007</v>
      </c>
      <c r="Y185" s="205"/>
      <c r="Z185" s="204"/>
      <c r="AA185" s="204"/>
      <c r="AB185" s="205"/>
      <c r="AC185" s="199" t="s">
        <v>396</v>
      </c>
    </row>
    <row r="186" spans="1:29" ht="18.75" hidden="1" thickBot="1" x14ac:dyDescent="0.3">
      <c r="A186" s="155">
        <v>8</v>
      </c>
      <c r="B186" s="210"/>
      <c r="C186" s="189" t="s">
        <v>403</v>
      </c>
      <c r="D186" s="204">
        <v>1398.6</v>
      </c>
      <c r="E186" s="204">
        <v>183.44</v>
      </c>
      <c r="F186" s="204">
        <v>40.43</v>
      </c>
      <c r="G186" s="204"/>
      <c r="H186" s="192">
        <v>145</v>
      </c>
      <c r="I186" s="204"/>
      <c r="J186" s="193"/>
      <c r="K186" s="204"/>
      <c r="L186" s="204"/>
      <c r="M186" s="204"/>
      <c r="N186" s="204"/>
      <c r="O186" s="184">
        <f t="shared" si="6"/>
        <v>145</v>
      </c>
      <c r="P186" s="204"/>
      <c r="Q186" s="204"/>
      <c r="R186" s="190">
        <v>380.66</v>
      </c>
      <c r="S186" s="197">
        <v>20868.29</v>
      </c>
      <c r="T186" s="204"/>
      <c r="U186" s="204"/>
      <c r="V186" s="166">
        <f t="shared" si="5"/>
        <v>0</v>
      </c>
      <c r="W186" s="204">
        <v>11.45</v>
      </c>
      <c r="X186" s="190">
        <v>12.65</v>
      </c>
      <c r="Y186" s="190"/>
      <c r="Z186" s="204">
        <v>43.8</v>
      </c>
      <c r="AA186" s="190">
        <v>10.72</v>
      </c>
      <c r="AB186" s="190"/>
      <c r="AC186" s="199" t="s">
        <v>404</v>
      </c>
    </row>
    <row r="187" spans="1:29" ht="18.75" hidden="1" thickBot="1" x14ac:dyDescent="0.3">
      <c r="A187" s="168">
        <v>9</v>
      </c>
      <c r="B187" s="203"/>
      <c r="C187" s="189" t="s">
        <v>405</v>
      </c>
      <c r="D187" s="204">
        <v>1015.95</v>
      </c>
      <c r="E187" s="204"/>
      <c r="F187" s="204">
        <v>5.16</v>
      </c>
      <c r="G187" s="205"/>
      <c r="H187" s="192">
        <v>145</v>
      </c>
      <c r="I187" s="205"/>
      <c r="J187" s="193">
        <v>185.9</v>
      </c>
      <c r="K187" s="205"/>
      <c r="L187" s="204"/>
      <c r="M187" s="204"/>
      <c r="N187" s="205"/>
      <c r="O187" s="184">
        <f t="shared" si="6"/>
        <v>330.9</v>
      </c>
      <c r="P187" s="205"/>
      <c r="Q187" s="205"/>
      <c r="R187" s="190">
        <v>230.5</v>
      </c>
      <c r="S187" s="197">
        <v>23644.170000000002</v>
      </c>
      <c r="T187" s="204"/>
      <c r="U187" s="205"/>
      <c r="V187" s="166">
        <f t="shared" si="5"/>
        <v>0</v>
      </c>
      <c r="W187" s="204">
        <v>7.55</v>
      </c>
      <c r="X187" s="204">
        <v>9.65</v>
      </c>
      <c r="Y187" s="205"/>
      <c r="Z187" s="204"/>
      <c r="AA187" s="204">
        <v>2.84</v>
      </c>
      <c r="AB187" s="205"/>
      <c r="AC187" s="199" t="s">
        <v>396</v>
      </c>
    </row>
    <row r="188" spans="1:29" ht="18.75" hidden="1" thickBot="1" x14ac:dyDescent="0.3">
      <c r="A188" s="155">
        <v>10</v>
      </c>
      <c r="B188" s="210"/>
      <c r="C188" s="189" t="s">
        <v>406</v>
      </c>
      <c r="D188" s="204">
        <v>1315.91</v>
      </c>
      <c r="E188" s="204">
        <v>82.75</v>
      </c>
      <c r="F188" s="204">
        <v>20.96</v>
      </c>
      <c r="G188" s="205"/>
      <c r="H188" s="192">
        <v>150</v>
      </c>
      <c r="I188" s="205"/>
      <c r="J188" s="193">
        <v>183</v>
      </c>
      <c r="K188" s="205"/>
      <c r="L188" s="204"/>
      <c r="M188" s="204"/>
      <c r="N188" s="205"/>
      <c r="O188" s="184">
        <f t="shared" si="6"/>
        <v>333</v>
      </c>
      <c r="P188" s="205"/>
      <c r="Q188" s="205"/>
      <c r="R188" s="190">
        <v>332.87</v>
      </c>
      <c r="S188" s="197">
        <v>19897.39</v>
      </c>
      <c r="T188" s="204"/>
      <c r="U188" s="205"/>
      <c r="V188" s="166">
        <f t="shared" si="5"/>
        <v>0</v>
      </c>
      <c r="W188" s="204">
        <v>10.25</v>
      </c>
      <c r="X188" s="204">
        <v>12.6</v>
      </c>
      <c r="Y188" s="205"/>
      <c r="Z188" s="204">
        <v>27.71</v>
      </c>
      <c r="AA188" s="204">
        <v>10.59</v>
      </c>
      <c r="AB188" s="205"/>
      <c r="AC188" s="199" t="s">
        <v>396</v>
      </c>
    </row>
    <row r="189" spans="1:29" ht="18.75" hidden="1" thickBot="1" x14ac:dyDescent="0.3">
      <c r="A189" s="168">
        <v>11</v>
      </c>
      <c r="B189" s="203"/>
      <c r="C189" s="189" t="s">
        <v>407</v>
      </c>
      <c r="D189" s="204">
        <v>941.6</v>
      </c>
      <c r="E189" s="204"/>
      <c r="F189" s="204">
        <v>5.31</v>
      </c>
      <c r="G189" s="205"/>
      <c r="H189" s="192">
        <v>100</v>
      </c>
      <c r="I189" s="205"/>
      <c r="J189" s="193"/>
      <c r="K189" s="205"/>
      <c r="L189" s="204"/>
      <c r="M189" s="204"/>
      <c r="N189" s="205"/>
      <c r="O189" s="184">
        <f t="shared" si="6"/>
        <v>100</v>
      </c>
      <c r="P189" s="205"/>
      <c r="Q189" s="205"/>
      <c r="R189" s="190">
        <v>214.5</v>
      </c>
      <c r="S189" s="197">
        <v>12522.910000000002</v>
      </c>
      <c r="T189" s="204"/>
      <c r="U189" s="205"/>
      <c r="V189" s="166">
        <f t="shared" si="5"/>
        <v>0</v>
      </c>
      <c r="W189" s="204">
        <v>5.9</v>
      </c>
      <c r="X189" s="204">
        <v>7.5</v>
      </c>
      <c r="Y189" s="205"/>
      <c r="Z189" s="204"/>
      <c r="AA189" s="204"/>
      <c r="AB189" s="205"/>
      <c r="AC189" s="199" t="s">
        <v>396</v>
      </c>
    </row>
    <row r="190" spans="1:29" ht="18.75" hidden="1" thickBot="1" x14ac:dyDescent="0.3">
      <c r="A190" s="155">
        <v>12</v>
      </c>
      <c r="B190" s="210"/>
      <c r="C190" s="189" t="s">
        <v>408</v>
      </c>
      <c r="D190" s="204">
        <v>1071.46</v>
      </c>
      <c r="E190" s="204"/>
      <c r="F190" s="204">
        <v>5.4</v>
      </c>
      <c r="G190" s="205"/>
      <c r="H190" s="192">
        <v>150</v>
      </c>
      <c r="I190" s="205"/>
      <c r="J190" s="193">
        <v>200</v>
      </c>
      <c r="K190" s="205"/>
      <c r="L190" s="204"/>
      <c r="M190" s="204"/>
      <c r="N190" s="205"/>
      <c r="O190" s="184">
        <f t="shared" si="6"/>
        <v>350</v>
      </c>
      <c r="P190" s="205"/>
      <c r="Q190" s="205"/>
      <c r="R190" s="190">
        <v>240.5</v>
      </c>
      <c r="S190" s="197">
        <v>24784.46</v>
      </c>
      <c r="T190" s="204">
        <v>4.54</v>
      </c>
      <c r="U190" s="205"/>
      <c r="V190" s="166">
        <f t="shared" si="5"/>
        <v>4.54</v>
      </c>
      <c r="W190" s="204">
        <v>7.95</v>
      </c>
      <c r="X190" s="204">
        <v>10.199999999999999</v>
      </c>
      <c r="Y190" s="205"/>
      <c r="Z190" s="204"/>
      <c r="AA190" s="204">
        <v>4.21</v>
      </c>
      <c r="AB190" s="205"/>
      <c r="AC190" s="199" t="s">
        <v>396</v>
      </c>
    </row>
    <row r="191" spans="1:29" ht="18.75" hidden="1" thickBot="1" x14ac:dyDescent="0.3">
      <c r="A191" s="168">
        <v>13</v>
      </c>
      <c r="B191" s="203"/>
      <c r="C191" s="189" t="s">
        <v>409</v>
      </c>
      <c r="D191" s="204">
        <v>1071.46</v>
      </c>
      <c r="E191" s="204"/>
      <c r="F191" s="204">
        <v>5.4</v>
      </c>
      <c r="G191" s="205"/>
      <c r="H191" s="192">
        <v>150</v>
      </c>
      <c r="I191" s="205"/>
      <c r="J191" s="193"/>
      <c r="K191" s="205"/>
      <c r="L191" s="204"/>
      <c r="M191" s="204"/>
      <c r="N191" s="205"/>
      <c r="O191" s="184">
        <f t="shared" si="6"/>
        <v>150</v>
      </c>
      <c r="P191" s="205"/>
      <c r="Q191" s="205"/>
      <c r="R191" s="190">
        <v>240.5</v>
      </c>
      <c r="S191" s="197">
        <v>14533.249999999998</v>
      </c>
      <c r="T191" s="204"/>
      <c r="U191" s="205"/>
      <c r="V191" s="166">
        <f t="shared" si="5"/>
        <v>0</v>
      </c>
      <c r="W191" s="204">
        <v>7.95</v>
      </c>
      <c r="X191" s="204">
        <v>8.9</v>
      </c>
      <c r="Y191" s="205"/>
      <c r="Z191" s="204"/>
      <c r="AA191" s="204">
        <v>0.77</v>
      </c>
      <c r="AB191" s="205"/>
      <c r="AC191" s="199" t="s">
        <v>396</v>
      </c>
    </row>
    <row r="192" spans="1:29" ht="18.75" hidden="1" thickBot="1" x14ac:dyDescent="0.3">
      <c r="A192" s="155">
        <v>14</v>
      </c>
      <c r="B192" s="210"/>
      <c r="C192" s="189" t="s">
        <v>410</v>
      </c>
      <c r="D192" s="204">
        <v>1177.24</v>
      </c>
      <c r="E192" s="204"/>
      <c r="F192" s="204">
        <v>6.07</v>
      </c>
      <c r="G192" s="205"/>
      <c r="H192" s="192">
        <v>150</v>
      </c>
      <c r="I192" s="205"/>
      <c r="J192" s="193">
        <v>199.58</v>
      </c>
      <c r="K192" s="205"/>
      <c r="L192" s="204"/>
      <c r="M192" s="204"/>
      <c r="N192" s="205"/>
      <c r="O192" s="184">
        <f t="shared" si="6"/>
        <v>349.58000000000004</v>
      </c>
      <c r="P192" s="205"/>
      <c r="Q192" s="205"/>
      <c r="R192" s="190">
        <v>264.5</v>
      </c>
      <c r="S192" s="197">
        <v>25819.33</v>
      </c>
      <c r="T192" s="204"/>
      <c r="U192" s="205"/>
      <c r="V192" s="166">
        <f t="shared" si="5"/>
        <v>0</v>
      </c>
      <c r="W192" s="204">
        <v>8.3000000000000007</v>
      </c>
      <c r="X192" s="204">
        <v>11</v>
      </c>
      <c r="Y192" s="205"/>
      <c r="Z192" s="204">
        <v>2.34</v>
      </c>
      <c r="AA192" s="204">
        <v>6.42</v>
      </c>
      <c r="AB192" s="205"/>
      <c r="AC192" s="199" t="s">
        <v>396</v>
      </c>
    </row>
    <row r="193" spans="1:29" ht="18.75" hidden="1" thickBot="1" x14ac:dyDescent="0.3">
      <c r="A193" s="168">
        <v>15</v>
      </c>
      <c r="B193" s="203"/>
      <c r="C193" s="189" t="s">
        <v>411</v>
      </c>
      <c r="D193" s="204">
        <v>977.3</v>
      </c>
      <c r="E193" s="204"/>
      <c r="F193" s="204">
        <v>5.28</v>
      </c>
      <c r="G193" s="205"/>
      <c r="H193" s="192">
        <v>4.07</v>
      </c>
      <c r="I193" s="205"/>
      <c r="J193" s="193"/>
      <c r="K193" s="205"/>
      <c r="L193" s="204">
        <v>10</v>
      </c>
      <c r="M193" s="204">
        <v>5</v>
      </c>
      <c r="N193" s="205"/>
      <c r="O193" s="184">
        <f t="shared" si="6"/>
        <v>19.07</v>
      </c>
      <c r="P193" s="205"/>
      <c r="Q193" s="205"/>
      <c r="R193" s="190">
        <v>212.5</v>
      </c>
      <c r="S193" s="197">
        <v>13171.11</v>
      </c>
      <c r="T193" s="204"/>
      <c r="U193" s="205"/>
      <c r="V193" s="166">
        <f t="shared" si="5"/>
        <v>0</v>
      </c>
      <c r="W193" s="204"/>
      <c r="X193" s="204">
        <v>6.2</v>
      </c>
      <c r="Y193" s="205"/>
      <c r="Z193" s="204"/>
      <c r="AA193" s="204"/>
      <c r="AB193" s="205"/>
      <c r="AC193" s="199" t="s">
        <v>396</v>
      </c>
    </row>
    <row r="194" spans="1:29" ht="18.75" hidden="1" thickBot="1" x14ac:dyDescent="0.3">
      <c r="A194" s="155">
        <v>16</v>
      </c>
      <c r="B194" s="210"/>
      <c r="C194" s="189" t="s">
        <v>412</v>
      </c>
      <c r="D194" s="204">
        <v>1077.8499999999999</v>
      </c>
      <c r="E194" s="204"/>
      <c r="F194" s="204">
        <v>5.16</v>
      </c>
      <c r="G194" s="205"/>
      <c r="H194" s="192">
        <v>50</v>
      </c>
      <c r="I194" s="205"/>
      <c r="J194" s="193"/>
      <c r="K194" s="205"/>
      <c r="L194" s="204"/>
      <c r="M194" s="204"/>
      <c r="N194" s="205"/>
      <c r="O194" s="184">
        <f t="shared" si="6"/>
        <v>50</v>
      </c>
      <c r="P194" s="205"/>
      <c r="Q194" s="205"/>
      <c r="R194" s="190">
        <v>234.5</v>
      </c>
      <c r="S194" s="197">
        <v>13818.89</v>
      </c>
      <c r="T194" s="204"/>
      <c r="U194" s="205"/>
      <c r="V194" s="166">
        <f t="shared" si="5"/>
        <v>0</v>
      </c>
      <c r="W194" s="204">
        <v>6.45</v>
      </c>
      <c r="X194" s="204">
        <v>8.1999999999999993</v>
      </c>
      <c r="Y194" s="205"/>
      <c r="Z194" s="204"/>
      <c r="AA194" s="204"/>
      <c r="AB194" s="205"/>
      <c r="AC194" s="199" t="s">
        <v>396</v>
      </c>
    </row>
    <row r="195" spans="1:29" ht="18.75" hidden="1" thickBot="1" x14ac:dyDescent="0.3">
      <c r="A195" s="168">
        <v>17</v>
      </c>
      <c r="B195" s="203"/>
      <c r="C195" s="189" t="s">
        <v>413</v>
      </c>
      <c r="D195" s="204">
        <v>1010.68</v>
      </c>
      <c r="E195" s="204"/>
      <c r="F195" s="204">
        <v>5.09</v>
      </c>
      <c r="G195" s="205"/>
      <c r="H195" s="192">
        <v>100</v>
      </c>
      <c r="I195" s="205"/>
      <c r="J195" s="193"/>
      <c r="K195" s="205"/>
      <c r="L195" s="204"/>
      <c r="M195" s="204"/>
      <c r="N195" s="205"/>
      <c r="O195" s="184">
        <f t="shared" si="6"/>
        <v>100</v>
      </c>
      <c r="P195" s="205"/>
      <c r="Q195" s="205"/>
      <c r="R195" s="190">
        <v>228.5</v>
      </c>
      <c r="S195" s="197">
        <v>13814.37</v>
      </c>
      <c r="T195" s="204"/>
      <c r="U195" s="205"/>
      <c r="V195" s="166">
        <f t="shared" si="5"/>
        <v>0</v>
      </c>
      <c r="W195" s="204">
        <v>6.65</v>
      </c>
      <c r="X195" s="204">
        <v>8.0500000000000007</v>
      </c>
      <c r="Y195" s="205"/>
      <c r="Z195" s="204"/>
      <c r="AA195" s="204"/>
      <c r="AB195" s="205"/>
      <c r="AC195" s="199" t="s">
        <v>396</v>
      </c>
    </row>
    <row r="196" spans="1:29" ht="18.75" hidden="1" thickBot="1" x14ac:dyDescent="0.3">
      <c r="A196" s="155">
        <v>18</v>
      </c>
      <c r="B196" s="210"/>
      <c r="C196" s="189" t="s">
        <v>414</v>
      </c>
      <c r="D196" s="204">
        <v>1010.2</v>
      </c>
      <c r="E196" s="204"/>
      <c r="F196" s="204">
        <v>5.49</v>
      </c>
      <c r="G196" s="205"/>
      <c r="H196" s="192">
        <v>100</v>
      </c>
      <c r="I196" s="205"/>
      <c r="J196" s="193">
        <v>83.54</v>
      </c>
      <c r="K196" s="205"/>
      <c r="L196" s="204"/>
      <c r="M196" s="204"/>
      <c r="N196" s="205"/>
      <c r="O196" s="184">
        <f t="shared" si="6"/>
        <v>183.54000000000002</v>
      </c>
      <c r="P196" s="205"/>
      <c r="Q196" s="205"/>
      <c r="R196" s="190">
        <v>216.5</v>
      </c>
      <c r="S196" s="197">
        <v>19379.719999999998</v>
      </c>
      <c r="T196" s="204"/>
      <c r="U196" s="205"/>
      <c r="V196" s="166">
        <f t="shared" ref="V196:V259" si="7">T196+U196</f>
        <v>0</v>
      </c>
      <c r="W196" s="204">
        <v>5.9</v>
      </c>
      <c r="X196" s="204">
        <v>8.6</v>
      </c>
      <c r="Y196" s="205"/>
      <c r="Z196" s="204"/>
      <c r="AA196" s="204">
        <v>0.04</v>
      </c>
      <c r="AB196" s="205"/>
      <c r="AC196" s="199" t="s">
        <v>396</v>
      </c>
    </row>
    <row r="197" spans="1:29" ht="18.75" hidden="1" thickBot="1" x14ac:dyDescent="0.3">
      <c r="A197" s="168">
        <v>19</v>
      </c>
      <c r="B197" s="203"/>
      <c r="C197" s="189" t="s">
        <v>415</v>
      </c>
      <c r="D197" s="204">
        <v>1040.56</v>
      </c>
      <c r="E197" s="204"/>
      <c r="F197" s="204">
        <v>5.65</v>
      </c>
      <c r="G197" s="205"/>
      <c r="H197" s="192">
        <v>50</v>
      </c>
      <c r="I197" s="205"/>
      <c r="J197" s="193">
        <v>88.62</v>
      </c>
      <c r="K197" s="205"/>
      <c r="L197" s="204"/>
      <c r="M197" s="204"/>
      <c r="N197" s="205"/>
      <c r="O197" s="184">
        <f t="shared" si="6"/>
        <v>138.62</v>
      </c>
      <c r="P197" s="205"/>
      <c r="Q197" s="205"/>
      <c r="R197" s="190">
        <v>220.5</v>
      </c>
      <c r="S197" s="197">
        <v>20599.349999999999</v>
      </c>
      <c r="T197" s="204">
        <v>9.9600000000000009</v>
      </c>
      <c r="U197" s="205"/>
      <c r="V197" s="166">
        <f t="shared" si="7"/>
        <v>9.9600000000000009</v>
      </c>
      <c r="W197" s="204">
        <v>6.2</v>
      </c>
      <c r="X197" s="204">
        <v>7.8</v>
      </c>
      <c r="Y197" s="205"/>
      <c r="Z197" s="204"/>
      <c r="AA197" s="204"/>
      <c r="AB197" s="205"/>
      <c r="AC197" s="199" t="s">
        <v>396</v>
      </c>
    </row>
    <row r="198" spans="1:29" ht="18.75" hidden="1" thickBot="1" x14ac:dyDescent="0.3">
      <c r="A198" s="155">
        <v>20</v>
      </c>
      <c r="B198" s="210"/>
      <c r="C198" s="224" t="s">
        <v>416</v>
      </c>
      <c r="D198" s="190">
        <v>2854.4</v>
      </c>
      <c r="E198" s="190">
        <v>1046.0899999999999</v>
      </c>
      <c r="F198" s="190">
        <v>179.63</v>
      </c>
      <c r="G198" s="190">
        <v>96.06</v>
      </c>
      <c r="H198" s="192">
        <v>100</v>
      </c>
      <c r="I198" s="190"/>
      <c r="J198" s="193"/>
      <c r="K198" s="190"/>
      <c r="L198" s="190">
        <v>15</v>
      </c>
      <c r="M198" s="190">
        <v>5</v>
      </c>
      <c r="N198" s="190"/>
      <c r="O198" s="184">
        <f t="shared" si="6"/>
        <v>120</v>
      </c>
      <c r="P198" s="204"/>
      <c r="Q198" s="204"/>
      <c r="R198" s="190">
        <v>960.69</v>
      </c>
      <c r="S198" s="197">
        <v>29160</v>
      </c>
      <c r="T198" s="190"/>
      <c r="U198" s="190"/>
      <c r="V198" s="166">
        <f t="shared" si="7"/>
        <v>0</v>
      </c>
      <c r="W198" s="190">
        <v>28.9</v>
      </c>
      <c r="X198" s="190">
        <v>31.05</v>
      </c>
      <c r="Y198" s="190"/>
      <c r="Z198" s="190">
        <v>313.86</v>
      </c>
      <c r="AA198" s="190">
        <v>210.31</v>
      </c>
      <c r="AB198" s="190"/>
      <c r="AC198" s="199" t="s">
        <v>404</v>
      </c>
    </row>
    <row r="199" spans="1:29" ht="18.75" hidden="1" thickBot="1" x14ac:dyDescent="0.3">
      <c r="A199" s="168">
        <v>21</v>
      </c>
      <c r="B199" s="203"/>
      <c r="C199" s="224" t="s">
        <v>417</v>
      </c>
      <c r="D199" s="190">
        <v>2292.73</v>
      </c>
      <c r="E199" s="190">
        <v>760.61</v>
      </c>
      <c r="F199" s="190">
        <v>114.9</v>
      </c>
      <c r="G199" s="190">
        <v>73.59</v>
      </c>
      <c r="H199" s="192">
        <v>50</v>
      </c>
      <c r="I199" s="190"/>
      <c r="J199" s="193"/>
      <c r="K199" s="190"/>
      <c r="L199" s="190">
        <v>30</v>
      </c>
      <c r="M199" s="190"/>
      <c r="N199" s="190"/>
      <c r="O199" s="184">
        <f t="shared" si="6"/>
        <v>80</v>
      </c>
      <c r="P199" s="204"/>
      <c r="Q199" s="204"/>
      <c r="R199" s="190">
        <v>735.91</v>
      </c>
      <c r="S199" s="197">
        <v>29160</v>
      </c>
      <c r="T199" s="190"/>
      <c r="U199" s="190"/>
      <c r="V199" s="166">
        <f t="shared" si="7"/>
        <v>0</v>
      </c>
      <c r="W199" s="190">
        <v>21.85</v>
      </c>
      <c r="X199" s="190">
        <v>23.75</v>
      </c>
      <c r="Y199" s="190"/>
      <c r="Z199" s="190">
        <v>181.39</v>
      </c>
      <c r="AA199" s="190">
        <v>123.4</v>
      </c>
      <c r="AB199" s="190"/>
      <c r="AC199" s="199" t="s">
        <v>404</v>
      </c>
    </row>
    <row r="200" spans="1:29" ht="18.75" hidden="1" thickBot="1" x14ac:dyDescent="0.3">
      <c r="A200" s="155">
        <v>22</v>
      </c>
      <c r="B200" s="210"/>
      <c r="C200" s="224" t="s">
        <v>418</v>
      </c>
      <c r="D200" s="190">
        <v>2245.54</v>
      </c>
      <c r="E200" s="190">
        <v>765.41</v>
      </c>
      <c r="F200" s="190">
        <v>115.21</v>
      </c>
      <c r="G200" s="190">
        <v>73.959999999999994</v>
      </c>
      <c r="H200" s="192">
        <v>150</v>
      </c>
      <c r="I200" s="190"/>
      <c r="J200" s="193"/>
      <c r="K200" s="190"/>
      <c r="L200" s="190">
        <v>15</v>
      </c>
      <c r="M200" s="190"/>
      <c r="N200" s="190"/>
      <c r="O200" s="184">
        <f t="shared" si="6"/>
        <v>165</v>
      </c>
      <c r="P200" s="204"/>
      <c r="Q200" s="204"/>
      <c r="R200" s="190">
        <v>739.68</v>
      </c>
      <c r="S200" s="197">
        <v>29160</v>
      </c>
      <c r="T200" s="190"/>
      <c r="U200" s="190"/>
      <c r="V200" s="166">
        <f t="shared" si="7"/>
        <v>0</v>
      </c>
      <c r="W200" s="190">
        <v>22.2</v>
      </c>
      <c r="X200" s="190">
        <v>24.05</v>
      </c>
      <c r="Y200" s="190"/>
      <c r="Z200" s="190">
        <v>186.19</v>
      </c>
      <c r="AA200" s="190">
        <v>126.91</v>
      </c>
      <c r="AB200" s="190"/>
      <c r="AC200" s="199" t="s">
        <v>404</v>
      </c>
    </row>
    <row r="201" spans="1:29" ht="18.75" hidden="1" thickBot="1" x14ac:dyDescent="0.3">
      <c r="A201" s="168">
        <v>23</v>
      </c>
      <c r="B201" s="203"/>
      <c r="C201" s="189" t="s">
        <v>419</v>
      </c>
      <c r="D201" s="190">
        <v>1437.6</v>
      </c>
      <c r="E201" s="190">
        <v>195.97</v>
      </c>
      <c r="F201" s="190">
        <v>45.85</v>
      </c>
      <c r="G201" s="190"/>
      <c r="H201" s="192">
        <v>95</v>
      </c>
      <c r="I201" s="190"/>
      <c r="J201" s="193"/>
      <c r="K201" s="190"/>
      <c r="L201" s="190">
        <v>15</v>
      </c>
      <c r="M201" s="190"/>
      <c r="N201" s="190"/>
      <c r="O201" s="184">
        <f t="shared" si="6"/>
        <v>110</v>
      </c>
      <c r="P201" s="204"/>
      <c r="Q201" s="204"/>
      <c r="R201" s="190">
        <v>393.67</v>
      </c>
      <c r="S201" s="197">
        <v>22032.71</v>
      </c>
      <c r="T201" s="190"/>
      <c r="U201" s="190"/>
      <c r="V201" s="166">
        <f t="shared" si="7"/>
        <v>0</v>
      </c>
      <c r="W201" s="190">
        <v>11.65</v>
      </c>
      <c r="X201" s="190">
        <v>12.9</v>
      </c>
      <c r="Y201" s="190"/>
      <c r="Z201" s="190">
        <v>46.48</v>
      </c>
      <c r="AA201" s="190">
        <v>11.36</v>
      </c>
      <c r="AB201" s="190"/>
      <c r="AC201" s="199" t="s">
        <v>404</v>
      </c>
    </row>
    <row r="202" spans="1:29" ht="18.75" hidden="1" thickBot="1" x14ac:dyDescent="0.3">
      <c r="A202" s="155">
        <v>24</v>
      </c>
      <c r="B202" s="210"/>
      <c r="C202" s="189" t="s">
        <v>420</v>
      </c>
      <c r="D202" s="204">
        <v>1301.17</v>
      </c>
      <c r="E202" s="204">
        <v>7.3</v>
      </c>
      <c r="F202" s="204">
        <v>10.92</v>
      </c>
      <c r="G202" s="205"/>
      <c r="H202" s="192">
        <v>150</v>
      </c>
      <c r="I202" s="205"/>
      <c r="J202" s="193"/>
      <c r="K202" s="205"/>
      <c r="L202" s="204"/>
      <c r="M202" s="204"/>
      <c r="N202" s="205"/>
      <c r="O202" s="184">
        <f t="shared" si="6"/>
        <v>150</v>
      </c>
      <c r="P202" s="205"/>
      <c r="Q202" s="205"/>
      <c r="R202" s="190">
        <v>308.89999999999998</v>
      </c>
      <c r="S202" s="197">
        <v>22385.43</v>
      </c>
      <c r="T202" s="204">
        <v>3.96</v>
      </c>
      <c r="U202" s="205"/>
      <c r="V202" s="166">
        <f t="shared" si="7"/>
        <v>3.96</v>
      </c>
      <c r="W202" s="204">
        <v>9.5500000000000007</v>
      </c>
      <c r="X202" s="204">
        <v>10.65</v>
      </c>
      <c r="Y202" s="205"/>
      <c r="Z202" s="204">
        <v>17.96</v>
      </c>
      <c r="AA202" s="204">
        <v>5.49</v>
      </c>
      <c r="AB202" s="205"/>
      <c r="AC202" s="199" t="s">
        <v>396</v>
      </c>
    </row>
    <row r="203" spans="1:29" ht="18.75" hidden="1" thickBot="1" x14ac:dyDescent="0.3">
      <c r="A203" s="168">
        <v>25</v>
      </c>
      <c r="B203" s="203"/>
      <c r="C203" s="189" t="s">
        <v>421</v>
      </c>
      <c r="D203" s="204">
        <v>1328.95</v>
      </c>
      <c r="E203" s="204">
        <v>20.350000000000001</v>
      </c>
      <c r="F203" s="204">
        <v>15.2</v>
      </c>
      <c r="G203" s="205"/>
      <c r="H203" s="192">
        <v>150</v>
      </c>
      <c r="I203" s="205"/>
      <c r="J203" s="193">
        <v>235.17</v>
      </c>
      <c r="K203" s="205"/>
      <c r="L203" s="204"/>
      <c r="M203" s="204"/>
      <c r="N203" s="205"/>
      <c r="O203" s="184">
        <f t="shared" si="6"/>
        <v>385.16999999999996</v>
      </c>
      <c r="P203" s="205"/>
      <c r="Q203" s="205"/>
      <c r="R203" s="190">
        <v>319.14999999999998</v>
      </c>
      <c r="S203" s="197">
        <v>18390</v>
      </c>
      <c r="T203" s="204">
        <v>2.97</v>
      </c>
      <c r="U203" s="205"/>
      <c r="V203" s="166">
        <f t="shared" si="7"/>
        <v>2.97</v>
      </c>
      <c r="W203" s="204">
        <v>9.85</v>
      </c>
      <c r="X203" s="204">
        <v>12.55</v>
      </c>
      <c r="Y203" s="205"/>
      <c r="Z203" s="204">
        <v>22.05</v>
      </c>
      <c r="AA203" s="204">
        <v>10.52</v>
      </c>
      <c r="AB203" s="205"/>
      <c r="AC203" s="199" t="s">
        <v>396</v>
      </c>
    </row>
    <row r="204" spans="1:29" ht="18.75" hidden="1" thickBot="1" x14ac:dyDescent="0.3">
      <c r="A204" s="155">
        <v>26</v>
      </c>
      <c r="B204" s="210"/>
      <c r="C204" s="224" t="s">
        <v>422</v>
      </c>
      <c r="D204" s="190">
        <v>1519.96</v>
      </c>
      <c r="E204" s="190">
        <v>232.16</v>
      </c>
      <c r="F204" s="190">
        <v>57.62</v>
      </c>
      <c r="G204" s="190"/>
      <c r="H204" s="192">
        <v>150</v>
      </c>
      <c r="I204" s="190"/>
      <c r="J204" s="193"/>
      <c r="K204" s="190"/>
      <c r="L204" s="190"/>
      <c r="M204" s="190"/>
      <c r="N204" s="190"/>
      <c r="O204" s="184">
        <f t="shared" si="6"/>
        <v>150</v>
      </c>
      <c r="P204" s="204"/>
      <c r="Q204" s="204"/>
      <c r="R204" s="190">
        <v>422.16</v>
      </c>
      <c r="S204" s="197">
        <v>23574.18</v>
      </c>
      <c r="T204" s="190">
        <v>46</v>
      </c>
      <c r="U204" s="190"/>
      <c r="V204" s="166">
        <f t="shared" si="7"/>
        <v>46</v>
      </c>
      <c r="W204" s="190">
        <v>12.85</v>
      </c>
      <c r="X204" s="190">
        <v>13.8</v>
      </c>
      <c r="Y204" s="190"/>
      <c r="Z204" s="190">
        <v>57.45</v>
      </c>
      <c r="AA204" s="190">
        <v>13.74</v>
      </c>
      <c r="AB204" s="190"/>
      <c r="AC204" s="199" t="s">
        <v>404</v>
      </c>
    </row>
    <row r="205" spans="1:29" ht="18.75" hidden="1" thickBot="1" x14ac:dyDescent="0.3">
      <c r="A205" s="168">
        <v>27</v>
      </c>
      <c r="B205" s="203"/>
      <c r="C205" s="189" t="s">
        <v>423</v>
      </c>
      <c r="D205" s="204">
        <v>1015.95</v>
      </c>
      <c r="E205" s="204"/>
      <c r="F205" s="204">
        <v>5.16</v>
      </c>
      <c r="G205" s="205"/>
      <c r="H205" s="192">
        <v>145</v>
      </c>
      <c r="I205" s="205"/>
      <c r="J205" s="193"/>
      <c r="K205" s="205"/>
      <c r="L205" s="204"/>
      <c r="M205" s="204"/>
      <c r="N205" s="205"/>
      <c r="O205" s="184">
        <f t="shared" si="6"/>
        <v>145</v>
      </c>
      <c r="P205" s="205"/>
      <c r="Q205" s="205"/>
      <c r="R205" s="190">
        <v>230.5</v>
      </c>
      <c r="S205" s="197">
        <v>13834.669999999998</v>
      </c>
      <c r="T205" s="204"/>
      <c r="U205" s="205"/>
      <c r="V205" s="166">
        <f t="shared" si="7"/>
        <v>0</v>
      </c>
      <c r="W205" s="204">
        <v>7.55</v>
      </c>
      <c r="X205" s="204">
        <v>7.9</v>
      </c>
      <c r="Y205" s="205"/>
      <c r="Z205" s="204"/>
      <c r="AA205" s="204"/>
      <c r="AB205" s="205"/>
      <c r="AC205" s="199" t="s">
        <v>396</v>
      </c>
    </row>
    <row r="206" spans="1:29" ht="18.75" hidden="1" thickBot="1" x14ac:dyDescent="0.3">
      <c r="A206" s="155">
        <v>28</v>
      </c>
      <c r="B206" s="210"/>
      <c r="C206" s="224" t="s">
        <v>424</v>
      </c>
      <c r="D206" s="190">
        <v>1676.69</v>
      </c>
      <c r="E206" s="190">
        <v>303.89999999999998</v>
      </c>
      <c r="F206" s="190">
        <v>75.17</v>
      </c>
      <c r="G206" s="190"/>
      <c r="H206" s="192">
        <v>50</v>
      </c>
      <c r="I206" s="190"/>
      <c r="J206" s="193"/>
      <c r="K206" s="190"/>
      <c r="L206" s="190"/>
      <c r="M206" s="190"/>
      <c r="N206" s="190"/>
      <c r="O206" s="184">
        <f t="shared" si="6"/>
        <v>50</v>
      </c>
      <c r="P206" s="204"/>
      <c r="Q206" s="204"/>
      <c r="R206" s="190">
        <v>478.65</v>
      </c>
      <c r="S206" s="197">
        <v>27020.84</v>
      </c>
      <c r="T206" s="190"/>
      <c r="U206" s="190"/>
      <c r="V206" s="166">
        <f t="shared" si="7"/>
        <v>0</v>
      </c>
      <c r="W206" s="190">
        <v>13.75</v>
      </c>
      <c r="X206" s="190">
        <v>15.15</v>
      </c>
      <c r="Y206" s="190"/>
      <c r="Z206" s="190">
        <v>73.86</v>
      </c>
      <c r="AA206" s="190">
        <v>17.36</v>
      </c>
      <c r="AB206" s="190"/>
      <c r="AC206" s="199" t="s">
        <v>404</v>
      </c>
    </row>
    <row r="207" spans="1:29" ht="18.75" hidden="1" thickBot="1" x14ac:dyDescent="0.3">
      <c r="A207" s="168">
        <v>29</v>
      </c>
      <c r="B207" s="203"/>
      <c r="C207" s="224" t="s">
        <v>425</v>
      </c>
      <c r="D207" s="190">
        <v>1517.66</v>
      </c>
      <c r="E207" s="190">
        <v>233.93</v>
      </c>
      <c r="F207" s="190">
        <v>57.64</v>
      </c>
      <c r="G207" s="190"/>
      <c r="H207" s="192">
        <v>150</v>
      </c>
      <c r="I207" s="190"/>
      <c r="J207" s="193"/>
      <c r="K207" s="190"/>
      <c r="L207" s="190"/>
      <c r="M207" s="190"/>
      <c r="N207" s="190"/>
      <c r="O207" s="184">
        <f t="shared" si="6"/>
        <v>150</v>
      </c>
      <c r="P207" s="204"/>
      <c r="Q207" s="204"/>
      <c r="R207" s="190">
        <v>420.4</v>
      </c>
      <c r="S207" s="197">
        <v>24756.1</v>
      </c>
      <c r="T207" s="190"/>
      <c r="U207" s="190"/>
      <c r="V207" s="166">
        <f t="shared" si="7"/>
        <v>0</v>
      </c>
      <c r="W207" s="190">
        <v>12.85</v>
      </c>
      <c r="X207" s="190">
        <v>14.7</v>
      </c>
      <c r="Y207" s="190"/>
      <c r="Z207" s="190">
        <v>62.01</v>
      </c>
      <c r="AA207" s="190">
        <v>16.170000000000002</v>
      </c>
      <c r="AB207" s="190"/>
      <c r="AC207" s="199" t="s">
        <v>404</v>
      </c>
    </row>
    <row r="208" spans="1:29" ht="18.75" hidden="1" thickBot="1" x14ac:dyDescent="0.3">
      <c r="A208" s="155">
        <v>30</v>
      </c>
      <c r="B208" s="210"/>
      <c r="C208" s="189" t="s">
        <v>426</v>
      </c>
      <c r="D208" s="204">
        <v>1000.31</v>
      </c>
      <c r="E208" s="204"/>
      <c r="F208" s="204">
        <v>5.5</v>
      </c>
      <c r="G208" s="205"/>
      <c r="H208" s="192">
        <v>50</v>
      </c>
      <c r="I208" s="205"/>
      <c r="J208" s="193">
        <v>75.92</v>
      </c>
      <c r="K208" s="205"/>
      <c r="L208" s="204"/>
      <c r="M208" s="204"/>
      <c r="N208" s="205"/>
      <c r="O208" s="184">
        <f t="shared" si="6"/>
        <v>125.92</v>
      </c>
      <c r="P208" s="205"/>
      <c r="Q208" s="205"/>
      <c r="R208" s="190">
        <v>212.5</v>
      </c>
      <c r="S208" s="197">
        <v>25318.920000000002</v>
      </c>
      <c r="T208" s="204"/>
      <c r="U208" s="205"/>
      <c r="V208" s="166">
        <f t="shared" si="7"/>
        <v>0</v>
      </c>
      <c r="W208" s="204">
        <v>6.3</v>
      </c>
      <c r="X208" s="204">
        <v>8.1</v>
      </c>
      <c r="Y208" s="205"/>
      <c r="Z208" s="204"/>
      <c r="AA208" s="204"/>
      <c r="AB208" s="205"/>
      <c r="AC208" s="199" t="s">
        <v>396</v>
      </c>
    </row>
    <row r="209" spans="1:29" ht="18.75" hidden="1" thickBot="1" x14ac:dyDescent="0.3">
      <c r="A209" s="168">
        <v>31</v>
      </c>
      <c r="B209" s="203"/>
      <c r="C209" s="189" t="s">
        <v>427</v>
      </c>
      <c r="D209" s="204">
        <v>1376.02</v>
      </c>
      <c r="E209" s="204">
        <v>95.35</v>
      </c>
      <c r="F209" s="204">
        <v>24.99</v>
      </c>
      <c r="G209" s="205"/>
      <c r="H209" s="192">
        <v>150</v>
      </c>
      <c r="I209" s="205"/>
      <c r="J209" s="193"/>
      <c r="K209" s="205"/>
      <c r="L209" s="204"/>
      <c r="M209" s="204"/>
      <c r="N209" s="205"/>
      <c r="O209" s="184">
        <f t="shared" si="6"/>
        <v>150</v>
      </c>
      <c r="P209" s="205"/>
      <c r="Q209" s="205"/>
      <c r="R209" s="190">
        <v>342.79</v>
      </c>
      <c r="S209" s="197">
        <v>19461.39</v>
      </c>
      <c r="T209" s="204"/>
      <c r="U209" s="205"/>
      <c r="V209" s="166">
        <f t="shared" si="7"/>
        <v>0</v>
      </c>
      <c r="W209" s="204">
        <v>10.75</v>
      </c>
      <c r="X209" s="204">
        <v>11.95</v>
      </c>
      <c r="Y209" s="205"/>
      <c r="Z209" s="204">
        <v>34.21</v>
      </c>
      <c r="AA209" s="204">
        <v>8.86</v>
      </c>
      <c r="AB209" s="205"/>
      <c r="AC209" s="199" t="s">
        <v>396</v>
      </c>
    </row>
    <row r="210" spans="1:29" ht="18.75" hidden="1" thickBot="1" x14ac:dyDescent="0.3">
      <c r="A210" s="155">
        <v>32</v>
      </c>
      <c r="B210" s="210"/>
      <c r="C210" s="189" t="s">
        <v>428</v>
      </c>
      <c r="D210" s="204">
        <v>941.6</v>
      </c>
      <c r="E210" s="204"/>
      <c r="F210" s="204">
        <v>5.31</v>
      </c>
      <c r="G210" s="205"/>
      <c r="H210" s="192">
        <v>145</v>
      </c>
      <c r="I210" s="205"/>
      <c r="J210" s="193"/>
      <c r="K210" s="205"/>
      <c r="L210" s="204"/>
      <c r="M210" s="204"/>
      <c r="N210" s="205"/>
      <c r="O210" s="184">
        <f t="shared" si="6"/>
        <v>145</v>
      </c>
      <c r="P210" s="205"/>
      <c r="Q210" s="205"/>
      <c r="R210" s="190">
        <v>214.5</v>
      </c>
      <c r="S210" s="197">
        <v>13050.440000000002</v>
      </c>
      <c r="T210" s="204"/>
      <c r="U210" s="205"/>
      <c r="V210" s="166">
        <f t="shared" si="7"/>
        <v>0</v>
      </c>
      <c r="W210" s="204">
        <v>6.6</v>
      </c>
      <c r="X210" s="204">
        <v>7.85</v>
      </c>
      <c r="Y210" s="205"/>
      <c r="Z210" s="204"/>
      <c r="AA210" s="204"/>
      <c r="AB210" s="205"/>
      <c r="AC210" s="199" t="s">
        <v>396</v>
      </c>
    </row>
    <row r="211" spans="1:29" ht="18.75" hidden="1" thickBot="1" x14ac:dyDescent="0.3">
      <c r="A211" s="168">
        <v>33</v>
      </c>
      <c r="B211" s="203"/>
      <c r="C211" s="189" t="s">
        <v>429</v>
      </c>
      <c r="D211" s="204">
        <v>1270.82</v>
      </c>
      <c r="E211" s="204">
        <v>48.08</v>
      </c>
      <c r="F211" s="204">
        <v>9.34</v>
      </c>
      <c r="G211" s="205"/>
      <c r="H211" s="192">
        <v>150</v>
      </c>
      <c r="I211" s="205"/>
      <c r="J211" s="193"/>
      <c r="K211" s="205"/>
      <c r="L211" s="204"/>
      <c r="M211" s="204"/>
      <c r="N211" s="205"/>
      <c r="O211" s="184">
        <f t="shared" si="6"/>
        <v>150</v>
      </c>
      <c r="P211" s="205"/>
      <c r="Q211" s="205"/>
      <c r="R211" s="190">
        <v>305.56</v>
      </c>
      <c r="S211" s="197">
        <v>17234.04</v>
      </c>
      <c r="T211" s="204"/>
      <c r="U211" s="205"/>
      <c r="V211" s="166">
        <f t="shared" si="7"/>
        <v>0</v>
      </c>
      <c r="W211" s="204">
        <v>9.6</v>
      </c>
      <c r="X211" s="204">
        <v>10.7</v>
      </c>
      <c r="Y211" s="205"/>
      <c r="Z211" s="204">
        <v>19.37</v>
      </c>
      <c r="AA211" s="204">
        <v>5.66</v>
      </c>
      <c r="AB211" s="205"/>
      <c r="AC211" s="199" t="s">
        <v>396</v>
      </c>
    </row>
    <row r="212" spans="1:29" ht="18.75" hidden="1" thickBot="1" x14ac:dyDescent="0.3">
      <c r="A212" s="155">
        <v>34</v>
      </c>
      <c r="B212" s="210"/>
      <c r="C212" s="189" t="s">
        <v>430</v>
      </c>
      <c r="D212" s="204">
        <v>1459.35</v>
      </c>
      <c r="E212" s="204">
        <v>149.85</v>
      </c>
      <c r="F212" s="204">
        <v>42.92</v>
      </c>
      <c r="G212" s="205"/>
      <c r="H212" s="192">
        <v>150</v>
      </c>
      <c r="I212" s="205"/>
      <c r="J212" s="193"/>
      <c r="K212" s="205"/>
      <c r="L212" s="204"/>
      <c r="M212" s="204"/>
      <c r="N212" s="205"/>
      <c r="O212" s="184">
        <f t="shared" si="6"/>
        <v>150</v>
      </c>
      <c r="P212" s="205"/>
      <c r="Q212" s="205"/>
      <c r="R212" s="190">
        <v>385.69</v>
      </c>
      <c r="S212" s="197">
        <v>21424.17</v>
      </c>
      <c r="T212" s="204"/>
      <c r="U212" s="205"/>
      <c r="V212" s="166">
        <f t="shared" si="7"/>
        <v>0</v>
      </c>
      <c r="W212" s="204">
        <v>11.8</v>
      </c>
      <c r="X212" s="204">
        <v>13.05</v>
      </c>
      <c r="Y212" s="205"/>
      <c r="Z212" s="204">
        <v>48.26</v>
      </c>
      <c r="AA212" s="204">
        <v>11.78</v>
      </c>
      <c r="AB212" s="205"/>
      <c r="AC212" s="199" t="s">
        <v>396</v>
      </c>
    </row>
    <row r="213" spans="1:29" ht="18.75" hidden="1" thickBot="1" x14ac:dyDescent="0.3">
      <c r="A213" s="168">
        <v>35</v>
      </c>
      <c r="B213" s="203"/>
      <c r="C213" s="189" t="s">
        <v>431</v>
      </c>
      <c r="D213" s="204">
        <v>1056.6300000000001</v>
      </c>
      <c r="E213" s="204"/>
      <c r="F213" s="204">
        <v>5.33</v>
      </c>
      <c r="G213" s="205"/>
      <c r="H213" s="192">
        <v>150</v>
      </c>
      <c r="I213" s="205"/>
      <c r="J213" s="193"/>
      <c r="K213" s="205"/>
      <c r="L213" s="204"/>
      <c r="M213" s="204"/>
      <c r="N213" s="205"/>
      <c r="O213" s="184">
        <f t="shared" si="6"/>
        <v>150</v>
      </c>
      <c r="P213" s="205"/>
      <c r="Q213" s="205"/>
      <c r="R213" s="190">
        <v>234.5</v>
      </c>
      <c r="S213" s="197">
        <v>12530.9</v>
      </c>
      <c r="T213" s="204"/>
      <c r="U213" s="205"/>
      <c r="V213" s="166">
        <f t="shared" si="7"/>
        <v>0</v>
      </c>
      <c r="W213" s="204">
        <v>7.85</v>
      </c>
      <c r="X213" s="204">
        <v>8.75</v>
      </c>
      <c r="Y213" s="205"/>
      <c r="Z213" s="204"/>
      <c r="AA213" s="204">
        <v>0.48</v>
      </c>
      <c r="AB213" s="205"/>
      <c r="AC213" s="199" t="s">
        <v>396</v>
      </c>
    </row>
    <row r="214" spans="1:29" ht="18.75" hidden="1" thickBot="1" x14ac:dyDescent="0.3">
      <c r="A214" s="155">
        <v>36</v>
      </c>
      <c r="B214" s="210"/>
      <c r="C214" s="189" t="s">
        <v>432</v>
      </c>
      <c r="D214" s="204">
        <v>1184.05</v>
      </c>
      <c r="E214" s="204"/>
      <c r="F214" s="204">
        <v>6.03</v>
      </c>
      <c r="G214" s="205"/>
      <c r="H214" s="192">
        <v>100</v>
      </c>
      <c r="I214" s="205"/>
      <c r="J214" s="193"/>
      <c r="K214" s="205"/>
      <c r="L214" s="204"/>
      <c r="M214" s="204"/>
      <c r="N214" s="205"/>
      <c r="O214" s="184">
        <f t="shared" si="6"/>
        <v>100</v>
      </c>
      <c r="P214" s="205"/>
      <c r="Q214" s="205"/>
      <c r="R214" s="190">
        <v>265.12</v>
      </c>
      <c r="S214" s="197">
        <v>16013.64</v>
      </c>
      <c r="T214" s="204">
        <v>2.12</v>
      </c>
      <c r="U214" s="205"/>
      <c r="V214" s="166">
        <f t="shared" si="7"/>
        <v>2.12</v>
      </c>
      <c r="W214" s="204">
        <v>8.35</v>
      </c>
      <c r="X214" s="204">
        <v>9.35</v>
      </c>
      <c r="Y214" s="205"/>
      <c r="Z214" s="204">
        <v>2.31</v>
      </c>
      <c r="AA214" s="204">
        <v>2</v>
      </c>
      <c r="AB214" s="205"/>
      <c r="AC214" s="199" t="s">
        <v>396</v>
      </c>
    </row>
    <row r="215" spans="1:29" ht="18.75" hidden="1" thickBot="1" x14ac:dyDescent="0.3">
      <c r="A215" s="168">
        <v>37</v>
      </c>
      <c r="B215" s="203"/>
      <c r="C215" s="189" t="s">
        <v>433</v>
      </c>
      <c r="D215" s="204">
        <v>1035.8599999999999</v>
      </c>
      <c r="E215" s="204"/>
      <c r="F215" s="204">
        <v>5.6</v>
      </c>
      <c r="G215" s="205"/>
      <c r="H215" s="192">
        <v>50</v>
      </c>
      <c r="I215" s="205"/>
      <c r="J215" s="193">
        <v>83.53</v>
      </c>
      <c r="K215" s="205"/>
      <c r="L215" s="204"/>
      <c r="M215" s="204"/>
      <c r="N215" s="205"/>
      <c r="O215" s="184">
        <f t="shared" si="6"/>
        <v>133.53</v>
      </c>
      <c r="P215" s="205"/>
      <c r="Q215" s="205"/>
      <c r="R215" s="190">
        <v>216.5</v>
      </c>
      <c r="S215" s="197">
        <v>26232.79</v>
      </c>
      <c r="T215" s="204"/>
      <c r="U215" s="205"/>
      <c r="V215" s="166">
        <f t="shared" si="7"/>
        <v>0</v>
      </c>
      <c r="W215" s="204">
        <v>6.5</v>
      </c>
      <c r="X215" s="204">
        <v>8.4</v>
      </c>
      <c r="Y215" s="205"/>
      <c r="Z215" s="204"/>
      <c r="AA215" s="204"/>
      <c r="AB215" s="205"/>
      <c r="AC215" s="199" t="s">
        <v>396</v>
      </c>
    </row>
    <row r="216" spans="1:29" ht="18.75" hidden="1" thickBot="1" x14ac:dyDescent="0.3">
      <c r="A216" s="155">
        <v>38</v>
      </c>
      <c r="B216" s="210"/>
      <c r="C216" s="189" t="s">
        <v>434</v>
      </c>
      <c r="D216" s="204">
        <v>1066.58</v>
      </c>
      <c r="E216" s="204"/>
      <c r="F216" s="204">
        <v>5.65</v>
      </c>
      <c r="G216" s="205"/>
      <c r="H216" s="192">
        <v>50</v>
      </c>
      <c r="I216" s="205"/>
      <c r="J216" s="193"/>
      <c r="K216" s="205"/>
      <c r="L216" s="204">
        <v>10</v>
      </c>
      <c r="M216" s="204">
        <v>5</v>
      </c>
      <c r="N216" s="205"/>
      <c r="O216" s="184">
        <f t="shared" si="6"/>
        <v>65</v>
      </c>
      <c r="P216" s="205"/>
      <c r="Q216" s="205"/>
      <c r="R216" s="190">
        <v>220.5</v>
      </c>
      <c r="S216" s="197">
        <v>14188.96</v>
      </c>
      <c r="T216" s="204"/>
      <c r="U216" s="205"/>
      <c r="V216" s="166">
        <f t="shared" si="7"/>
        <v>0</v>
      </c>
      <c r="W216" s="204">
        <v>6.45</v>
      </c>
      <c r="X216" s="204">
        <v>8.1999999999999993</v>
      </c>
      <c r="Y216" s="205"/>
      <c r="Z216" s="204"/>
      <c r="AA216" s="204"/>
      <c r="AB216" s="205"/>
      <c r="AC216" s="199" t="s">
        <v>396</v>
      </c>
    </row>
    <row r="217" spans="1:29" ht="18.75" hidden="1" thickBot="1" x14ac:dyDescent="0.3">
      <c r="A217" s="168">
        <v>39</v>
      </c>
      <c r="B217" s="203"/>
      <c r="C217" s="189" t="s">
        <v>435</v>
      </c>
      <c r="D217" s="204">
        <v>1437</v>
      </c>
      <c r="E217" s="204">
        <v>135.26</v>
      </c>
      <c r="F217" s="204">
        <v>39.01</v>
      </c>
      <c r="G217" s="205"/>
      <c r="H217" s="192">
        <v>50</v>
      </c>
      <c r="I217" s="205"/>
      <c r="J217" s="193"/>
      <c r="K217" s="205"/>
      <c r="L217" s="204"/>
      <c r="M217" s="204"/>
      <c r="N217" s="205"/>
      <c r="O217" s="184">
        <f t="shared" si="6"/>
        <v>50</v>
      </c>
      <c r="P217" s="205"/>
      <c r="Q217" s="205"/>
      <c r="R217" s="190">
        <v>377.36</v>
      </c>
      <c r="S217" s="197">
        <v>20932.29</v>
      </c>
      <c r="T217" s="204">
        <v>6.35</v>
      </c>
      <c r="U217" s="205"/>
      <c r="V217" s="166">
        <f t="shared" si="7"/>
        <v>6.35</v>
      </c>
      <c r="W217" s="204">
        <v>10.75</v>
      </c>
      <c r="X217" s="204">
        <v>11.4</v>
      </c>
      <c r="Y217" s="205"/>
      <c r="Z217" s="204">
        <v>34.090000000000003</v>
      </c>
      <c r="AA217" s="204">
        <v>7.51</v>
      </c>
      <c r="AB217" s="205"/>
      <c r="AC217" s="199" t="s">
        <v>396</v>
      </c>
    </row>
    <row r="218" spans="1:29" ht="18.75" hidden="1" thickBot="1" x14ac:dyDescent="0.3">
      <c r="A218" s="155">
        <v>40</v>
      </c>
      <c r="B218" s="210"/>
      <c r="C218" s="224" t="s">
        <v>436</v>
      </c>
      <c r="D218" s="190">
        <v>2231.9899999999998</v>
      </c>
      <c r="E218" s="190">
        <v>759.25</v>
      </c>
      <c r="F218" s="190">
        <v>147.46</v>
      </c>
      <c r="G218" s="190">
        <v>73.48</v>
      </c>
      <c r="H218" s="192">
        <v>100</v>
      </c>
      <c r="I218" s="190"/>
      <c r="J218" s="193"/>
      <c r="K218" s="190"/>
      <c r="L218" s="190"/>
      <c r="M218" s="190"/>
      <c r="N218" s="190"/>
      <c r="O218" s="184">
        <f t="shared" si="6"/>
        <v>100</v>
      </c>
      <c r="P218" s="204"/>
      <c r="Q218" s="204"/>
      <c r="R218" s="190">
        <v>734.82</v>
      </c>
      <c r="S218" s="197">
        <v>29159.999999999996</v>
      </c>
      <c r="T218" s="190"/>
      <c r="U218" s="190">
        <v>338.64</v>
      </c>
      <c r="V218" s="166">
        <f t="shared" si="7"/>
        <v>338.64</v>
      </c>
      <c r="W218" s="190">
        <v>21.8</v>
      </c>
      <c r="X218" s="190">
        <v>21.2</v>
      </c>
      <c r="Y218" s="190"/>
      <c r="Z218" s="190">
        <v>147.12</v>
      </c>
      <c r="AA218" s="190">
        <v>33.39</v>
      </c>
      <c r="AB218" s="190"/>
      <c r="AC218" s="199" t="s">
        <v>404</v>
      </c>
    </row>
    <row r="219" spans="1:29" ht="18.75" hidden="1" thickBot="1" x14ac:dyDescent="0.3">
      <c r="A219" s="168">
        <v>41</v>
      </c>
      <c r="B219" s="203"/>
      <c r="C219" s="189" t="s">
        <v>437</v>
      </c>
      <c r="D219" s="204">
        <v>1041.3499999999999</v>
      </c>
      <c r="E219" s="204"/>
      <c r="F219" s="204">
        <v>5.1100000000000003</v>
      </c>
      <c r="G219" s="205"/>
      <c r="H219" s="192">
        <v>150</v>
      </c>
      <c r="I219" s="205"/>
      <c r="J219" s="193"/>
      <c r="K219" s="205"/>
      <c r="L219" s="204"/>
      <c r="M219" s="204"/>
      <c r="N219" s="205"/>
      <c r="O219" s="184">
        <f t="shared" si="6"/>
        <v>150</v>
      </c>
      <c r="P219" s="205"/>
      <c r="Q219" s="205"/>
      <c r="R219" s="190">
        <v>230.5</v>
      </c>
      <c r="S219" s="197">
        <v>14505.909999999998</v>
      </c>
      <c r="T219" s="204">
        <v>76.91</v>
      </c>
      <c r="U219" s="205"/>
      <c r="V219" s="166">
        <f t="shared" si="7"/>
        <v>76.91</v>
      </c>
      <c r="W219" s="204">
        <v>7.75</v>
      </c>
      <c r="X219" s="204">
        <v>8.0500000000000007</v>
      </c>
      <c r="Y219" s="205"/>
      <c r="Z219" s="204"/>
      <c r="AA219" s="204"/>
      <c r="AB219" s="205"/>
      <c r="AC219" s="199" t="s">
        <v>396</v>
      </c>
    </row>
    <row r="220" spans="1:29" ht="18.75" hidden="1" thickBot="1" x14ac:dyDescent="0.3">
      <c r="A220" s="155">
        <v>42</v>
      </c>
      <c r="B220" s="210"/>
      <c r="C220" s="189" t="s">
        <v>438</v>
      </c>
      <c r="D220" s="204">
        <v>1298.0899999999999</v>
      </c>
      <c r="E220" s="204">
        <v>75.28</v>
      </c>
      <c r="F220" s="204">
        <v>18.28</v>
      </c>
      <c r="G220" s="205"/>
      <c r="H220" s="192">
        <v>150</v>
      </c>
      <c r="I220" s="205"/>
      <c r="J220" s="193"/>
      <c r="K220" s="205"/>
      <c r="L220" s="204">
        <v>15</v>
      </c>
      <c r="M220" s="204"/>
      <c r="N220" s="205"/>
      <c r="O220" s="184">
        <f t="shared" si="6"/>
        <v>165</v>
      </c>
      <c r="P220" s="205"/>
      <c r="Q220" s="205"/>
      <c r="R220" s="190">
        <v>326.97000000000003</v>
      </c>
      <c r="S220" s="197">
        <v>18467.23</v>
      </c>
      <c r="T220" s="204"/>
      <c r="U220" s="205"/>
      <c r="V220" s="166">
        <f t="shared" si="7"/>
        <v>0</v>
      </c>
      <c r="W220" s="204">
        <v>10.15</v>
      </c>
      <c r="X220" s="204">
        <v>11.25</v>
      </c>
      <c r="Y220" s="205"/>
      <c r="Z220" s="204">
        <v>26.58</v>
      </c>
      <c r="AA220" s="204">
        <v>7.09</v>
      </c>
      <c r="AB220" s="205"/>
      <c r="AC220" s="199" t="s">
        <v>396</v>
      </c>
    </row>
    <row r="221" spans="1:29" ht="18.75" hidden="1" thickBot="1" x14ac:dyDescent="0.3">
      <c r="A221" s="168">
        <v>43</v>
      </c>
      <c r="B221" s="203"/>
      <c r="C221" s="189" t="s">
        <v>439</v>
      </c>
      <c r="D221" s="204">
        <v>1010.68</v>
      </c>
      <c r="E221" s="204"/>
      <c r="F221" s="204">
        <v>5.09</v>
      </c>
      <c r="G221" s="205"/>
      <c r="H221" s="192">
        <v>50</v>
      </c>
      <c r="I221" s="205"/>
      <c r="J221" s="193"/>
      <c r="K221" s="205"/>
      <c r="L221" s="204"/>
      <c r="M221" s="204"/>
      <c r="N221" s="205"/>
      <c r="O221" s="184">
        <f t="shared" si="6"/>
        <v>50</v>
      </c>
      <c r="P221" s="205"/>
      <c r="Q221" s="205"/>
      <c r="R221" s="190">
        <v>228.5</v>
      </c>
      <c r="S221" s="197">
        <v>13998.04</v>
      </c>
      <c r="T221" s="204"/>
      <c r="U221" s="205"/>
      <c r="V221" s="166">
        <f t="shared" si="7"/>
        <v>0</v>
      </c>
      <c r="W221" s="204">
        <v>6.35</v>
      </c>
      <c r="X221" s="204">
        <v>6.65</v>
      </c>
      <c r="Y221" s="205"/>
      <c r="Z221" s="204"/>
      <c r="AA221" s="204"/>
      <c r="AB221" s="205"/>
      <c r="AC221" s="199" t="s">
        <v>396</v>
      </c>
    </row>
    <row r="222" spans="1:29" ht="18.75" hidden="1" thickBot="1" x14ac:dyDescent="0.3">
      <c r="A222" s="155">
        <v>44</v>
      </c>
      <c r="B222" s="210"/>
      <c r="C222" s="189" t="s">
        <v>440</v>
      </c>
      <c r="D222" s="190">
        <v>1483.03</v>
      </c>
      <c r="E222" s="190">
        <v>217.77</v>
      </c>
      <c r="F222" s="190">
        <v>52.84</v>
      </c>
      <c r="G222" s="190"/>
      <c r="H222" s="192">
        <v>95</v>
      </c>
      <c r="I222" s="190"/>
      <c r="J222" s="193"/>
      <c r="K222" s="190"/>
      <c r="L222" s="190"/>
      <c r="M222" s="190"/>
      <c r="N222" s="190"/>
      <c r="O222" s="184">
        <f t="shared" si="6"/>
        <v>95</v>
      </c>
      <c r="P222" s="204"/>
      <c r="Q222" s="204"/>
      <c r="R222" s="190">
        <v>410.85</v>
      </c>
      <c r="S222" s="197">
        <v>22367.439999999999</v>
      </c>
      <c r="T222" s="190"/>
      <c r="U222" s="190"/>
      <c r="V222" s="166">
        <f t="shared" si="7"/>
        <v>0</v>
      </c>
      <c r="W222" s="190">
        <v>12.05</v>
      </c>
      <c r="X222" s="190">
        <v>13.3</v>
      </c>
      <c r="Y222" s="190"/>
      <c r="Z222" s="190">
        <v>51.7</v>
      </c>
      <c r="AA222" s="190">
        <v>12.51</v>
      </c>
      <c r="AB222" s="190"/>
      <c r="AC222" s="199" t="s">
        <v>404</v>
      </c>
    </row>
    <row r="223" spans="1:29" ht="18.75" hidden="1" thickBot="1" x14ac:dyDescent="0.3">
      <c r="A223" s="168">
        <v>45</v>
      </c>
      <c r="B223" s="203"/>
      <c r="C223" s="189" t="s">
        <v>441</v>
      </c>
      <c r="D223" s="204">
        <v>941.6</v>
      </c>
      <c r="E223" s="204"/>
      <c r="F223" s="204">
        <v>5.31</v>
      </c>
      <c r="G223" s="205"/>
      <c r="H223" s="192">
        <v>50</v>
      </c>
      <c r="I223" s="205"/>
      <c r="J223" s="193"/>
      <c r="K223" s="205"/>
      <c r="L223" s="204"/>
      <c r="M223" s="204"/>
      <c r="N223" s="205"/>
      <c r="O223" s="184">
        <f t="shared" si="6"/>
        <v>50</v>
      </c>
      <c r="P223" s="205"/>
      <c r="Q223" s="205"/>
      <c r="R223" s="190">
        <v>214.5</v>
      </c>
      <c r="S223" s="197">
        <v>12870.490000000002</v>
      </c>
      <c r="T223" s="204"/>
      <c r="U223" s="205"/>
      <c r="V223" s="166">
        <f t="shared" si="7"/>
        <v>0</v>
      </c>
      <c r="W223" s="204">
        <v>5.9</v>
      </c>
      <c r="X223" s="204">
        <v>7.15</v>
      </c>
      <c r="Y223" s="205"/>
      <c r="Z223" s="204"/>
      <c r="AA223" s="204"/>
      <c r="AB223" s="205"/>
      <c r="AC223" s="199" t="s">
        <v>396</v>
      </c>
    </row>
    <row r="224" spans="1:29" ht="18.75" hidden="1" thickBot="1" x14ac:dyDescent="0.3">
      <c r="A224" s="155">
        <v>46</v>
      </c>
      <c r="B224" s="210"/>
      <c r="C224" s="224" t="s">
        <v>442</v>
      </c>
      <c r="D224" s="190">
        <v>2115.02</v>
      </c>
      <c r="E224" s="190">
        <v>705.73</v>
      </c>
      <c r="F224" s="190">
        <v>106.97</v>
      </c>
      <c r="G224" s="190">
        <v>69.260000000000005</v>
      </c>
      <c r="H224" s="192">
        <v>50</v>
      </c>
      <c r="I224" s="190"/>
      <c r="J224" s="193"/>
      <c r="K224" s="190"/>
      <c r="L224" s="190"/>
      <c r="M224" s="190"/>
      <c r="N224" s="190"/>
      <c r="O224" s="184">
        <f t="shared" si="6"/>
        <v>50</v>
      </c>
      <c r="P224" s="204"/>
      <c r="Q224" s="204"/>
      <c r="R224" s="190">
        <v>692.67</v>
      </c>
      <c r="S224" s="197">
        <v>29160</v>
      </c>
      <c r="T224" s="190"/>
      <c r="U224" s="190"/>
      <c r="V224" s="166">
        <f t="shared" si="7"/>
        <v>0</v>
      </c>
      <c r="W224" s="190">
        <v>20</v>
      </c>
      <c r="X224" s="190">
        <v>21.65</v>
      </c>
      <c r="Y224" s="190"/>
      <c r="Z224" s="190">
        <v>156.97</v>
      </c>
      <c r="AA224" s="190">
        <v>34.57</v>
      </c>
      <c r="AB224" s="190"/>
      <c r="AC224" s="199" t="s">
        <v>404</v>
      </c>
    </row>
    <row r="225" spans="1:29" ht="18.75" hidden="1" thickBot="1" x14ac:dyDescent="0.3">
      <c r="A225" s="168">
        <v>47</v>
      </c>
      <c r="B225" s="203"/>
      <c r="C225" s="224" t="s">
        <v>443</v>
      </c>
      <c r="D225" s="190">
        <v>2336.4699999999998</v>
      </c>
      <c r="E225" s="190">
        <v>807.23</v>
      </c>
      <c r="F225" s="190">
        <v>120.45</v>
      </c>
      <c r="G225" s="190">
        <v>77.260000000000005</v>
      </c>
      <c r="H225" s="192">
        <v>50</v>
      </c>
      <c r="I225" s="190"/>
      <c r="J225" s="193"/>
      <c r="K225" s="190"/>
      <c r="L225" s="190"/>
      <c r="M225" s="190"/>
      <c r="N225" s="190"/>
      <c r="O225" s="184">
        <f t="shared" si="6"/>
        <v>50</v>
      </c>
      <c r="P225" s="204"/>
      <c r="Q225" s="204"/>
      <c r="R225" s="190">
        <v>772.6</v>
      </c>
      <c r="S225" s="197">
        <v>29160</v>
      </c>
      <c r="T225" s="190"/>
      <c r="U225" s="190"/>
      <c r="V225" s="166">
        <f t="shared" si="7"/>
        <v>0</v>
      </c>
      <c r="W225" s="190">
        <v>22.35</v>
      </c>
      <c r="X225" s="190">
        <v>24.25</v>
      </c>
      <c r="Y225" s="190"/>
      <c r="Z225" s="190">
        <v>187.71</v>
      </c>
      <c r="AA225" s="190">
        <v>129.29</v>
      </c>
      <c r="AB225" s="190"/>
      <c r="AC225" s="199" t="s">
        <v>404</v>
      </c>
    </row>
    <row r="226" spans="1:29" ht="18.75" hidden="1" thickBot="1" x14ac:dyDescent="0.3">
      <c r="A226" s="155">
        <v>48</v>
      </c>
      <c r="B226" s="210"/>
      <c r="C226" s="189" t="s">
        <v>444</v>
      </c>
      <c r="D226" s="204">
        <v>1015.95</v>
      </c>
      <c r="E226" s="204"/>
      <c r="F226" s="204">
        <v>5.1100000000000003</v>
      </c>
      <c r="G226" s="205"/>
      <c r="H226" s="192">
        <v>50</v>
      </c>
      <c r="I226" s="205"/>
      <c r="J226" s="193">
        <v>183.85</v>
      </c>
      <c r="K226" s="205"/>
      <c r="L226" s="204"/>
      <c r="M226" s="204"/>
      <c r="N226" s="205"/>
      <c r="O226" s="184">
        <f t="shared" si="6"/>
        <v>233.85</v>
      </c>
      <c r="P226" s="205"/>
      <c r="Q226" s="205"/>
      <c r="R226" s="190">
        <v>230.5</v>
      </c>
      <c r="S226" s="197">
        <v>29160.010000000006</v>
      </c>
      <c r="T226" s="204"/>
      <c r="U226" s="205"/>
      <c r="V226" s="166">
        <f t="shared" si="7"/>
        <v>0</v>
      </c>
      <c r="W226" s="204">
        <v>6.4</v>
      </c>
      <c r="X226" s="204">
        <v>8.9499999999999993</v>
      </c>
      <c r="Y226" s="205"/>
      <c r="Z226" s="204"/>
      <c r="AA226" s="204">
        <v>0.92</v>
      </c>
      <c r="AB226" s="205"/>
      <c r="AC226" s="199" t="s">
        <v>396</v>
      </c>
    </row>
    <row r="227" spans="1:29" ht="18.75" hidden="1" thickBot="1" x14ac:dyDescent="0.3">
      <c r="A227" s="168">
        <v>49</v>
      </c>
      <c r="B227" s="203"/>
      <c r="C227" s="189" t="s">
        <v>445</v>
      </c>
      <c r="D227" s="204">
        <v>1334.11</v>
      </c>
      <c r="E227" s="204">
        <v>91.98</v>
      </c>
      <c r="F227" s="204">
        <v>23.81</v>
      </c>
      <c r="G227" s="205"/>
      <c r="H227" s="192">
        <v>150</v>
      </c>
      <c r="I227" s="205"/>
      <c r="J227" s="193">
        <v>235.17</v>
      </c>
      <c r="K227" s="205"/>
      <c r="L227" s="204"/>
      <c r="M227" s="204"/>
      <c r="N227" s="205"/>
      <c r="O227" s="184">
        <f t="shared" si="6"/>
        <v>385.16999999999996</v>
      </c>
      <c r="P227" s="205"/>
      <c r="Q227" s="205"/>
      <c r="R227" s="190">
        <v>340.12</v>
      </c>
      <c r="S227" s="197">
        <v>29160</v>
      </c>
      <c r="T227" s="204"/>
      <c r="U227" s="205"/>
      <c r="V227" s="166">
        <f t="shared" si="7"/>
        <v>0</v>
      </c>
      <c r="W227" s="204">
        <v>10.45</v>
      </c>
      <c r="X227" s="204">
        <v>13.15</v>
      </c>
      <c r="Y227" s="205"/>
      <c r="Z227" s="204">
        <v>30.38</v>
      </c>
      <c r="AA227" s="204">
        <v>12.09</v>
      </c>
      <c r="AB227" s="205"/>
      <c r="AC227" s="199" t="s">
        <v>396</v>
      </c>
    </row>
    <row r="228" spans="1:29" ht="18.75" hidden="1" thickBot="1" x14ac:dyDescent="0.3">
      <c r="A228" s="155">
        <v>50</v>
      </c>
      <c r="B228" s="210"/>
      <c r="C228" s="189" t="s">
        <v>446</v>
      </c>
      <c r="D228" s="204">
        <v>1334.11</v>
      </c>
      <c r="E228" s="204">
        <v>89.98</v>
      </c>
      <c r="F228" s="204">
        <v>23.53</v>
      </c>
      <c r="G228" s="205"/>
      <c r="H228" s="192">
        <v>140</v>
      </c>
      <c r="I228" s="205"/>
      <c r="J228" s="193"/>
      <c r="K228" s="205"/>
      <c r="L228" s="204"/>
      <c r="M228" s="204"/>
      <c r="N228" s="205"/>
      <c r="O228" s="184">
        <f t="shared" si="6"/>
        <v>140</v>
      </c>
      <c r="P228" s="205"/>
      <c r="Q228" s="205"/>
      <c r="R228" s="190">
        <v>340.12</v>
      </c>
      <c r="S228" s="197">
        <v>19450.2</v>
      </c>
      <c r="T228" s="204">
        <v>1.96</v>
      </c>
      <c r="U228" s="205"/>
      <c r="V228" s="166">
        <f t="shared" si="7"/>
        <v>1.96</v>
      </c>
      <c r="W228" s="204">
        <v>10.35</v>
      </c>
      <c r="X228" s="204">
        <v>11.5</v>
      </c>
      <c r="Y228" s="205"/>
      <c r="Z228" s="204">
        <v>28.99</v>
      </c>
      <c r="AA228" s="204">
        <v>7.66</v>
      </c>
      <c r="AB228" s="205"/>
      <c r="AC228" s="199" t="s">
        <v>396</v>
      </c>
    </row>
    <row r="229" spans="1:29" ht="18.75" hidden="1" thickBot="1" x14ac:dyDescent="0.3">
      <c r="A229" s="168">
        <v>51</v>
      </c>
      <c r="B229" s="203"/>
      <c r="C229" s="189" t="s">
        <v>447</v>
      </c>
      <c r="D229" s="204">
        <v>1041.3599999999999</v>
      </c>
      <c r="E229" s="204"/>
      <c r="F229" s="204">
        <v>5.1100000000000003</v>
      </c>
      <c r="G229" s="205"/>
      <c r="H229" s="192">
        <v>95</v>
      </c>
      <c r="I229" s="205"/>
      <c r="J229" s="193">
        <v>183.91</v>
      </c>
      <c r="K229" s="205"/>
      <c r="L229" s="204"/>
      <c r="M229" s="204"/>
      <c r="N229" s="205"/>
      <c r="O229" s="184">
        <f t="shared" si="6"/>
        <v>278.90999999999997</v>
      </c>
      <c r="P229" s="205"/>
      <c r="Q229" s="205"/>
      <c r="R229" s="190">
        <v>230.5</v>
      </c>
      <c r="S229" s="197">
        <v>14184.34</v>
      </c>
      <c r="T229" s="204"/>
      <c r="U229" s="205"/>
      <c r="V229" s="166">
        <f t="shared" si="7"/>
        <v>0</v>
      </c>
      <c r="W229" s="204">
        <v>6.5</v>
      </c>
      <c r="X229" s="204">
        <v>9.4499999999999993</v>
      </c>
      <c r="Y229" s="205"/>
      <c r="Z229" s="204"/>
      <c r="AA229" s="204">
        <v>2.3199999999999998</v>
      </c>
      <c r="AB229" s="205"/>
      <c r="AC229" s="199" t="s">
        <v>396</v>
      </c>
    </row>
    <row r="230" spans="1:29" ht="18.75" hidden="1" thickBot="1" x14ac:dyDescent="0.3">
      <c r="A230" s="155">
        <v>52</v>
      </c>
      <c r="B230" s="210"/>
      <c r="C230" s="189" t="s">
        <v>448</v>
      </c>
      <c r="D230" s="204">
        <v>1045.8399999999999</v>
      </c>
      <c r="E230" s="204"/>
      <c r="F230" s="204">
        <v>5.67</v>
      </c>
      <c r="G230" s="205"/>
      <c r="H230" s="192">
        <v>145</v>
      </c>
      <c r="I230" s="205"/>
      <c r="J230" s="193"/>
      <c r="K230" s="205"/>
      <c r="L230" s="204"/>
      <c r="M230" s="204"/>
      <c r="N230" s="205"/>
      <c r="O230" s="184">
        <f t="shared" si="6"/>
        <v>145</v>
      </c>
      <c r="P230" s="205"/>
      <c r="Q230" s="205"/>
      <c r="R230" s="190">
        <v>222.5</v>
      </c>
      <c r="S230" s="197">
        <v>14150.610000000002</v>
      </c>
      <c r="T230" s="204"/>
      <c r="U230" s="205"/>
      <c r="V230" s="166">
        <f t="shared" si="7"/>
        <v>0</v>
      </c>
      <c r="W230" s="204">
        <v>7.4</v>
      </c>
      <c r="X230" s="204">
        <v>8.65</v>
      </c>
      <c r="Y230" s="205"/>
      <c r="Z230" s="204"/>
      <c r="AA230" s="204">
        <v>0.17</v>
      </c>
      <c r="AB230" s="205"/>
      <c r="AC230" s="199" t="s">
        <v>396</v>
      </c>
    </row>
    <row r="231" spans="1:29" ht="18.75" hidden="1" thickBot="1" x14ac:dyDescent="0.3">
      <c r="A231" s="168">
        <v>53</v>
      </c>
      <c r="B231" s="203"/>
      <c r="C231" s="224" t="s">
        <v>449</v>
      </c>
      <c r="D231" s="190">
        <v>2259.56</v>
      </c>
      <c r="E231" s="190">
        <v>774.74</v>
      </c>
      <c r="F231" s="190">
        <v>116.63</v>
      </c>
      <c r="G231" s="190">
        <v>74.38</v>
      </c>
      <c r="H231" s="192">
        <v>150</v>
      </c>
      <c r="I231" s="190"/>
      <c r="J231" s="193"/>
      <c r="K231" s="190"/>
      <c r="L231" s="190"/>
      <c r="M231" s="190"/>
      <c r="N231" s="190"/>
      <c r="O231" s="184">
        <f t="shared" si="6"/>
        <v>150</v>
      </c>
      <c r="P231" s="204"/>
      <c r="Q231" s="204"/>
      <c r="R231" s="190">
        <v>743.87</v>
      </c>
      <c r="S231" s="197">
        <v>29160</v>
      </c>
      <c r="T231" s="190"/>
      <c r="U231" s="190"/>
      <c r="V231" s="166">
        <f t="shared" si="7"/>
        <v>0</v>
      </c>
      <c r="W231" s="190">
        <v>22.3</v>
      </c>
      <c r="X231" s="190">
        <v>25.1</v>
      </c>
      <c r="Y231" s="190"/>
      <c r="Z231" s="190">
        <v>187.08</v>
      </c>
      <c r="AA231" s="190">
        <v>139.97999999999999</v>
      </c>
      <c r="AB231" s="190"/>
      <c r="AC231" s="199" t="s">
        <v>404</v>
      </c>
    </row>
    <row r="232" spans="1:29" ht="18.75" hidden="1" thickBot="1" x14ac:dyDescent="0.3">
      <c r="A232" s="155">
        <v>54</v>
      </c>
      <c r="B232" s="210"/>
      <c r="C232" s="189" t="s">
        <v>450</v>
      </c>
      <c r="D232" s="204">
        <v>1045.8399999999999</v>
      </c>
      <c r="E232" s="204"/>
      <c r="F232" s="204">
        <v>5.67</v>
      </c>
      <c r="G232" s="205"/>
      <c r="H232" s="192">
        <v>145</v>
      </c>
      <c r="I232" s="205"/>
      <c r="J232" s="193"/>
      <c r="K232" s="205"/>
      <c r="L232" s="204"/>
      <c r="M232" s="204"/>
      <c r="N232" s="205"/>
      <c r="O232" s="184">
        <f t="shared" si="6"/>
        <v>145</v>
      </c>
      <c r="P232" s="205"/>
      <c r="Q232" s="205"/>
      <c r="R232" s="190">
        <v>222.5</v>
      </c>
      <c r="S232" s="197">
        <v>13816.860000000002</v>
      </c>
      <c r="T232" s="204"/>
      <c r="U232" s="205"/>
      <c r="V232" s="166">
        <f t="shared" si="7"/>
        <v>0</v>
      </c>
      <c r="W232" s="204">
        <v>6.6</v>
      </c>
      <c r="X232" s="204">
        <v>8.65</v>
      </c>
      <c r="Y232" s="205"/>
      <c r="Z232" s="204"/>
      <c r="AA232" s="204">
        <v>0.17</v>
      </c>
      <c r="AB232" s="205"/>
      <c r="AC232" s="199" t="s">
        <v>396</v>
      </c>
    </row>
    <row r="233" spans="1:29" ht="18.75" hidden="1" thickBot="1" x14ac:dyDescent="0.3">
      <c r="A233" s="168">
        <v>55</v>
      </c>
      <c r="B233" s="203"/>
      <c r="C233" s="189" t="s">
        <v>451</v>
      </c>
      <c r="D233" s="204">
        <v>1010.68</v>
      </c>
      <c r="E233" s="204"/>
      <c r="F233" s="204">
        <v>5.09</v>
      </c>
      <c r="G233" s="205"/>
      <c r="H233" s="192">
        <v>50</v>
      </c>
      <c r="I233" s="205"/>
      <c r="J233" s="193"/>
      <c r="K233" s="205"/>
      <c r="L233" s="204"/>
      <c r="M233" s="204"/>
      <c r="N233" s="205"/>
      <c r="O233" s="184">
        <f t="shared" si="6"/>
        <v>50</v>
      </c>
      <c r="P233" s="205"/>
      <c r="Q233" s="205"/>
      <c r="R233" s="190">
        <v>228.5</v>
      </c>
      <c r="S233" s="197">
        <v>13659.980000000001</v>
      </c>
      <c r="T233" s="204"/>
      <c r="U233" s="205"/>
      <c r="V233" s="166">
        <f t="shared" si="7"/>
        <v>0</v>
      </c>
      <c r="W233" s="204">
        <v>6.35</v>
      </c>
      <c r="X233" s="204">
        <v>7.65</v>
      </c>
      <c r="Y233" s="205"/>
      <c r="Z233" s="204"/>
      <c r="AA233" s="204"/>
      <c r="AB233" s="205"/>
      <c r="AC233" s="199" t="s">
        <v>396</v>
      </c>
    </row>
    <row r="234" spans="1:29" ht="18.75" hidden="1" thickBot="1" x14ac:dyDescent="0.3">
      <c r="A234" s="155">
        <v>56</v>
      </c>
      <c r="B234" s="210"/>
      <c r="C234" s="224" t="s">
        <v>452</v>
      </c>
      <c r="D234" s="190">
        <v>2028.53</v>
      </c>
      <c r="E234" s="190">
        <v>536.94000000000005</v>
      </c>
      <c r="F234" s="190">
        <v>97.13</v>
      </c>
      <c r="G234" s="190">
        <v>62.35</v>
      </c>
      <c r="H234" s="192">
        <v>100</v>
      </c>
      <c r="I234" s="190"/>
      <c r="J234" s="193"/>
      <c r="K234" s="190"/>
      <c r="L234" s="190"/>
      <c r="M234" s="190"/>
      <c r="N234" s="190"/>
      <c r="O234" s="184">
        <f t="shared" ref="O234:O285" si="8">SUM(H234:N234)</f>
        <v>100</v>
      </c>
      <c r="P234" s="204"/>
      <c r="Q234" s="204"/>
      <c r="R234" s="190">
        <v>623.54999999999995</v>
      </c>
      <c r="S234" s="197">
        <v>29160</v>
      </c>
      <c r="T234" s="190"/>
      <c r="U234" s="190"/>
      <c r="V234" s="166">
        <f t="shared" si="7"/>
        <v>0</v>
      </c>
      <c r="W234" s="190">
        <v>18.55</v>
      </c>
      <c r="X234" s="190">
        <v>20.2</v>
      </c>
      <c r="Y234" s="190"/>
      <c r="Z234" s="190">
        <v>137.91999999999999</v>
      </c>
      <c r="AA234" s="190">
        <v>30.7</v>
      </c>
      <c r="AB234" s="190"/>
      <c r="AC234" s="199" t="s">
        <v>404</v>
      </c>
    </row>
    <row r="235" spans="1:29" ht="18.75" hidden="1" thickBot="1" x14ac:dyDescent="0.3">
      <c r="A235" s="168">
        <v>57</v>
      </c>
      <c r="B235" s="203"/>
      <c r="C235" s="189" t="s">
        <v>453</v>
      </c>
      <c r="D235" s="204">
        <v>1066.75</v>
      </c>
      <c r="E235" s="204"/>
      <c r="F235" s="204">
        <v>5.1100000000000003</v>
      </c>
      <c r="G235" s="205"/>
      <c r="H235" s="192">
        <v>140</v>
      </c>
      <c r="I235" s="205"/>
      <c r="J235" s="193">
        <v>183.91</v>
      </c>
      <c r="K235" s="205"/>
      <c r="L235" s="204"/>
      <c r="M235" s="204"/>
      <c r="N235" s="205"/>
      <c r="O235" s="184">
        <f t="shared" si="8"/>
        <v>323.90999999999997</v>
      </c>
      <c r="P235" s="205"/>
      <c r="Q235" s="205"/>
      <c r="R235" s="190">
        <v>230.5</v>
      </c>
      <c r="S235" s="197">
        <v>14400.76</v>
      </c>
      <c r="T235" s="204"/>
      <c r="U235" s="205"/>
      <c r="V235" s="166">
        <f t="shared" si="7"/>
        <v>0</v>
      </c>
      <c r="W235" s="204">
        <v>7.15</v>
      </c>
      <c r="X235" s="204">
        <v>9.4499999999999993</v>
      </c>
      <c r="Y235" s="205"/>
      <c r="Z235" s="204"/>
      <c r="AA235" s="204">
        <v>2.34</v>
      </c>
      <c r="AB235" s="205"/>
      <c r="AC235" s="199" t="s">
        <v>396</v>
      </c>
    </row>
    <row r="236" spans="1:29" ht="18.75" hidden="1" thickBot="1" x14ac:dyDescent="0.3">
      <c r="A236" s="155">
        <v>58</v>
      </c>
      <c r="B236" s="210"/>
      <c r="C236" s="189" t="s">
        <v>454</v>
      </c>
      <c r="D236" s="204">
        <v>1285.48</v>
      </c>
      <c r="E236" s="204">
        <v>68.77</v>
      </c>
      <c r="F236" s="204">
        <v>16.260000000000002</v>
      </c>
      <c r="G236" s="205"/>
      <c r="H236" s="192">
        <v>150</v>
      </c>
      <c r="I236" s="205"/>
      <c r="J236" s="193">
        <v>235.17</v>
      </c>
      <c r="K236" s="205"/>
      <c r="L236" s="204"/>
      <c r="M236" s="204"/>
      <c r="N236" s="205"/>
      <c r="O236" s="184">
        <f t="shared" si="8"/>
        <v>385.16999999999996</v>
      </c>
      <c r="P236" s="205"/>
      <c r="Q236" s="205"/>
      <c r="R236" s="190">
        <v>321.83999999999997</v>
      </c>
      <c r="S236" s="197">
        <v>18645.87</v>
      </c>
      <c r="T236" s="204">
        <v>3.04</v>
      </c>
      <c r="U236" s="205"/>
      <c r="V236" s="166">
        <f t="shared" si="7"/>
        <v>3.04</v>
      </c>
      <c r="W236" s="204">
        <v>9.9</v>
      </c>
      <c r="X236" s="204">
        <v>12.55</v>
      </c>
      <c r="Y236" s="205"/>
      <c r="Z236" s="204">
        <v>23.07</v>
      </c>
      <c r="AA236" s="204">
        <v>10.52</v>
      </c>
      <c r="AB236" s="205"/>
      <c r="AC236" s="199" t="s">
        <v>396</v>
      </c>
    </row>
    <row r="237" spans="1:29" ht="18.75" hidden="1" thickBot="1" x14ac:dyDescent="0.3">
      <c r="A237" s="168">
        <v>59</v>
      </c>
      <c r="B237" s="203"/>
      <c r="C237" s="189" t="s">
        <v>455</v>
      </c>
      <c r="D237" s="204">
        <v>1044.94</v>
      </c>
      <c r="E237" s="204"/>
      <c r="F237" s="204">
        <v>5.33</v>
      </c>
      <c r="G237" s="205"/>
      <c r="H237" s="192">
        <v>50</v>
      </c>
      <c r="I237" s="205"/>
      <c r="J237" s="193"/>
      <c r="K237" s="205"/>
      <c r="L237" s="204"/>
      <c r="M237" s="204"/>
      <c r="N237" s="205"/>
      <c r="O237" s="184">
        <f t="shared" si="8"/>
        <v>50</v>
      </c>
      <c r="P237" s="205"/>
      <c r="Q237" s="205"/>
      <c r="R237" s="190">
        <v>230.5</v>
      </c>
      <c r="S237" s="197">
        <v>13868.949999999999</v>
      </c>
      <c r="T237" s="204"/>
      <c r="U237" s="205"/>
      <c r="V237" s="166">
        <f t="shared" si="7"/>
        <v>0</v>
      </c>
      <c r="W237" s="204">
        <v>6.55</v>
      </c>
      <c r="X237" s="204">
        <v>7.95</v>
      </c>
      <c r="Y237" s="205"/>
      <c r="Z237" s="204"/>
      <c r="AA237" s="204"/>
      <c r="AB237" s="205"/>
      <c r="AC237" s="199" t="s">
        <v>396</v>
      </c>
    </row>
    <row r="238" spans="1:29" ht="18.75" hidden="1" thickBot="1" x14ac:dyDescent="0.3">
      <c r="A238" s="155">
        <v>60</v>
      </c>
      <c r="B238" s="210"/>
      <c r="C238" s="189" t="s">
        <v>456</v>
      </c>
      <c r="D238" s="204">
        <v>1109.46</v>
      </c>
      <c r="E238" s="204"/>
      <c r="F238" s="204">
        <v>5.33</v>
      </c>
      <c r="G238" s="205"/>
      <c r="H238" s="192">
        <v>145</v>
      </c>
      <c r="I238" s="205"/>
      <c r="J238" s="193"/>
      <c r="K238" s="205"/>
      <c r="L238" s="204"/>
      <c r="M238" s="204"/>
      <c r="N238" s="205"/>
      <c r="O238" s="184">
        <f t="shared" si="8"/>
        <v>145</v>
      </c>
      <c r="P238" s="205"/>
      <c r="Q238" s="205"/>
      <c r="R238" s="190">
        <v>234.5</v>
      </c>
      <c r="S238" s="197">
        <v>14713.539999999999</v>
      </c>
      <c r="T238" s="204"/>
      <c r="U238" s="205"/>
      <c r="V238" s="166">
        <f t="shared" si="7"/>
        <v>0</v>
      </c>
      <c r="W238" s="204">
        <v>7.8</v>
      </c>
      <c r="X238" s="204">
        <v>9.15</v>
      </c>
      <c r="Y238" s="205"/>
      <c r="Z238" s="204"/>
      <c r="AA238" s="204">
        <v>1.44</v>
      </c>
      <c r="AB238" s="205"/>
      <c r="AC238" s="199" t="s">
        <v>396</v>
      </c>
    </row>
    <row r="239" spans="1:29" ht="18.75" hidden="1" thickBot="1" x14ac:dyDescent="0.3">
      <c r="A239" s="168">
        <v>61</v>
      </c>
      <c r="B239" s="203"/>
      <c r="C239" s="189" t="s">
        <v>457</v>
      </c>
      <c r="D239" s="204">
        <v>986.29</v>
      </c>
      <c r="E239" s="204"/>
      <c r="F239" s="204">
        <v>5.36</v>
      </c>
      <c r="G239" s="205"/>
      <c r="H239" s="192">
        <v>145</v>
      </c>
      <c r="I239" s="205"/>
      <c r="J239" s="193"/>
      <c r="K239" s="205"/>
      <c r="L239" s="204"/>
      <c r="M239" s="204"/>
      <c r="N239" s="205"/>
      <c r="O239" s="184">
        <f t="shared" si="8"/>
        <v>145</v>
      </c>
      <c r="P239" s="205"/>
      <c r="Q239" s="205"/>
      <c r="R239" s="190">
        <v>214.5</v>
      </c>
      <c r="S239" s="197">
        <v>12556.95</v>
      </c>
      <c r="T239" s="204"/>
      <c r="U239" s="205"/>
      <c r="V239" s="166">
        <f t="shared" si="7"/>
        <v>0</v>
      </c>
      <c r="W239" s="204">
        <v>6.25</v>
      </c>
      <c r="X239" s="204">
        <v>8.1999999999999993</v>
      </c>
      <c r="Y239" s="205"/>
      <c r="Z239" s="204"/>
      <c r="AA239" s="204"/>
      <c r="AB239" s="205"/>
      <c r="AC239" s="199" t="s">
        <v>396</v>
      </c>
    </row>
    <row r="240" spans="1:29" ht="18.75" hidden="1" thickBot="1" x14ac:dyDescent="0.3">
      <c r="A240" s="155">
        <v>62</v>
      </c>
      <c r="B240" s="210"/>
      <c r="C240" s="189" t="s">
        <v>458</v>
      </c>
      <c r="D240" s="204">
        <v>1010.68</v>
      </c>
      <c r="E240" s="204"/>
      <c r="F240" s="204">
        <v>5.09</v>
      </c>
      <c r="G240" s="205"/>
      <c r="H240" s="192">
        <v>100</v>
      </c>
      <c r="I240" s="205"/>
      <c r="J240" s="193"/>
      <c r="K240" s="205"/>
      <c r="L240" s="204"/>
      <c r="M240" s="204"/>
      <c r="N240" s="205"/>
      <c r="O240" s="184">
        <f t="shared" si="8"/>
        <v>100</v>
      </c>
      <c r="P240" s="205"/>
      <c r="Q240" s="205"/>
      <c r="R240" s="190">
        <v>228.5</v>
      </c>
      <c r="S240" s="197">
        <v>13679.54</v>
      </c>
      <c r="T240" s="204"/>
      <c r="U240" s="205"/>
      <c r="V240" s="166">
        <f t="shared" si="7"/>
        <v>0</v>
      </c>
      <c r="W240" s="204">
        <v>7.15</v>
      </c>
      <c r="X240" s="204">
        <v>8.0500000000000007</v>
      </c>
      <c r="Y240" s="205"/>
      <c r="Z240" s="204"/>
      <c r="AA240" s="204"/>
      <c r="AB240" s="205"/>
      <c r="AC240" s="199" t="s">
        <v>396</v>
      </c>
    </row>
    <row r="241" spans="1:29" ht="18.75" hidden="1" thickBot="1" x14ac:dyDescent="0.3">
      <c r="A241" s="168">
        <v>63</v>
      </c>
      <c r="B241" s="203"/>
      <c r="C241" s="189" t="s">
        <v>459</v>
      </c>
      <c r="D241" s="204">
        <v>1044.94</v>
      </c>
      <c r="E241" s="204"/>
      <c r="F241" s="204">
        <v>5.33</v>
      </c>
      <c r="G241" s="205"/>
      <c r="H241" s="192">
        <v>50</v>
      </c>
      <c r="I241" s="205"/>
      <c r="J241" s="193">
        <v>181.91</v>
      </c>
      <c r="K241" s="205"/>
      <c r="L241" s="204"/>
      <c r="M241" s="204"/>
      <c r="N241" s="205"/>
      <c r="O241" s="184">
        <f t="shared" si="8"/>
        <v>231.91</v>
      </c>
      <c r="P241" s="205"/>
      <c r="Q241" s="205"/>
      <c r="R241" s="190">
        <v>230.5</v>
      </c>
      <c r="S241" s="197">
        <v>23977.65</v>
      </c>
      <c r="T241" s="204">
        <v>6.87</v>
      </c>
      <c r="U241" s="205"/>
      <c r="V241" s="166">
        <f t="shared" si="7"/>
        <v>6.87</v>
      </c>
      <c r="W241" s="204">
        <v>6.55</v>
      </c>
      <c r="X241" s="204">
        <v>9.1</v>
      </c>
      <c r="Y241" s="205"/>
      <c r="Z241" s="204"/>
      <c r="AA241" s="204">
        <v>1.34</v>
      </c>
      <c r="AB241" s="205"/>
      <c r="AC241" s="199" t="s">
        <v>396</v>
      </c>
    </row>
    <row r="242" spans="1:29" ht="18.75" hidden="1" thickBot="1" x14ac:dyDescent="0.3">
      <c r="A242" s="155">
        <v>64</v>
      </c>
      <c r="B242" s="210"/>
      <c r="C242" s="224" t="s">
        <v>460</v>
      </c>
      <c r="D242" s="190">
        <v>1689.39</v>
      </c>
      <c r="E242" s="190">
        <v>384.44</v>
      </c>
      <c r="F242" s="190">
        <v>78.709999999999994</v>
      </c>
      <c r="G242" s="190"/>
      <c r="H242" s="192">
        <v>150</v>
      </c>
      <c r="I242" s="190"/>
      <c r="J242" s="193"/>
      <c r="K242" s="190"/>
      <c r="L242" s="190">
        <v>15</v>
      </c>
      <c r="M242" s="190"/>
      <c r="N242" s="190"/>
      <c r="O242" s="184">
        <f t="shared" si="8"/>
        <v>165</v>
      </c>
      <c r="P242" s="204"/>
      <c r="Q242" s="204"/>
      <c r="R242" s="190">
        <v>503.48</v>
      </c>
      <c r="S242" s="197">
        <v>29160</v>
      </c>
      <c r="T242" s="190"/>
      <c r="U242" s="190">
        <v>4.54</v>
      </c>
      <c r="V242" s="166">
        <f t="shared" si="7"/>
        <v>4.54</v>
      </c>
      <c r="W242" s="190">
        <v>15.2</v>
      </c>
      <c r="X242" s="190">
        <v>16.600000000000001</v>
      </c>
      <c r="Y242" s="190"/>
      <c r="Z242" s="190">
        <v>93.22</v>
      </c>
      <c r="AA242" s="190">
        <v>21.24</v>
      </c>
      <c r="AB242" s="190"/>
      <c r="AC242" s="199" t="s">
        <v>404</v>
      </c>
    </row>
    <row r="243" spans="1:29" ht="18.75" hidden="1" thickBot="1" x14ac:dyDescent="0.3">
      <c r="A243" s="168">
        <v>65</v>
      </c>
      <c r="B243" s="203"/>
      <c r="C243" s="189" t="s">
        <v>461</v>
      </c>
      <c r="D243" s="204">
        <v>1526.69</v>
      </c>
      <c r="E243" s="204">
        <v>177.77</v>
      </c>
      <c r="F243" s="204">
        <v>52.81</v>
      </c>
      <c r="G243" s="205"/>
      <c r="H243" s="192">
        <v>50</v>
      </c>
      <c r="I243" s="205"/>
      <c r="J243" s="193"/>
      <c r="K243" s="205"/>
      <c r="L243" s="204"/>
      <c r="M243" s="204"/>
      <c r="N243" s="205"/>
      <c r="O243" s="184">
        <f t="shared" si="8"/>
        <v>50</v>
      </c>
      <c r="P243" s="205"/>
      <c r="Q243" s="205"/>
      <c r="R243" s="190">
        <v>409.25</v>
      </c>
      <c r="S243" s="197">
        <v>23333.649999999998</v>
      </c>
      <c r="T243" s="204"/>
      <c r="U243" s="205"/>
      <c r="V243" s="166">
        <f t="shared" si="7"/>
        <v>0</v>
      </c>
      <c r="W243" s="204">
        <v>11.75</v>
      </c>
      <c r="X243" s="204">
        <v>13.05</v>
      </c>
      <c r="Y243" s="205"/>
      <c r="Z243" s="204">
        <v>47.63</v>
      </c>
      <c r="AA243" s="204">
        <v>11.8</v>
      </c>
      <c r="AB243" s="205"/>
      <c r="AC243" s="199" t="s">
        <v>396</v>
      </c>
    </row>
    <row r="244" spans="1:29" ht="18.75" hidden="1" thickBot="1" x14ac:dyDescent="0.3">
      <c r="A244" s="155">
        <v>66</v>
      </c>
      <c r="B244" s="225"/>
      <c r="C244" s="226" t="s">
        <v>462</v>
      </c>
      <c r="D244" s="204">
        <v>1041.1300000000001</v>
      </c>
      <c r="E244" s="204"/>
      <c r="F244" s="204">
        <v>5.68</v>
      </c>
      <c r="G244" s="205"/>
      <c r="H244" s="192">
        <v>145</v>
      </c>
      <c r="I244" s="205"/>
      <c r="J244" s="193"/>
      <c r="K244" s="205"/>
      <c r="L244" s="204"/>
      <c r="M244" s="204"/>
      <c r="N244" s="205"/>
      <c r="O244" s="184">
        <f t="shared" si="8"/>
        <v>145</v>
      </c>
      <c r="P244" s="205"/>
      <c r="Q244" s="205"/>
      <c r="R244" s="190">
        <v>218.5</v>
      </c>
      <c r="S244" s="197">
        <v>14054.59</v>
      </c>
      <c r="T244" s="204"/>
      <c r="U244" s="205"/>
      <c r="V244" s="166">
        <f t="shared" si="7"/>
        <v>0</v>
      </c>
      <c r="W244" s="204">
        <v>7.7</v>
      </c>
      <c r="X244" s="204">
        <v>8</v>
      </c>
      <c r="Y244" s="205"/>
      <c r="Z244" s="204"/>
      <c r="AA244" s="204"/>
      <c r="AB244" s="205"/>
      <c r="AC244" s="199" t="s">
        <v>396</v>
      </c>
    </row>
    <row r="245" spans="1:29" ht="18.75" hidden="1" thickBot="1" x14ac:dyDescent="0.3">
      <c r="A245" s="168">
        <v>67</v>
      </c>
      <c r="B245" s="203"/>
      <c r="C245" s="189" t="s">
        <v>463</v>
      </c>
      <c r="D245" s="204">
        <v>1010.68</v>
      </c>
      <c r="E245" s="204"/>
      <c r="F245" s="204">
        <v>5.09</v>
      </c>
      <c r="G245" s="205"/>
      <c r="H245" s="192">
        <v>145</v>
      </c>
      <c r="I245" s="205"/>
      <c r="J245" s="193"/>
      <c r="K245" s="205"/>
      <c r="L245" s="204"/>
      <c r="M245" s="204"/>
      <c r="N245" s="205"/>
      <c r="O245" s="184">
        <f t="shared" si="8"/>
        <v>145</v>
      </c>
      <c r="P245" s="205"/>
      <c r="Q245" s="205"/>
      <c r="R245" s="190">
        <v>228.5</v>
      </c>
      <c r="S245" s="197">
        <v>13589.54</v>
      </c>
      <c r="T245" s="204"/>
      <c r="U245" s="205"/>
      <c r="V245" s="166">
        <f t="shared" si="7"/>
        <v>0</v>
      </c>
      <c r="W245" s="204">
        <v>7.45</v>
      </c>
      <c r="X245" s="204">
        <v>8.4</v>
      </c>
      <c r="Y245" s="205"/>
      <c r="Z245" s="204"/>
      <c r="AA245" s="204"/>
      <c r="AB245" s="205"/>
      <c r="AC245" s="199" t="s">
        <v>396</v>
      </c>
    </row>
    <row r="246" spans="1:29" ht="18.75" hidden="1" thickBot="1" x14ac:dyDescent="0.3">
      <c r="A246" s="155">
        <v>68</v>
      </c>
      <c r="B246" s="210"/>
      <c r="C246" s="189" t="s">
        <v>464</v>
      </c>
      <c r="D246" s="204">
        <v>1045.8399999999999</v>
      </c>
      <c r="E246" s="204"/>
      <c r="F246" s="204">
        <v>5.67</v>
      </c>
      <c r="G246" s="205"/>
      <c r="H246" s="192">
        <v>145</v>
      </c>
      <c r="I246" s="205"/>
      <c r="J246" s="193">
        <v>95.16</v>
      </c>
      <c r="K246" s="205"/>
      <c r="L246" s="204"/>
      <c r="M246" s="204"/>
      <c r="N246" s="205"/>
      <c r="O246" s="184">
        <f t="shared" si="8"/>
        <v>240.16</v>
      </c>
      <c r="P246" s="205"/>
      <c r="Q246" s="205"/>
      <c r="R246" s="190">
        <v>222.5</v>
      </c>
      <c r="S246" s="197">
        <v>16106.97</v>
      </c>
      <c r="T246" s="204"/>
      <c r="U246" s="205"/>
      <c r="V246" s="166">
        <f t="shared" si="7"/>
        <v>0</v>
      </c>
      <c r="W246" s="204">
        <v>6.6</v>
      </c>
      <c r="X246" s="204">
        <v>9.3000000000000007</v>
      </c>
      <c r="Y246" s="205"/>
      <c r="Z246" s="204"/>
      <c r="AA246" s="204">
        <v>1.85</v>
      </c>
      <c r="AB246" s="205"/>
      <c r="AC246" s="199" t="s">
        <v>396</v>
      </c>
    </row>
    <row r="247" spans="1:29" ht="18.75" hidden="1" thickBot="1" x14ac:dyDescent="0.3">
      <c r="A247" s="168">
        <v>69</v>
      </c>
      <c r="B247" s="203"/>
      <c r="C247" s="189" t="s">
        <v>465</v>
      </c>
      <c r="D247" s="204">
        <v>1231.69</v>
      </c>
      <c r="E247" s="204">
        <v>44.68</v>
      </c>
      <c r="F247" s="204">
        <v>8.0500000000000007</v>
      </c>
      <c r="G247" s="205"/>
      <c r="H247" s="192">
        <v>95</v>
      </c>
      <c r="I247" s="205"/>
      <c r="J247" s="193">
        <v>235.17</v>
      </c>
      <c r="K247" s="205"/>
      <c r="L247" s="204"/>
      <c r="M247" s="204"/>
      <c r="N247" s="205"/>
      <c r="O247" s="184">
        <f t="shared" si="8"/>
        <v>330.16999999999996</v>
      </c>
      <c r="P247" s="205"/>
      <c r="Q247" s="205"/>
      <c r="R247" s="190">
        <v>302.89</v>
      </c>
      <c r="S247" s="197">
        <v>17364.48</v>
      </c>
      <c r="T247" s="204"/>
      <c r="U247" s="205"/>
      <c r="V247" s="166">
        <f t="shared" si="7"/>
        <v>0</v>
      </c>
      <c r="W247" s="204">
        <v>9.1</v>
      </c>
      <c r="X247" s="204">
        <v>11.55</v>
      </c>
      <c r="Y247" s="205"/>
      <c r="Z247" s="204">
        <v>12.94</v>
      </c>
      <c r="AA247" s="204">
        <v>7.85</v>
      </c>
      <c r="AB247" s="205"/>
      <c r="AC247" s="199" t="s">
        <v>396</v>
      </c>
    </row>
    <row r="248" spans="1:29" ht="18.75" hidden="1" thickBot="1" x14ac:dyDescent="0.3">
      <c r="A248" s="155">
        <v>70</v>
      </c>
      <c r="B248" s="210"/>
      <c r="C248" s="189" t="s">
        <v>466</v>
      </c>
      <c r="D248" s="204">
        <v>1044.94</v>
      </c>
      <c r="E248" s="204"/>
      <c r="F248" s="204">
        <v>5.33</v>
      </c>
      <c r="G248" s="205"/>
      <c r="H248" s="192">
        <v>150</v>
      </c>
      <c r="I248" s="205"/>
      <c r="J248" s="193"/>
      <c r="K248" s="205"/>
      <c r="L248" s="204"/>
      <c r="M248" s="204"/>
      <c r="N248" s="205"/>
      <c r="O248" s="184">
        <f t="shared" si="8"/>
        <v>150</v>
      </c>
      <c r="P248" s="205"/>
      <c r="Q248" s="205"/>
      <c r="R248" s="190">
        <v>230.5</v>
      </c>
      <c r="S248" s="197">
        <v>14157.55</v>
      </c>
      <c r="T248" s="204"/>
      <c r="U248" s="205"/>
      <c r="V248" s="166">
        <f t="shared" si="7"/>
        <v>0</v>
      </c>
      <c r="W248" s="204">
        <v>7.8</v>
      </c>
      <c r="X248" s="204">
        <v>8.6999999999999993</v>
      </c>
      <c r="Y248" s="205"/>
      <c r="Z248" s="204"/>
      <c r="AA248" s="204">
        <v>0.24</v>
      </c>
      <c r="AB248" s="205"/>
      <c r="AC248" s="199" t="s">
        <v>396</v>
      </c>
    </row>
    <row r="249" spans="1:29" ht="18.75" hidden="1" thickBot="1" x14ac:dyDescent="0.3">
      <c r="A249" s="168">
        <v>71</v>
      </c>
      <c r="B249" s="203"/>
      <c r="C249" s="189" t="s">
        <v>467</v>
      </c>
      <c r="D249" s="204">
        <v>1040.56</v>
      </c>
      <c r="E249" s="204"/>
      <c r="F249" s="204">
        <v>5.65</v>
      </c>
      <c r="G249" s="205"/>
      <c r="H249" s="192">
        <v>95</v>
      </c>
      <c r="I249" s="205"/>
      <c r="J249" s="193"/>
      <c r="K249" s="205"/>
      <c r="L249" s="204"/>
      <c r="M249" s="204"/>
      <c r="N249" s="205"/>
      <c r="O249" s="184">
        <f t="shared" si="8"/>
        <v>95</v>
      </c>
      <c r="P249" s="205"/>
      <c r="Q249" s="205"/>
      <c r="R249" s="190">
        <v>220.5</v>
      </c>
      <c r="S249" s="197">
        <v>13225.149999999998</v>
      </c>
      <c r="T249" s="204"/>
      <c r="U249" s="205"/>
      <c r="V249" s="166">
        <f t="shared" si="7"/>
        <v>0</v>
      </c>
      <c r="W249" s="204">
        <v>3.45</v>
      </c>
      <c r="X249" s="204">
        <v>8.25</v>
      </c>
      <c r="Y249" s="205"/>
      <c r="Z249" s="204"/>
      <c r="AA249" s="204"/>
      <c r="AB249" s="205"/>
      <c r="AC249" s="199" t="s">
        <v>396</v>
      </c>
    </row>
    <row r="250" spans="1:29" ht="18.75" hidden="1" thickBot="1" x14ac:dyDescent="0.3">
      <c r="A250" s="155">
        <v>72</v>
      </c>
      <c r="B250" s="210"/>
      <c r="C250" s="189" t="s">
        <v>468</v>
      </c>
      <c r="D250" s="204">
        <v>1283.8699999999999</v>
      </c>
      <c r="E250" s="204">
        <v>53.86</v>
      </c>
      <c r="F250" s="204">
        <v>11.28</v>
      </c>
      <c r="G250" s="205"/>
      <c r="H250" s="192">
        <v>145</v>
      </c>
      <c r="I250" s="205"/>
      <c r="J250" s="193"/>
      <c r="K250" s="205"/>
      <c r="L250" s="204"/>
      <c r="M250" s="204"/>
      <c r="N250" s="205"/>
      <c r="O250" s="184">
        <f t="shared" si="8"/>
        <v>145</v>
      </c>
      <c r="P250" s="205"/>
      <c r="Q250" s="205"/>
      <c r="R250" s="190">
        <v>310.12</v>
      </c>
      <c r="S250" s="197">
        <v>22598.28</v>
      </c>
      <c r="T250" s="204">
        <v>9.16</v>
      </c>
      <c r="U250" s="205"/>
      <c r="V250" s="166">
        <f t="shared" si="7"/>
        <v>9.16</v>
      </c>
      <c r="W250" s="204">
        <v>10.5</v>
      </c>
      <c r="X250" s="204">
        <v>10.75</v>
      </c>
      <c r="Y250" s="205"/>
      <c r="Z250" s="204">
        <v>30.15</v>
      </c>
      <c r="AA250" s="204">
        <v>5.77</v>
      </c>
      <c r="AB250" s="205"/>
      <c r="AC250" s="199" t="s">
        <v>396</v>
      </c>
    </row>
    <row r="251" spans="1:29" ht="18.75" hidden="1" thickBot="1" x14ac:dyDescent="0.3">
      <c r="A251" s="168">
        <v>73</v>
      </c>
      <c r="B251" s="203"/>
      <c r="C251" s="224" t="s">
        <v>469</v>
      </c>
      <c r="D251" s="190">
        <v>2137.75</v>
      </c>
      <c r="E251" s="190">
        <v>715.88</v>
      </c>
      <c r="F251" s="190">
        <v>108.34</v>
      </c>
      <c r="G251" s="190">
        <v>70.06</v>
      </c>
      <c r="H251" s="192">
        <v>100</v>
      </c>
      <c r="I251" s="190"/>
      <c r="J251" s="193"/>
      <c r="K251" s="190"/>
      <c r="L251" s="190"/>
      <c r="M251" s="190"/>
      <c r="N251" s="190"/>
      <c r="O251" s="184">
        <f t="shared" si="8"/>
        <v>100</v>
      </c>
      <c r="P251" s="204"/>
      <c r="Q251" s="204"/>
      <c r="R251" s="190">
        <v>700.67</v>
      </c>
      <c r="S251" s="197">
        <v>29160</v>
      </c>
      <c r="T251" s="190"/>
      <c r="U251" s="190"/>
      <c r="V251" s="166">
        <f t="shared" si="7"/>
        <v>0</v>
      </c>
      <c r="W251" s="190">
        <v>20.6</v>
      </c>
      <c r="X251" s="190">
        <v>22.3</v>
      </c>
      <c r="Y251" s="190"/>
      <c r="Z251" s="190">
        <v>165.03</v>
      </c>
      <c r="AA251" s="190">
        <v>36.229999999999997</v>
      </c>
      <c r="AB251" s="190"/>
      <c r="AC251" s="199" t="s">
        <v>404</v>
      </c>
    </row>
    <row r="252" spans="1:29" ht="18.75" hidden="1" thickBot="1" x14ac:dyDescent="0.3">
      <c r="A252" s="155">
        <v>74</v>
      </c>
      <c r="B252" s="210"/>
      <c r="C252" s="189" t="s">
        <v>470</v>
      </c>
      <c r="D252" s="204">
        <v>1485.95</v>
      </c>
      <c r="E252" s="204">
        <v>128.9</v>
      </c>
      <c r="F252" s="204">
        <v>36.17</v>
      </c>
      <c r="G252" s="205"/>
      <c r="H252" s="192">
        <v>150</v>
      </c>
      <c r="I252" s="205"/>
      <c r="J252" s="193">
        <v>235.01</v>
      </c>
      <c r="K252" s="205"/>
      <c r="L252" s="204"/>
      <c r="M252" s="204"/>
      <c r="N252" s="205"/>
      <c r="O252" s="184">
        <f t="shared" si="8"/>
        <v>385.01</v>
      </c>
      <c r="P252" s="205"/>
      <c r="Q252" s="205"/>
      <c r="R252" s="190">
        <v>369.2</v>
      </c>
      <c r="S252" s="197">
        <v>29160.010000000002</v>
      </c>
      <c r="T252" s="204"/>
      <c r="U252" s="205"/>
      <c r="V252" s="166">
        <f t="shared" si="7"/>
        <v>0</v>
      </c>
      <c r="W252" s="204">
        <v>11.3</v>
      </c>
      <c r="X252" s="204">
        <v>14.65</v>
      </c>
      <c r="Y252" s="205"/>
      <c r="Z252" s="204">
        <v>41.91</v>
      </c>
      <c r="AA252" s="204">
        <v>15.99</v>
      </c>
      <c r="AB252" s="205"/>
      <c r="AC252" s="199" t="s">
        <v>396</v>
      </c>
    </row>
    <row r="253" spans="1:29" ht="18.75" hidden="1" thickBot="1" x14ac:dyDescent="0.3">
      <c r="A253" s="168">
        <v>75</v>
      </c>
      <c r="B253" s="203"/>
      <c r="C253" s="189" t="s">
        <v>471</v>
      </c>
      <c r="D253" s="204">
        <v>1344.4</v>
      </c>
      <c r="E253" s="204">
        <v>27.16</v>
      </c>
      <c r="F253" s="204">
        <v>17.57</v>
      </c>
      <c r="G253" s="205"/>
      <c r="H253" s="192">
        <v>150</v>
      </c>
      <c r="I253" s="205"/>
      <c r="J253" s="193">
        <v>199.58</v>
      </c>
      <c r="K253" s="205"/>
      <c r="L253" s="204"/>
      <c r="M253" s="204"/>
      <c r="N253" s="205"/>
      <c r="O253" s="184">
        <f t="shared" si="8"/>
        <v>349.58000000000004</v>
      </c>
      <c r="P253" s="205"/>
      <c r="Q253" s="205"/>
      <c r="R253" s="190">
        <v>324.52</v>
      </c>
      <c r="S253" s="197">
        <v>27816.560000000001</v>
      </c>
      <c r="T253" s="204"/>
      <c r="U253" s="205"/>
      <c r="V253" s="166">
        <f t="shared" si="7"/>
        <v>0</v>
      </c>
      <c r="W253" s="204">
        <v>10</v>
      </c>
      <c r="X253" s="204">
        <v>13.85</v>
      </c>
      <c r="Y253" s="205"/>
      <c r="Z253" s="204">
        <v>24.52</v>
      </c>
      <c r="AA253" s="204">
        <v>13.95</v>
      </c>
      <c r="AB253" s="205"/>
      <c r="AC253" s="199" t="s">
        <v>396</v>
      </c>
    </row>
    <row r="254" spans="1:29" ht="18.75" hidden="1" thickBot="1" x14ac:dyDescent="0.3">
      <c r="A254" s="155">
        <v>76</v>
      </c>
      <c r="B254" s="210"/>
      <c r="C254" s="224" t="s">
        <v>472</v>
      </c>
      <c r="D254" s="190">
        <v>2382.7199999999998</v>
      </c>
      <c r="E254" s="190">
        <v>830.16</v>
      </c>
      <c r="F254" s="190">
        <v>124.08</v>
      </c>
      <c r="G254" s="190">
        <v>78.900000000000006</v>
      </c>
      <c r="H254" s="192">
        <v>100</v>
      </c>
      <c r="I254" s="190"/>
      <c r="J254" s="193"/>
      <c r="K254" s="190"/>
      <c r="L254" s="190">
        <v>30</v>
      </c>
      <c r="M254" s="190"/>
      <c r="N254" s="190"/>
      <c r="O254" s="184">
        <f t="shared" si="8"/>
        <v>130</v>
      </c>
      <c r="P254" s="204"/>
      <c r="Q254" s="204"/>
      <c r="R254" s="190">
        <v>789.08</v>
      </c>
      <c r="S254" s="197">
        <v>29160</v>
      </c>
      <c r="T254" s="190"/>
      <c r="U254" s="190"/>
      <c r="V254" s="166">
        <f t="shared" si="7"/>
        <v>0</v>
      </c>
      <c r="W254" s="190">
        <v>23.45</v>
      </c>
      <c r="X254" s="190">
        <v>25.4</v>
      </c>
      <c r="Y254" s="190"/>
      <c r="Z254" s="190">
        <v>206.26</v>
      </c>
      <c r="AA254" s="190">
        <v>143.12</v>
      </c>
      <c r="AB254" s="190"/>
      <c r="AC254" s="199" t="s">
        <v>404</v>
      </c>
    </row>
    <row r="255" spans="1:29" ht="18.75" hidden="1" thickBot="1" x14ac:dyDescent="0.3">
      <c r="A255" s="168">
        <v>77</v>
      </c>
      <c r="B255" s="203"/>
      <c r="C255" s="189" t="s">
        <v>473</v>
      </c>
      <c r="D255" s="190">
        <v>1485.04</v>
      </c>
      <c r="E255" s="190">
        <v>200.32</v>
      </c>
      <c r="F255" s="190">
        <v>47.39</v>
      </c>
      <c r="G255" s="190"/>
      <c r="H255" s="192">
        <v>50</v>
      </c>
      <c r="I255" s="190"/>
      <c r="J255" s="193"/>
      <c r="K255" s="190"/>
      <c r="L255" s="190"/>
      <c r="M255" s="190"/>
      <c r="N255" s="190"/>
      <c r="O255" s="184">
        <f t="shared" si="8"/>
        <v>50</v>
      </c>
      <c r="P255" s="204"/>
      <c r="Q255" s="204"/>
      <c r="R255" s="190">
        <v>398.67</v>
      </c>
      <c r="S255" s="197">
        <v>22704.110000000004</v>
      </c>
      <c r="T255" s="190"/>
      <c r="U255" s="190"/>
      <c r="V255" s="166">
        <f t="shared" si="7"/>
        <v>0</v>
      </c>
      <c r="W255" s="190">
        <v>11.7</v>
      </c>
      <c r="X255" s="190">
        <v>12.95</v>
      </c>
      <c r="Y255" s="190"/>
      <c r="Z255" s="190">
        <v>46.76</v>
      </c>
      <c r="AA255" s="190">
        <v>11.52</v>
      </c>
      <c r="AB255" s="190"/>
      <c r="AC255" s="199" t="s">
        <v>404</v>
      </c>
    </row>
    <row r="256" spans="1:29" ht="18.75" hidden="1" thickBot="1" x14ac:dyDescent="0.3">
      <c r="A256" s="155">
        <v>78</v>
      </c>
      <c r="B256" s="210"/>
      <c r="C256" s="224" t="s">
        <v>474</v>
      </c>
      <c r="D256" s="190">
        <v>2187.17</v>
      </c>
      <c r="E256" s="190">
        <v>608.80999999999995</v>
      </c>
      <c r="F256" s="190">
        <v>107</v>
      </c>
      <c r="G256" s="190">
        <v>68.010000000000005</v>
      </c>
      <c r="H256" s="192">
        <v>150</v>
      </c>
      <c r="I256" s="190"/>
      <c r="J256" s="193"/>
      <c r="K256" s="190"/>
      <c r="L256" s="190"/>
      <c r="M256" s="190"/>
      <c r="N256" s="190"/>
      <c r="O256" s="184">
        <f t="shared" si="8"/>
        <v>150</v>
      </c>
      <c r="P256" s="204"/>
      <c r="Q256" s="204"/>
      <c r="R256" s="190">
        <v>680.15</v>
      </c>
      <c r="S256" s="197">
        <v>29160.009999999995</v>
      </c>
      <c r="T256" s="190"/>
      <c r="U256" s="190"/>
      <c r="V256" s="166">
        <f t="shared" si="7"/>
        <v>0</v>
      </c>
      <c r="W256" s="190">
        <v>20.6</v>
      </c>
      <c r="X256" s="190">
        <v>22.25</v>
      </c>
      <c r="Y256" s="190"/>
      <c r="Z256" s="190">
        <v>164.62</v>
      </c>
      <c r="AA256" s="190">
        <v>36.200000000000003</v>
      </c>
      <c r="AB256" s="190"/>
      <c r="AC256" s="199" t="s">
        <v>404</v>
      </c>
    </row>
    <row r="257" spans="1:29" ht="18.75" hidden="1" thickBot="1" x14ac:dyDescent="0.3">
      <c r="A257" s="168">
        <v>79</v>
      </c>
      <c r="B257" s="203"/>
      <c r="C257" s="189" t="s">
        <v>475</v>
      </c>
      <c r="D257" s="204">
        <v>1044.94</v>
      </c>
      <c r="E257" s="204"/>
      <c r="F257" s="204">
        <v>5.33</v>
      </c>
      <c r="G257" s="205"/>
      <c r="H257" s="192">
        <v>95</v>
      </c>
      <c r="I257" s="205"/>
      <c r="J257" s="193"/>
      <c r="K257" s="205"/>
      <c r="L257" s="204"/>
      <c r="M257" s="204"/>
      <c r="N257" s="205"/>
      <c r="O257" s="184">
        <f t="shared" si="8"/>
        <v>95</v>
      </c>
      <c r="P257" s="205"/>
      <c r="Q257" s="205"/>
      <c r="R257" s="190">
        <v>230.5</v>
      </c>
      <c r="S257" s="197">
        <v>14028.949999999999</v>
      </c>
      <c r="T257" s="204"/>
      <c r="U257" s="205"/>
      <c r="V257" s="166">
        <f t="shared" si="7"/>
        <v>0</v>
      </c>
      <c r="W257" s="204">
        <v>6.55</v>
      </c>
      <c r="X257" s="204">
        <v>8.25</v>
      </c>
      <c r="Y257" s="205"/>
      <c r="Z257" s="204"/>
      <c r="AA257" s="204"/>
      <c r="AB257" s="205"/>
      <c r="AC257" s="199" t="s">
        <v>396</v>
      </c>
    </row>
    <row r="258" spans="1:29" ht="18.75" hidden="1" thickBot="1" x14ac:dyDescent="0.3">
      <c r="A258" s="155">
        <v>80</v>
      </c>
      <c r="B258" s="210"/>
      <c r="C258" s="224" t="s">
        <v>476</v>
      </c>
      <c r="D258" s="190">
        <v>2015.43</v>
      </c>
      <c r="E258" s="190">
        <v>529.65</v>
      </c>
      <c r="F258" s="190">
        <v>96.75</v>
      </c>
      <c r="G258" s="190">
        <v>61.78</v>
      </c>
      <c r="H258" s="192">
        <v>150</v>
      </c>
      <c r="I258" s="190"/>
      <c r="J258" s="193"/>
      <c r="K258" s="190"/>
      <c r="L258" s="190"/>
      <c r="M258" s="190"/>
      <c r="N258" s="190">
        <v>37.5</v>
      </c>
      <c r="O258" s="184">
        <f t="shared" si="8"/>
        <v>187.5</v>
      </c>
      <c r="P258" s="204"/>
      <c r="Q258" s="204"/>
      <c r="R258" s="190">
        <v>617.80999999999995</v>
      </c>
      <c r="S258" s="197">
        <v>29160</v>
      </c>
      <c r="T258" s="190"/>
      <c r="U258" s="190"/>
      <c r="V258" s="166">
        <f t="shared" si="7"/>
        <v>0</v>
      </c>
      <c r="W258" s="190">
        <v>19.05</v>
      </c>
      <c r="X258" s="190">
        <v>21.4</v>
      </c>
      <c r="Y258" s="190"/>
      <c r="Z258" s="190">
        <v>144.35</v>
      </c>
      <c r="AA258" s="190">
        <v>33.869999999999997</v>
      </c>
      <c r="AB258" s="190"/>
      <c r="AC258" s="199" t="s">
        <v>404</v>
      </c>
    </row>
    <row r="259" spans="1:29" ht="18.75" hidden="1" thickBot="1" x14ac:dyDescent="0.3">
      <c r="A259" s="168">
        <v>81</v>
      </c>
      <c r="B259" s="203"/>
      <c r="C259" s="189" t="s">
        <v>477</v>
      </c>
      <c r="D259" s="204">
        <v>1194.73</v>
      </c>
      <c r="E259" s="204"/>
      <c r="F259" s="204">
        <v>6.04</v>
      </c>
      <c r="G259" s="205"/>
      <c r="H259" s="192">
        <v>150</v>
      </c>
      <c r="I259" s="205"/>
      <c r="J259" s="193">
        <v>199.58</v>
      </c>
      <c r="K259" s="205"/>
      <c r="L259" s="204"/>
      <c r="M259" s="204"/>
      <c r="N259" s="205"/>
      <c r="O259" s="184">
        <f t="shared" si="8"/>
        <v>349.58000000000004</v>
      </c>
      <c r="P259" s="205"/>
      <c r="Q259" s="205"/>
      <c r="R259" s="190">
        <v>270.8</v>
      </c>
      <c r="S259" s="197">
        <v>29160</v>
      </c>
      <c r="T259" s="204"/>
      <c r="U259" s="205"/>
      <c r="V259" s="166">
        <f t="shared" si="7"/>
        <v>0</v>
      </c>
      <c r="W259" s="204">
        <v>8.4499999999999993</v>
      </c>
      <c r="X259" s="204">
        <v>11.15</v>
      </c>
      <c r="Y259" s="205"/>
      <c r="Z259" s="204">
        <v>4.2300000000000004</v>
      </c>
      <c r="AA259" s="204">
        <v>6.77</v>
      </c>
      <c r="AB259" s="205"/>
      <c r="AC259" s="199" t="s">
        <v>396</v>
      </c>
    </row>
    <row r="260" spans="1:29" ht="18.75" hidden="1" thickBot="1" x14ac:dyDescent="0.3">
      <c r="A260" s="155">
        <v>82</v>
      </c>
      <c r="B260" s="210"/>
      <c r="C260" s="189" t="s">
        <v>478</v>
      </c>
      <c r="D260" s="204">
        <v>1029.0999999999999</v>
      </c>
      <c r="E260" s="204"/>
      <c r="F260" s="204">
        <v>5.54</v>
      </c>
      <c r="G260" s="205"/>
      <c r="H260" s="192">
        <v>4.7</v>
      </c>
      <c r="I260" s="205"/>
      <c r="J260" s="193"/>
      <c r="K260" s="205"/>
      <c r="L260" s="204"/>
      <c r="M260" s="204"/>
      <c r="N260" s="205"/>
      <c r="O260" s="184">
        <f t="shared" si="8"/>
        <v>4.7</v>
      </c>
      <c r="P260" s="205"/>
      <c r="Q260" s="205"/>
      <c r="R260" s="190">
        <v>206.25</v>
      </c>
      <c r="S260" s="197"/>
      <c r="T260" s="204"/>
      <c r="U260" s="205"/>
      <c r="V260" s="166">
        <f t="shared" ref="V260:V285" si="9">T260+U260</f>
        <v>0</v>
      </c>
      <c r="W260" s="204"/>
      <c r="X260" s="204">
        <v>7.5</v>
      </c>
      <c r="Y260" s="205"/>
      <c r="Z260" s="204"/>
      <c r="AA260" s="204"/>
      <c r="AB260" s="205"/>
      <c r="AC260" s="199" t="s">
        <v>396</v>
      </c>
    </row>
    <row r="261" spans="1:29" ht="18.75" hidden="1" thickBot="1" x14ac:dyDescent="0.3">
      <c r="A261" s="168">
        <v>83</v>
      </c>
      <c r="B261" s="203"/>
      <c r="C261" s="189" t="s">
        <v>479</v>
      </c>
      <c r="D261" s="204">
        <v>1403.33</v>
      </c>
      <c r="E261" s="204">
        <v>117.02</v>
      </c>
      <c r="F261" s="204">
        <v>33.53</v>
      </c>
      <c r="G261" s="205"/>
      <c r="H261" s="192">
        <v>50</v>
      </c>
      <c r="I261" s="205"/>
      <c r="J261" s="193"/>
      <c r="K261" s="205"/>
      <c r="L261" s="204"/>
      <c r="M261" s="204"/>
      <c r="N261" s="205"/>
      <c r="O261" s="184">
        <f t="shared" si="8"/>
        <v>50</v>
      </c>
      <c r="P261" s="205"/>
      <c r="Q261" s="205"/>
      <c r="R261" s="190">
        <v>364.57</v>
      </c>
      <c r="S261" s="197">
        <v>20219.43</v>
      </c>
      <c r="T261" s="204"/>
      <c r="U261" s="205"/>
      <c r="V261" s="166">
        <f t="shared" si="9"/>
        <v>0</v>
      </c>
      <c r="W261" s="204">
        <v>10.4</v>
      </c>
      <c r="X261" s="204">
        <v>11.6</v>
      </c>
      <c r="Y261" s="205"/>
      <c r="Z261" s="204">
        <v>29.65</v>
      </c>
      <c r="AA261" s="204">
        <v>7.94</v>
      </c>
      <c r="AB261" s="205"/>
      <c r="AC261" s="199" t="s">
        <v>396</v>
      </c>
    </row>
    <row r="262" spans="1:29" ht="18.75" hidden="1" thickBot="1" x14ac:dyDescent="0.3">
      <c r="A262" s="155">
        <v>84</v>
      </c>
      <c r="B262" s="210"/>
      <c r="C262" s="189" t="s">
        <v>480</v>
      </c>
      <c r="D262" s="204">
        <v>1349.57</v>
      </c>
      <c r="E262" s="204">
        <v>26.76</v>
      </c>
      <c r="F262" s="204">
        <v>17.61</v>
      </c>
      <c r="G262" s="205"/>
      <c r="H262" s="192">
        <v>150</v>
      </c>
      <c r="I262" s="205"/>
      <c r="J262" s="193"/>
      <c r="K262" s="205"/>
      <c r="L262" s="204">
        <v>15</v>
      </c>
      <c r="M262" s="204"/>
      <c r="N262" s="205"/>
      <c r="O262" s="184">
        <f t="shared" si="8"/>
        <v>165</v>
      </c>
      <c r="P262" s="205"/>
      <c r="Q262" s="205"/>
      <c r="R262" s="190">
        <v>324.2</v>
      </c>
      <c r="S262" s="197">
        <v>18558.16</v>
      </c>
      <c r="T262" s="204"/>
      <c r="U262" s="205"/>
      <c r="V262" s="166">
        <f t="shared" si="9"/>
        <v>0</v>
      </c>
      <c r="W262" s="204">
        <v>10.15</v>
      </c>
      <c r="X262" s="204">
        <v>11.35</v>
      </c>
      <c r="Y262" s="205"/>
      <c r="Z262" s="204">
        <v>26.79</v>
      </c>
      <c r="AA262" s="204">
        <v>7.26</v>
      </c>
      <c r="AB262" s="205"/>
      <c r="AC262" s="199" t="s">
        <v>396</v>
      </c>
    </row>
    <row r="263" spans="1:29" ht="18.75" hidden="1" thickBot="1" x14ac:dyDescent="0.3">
      <c r="A263" s="168">
        <v>85</v>
      </c>
      <c r="B263" s="203"/>
      <c r="C263" s="189" t="s">
        <v>481</v>
      </c>
      <c r="D263" s="204">
        <v>1164.45</v>
      </c>
      <c r="E263" s="204"/>
      <c r="F263" s="204">
        <v>5.97</v>
      </c>
      <c r="G263" s="205"/>
      <c r="H263" s="192">
        <v>145</v>
      </c>
      <c r="I263" s="205"/>
      <c r="J263" s="193">
        <v>144.59</v>
      </c>
      <c r="K263" s="205"/>
      <c r="L263" s="204"/>
      <c r="M263" s="204"/>
      <c r="N263" s="205"/>
      <c r="O263" s="184">
        <f t="shared" si="8"/>
        <v>289.59000000000003</v>
      </c>
      <c r="P263" s="205"/>
      <c r="Q263" s="205"/>
      <c r="R263" s="190">
        <v>259.85000000000002</v>
      </c>
      <c r="S263" s="197">
        <v>15484.6</v>
      </c>
      <c r="T263" s="204"/>
      <c r="U263" s="205"/>
      <c r="V263" s="166">
        <f t="shared" si="9"/>
        <v>0</v>
      </c>
      <c r="W263" s="204">
        <v>8.1999999999999993</v>
      </c>
      <c r="X263" s="204">
        <v>10.5</v>
      </c>
      <c r="Y263" s="205"/>
      <c r="Z263" s="204">
        <v>0.71</v>
      </c>
      <c r="AA263" s="204">
        <v>5.09</v>
      </c>
      <c r="AB263" s="205"/>
      <c r="AC263" s="199" t="s">
        <v>396</v>
      </c>
    </row>
    <row r="264" spans="1:29" ht="18.75" hidden="1" thickBot="1" x14ac:dyDescent="0.3">
      <c r="A264" s="155">
        <v>86</v>
      </c>
      <c r="B264" s="210"/>
      <c r="C264" s="189" t="s">
        <v>482</v>
      </c>
      <c r="D264" s="204">
        <v>1050.78</v>
      </c>
      <c r="E264" s="204"/>
      <c r="F264" s="204">
        <v>5.35</v>
      </c>
      <c r="G264" s="205"/>
      <c r="H264" s="192">
        <v>145</v>
      </c>
      <c r="I264" s="205"/>
      <c r="J264" s="193"/>
      <c r="K264" s="205"/>
      <c r="L264" s="204"/>
      <c r="M264" s="204"/>
      <c r="N264" s="205"/>
      <c r="O264" s="184">
        <f t="shared" si="8"/>
        <v>145</v>
      </c>
      <c r="P264" s="205"/>
      <c r="Q264" s="205"/>
      <c r="R264" s="190">
        <v>232.5</v>
      </c>
      <c r="S264" s="197">
        <v>14190.670000000002</v>
      </c>
      <c r="T264" s="204">
        <v>7.1</v>
      </c>
      <c r="U264" s="205"/>
      <c r="V264" s="166">
        <f t="shared" si="9"/>
        <v>7.1</v>
      </c>
      <c r="W264" s="204">
        <v>7.8</v>
      </c>
      <c r="X264" s="204">
        <v>8.65</v>
      </c>
      <c r="Y264" s="205"/>
      <c r="Z264" s="204"/>
      <c r="AA264" s="204">
        <v>0.12</v>
      </c>
      <c r="AB264" s="205"/>
      <c r="AC264" s="199" t="s">
        <v>396</v>
      </c>
    </row>
    <row r="265" spans="1:29" ht="18.75" hidden="1" thickBot="1" x14ac:dyDescent="0.3">
      <c r="A265" s="168">
        <v>87</v>
      </c>
      <c r="B265" s="203"/>
      <c r="C265" s="189" t="s">
        <v>483</v>
      </c>
      <c r="D265" s="204">
        <v>916.78</v>
      </c>
      <c r="E265" s="204"/>
      <c r="F265" s="204">
        <v>5.31</v>
      </c>
      <c r="G265" s="205"/>
      <c r="H265" s="192">
        <v>2.66</v>
      </c>
      <c r="I265" s="205"/>
      <c r="J265" s="193"/>
      <c r="K265" s="205"/>
      <c r="L265" s="204"/>
      <c r="M265" s="204"/>
      <c r="N265" s="205"/>
      <c r="O265" s="184">
        <f t="shared" si="8"/>
        <v>2.66</v>
      </c>
      <c r="P265" s="205"/>
      <c r="Q265" s="205"/>
      <c r="R265" s="190">
        <v>214.5</v>
      </c>
      <c r="S265" s="197"/>
      <c r="T265" s="204"/>
      <c r="U265" s="205"/>
      <c r="V265" s="166">
        <f t="shared" si="9"/>
        <v>0</v>
      </c>
      <c r="W265" s="204"/>
      <c r="X265" s="204">
        <v>6.2</v>
      </c>
      <c r="Y265" s="205"/>
      <c r="Z265" s="204"/>
      <c r="AA265" s="204"/>
      <c r="AB265" s="205"/>
      <c r="AC265" s="199" t="s">
        <v>396</v>
      </c>
    </row>
    <row r="266" spans="1:29" ht="18.75" hidden="1" thickBot="1" x14ac:dyDescent="0.3">
      <c r="A266" s="155">
        <v>88</v>
      </c>
      <c r="B266" s="210"/>
      <c r="C266" s="189" t="s">
        <v>484</v>
      </c>
      <c r="D266" s="204">
        <v>1010.68</v>
      </c>
      <c r="E266" s="204"/>
      <c r="F266" s="204">
        <v>5.09</v>
      </c>
      <c r="G266" s="205"/>
      <c r="H266" s="192">
        <v>50</v>
      </c>
      <c r="I266" s="205"/>
      <c r="J266" s="193"/>
      <c r="K266" s="205"/>
      <c r="L266" s="204"/>
      <c r="M266" s="204"/>
      <c r="N266" s="205"/>
      <c r="O266" s="184">
        <f t="shared" si="8"/>
        <v>50</v>
      </c>
      <c r="P266" s="205"/>
      <c r="Q266" s="205"/>
      <c r="R266" s="190">
        <v>228.5</v>
      </c>
      <c r="S266" s="197">
        <v>13568.460000000001</v>
      </c>
      <c r="T266" s="204"/>
      <c r="U266" s="205"/>
      <c r="V266" s="166">
        <f t="shared" si="9"/>
        <v>0</v>
      </c>
      <c r="W266" s="204">
        <v>6.35</v>
      </c>
      <c r="X266" s="204">
        <v>7.65</v>
      </c>
      <c r="Y266" s="205"/>
      <c r="Z266" s="204"/>
      <c r="AA266" s="204"/>
      <c r="AB266" s="205"/>
      <c r="AC266" s="199" t="s">
        <v>396</v>
      </c>
    </row>
    <row r="267" spans="1:29" ht="18.75" hidden="1" thickBot="1" x14ac:dyDescent="0.3">
      <c r="A267" s="168">
        <v>89</v>
      </c>
      <c r="B267" s="203"/>
      <c r="C267" s="224" t="s">
        <v>485</v>
      </c>
      <c r="D267" s="190">
        <v>1640.96</v>
      </c>
      <c r="E267" s="190">
        <v>362.21</v>
      </c>
      <c r="F267" s="190">
        <v>75.28</v>
      </c>
      <c r="G267" s="190"/>
      <c r="H267" s="192">
        <v>150</v>
      </c>
      <c r="I267" s="190"/>
      <c r="J267" s="193"/>
      <c r="K267" s="190"/>
      <c r="L267" s="190">
        <v>15</v>
      </c>
      <c r="M267" s="190"/>
      <c r="N267" s="190"/>
      <c r="O267" s="184">
        <f t="shared" si="8"/>
        <v>165</v>
      </c>
      <c r="P267" s="204"/>
      <c r="Q267" s="204"/>
      <c r="R267" s="190">
        <v>485.98</v>
      </c>
      <c r="S267" s="197">
        <v>29160</v>
      </c>
      <c r="T267" s="190"/>
      <c r="U267" s="190"/>
      <c r="V267" s="166">
        <f t="shared" si="9"/>
        <v>0</v>
      </c>
      <c r="W267" s="190">
        <v>14.75</v>
      </c>
      <c r="X267" s="190">
        <v>16.100000000000001</v>
      </c>
      <c r="Y267" s="190"/>
      <c r="Z267" s="190">
        <v>87.12</v>
      </c>
      <c r="AA267" s="190">
        <v>19.920000000000002</v>
      </c>
      <c r="AB267" s="190"/>
      <c r="AC267" s="199" t="s">
        <v>404</v>
      </c>
    </row>
    <row r="268" spans="1:29" ht="18.75" hidden="1" thickBot="1" x14ac:dyDescent="0.3">
      <c r="A268" s="155">
        <v>90</v>
      </c>
      <c r="B268" s="210"/>
      <c r="C268" s="189" t="s">
        <v>486</v>
      </c>
      <c r="D268" s="204">
        <v>1050.78</v>
      </c>
      <c r="E268" s="204"/>
      <c r="F268" s="204">
        <v>5.35</v>
      </c>
      <c r="G268" s="205"/>
      <c r="H268" s="192">
        <v>100</v>
      </c>
      <c r="I268" s="205"/>
      <c r="J268" s="193">
        <v>184.45</v>
      </c>
      <c r="K268" s="205"/>
      <c r="L268" s="204"/>
      <c r="M268" s="204"/>
      <c r="N268" s="205"/>
      <c r="O268" s="184">
        <f t="shared" si="8"/>
        <v>284.45</v>
      </c>
      <c r="P268" s="205"/>
      <c r="Q268" s="205"/>
      <c r="R268" s="190">
        <v>232.5</v>
      </c>
      <c r="S268" s="197">
        <v>13869.820000000003</v>
      </c>
      <c r="T268" s="204"/>
      <c r="U268" s="205"/>
      <c r="V268" s="166">
        <f t="shared" si="9"/>
        <v>0</v>
      </c>
      <c r="W268" s="204">
        <v>7.45</v>
      </c>
      <c r="X268" s="204">
        <v>9.6</v>
      </c>
      <c r="Y268" s="205"/>
      <c r="Z268" s="204"/>
      <c r="AA268" s="204">
        <v>2.62</v>
      </c>
      <c r="AB268" s="205"/>
      <c r="AC268" s="199" t="s">
        <v>396</v>
      </c>
    </row>
    <row r="269" spans="1:29" ht="18.75" hidden="1" thickBot="1" x14ac:dyDescent="0.3">
      <c r="A269" s="168">
        <v>91</v>
      </c>
      <c r="B269" s="203"/>
      <c r="C269" s="189" t="s">
        <v>487</v>
      </c>
      <c r="D269" s="204">
        <v>1015.95</v>
      </c>
      <c r="E269" s="204"/>
      <c r="F269" s="204">
        <v>5.16</v>
      </c>
      <c r="G269" s="205"/>
      <c r="H269" s="192">
        <v>140</v>
      </c>
      <c r="I269" s="205"/>
      <c r="J269" s="193"/>
      <c r="K269" s="205"/>
      <c r="L269" s="204"/>
      <c r="M269" s="204"/>
      <c r="N269" s="205"/>
      <c r="O269" s="184">
        <f t="shared" si="8"/>
        <v>140</v>
      </c>
      <c r="P269" s="205"/>
      <c r="Q269" s="205"/>
      <c r="R269" s="190">
        <v>230.5</v>
      </c>
      <c r="S269" s="197">
        <v>13734.669999999998</v>
      </c>
      <c r="T269" s="204"/>
      <c r="U269" s="205"/>
      <c r="V269" s="166">
        <f t="shared" si="9"/>
        <v>0</v>
      </c>
      <c r="W269" s="204">
        <v>7.15</v>
      </c>
      <c r="X269" s="204">
        <v>8.4</v>
      </c>
      <c r="Y269" s="205"/>
      <c r="Z269" s="204"/>
      <c r="AA269" s="204"/>
      <c r="AB269" s="205"/>
      <c r="AC269" s="199" t="s">
        <v>396</v>
      </c>
    </row>
    <row r="270" spans="1:29" ht="18.75" hidden="1" thickBot="1" x14ac:dyDescent="0.3">
      <c r="A270" s="155">
        <v>92</v>
      </c>
      <c r="B270" s="210"/>
      <c r="C270" s="189" t="s">
        <v>488</v>
      </c>
      <c r="D270" s="204">
        <v>1010.68</v>
      </c>
      <c r="E270" s="204"/>
      <c r="F270" s="204">
        <v>5.09</v>
      </c>
      <c r="G270" s="205"/>
      <c r="H270" s="192">
        <v>150</v>
      </c>
      <c r="I270" s="205"/>
      <c r="J270" s="193">
        <v>185.36</v>
      </c>
      <c r="K270" s="205"/>
      <c r="L270" s="204"/>
      <c r="M270" s="204"/>
      <c r="N270" s="205"/>
      <c r="O270" s="184">
        <f t="shared" si="8"/>
        <v>335.36</v>
      </c>
      <c r="P270" s="205"/>
      <c r="Q270" s="205"/>
      <c r="R270" s="190">
        <v>228.5</v>
      </c>
      <c r="S270" s="197">
        <v>23640.55</v>
      </c>
      <c r="T270" s="204"/>
      <c r="U270" s="205"/>
      <c r="V270" s="166">
        <f t="shared" si="9"/>
        <v>0</v>
      </c>
      <c r="W270" s="204">
        <v>7.55</v>
      </c>
      <c r="X270" s="204">
        <v>9.65</v>
      </c>
      <c r="Y270" s="205"/>
      <c r="Z270" s="204"/>
      <c r="AA270" s="204">
        <v>2.83</v>
      </c>
      <c r="AB270" s="205"/>
      <c r="AC270" s="199" t="s">
        <v>396</v>
      </c>
    </row>
    <row r="271" spans="1:29" ht="18.75" hidden="1" thickBot="1" x14ac:dyDescent="0.3">
      <c r="A271" s="168">
        <v>93</v>
      </c>
      <c r="B271" s="203"/>
      <c r="C271" s="189" t="s">
        <v>489</v>
      </c>
      <c r="D271" s="204">
        <v>1070.94</v>
      </c>
      <c r="E271" s="204"/>
      <c r="F271" s="204">
        <v>5.87</v>
      </c>
      <c r="G271" s="205"/>
      <c r="H271" s="192">
        <v>150</v>
      </c>
      <c r="I271" s="205"/>
      <c r="J271" s="193"/>
      <c r="K271" s="205"/>
      <c r="L271" s="204"/>
      <c r="M271" s="204"/>
      <c r="N271" s="205"/>
      <c r="O271" s="184">
        <f t="shared" si="8"/>
        <v>150</v>
      </c>
      <c r="P271" s="205"/>
      <c r="Q271" s="205"/>
      <c r="R271" s="190">
        <v>224.5</v>
      </c>
      <c r="S271" s="197">
        <v>14137.699999999999</v>
      </c>
      <c r="T271" s="204"/>
      <c r="U271" s="205"/>
      <c r="V271" s="166">
        <f t="shared" si="9"/>
        <v>0</v>
      </c>
      <c r="W271" s="204">
        <v>7.6</v>
      </c>
      <c r="X271" s="204">
        <v>8.9</v>
      </c>
      <c r="Y271" s="205"/>
      <c r="Z271" s="204"/>
      <c r="AA271" s="204">
        <v>0.78</v>
      </c>
      <c r="AB271" s="205"/>
      <c r="AC271" s="199" t="s">
        <v>396</v>
      </c>
    </row>
    <row r="272" spans="1:29" ht="18.75" hidden="1" thickBot="1" x14ac:dyDescent="0.3">
      <c r="A272" s="155">
        <v>94</v>
      </c>
      <c r="B272" s="210"/>
      <c r="C272" s="189" t="s">
        <v>490</v>
      </c>
      <c r="D272" s="204">
        <v>1458.61</v>
      </c>
      <c r="E272" s="204">
        <v>149.5</v>
      </c>
      <c r="F272" s="204">
        <v>42.79</v>
      </c>
      <c r="G272" s="205"/>
      <c r="H272" s="192">
        <v>150</v>
      </c>
      <c r="I272" s="205"/>
      <c r="J272" s="193"/>
      <c r="K272" s="205"/>
      <c r="L272" s="204"/>
      <c r="M272" s="204"/>
      <c r="N272" s="205"/>
      <c r="O272" s="184">
        <f t="shared" si="8"/>
        <v>150</v>
      </c>
      <c r="P272" s="205"/>
      <c r="Q272" s="205"/>
      <c r="R272" s="190">
        <v>385.42</v>
      </c>
      <c r="S272" s="197">
        <v>21409.5</v>
      </c>
      <c r="T272" s="204"/>
      <c r="U272" s="205"/>
      <c r="V272" s="166">
        <f t="shared" si="9"/>
        <v>0</v>
      </c>
      <c r="W272" s="204">
        <v>11.8</v>
      </c>
      <c r="X272" s="204">
        <v>13.05</v>
      </c>
      <c r="Y272" s="205"/>
      <c r="Z272" s="204">
        <v>48.15</v>
      </c>
      <c r="AA272" s="204">
        <v>11.76</v>
      </c>
      <c r="AB272" s="205"/>
      <c r="AC272" s="199" t="s">
        <v>396</v>
      </c>
    </row>
    <row r="273" spans="1:29" ht="18.75" hidden="1" thickBot="1" x14ac:dyDescent="0.3">
      <c r="A273" s="168">
        <v>95</v>
      </c>
      <c r="B273" s="203"/>
      <c r="C273" s="189" t="s">
        <v>491</v>
      </c>
      <c r="D273" s="204">
        <v>986.29</v>
      </c>
      <c r="E273" s="204"/>
      <c r="F273" s="204">
        <v>5.36</v>
      </c>
      <c r="G273" s="205"/>
      <c r="H273" s="192">
        <v>100</v>
      </c>
      <c r="I273" s="205"/>
      <c r="J273" s="193">
        <v>199.58</v>
      </c>
      <c r="K273" s="205"/>
      <c r="L273" s="204"/>
      <c r="M273" s="204"/>
      <c r="N273" s="205"/>
      <c r="O273" s="184">
        <f t="shared" si="8"/>
        <v>299.58000000000004</v>
      </c>
      <c r="P273" s="205"/>
      <c r="Q273" s="205"/>
      <c r="R273" s="190">
        <v>214.5</v>
      </c>
      <c r="S273" s="197">
        <v>25810.58</v>
      </c>
      <c r="T273" s="204"/>
      <c r="U273" s="205"/>
      <c r="V273" s="166">
        <f t="shared" si="9"/>
        <v>0</v>
      </c>
      <c r="W273" s="204">
        <v>6.2</v>
      </c>
      <c r="X273" s="204">
        <v>9.1999999999999993</v>
      </c>
      <c r="Y273" s="205"/>
      <c r="Z273" s="204"/>
      <c r="AA273" s="204">
        <v>1.61</v>
      </c>
      <c r="AB273" s="205"/>
      <c r="AC273" s="199" t="s">
        <v>396</v>
      </c>
    </row>
    <row r="274" spans="1:29" ht="18.75" hidden="1" thickBot="1" x14ac:dyDescent="0.3">
      <c r="A274" s="155">
        <v>96</v>
      </c>
      <c r="B274" s="210"/>
      <c r="C274" s="189" t="s">
        <v>492</v>
      </c>
      <c r="D274" s="204">
        <v>904.15</v>
      </c>
      <c r="E274" s="204"/>
      <c r="F274" s="204">
        <v>5.34</v>
      </c>
      <c r="G274" s="205"/>
      <c r="H274" s="192">
        <v>7.98</v>
      </c>
      <c r="I274" s="205"/>
      <c r="J274" s="193">
        <v>79.38</v>
      </c>
      <c r="K274" s="205"/>
      <c r="L274" s="204"/>
      <c r="M274" s="204"/>
      <c r="N274" s="205"/>
      <c r="O274" s="184">
        <f t="shared" si="8"/>
        <v>87.36</v>
      </c>
      <c r="P274" s="205"/>
      <c r="Q274" s="205"/>
      <c r="R274" s="190">
        <v>208.5</v>
      </c>
      <c r="S274" s="197"/>
      <c r="T274" s="204"/>
      <c r="U274" s="205"/>
      <c r="V274" s="166">
        <f t="shared" si="9"/>
        <v>0</v>
      </c>
      <c r="W274" s="204"/>
      <c r="X274" s="204">
        <v>6.65</v>
      </c>
      <c r="Y274" s="205"/>
      <c r="Z274" s="204"/>
      <c r="AA274" s="204"/>
      <c r="AB274" s="205"/>
      <c r="AC274" s="199" t="s">
        <v>396</v>
      </c>
    </row>
    <row r="275" spans="1:29" ht="18.75" hidden="1" thickBot="1" x14ac:dyDescent="0.3">
      <c r="A275" s="168">
        <v>97</v>
      </c>
      <c r="B275" s="203"/>
      <c r="C275" s="189" t="s">
        <v>493</v>
      </c>
      <c r="D275" s="204">
        <v>1384.39</v>
      </c>
      <c r="E275" s="204">
        <v>43.13</v>
      </c>
      <c r="F275" s="204">
        <v>22.94</v>
      </c>
      <c r="G275" s="205"/>
      <c r="H275" s="192">
        <v>150</v>
      </c>
      <c r="I275" s="205"/>
      <c r="J275" s="193"/>
      <c r="K275" s="205"/>
      <c r="L275" s="204"/>
      <c r="M275" s="204"/>
      <c r="N275" s="205"/>
      <c r="O275" s="184">
        <f t="shared" si="8"/>
        <v>150</v>
      </c>
      <c r="P275" s="205"/>
      <c r="Q275" s="205"/>
      <c r="R275" s="190">
        <v>337.1</v>
      </c>
      <c r="S275" s="197">
        <v>18949.430000000004</v>
      </c>
      <c r="T275" s="204">
        <v>10.89</v>
      </c>
      <c r="U275" s="205"/>
      <c r="V275" s="166">
        <f t="shared" si="9"/>
        <v>10.89</v>
      </c>
      <c r="W275" s="204">
        <v>10.45</v>
      </c>
      <c r="X275" s="204">
        <v>11.55</v>
      </c>
      <c r="Y275" s="205"/>
      <c r="Z275" s="204">
        <v>29.36</v>
      </c>
      <c r="AA275" s="204">
        <v>7.85</v>
      </c>
      <c r="AB275" s="205"/>
      <c r="AC275" s="199" t="s">
        <v>396</v>
      </c>
    </row>
    <row r="276" spans="1:29" ht="18.75" hidden="1" thickBot="1" x14ac:dyDescent="0.3">
      <c r="A276" s="155">
        <v>98</v>
      </c>
      <c r="B276" s="210"/>
      <c r="C276" s="189" t="s">
        <v>494</v>
      </c>
      <c r="D276" s="204">
        <v>912.5</v>
      </c>
      <c r="E276" s="204"/>
      <c r="F276" s="204">
        <v>5.33</v>
      </c>
      <c r="G276" s="205"/>
      <c r="H276" s="192">
        <v>7.98</v>
      </c>
      <c r="I276" s="205"/>
      <c r="J276" s="193">
        <v>84.46</v>
      </c>
      <c r="K276" s="205"/>
      <c r="L276" s="204"/>
      <c r="M276" s="204"/>
      <c r="N276" s="205"/>
      <c r="O276" s="184">
        <f t="shared" si="8"/>
        <v>92.44</v>
      </c>
      <c r="P276" s="205"/>
      <c r="Q276" s="205"/>
      <c r="R276" s="190">
        <v>212.5</v>
      </c>
      <c r="S276" s="197"/>
      <c r="T276" s="204"/>
      <c r="U276" s="205"/>
      <c r="V276" s="166">
        <f t="shared" si="9"/>
        <v>0</v>
      </c>
      <c r="W276" s="204"/>
      <c r="X276" s="204">
        <v>8.3000000000000007</v>
      </c>
      <c r="Y276" s="205"/>
      <c r="Z276" s="204"/>
      <c r="AA276" s="204"/>
      <c r="AB276" s="205"/>
      <c r="AC276" s="199" t="s">
        <v>396</v>
      </c>
    </row>
    <row r="277" spans="1:29" ht="18.75" hidden="1" thickBot="1" x14ac:dyDescent="0.3">
      <c r="A277" s="168">
        <v>99</v>
      </c>
      <c r="B277" s="203"/>
      <c r="C277" s="224" t="s">
        <v>495</v>
      </c>
      <c r="D277" s="190">
        <v>2200.36</v>
      </c>
      <c r="E277" s="190">
        <v>749.73</v>
      </c>
      <c r="F277" s="190">
        <v>112.25</v>
      </c>
      <c r="G277" s="190">
        <v>72.41</v>
      </c>
      <c r="H277" s="192">
        <v>150</v>
      </c>
      <c r="I277" s="190"/>
      <c r="J277" s="193"/>
      <c r="K277" s="190"/>
      <c r="L277" s="190"/>
      <c r="M277" s="190"/>
      <c r="N277" s="190"/>
      <c r="O277" s="184">
        <f t="shared" si="8"/>
        <v>150</v>
      </c>
      <c r="P277" s="204"/>
      <c r="Q277" s="204"/>
      <c r="R277" s="190">
        <v>724.19</v>
      </c>
      <c r="S277" s="197">
        <v>29160</v>
      </c>
      <c r="T277" s="190"/>
      <c r="U277" s="190"/>
      <c r="V277" s="166">
        <f t="shared" si="9"/>
        <v>0</v>
      </c>
      <c r="W277" s="190">
        <v>21.7</v>
      </c>
      <c r="X277" s="190">
        <v>23.4</v>
      </c>
      <c r="Y277" s="190"/>
      <c r="Z277" s="190">
        <v>179.07</v>
      </c>
      <c r="AA277" s="190">
        <v>119.71</v>
      </c>
      <c r="AB277" s="190"/>
      <c r="AC277" s="199" t="s">
        <v>404</v>
      </c>
    </row>
    <row r="278" spans="1:29" ht="18.75" hidden="1" thickBot="1" x14ac:dyDescent="0.3">
      <c r="A278" s="155">
        <v>100</v>
      </c>
      <c r="B278" s="210"/>
      <c r="C278" s="189" t="s">
        <v>496</v>
      </c>
      <c r="D278" s="204">
        <v>1040.56</v>
      </c>
      <c r="E278" s="204"/>
      <c r="F278" s="204">
        <v>5.65</v>
      </c>
      <c r="G278" s="205"/>
      <c r="H278" s="192">
        <v>100</v>
      </c>
      <c r="I278" s="205"/>
      <c r="J278" s="193">
        <v>88.62</v>
      </c>
      <c r="K278" s="205"/>
      <c r="L278" s="204"/>
      <c r="M278" s="204"/>
      <c r="N278" s="205"/>
      <c r="O278" s="184">
        <f t="shared" si="8"/>
        <v>188.62</v>
      </c>
      <c r="P278" s="205"/>
      <c r="Q278" s="205"/>
      <c r="R278" s="190">
        <v>220.5</v>
      </c>
      <c r="S278" s="197">
        <v>21083.18</v>
      </c>
      <c r="T278" s="204"/>
      <c r="U278" s="205"/>
      <c r="V278" s="166">
        <f t="shared" si="9"/>
        <v>0</v>
      </c>
      <c r="W278" s="204">
        <v>6.2</v>
      </c>
      <c r="X278" s="204">
        <v>8.85</v>
      </c>
      <c r="Y278" s="205"/>
      <c r="Z278" s="204"/>
      <c r="AA278" s="204">
        <v>0.74</v>
      </c>
      <c r="AB278" s="205"/>
      <c r="AC278" s="199" t="s">
        <v>396</v>
      </c>
    </row>
    <row r="279" spans="1:29" ht="18.75" hidden="1" thickBot="1" x14ac:dyDescent="0.3">
      <c r="A279" s="168">
        <v>101</v>
      </c>
      <c r="B279" s="203"/>
      <c r="C279" s="189" t="s">
        <v>497</v>
      </c>
      <c r="D279" s="204">
        <v>1080.44</v>
      </c>
      <c r="E279" s="204"/>
      <c r="F279" s="204">
        <v>5.92</v>
      </c>
      <c r="G279" s="205"/>
      <c r="H279" s="192">
        <v>150</v>
      </c>
      <c r="I279" s="205"/>
      <c r="J279" s="193">
        <v>178.29</v>
      </c>
      <c r="K279" s="205"/>
      <c r="L279" s="204"/>
      <c r="M279" s="204"/>
      <c r="N279" s="205"/>
      <c r="O279" s="184">
        <f t="shared" si="8"/>
        <v>328.28999999999996</v>
      </c>
      <c r="P279" s="205"/>
      <c r="Q279" s="205"/>
      <c r="R279" s="190">
        <v>224.5</v>
      </c>
      <c r="S279" s="197">
        <v>23752.000000000004</v>
      </c>
      <c r="T279" s="204">
        <v>48.33</v>
      </c>
      <c r="U279" s="205"/>
      <c r="V279" s="166">
        <f t="shared" si="9"/>
        <v>48.33</v>
      </c>
      <c r="W279" s="204">
        <v>7.7</v>
      </c>
      <c r="X279" s="204">
        <v>9.8000000000000007</v>
      </c>
      <c r="Y279" s="205"/>
      <c r="Z279" s="204"/>
      <c r="AA279" s="204">
        <v>3.16</v>
      </c>
      <c r="AB279" s="205"/>
      <c r="AC279" s="199" t="s">
        <v>396</v>
      </c>
    </row>
    <row r="280" spans="1:29" ht="18.75" hidden="1" thickBot="1" x14ac:dyDescent="0.3">
      <c r="A280" s="155">
        <v>102</v>
      </c>
      <c r="B280" s="210"/>
      <c r="C280" s="189" t="s">
        <v>498</v>
      </c>
      <c r="D280" s="204">
        <v>1010.68</v>
      </c>
      <c r="E280" s="204"/>
      <c r="F280" s="204">
        <v>5.09</v>
      </c>
      <c r="G280" s="205"/>
      <c r="H280" s="192">
        <v>50</v>
      </c>
      <c r="I280" s="205"/>
      <c r="J280" s="193"/>
      <c r="K280" s="205"/>
      <c r="L280" s="204"/>
      <c r="M280" s="204"/>
      <c r="N280" s="205"/>
      <c r="O280" s="184">
        <f t="shared" si="8"/>
        <v>50</v>
      </c>
      <c r="P280" s="205"/>
      <c r="Q280" s="205"/>
      <c r="R280" s="190">
        <v>228.5</v>
      </c>
      <c r="S280" s="197">
        <v>13769.54</v>
      </c>
      <c r="T280" s="204"/>
      <c r="U280" s="205"/>
      <c r="V280" s="166">
        <f t="shared" si="9"/>
        <v>0</v>
      </c>
      <c r="W280" s="204">
        <v>6.35</v>
      </c>
      <c r="X280" s="204">
        <v>7.65</v>
      </c>
      <c r="Y280" s="205"/>
      <c r="Z280" s="204"/>
      <c r="AA280" s="204"/>
      <c r="AB280" s="205"/>
      <c r="AC280" s="199" t="s">
        <v>396</v>
      </c>
    </row>
    <row r="281" spans="1:29" ht="18.75" hidden="1" thickBot="1" x14ac:dyDescent="0.3">
      <c r="A281" s="168">
        <v>103</v>
      </c>
      <c r="B281" s="203"/>
      <c r="C281" s="189" t="s">
        <v>499</v>
      </c>
      <c r="D281" s="204">
        <v>941.6</v>
      </c>
      <c r="E281" s="204"/>
      <c r="F281" s="204">
        <v>5.31</v>
      </c>
      <c r="G281" s="205"/>
      <c r="H281" s="192">
        <v>145</v>
      </c>
      <c r="I281" s="205"/>
      <c r="J281" s="193">
        <v>85</v>
      </c>
      <c r="K281" s="205"/>
      <c r="L281" s="204"/>
      <c r="M281" s="204"/>
      <c r="N281" s="205"/>
      <c r="O281" s="184">
        <f t="shared" si="8"/>
        <v>230</v>
      </c>
      <c r="P281" s="205"/>
      <c r="Q281" s="205"/>
      <c r="R281" s="190">
        <v>214.5</v>
      </c>
      <c r="S281" s="197">
        <v>13118.920000000002</v>
      </c>
      <c r="T281" s="204"/>
      <c r="U281" s="205"/>
      <c r="V281" s="166">
        <f t="shared" si="9"/>
        <v>0</v>
      </c>
      <c r="W281" s="204">
        <v>6.6</v>
      </c>
      <c r="X281" s="204">
        <v>8.4499999999999993</v>
      </c>
      <c r="Y281" s="205"/>
      <c r="Z281" s="204"/>
      <c r="AA281" s="204"/>
      <c r="AB281" s="205"/>
      <c r="AC281" s="199" t="s">
        <v>396</v>
      </c>
    </row>
    <row r="282" spans="1:29" ht="18.75" hidden="1" thickBot="1" x14ac:dyDescent="0.3">
      <c r="A282" s="155">
        <v>104</v>
      </c>
      <c r="B282" s="210"/>
      <c r="C282" s="189" t="s">
        <v>500</v>
      </c>
      <c r="D282" s="204">
        <v>1024.94</v>
      </c>
      <c r="E282" s="204"/>
      <c r="F282" s="204">
        <v>5.16</v>
      </c>
      <c r="G282" s="205"/>
      <c r="H282" s="192">
        <v>145</v>
      </c>
      <c r="I282" s="205"/>
      <c r="J282" s="193"/>
      <c r="K282" s="205"/>
      <c r="L282" s="204">
        <v>15</v>
      </c>
      <c r="M282" s="204"/>
      <c r="N282" s="205"/>
      <c r="O282" s="184">
        <f t="shared" si="8"/>
        <v>160</v>
      </c>
      <c r="P282" s="205"/>
      <c r="Q282" s="205"/>
      <c r="R282" s="190">
        <v>234.5</v>
      </c>
      <c r="S282" s="197">
        <v>14123.329999999998</v>
      </c>
      <c r="T282" s="204"/>
      <c r="U282" s="205"/>
      <c r="V282" s="166">
        <f t="shared" si="9"/>
        <v>0</v>
      </c>
      <c r="W282" s="204">
        <v>7.7</v>
      </c>
      <c r="X282" s="204">
        <v>8.6</v>
      </c>
      <c r="Y282" s="205"/>
      <c r="Z282" s="204"/>
      <c r="AA282" s="204"/>
      <c r="AB282" s="205"/>
      <c r="AC282" s="199" t="s">
        <v>396</v>
      </c>
    </row>
    <row r="283" spans="1:29" ht="18.75" hidden="1" thickBot="1" x14ac:dyDescent="0.3">
      <c r="A283" s="168">
        <v>105</v>
      </c>
      <c r="B283" s="203"/>
      <c r="C283" s="189" t="s">
        <v>501</v>
      </c>
      <c r="D283" s="204">
        <v>1260.1400000000001</v>
      </c>
      <c r="E283" s="204">
        <v>57.12</v>
      </c>
      <c r="F283" s="204">
        <v>12.33</v>
      </c>
      <c r="G283" s="205"/>
      <c r="H283" s="192">
        <v>150</v>
      </c>
      <c r="I283" s="205"/>
      <c r="J283" s="193"/>
      <c r="K283" s="205"/>
      <c r="L283" s="204">
        <v>15</v>
      </c>
      <c r="M283" s="204"/>
      <c r="N283" s="205"/>
      <c r="O283" s="184">
        <f t="shared" si="8"/>
        <v>165</v>
      </c>
      <c r="P283" s="205"/>
      <c r="Q283" s="205"/>
      <c r="R283" s="190">
        <v>312.69</v>
      </c>
      <c r="S283" s="197">
        <v>18710.939999999999</v>
      </c>
      <c r="T283" s="204"/>
      <c r="U283" s="205"/>
      <c r="V283" s="166">
        <f t="shared" si="9"/>
        <v>0</v>
      </c>
      <c r="W283" s="204">
        <v>10.75</v>
      </c>
      <c r="X283" s="204">
        <v>10.8</v>
      </c>
      <c r="Y283" s="205"/>
      <c r="Z283" s="204">
        <v>34.299999999999997</v>
      </c>
      <c r="AA283" s="204">
        <v>5.91</v>
      </c>
      <c r="AB283" s="205"/>
      <c r="AC283" s="199" t="s">
        <v>396</v>
      </c>
    </row>
    <row r="284" spans="1:29" ht="18.75" hidden="1" thickBot="1" x14ac:dyDescent="0.3">
      <c r="A284" s="155">
        <v>106</v>
      </c>
      <c r="B284" s="210"/>
      <c r="C284" s="189" t="s">
        <v>502</v>
      </c>
      <c r="D284" s="204">
        <v>1298.6099999999999</v>
      </c>
      <c r="E284" s="204">
        <v>44.64</v>
      </c>
      <c r="F284" s="204">
        <v>8.67</v>
      </c>
      <c r="G284" s="205"/>
      <c r="H284" s="192">
        <v>145</v>
      </c>
      <c r="I284" s="205"/>
      <c r="J284" s="193">
        <v>235.17</v>
      </c>
      <c r="K284" s="205"/>
      <c r="L284" s="204"/>
      <c r="M284" s="204"/>
      <c r="N284" s="205"/>
      <c r="O284" s="184">
        <f t="shared" si="8"/>
        <v>380.16999999999996</v>
      </c>
      <c r="P284" s="205"/>
      <c r="Q284" s="205"/>
      <c r="R284" s="190">
        <v>304.42</v>
      </c>
      <c r="S284" s="197">
        <v>29160</v>
      </c>
      <c r="T284" s="204">
        <v>2</v>
      </c>
      <c r="U284" s="205"/>
      <c r="V284" s="166">
        <f t="shared" si="9"/>
        <v>2</v>
      </c>
      <c r="W284" s="204">
        <v>9.8000000000000007</v>
      </c>
      <c r="X284" s="204">
        <v>12.4</v>
      </c>
      <c r="Y284" s="205"/>
      <c r="Z284" s="204">
        <v>21.67</v>
      </c>
      <c r="AA284" s="204">
        <v>10.16</v>
      </c>
      <c r="AB284" s="205"/>
      <c r="AC284" s="199" t="s">
        <v>396</v>
      </c>
    </row>
    <row r="285" spans="1:29" ht="18.75" hidden="1" thickBot="1" x14ac:dyDescent="0.3">
      <c r="A285" s="168">
        <v>107</v>
      </c>
      <c r="B285" s="203"/>
      <c r="C285" s="189" t="s">
        <v>503</v>
      </c>
      <c r="D285" s="204">
        <v>1010.2</v>
      </c>
      <c r="E285" s="204"/>
      <c r="F285" s="204">
        <v>5.49</v>
      </c>
      <c r="G285" s="205"/>
      <c r="H285" s="192">
        <v>50</v>
      </c>
      <c r="I285" s="205"/>
      <c r="J285" s="193"/>
      <c r="K285" s="205"/>
      <c r="L285" s="204"/>
      <c r="M285" s="204"/>
      <c r="N285" s="205"/>
      <c r="O285" s="184">
        <f t="shared" si="8"/>
        <v>50</v>
      </c>
      <c r="P285" s="205"/>
      <c r="Q285" s="205"/>
      <c r="R285" s="190">
        <v>216.5</v>
      </c>
      <c r="S285" s="197">
        <v>14113.239999999998</v>
      </c>
      <c r="T285" s="204">
        <v>50</v>
      </c>
      <c r="U285" s="205"/>
      <c r="V285" s="166">
        <f t="shared" si="9"/>
        <v>50</v>
      </c>
      <c r="W285" s="204">
        <v>6.35</v>
      </c>
      <c r="X285" s="204">
        <v>7.3</v>
      </c>
      <c r="Y285" s="205"/>
      <c r="Z285" s="204"/>
      <c r="AA285" s="204"/>
      <c r="AB285" s="205"/>
      <c r="AC285" s="199" t="s">
        <v>396</v>
      </c>
    </row>
    <row r="286" spans="1:29" ht="18.75" hidden="1" thickBot="1" x14ac:dyDescent="0.3">
      <c r="A286" s="155">
        <v>108</v>
      </c>
      <c r="B286" s="210"/>
      <c r="C286" s="227" t="s">
        <v>504</v>
      </c>
      <c r="D286" s="204"/>
      <c r="E286" s="204"/>
      <c r="F286" s="204"/>
      <c r="G286" s="205"/>
      <c r="H286" s="192"/>
      <c r="I286" s="205"/>
      <c r="J286" s="193"/>
      <c r="K286" s="205"/>
      <c r="L286" s="204"/>
      <c r="M286" s="204"/>
      <c r="N286" s="205"/>
      <c r="O286" s="190"/>
      <c r="P286" s="205"/>
      <c r="Q286" s="205"/>
      <c r="R286" s="190"/>
      <c r="S286" s="197">
        <v>15624.18</v>
      </c>
      <c r="T286" s="204"/>
      <c r="U286" s="205"/>
      <c r="V286" s="228"/>
      <c r="W286" s="204"/>
      <c r="X286" s="204"/>
      <c r="Y286" s="205"/>
      <c r="Z286" s="204"/>
      <c r="AA286" s="204"/>
      <c r="AB286" s="205"/>
      <c r="AC286" s="199"/>
    </row>
    <row r="287" spans="1:29" ht="18.75" hidden="1" thickBot="1" x14ac:dyDescent="0.3">
      <c r="A287" s="168">
        <v>109</v>
      </c>
      <c r="B287" s="203"/>
      <c r="C287" s="189" t="s">
        <v>505</v>
      </c>
      <c r="D287" s="204">
        <v>1262.26</v>
      </c>
      <c r="E287" s="204">
        <v>56.65</v>
      </c>
      <c r="F287" s="204">
        <v>12.48</v>
      </c>
      <c r="G287" s="205"/>
      <c r="H287" s="192">
        <v>50</v>
      </c>
      <c r="I287" s="205"/>
      <c r="J287" s="193">
        <v>235.17</v>
      </c>
      <c r="K287" s="205"/>
      <c r="L287" s="204"/>
      <c r="M287" s="204"/>
      <c r="N287" s="205"/>
      <c r="O287" s="184">
        <f t="shared" ref="O287:O350" si="10">SUM(H287:N287)</f>
        <v>285.16999999999996</v>
      </c>
      <c r="P287" s="205"/>
      <c r="Q287" s="205"/>
      <c r="R287" s="190">
        <v>313.89</v>
      </c>
      <c r="S287" s="197">
        <v>29160</v>
      </c>
      <c r="T287" s="204"/>
      <c r="U287" s="205"/>
      <c r="V287" s="166">
        <f t="shared" ref="V287:V350" si="11">T287+U287</f>
        <v>0</v>
      </c>
      <c r="W287" s="204">
        <v>9.9</v>
      </c>
      <c r="X287" s="204">
        <v>11.55</v>
      </c>
      <c r="Y287" s="205"/>
      <c r="Z287" s="204">
        <v>23.19</v>
      </c>
      <c r="AA287" s="204">
        <v>7.85</v>
      </c>
      <c r="AB287" s="205"/>
      <c r="AC287" s="199" t="s">
        <v>396</v>
      </c>
    </row>
    <row r="288" spans="1:29" ht="18.75" hidden="1" thickBot="1" x14ac:dyDescent="0.3">
      <c r="A288" s="155">
        <v>110</v>
      </c>
      <c r="B288" s="210"/>
      <c r="C288" s="189" t="s">
        <v>506</v>
      </c>
      <c r="D288" s="204">
        <v>1015.95</v>
      </c>
      <c r="E288" s="204"/>
      <c r="F288" s="204">
        <v>5.1100000000000003</v>
      </c>
      <c r="G288" s="205"/>
      <c r="H288" s="192">
        <v>145</v>
      </c>
      <c r="I288" s="205"/>
      <c r="J288" s="193">
        <v>185.91</v>
      </c>
      <c r="K288" s="205"/>
      <c r="L288" s="204"/>
      <c r="M288" s="204"/>
      <c r="N288" s="205"/>
      <c r="O288" s="184">
        <f t="shared" si="10"/>
        <v>330.90999999999997</v>
      </c>
      <c r="P288" s="205"/>
      <c r="Q288" s="205"/>
      <c r="R288" s="190">
        <v>230.5</v>
      </c>
      <c r="S288" s="197">
        <v>12582.920000000002</v>
      </c>
      <c r="T288" s="204">
        <v>11.65</v>
      </c>
      <c r="U288" s="205"/>
      <c r="V288" s="166">
        <f t="shared" si="11"/>
        <v>11.65</v>
      </c>
      <c r="W288" s="204">
        <v>7.55</v>
      </c>
      <c r="X288" s="204">
        <v>9.5500000000000007</v>
      </c>
      <c r="Y288" s="205"/>
      <c r="Z288" s="204"/>
      <c r="AA288" s="204">
        <v>2.61</v>
      </c>
      <c r="AB288" s="205"/>
      <c r="AC288" s="199" t="s">
        <v>396</v>
      </c>
    </row>
    <row r="289" spans="1:29" ht="18.75" hidden="1" thickBot="1" x14ac:dyDescent="0.3">
      <c r="A289" s="168">
        <v>111</v>
      </c>
      <c r="B289" s="203"/>
      <c r="C289" s="189" t="s">
        <v>507</v>
      </c>
      <c r="D289" s="204">
        <v>1399.4</v>
      </c>
      <c r="E289" s="204">
        <v>48.56</v>
      </c>
      <c r="F289" s="204">
        <v>25.51</v>
      </c>
      <c r="G289" s="205"/>
      <c r="H289" s="192">
        <v>100</v>
      </c>
      <c r="I289" s="205"/>
      <c r="J289" s="193"/>
      <c r="K289" s="205"/>
      <c r="L289" s="204"/>
      <c r="M289" s="204"/>
      <c r="N289" s="205"/>
      <c r="O289" s="184">
        <f t="shared" si="10"/>
        <v>100</v>
      </c>
      <c r="P289" s="205"/>
      <c r="Q289" s="205"/>
      <c r="R289" s="190">
        <v>344.51</v>
      </c>
      <c r="S289" s="197">
        <v>19253.14</v>
      </c>
      <c r="T289" s="204"/>
      <c r="U289" s="205"/>
      <c r="V289" s="166">
        <f t="shared" si="11"/>
        <v>0</v>
      </c>
      <c r="W289" s="204">
        <v>10.199999999999999</v>
      </c>
      <c r="X289" s="204">
        <v>11.45</v>
      </c>
      <c r="Y289" s="205"/>
      <c r="Z289" s="204">
        <v>27.01</v>
      </c>
      <c r="AA289" s="204">
        <v>7.52</v>
      </c>
      <c r="AB289" s="205"/>
      <c r="AC289" s="199" t="s">
        <v>396</v>
      </c>
    </row>
    <row r="290" spans="1:29" ht="18.75" hidden="1" thickBot="1" x14ac:dyDescent="0.3">
      <c r="A290" s="155">
        <v>112</v>
      </c>
      <c r="B290" s="210"/>
      <c r="C290" s="189" t="s">
        <v>508</v>
      </c>
      <c r="D290" s="204">
        <v>1004.94</v>
      </c>
      <c r="E290" s="204"/>
      <c r="F290" s="204">
        <v>5.39</v>
      </c>
      <c r="G290" s="205"/>
      <c r="H290" s="192">
        <v>150</v>
      </c>
      <c r="I290" s="205"/>
      <c r="J290" s="193"/>
      <c r="K290" s="205"/>
      <c r="L290" s="204"/>
      <c r="M290" s="204"/>
      <c r="N290" s="205"/>
      <c r="O290" s="184">
        <f t="shared" si="10"/>
        <v>150</v>
      </c>
      <c r="P290" s="205"/>
      <c r="Q290" s="205"/>
      <c r="R290" s="190">
        <v>226.5</v>
      </c>
      <c r="S290" s="197">
        <v>14043.300000000003</v>
      </c>
      <c r="T290" s="204"/>
      <c r="U290" s="205"/>
      <c r="V290" s="166">
        <f t="shared" si="11"/>
        <v>0</v>
      </c>
      <c r="W290" s="204">
        <v>7.5</v>
      </c>
      <c r="X290" s="204">
        <v>7.85</v>
      </c>
      <c r="Y290" s="205"/>
      <c r="Z290" s="204"/>
      <c r="AA290" s="204"/>
      <c r="AB290" s="205"/>
      <c r="AC290" s="199" t="s">
        <v>396</v>
      </c>
    </row>
    <row r="291" spans="1:29" ht="18.75" hidden="1" thickBot="1" x14ac:dyDescent="0.3">
      <c r="A291" s="168">
        <v>113</v>
      </c>
      <c r="B291" s="203"/>
      <c r="C291" s="189" t="s">
        <v>509</v>
      </c>
      <c r="D291" s="204">
        <v>1226.19</v>
      </c>
      <c r="E291" s="204"/>
      <c r="F291" s="204">
        <v>6.23</v>
      </c>
      <c r="G291" s="205"/>
      <c r="H291" s="192">
        <v>150</v>
      </c>
      <c r="I291" s="205"/>
      <c r="J291" s="193">
        <v>191.64</v>
      </c>
      <c r="K291" s="205"/>
      <c r="L291" s="204"/>
      <c r="M291" s="204"/>
      <c r="N291" s="205"/>
      <c r="O291" s="184">
        <f t="shared" si="10"/>
        <v>341.64</v>
      </c>
      <c r="P291" s="205"/>
      <c r="Q291" s="205"/>
      <c r="R291" s="190">
        <v>281.85000000000002</v>
      </c>
      <c r="S291" s="197">
        <v>26395.5</v>
      </c>
      <c r="T291" s="204">
        <v>10.38</v>
      </c>
      <c r="U291" s="205"/>
      <c r="V291" s="166">
        <f t="shared" si="11"/>
        <v>10.38</v>
      </c>
      <c r="W291" s="204">
        <v>9.1999999999999993</v>
      </c>
      <c r="X291" s="204">
        <v>11.25</v>
      </c>
      <c r="Y291" s="205"/>
      <c r="Z291" s="204">
        <v>12.61</v>
      </c>
      <c r="AA291" s="204">
        <v>7.05</v>
      </c>
      <c r="AB291" s="205"/>
      <c r="AC291" s="199" t="s">
        <v>396</v>
      </c>
    </row>
    <row r="292" spans="1:29" ht="18.75" hidden="1" thickBot="1" x14ac:dyDescent="0.3">
      <c r="A292" s="155">
        <v>114</v>
      </c>
      <c r="B292" s="225"/>
      <c r="C292" s="229" t="s">
        <v>510</v>
      </c>
      <c r="D292" s="204">
        <v>1270.82</v>
      </c>
      <c r="E292" s="204">
        <v>48.08</v>
      </c>
      <c r="F292" s="204">
        <v>9.34</v>
      </c>
      <c r="G292" s="205"/>
      <c r="H292" s="192">
        <v>150</v>
      </c>
      <c r="I292" s="205"/>
      <c r="J292" s="193"/>
      <c r="K292" s="205"/>
      <c r="L292" s="204"/>
      <c r="M292" s="204"/>
      <c r="N292" s="205"/>
      <c r="O292" s="184">
        <f t="shared" si="10"/>
        <v>150</v>
      </c>
      <c r="P292" s="205"/>
      <c r="Q292" s="205"/>
      <c r="R292" s="190">
        <v>305.56</v>
      </c>
      <c r="S292" s="197">
        <v>17904.04</v>
      </c>
      <c r="T292" s="204"/>
      <c r="U292" s="205"/>
      <c r="V292" s="166">
        <f t="shared" si="11"/>
        <v>0</v>
      </c>
      <c r="W292" s="204">
        <v>9.6</v>
      </c>
      <c r="X292" s="204">
        <v>10.7</v>
      </c>
      <c r="Y292" s="205"/>
      <c r="Z292" s="204">
        <v>19.37</v>
      </c>
      <c r="AA292" s="204">
        <v>5.66</v>
      </c>
      <c r="AB292" s="205"/>
      <c r="AC292" s="199" t="s">
        <v>396</v>
      </c>
    </row>
    <row r="293" spans="1:29" ht="18.75" hidden="1" thickBot="1" x14ac:dyDescent="0.3">
      <c r="A293" s="168">
        <v>115</v>
      </c>
      <c r="B293" s="203"/>
      <c r="C293" s="224" t="s">
        <v>511</v>
      </c>
      <c r="D293" s="190">
        <v>1743.77</v>
      </c>
      <c r="E293" s="190">
        <v>409.69</v>
      </c>
      <c r="F293" s="190">
        <v>81.2</v>
      </c>
      <c r="G293" s="190"/>
      <c r="H293" s="192">
        <v>150</v>
      </c>
      <c r="I293" s="190"/>
      <c r="J293" s="193"/>
      <c r="K293" s="190"/>
      <c r="L293" s="190">
        <v>15</v>
      </c>
      <c r="M293" s="190"/>
      <c r="N293" s="190"/>
      <c r="O293" s="184">
        <f t="shared" si="10"/>
        <v>165</v>
      </c>
      <c r="P293" s="204"/>
      <c r="Q293" s="204"/>
      <c r="R293" s="190">
        <v>523.35</v>
      </c>
      <c r="S293" s="197">
        <v>28883.010000000002</v>
      </c>
      <c r="T293" s="190"/>
      <c r="U293" s="190"/>
      <c r="V293" s="166">
        <f t="shared" si="11"/>
        <v>0</v>
      </c>
      <c r="W293" s="190">
        <v>15.75</v>
      </c>
      <c r="X293" s="190">
        <v>17.25</v>
      </c>
      <c r="Y293" s="190"/>
      <c r="Z293" s="190">
        <v>100.93</v>
      </c>
      <c r="AA293" s="190">
        <v>22.9</v>
      </c>
      <c r="AB293" s="190"/>
      <c r="AC293" s="199" t="s">
        <v>404</v>
      </c>
    </row>
    <row r="294" spans="1:29" ht="18.75" hidden="1" thickBot="1" x14ac:dyDescent="0.3">
      <c r="A294" s="155">
        <v>116</v>
      </c>
      <c r="B294" s="210"/>
      <c r="C294" s="189" t="s">
        <v>512</v>
      </c>
      <c r="D294" s="190">
        <v>1388.86</v>
      </c>
      <c r="E294" s="190">
        <v>158.46</v>
      </c>
      <c r="F294" s="190">
        <v>33.299999999999997</v>
      </c>
      <c r="G294" s="190"/>
      <c r="H294" s="192">
        <v>50</v>
      </c>
      <c r="I294" s="190"/>
      <c r="J294" s="193"/>
      <c r="K294" s="190"/>
      <c r="L294" s="190"/>
      <c r="M294" s="190"/>
      <c r="N294" s="190"/>
      <c r="O294" s="184">
        <f t="shared" si="10"/>
        <v>50</v>
      </c>
      <c r="P294" s="204"/>
      <c r="Q294" s="204"/>
      <c r="R294" s="190">
        <v>364.14</v>
      </c>
      <c r="S294" s="197">
        <v>20898.95</v>
      </c>
      <c r="T294" s="190"/>
      <c r="U294" s="190"/>
      <c r="V294" s="166">
        <f t="shared" si="11"/>
        <v>0</v>
      </c>
      <c r="W294" s="190">
        <v>10.55</v>
      </c>
      <c r="X294" s="190">
        <v>11.75</v>
      </c>
      <c r="Y294" s="190"/>
      <c r="Z294" s="190">
        <v>31.65</v>
      </c>
      <c r="AA294" s="190">
        <v>8.36</v>
      </c>
      <c r="AB294" s="190"/>
      <c r="AC294" s="199" t="s">
        <v>404</v>
      </c>
    </row>
    <row r="295" spans="1:29" ht="18.75" hidden="1" thickBot="1" x14ac:dyDescent="0.3">
      <c r="A295" s="168">
        <v>117</v>
      </c>
      <c r="B295" s="203"/>
      <c r="C295" s="189" t="s">
        <v>513</v>
      </c>
      <c r="D295" s="204">
        <v>1066.75</v>
      </c>
      <c r="E295" s="204"/>
      <c r="F295" s="204">
        <v>5.16</v>
      </c>
      <c r="G295" s="205"/>
      <c r="H295" s="192">
        <v>145</v>
      </c>
      <c r="I295" s="205"/>
      <c r="J295" s="193">
        <v>185.91</v>
      </c>
      <c r="K295" s="205"/>
      <c r="L295" s="204"/>
      <c r="M295" s="204"/>
      <c r="N295" s="205"/>
      <c r="O295" s="184">
        <f t="shared" si="10"/>
        <v>330.90999999999997</v>
      </c>
      <c r="P295" s="205"/>
      <c r="Q295" s="205"/>
      <c r="R295" s="190">
        <v>230.5</v>
      </c>
      <c r="S295" s="197">
        <v>14002.069999999998</v>
      </c>
      <c r="T295" s="204"/>
      <c r="U295" s="205"/>
      <c r="V295" s="166">
        <f t="shared" si="11"/>
        <v>0</v>
      </c>
      <c r="W295" s="204">
        <v>7.55</v>
      </c>
      <c r="X295" s="204">
        <v>10.050000000000001</v>
      </c>
      <c r="Y295" s="205"/>
      <c r="Z295" s="204"/>
      <c r="AA295" s="204">
        <v>3.86</v>
      </c>
      <c r="AB295" s="205"/>
      <c r="AC295" s="199" t="s">
        <v>396</v>
      </c>
    </row>
    <row r="296" spans="1:29" ht="18.75" hidden="1" thickBot="1" x14ac:dyDescent="0.3">
      <c r="A296" s="155">
        <v>118</v>
      </c>
      <c r="B296" s="210"/>
      <c r="C296" s="224" t="s">
        <v>514</v>
      </c>
      <c r="D296" s="190">
        <v>1522.77</v>
      </c>
      <c r="E296" s="190">
        <v>232.55</v>
      </c>
      <c r="F296" s="190">
        <v>57.93</v>
      </c>
      <c r="G296" s="190"/>
      <c r="H296" s="192">
        <v>150</v>
      </c>
      <c r="I296" s="190"/>
      <c r="J296" s="193"/>
      <c r="K296" s="190"/>
      <c r="L296" s="190"/>
      <c r="M296" s="190"/>
      <c r="N296" s="190"/>
      <c r="O296" s="184">
        <f t="shared" si="10"/>
        <v>150</v>
      </c>
      <c r="P296" s="204"/>
      <c r="Q296" s="204"/>
      <c r="R296" s="190">
        <v>422.47</v>
      </c>
      <c r="S296" s="197">
        <v>23767.929999999997</v>
      </c>
      <c r="T296" s="190"/>
      <c r="U296" s="190"/>
      <c r="V296" s="166">
        <f t="shared" si="11"/>
        <v>0</v>
      </c>
      <c r="W296" s="190">
        <v>12.85</v>
      </c>
      <c r="X296" s="190">
        <v>14.15</v>
      </c>
      <c r="Y296" s="190"/>
      <c r="Z296" s="190">
        <v>62.36</v>
      </c>
      <c r="AA296" s="190">
        <v>14.72</v>
      </c>
      <c r="AB296" s="190"/>
      <c r="AC296" s="199" t="s">
        <v>404</v>
      </c>
    </row>
    <row r="297" spans="1:29" ht="18.75" hidden="1" thickBot="1" x14ac:dyDescent="0.3">
      <c r="A297" s="168">
        <v>119</v>
      </c>
      <c r="B297" s="203"/>
      <c r="C297" s="189" t="s">
        <v>515</v>
      </c>
      <c r="D297" s="204">
        <v>941.6</v>
      </c>
      <c r="E297" s="204"/>
      <c r="F297" s="204">
        <v>5.31</v>
      </c>
      <c r="G297" s="205"/>
      <c r="H297" s="192">
        <v>145</v>
      </c>
      <c r="I297" s="205"/>
      <c r="J297" s="193"/>
      <c r="K297" s="205"/>
      <c r="L297" s="204"/>
      <c r="M297" s="204"/>
      <c r="N297" s="205"/>
      <c r="O297" s="184">
        <f t="shared" si="10"/>
        <v>145</v>
      </c>
      <c r="P297" s="205"/>
      <c r="Q297" s="205"/>
      <c r="R297" s="190">
        <v>214.5</v>
      </c>
      <c r="S297" s="197">
        <v>12908.920000000002</v>
      </c>
      <c r="T297" s="204">
        <v>29</v>
      </c>
      <c r="U297" s="205"/>
      <c r="V297" s="166">
        <f t="shared" si="11"/>
        <v>29</v>
      </c>
      <c r="W297" s="204">
        <v>6.6</v>
      </c>
      <c r="X297" s="204">
        <v>7.65</v>
      </c>
      <c r="Y297" s="205"/>
      <c r="Z297" s="204"/>
      <c r="AA297" s="204"/>
      <c r="AB297" s="205"/>
      <c r="AC297" s="199" t="s">
        <v>396</v>
      </c>
    </row>
    <row r="298" spans="1:29" ht="18.75" hidden="1" thickBot="1" x14ac:dyDescent="0.3">
      <c r="A298" s="155">
        <v>120</v>
      </c>
      <c r="B298" s="210"/>
      <c r="C298" s="189" t="s">
        <v>516</v>
      </c>
      <c r="D298" s="204">
        <v>1045.8399999999999</v>
      </c>
      <c r="E298" s="204"/>
      <c r="F298" s="204">
        <v>5.67</v>
      </c>
      <c r="G298" s="205"/>
      <c r="H298" s="192">
        <v>100</v>
      </c>
      <c r="I298" s="205"/>
      <c r="J298" s="193"/>
      <c r="K298" s="205"/>
      <c r="L298" s="204"/>
      <c r="M298" s="204"/>
      <c r="N298" s="205"/>
      <c r="O298" s="184">
        <f t="shared" si="10"/>
        <v>100</v>
      </c>
      <c r="P298" s="205"/>
      <c r="Q298" s="205"/>
      <c r="R298" s="190">
        <v>222.5</v>
      </c>
      <c r="S298" s="197"/>
      <c r="T298" s="204"/>
      <c r="U298" s="205"/>
      <c r="V298" s="166">
        <f t="shared" si="11"/>
        <v>0</v>
      </c>
      <c r="W298" s="204">
        <v>6.6</v>
      </c>
      <c r="X298" s="204">
        <v>8.3000000000000007</v>
      </c>
      <c r="Y298" s="205"/>
      <c r="Z298" s="204"/>
      <c r="AA298" s="204"/>
      <c r="AB298" s="205"/>
      <c r="AC298" s="199" t="s">
        <v>396</v>
      </c>
    </row>
    <row r="299" spans="1:29" ht="18.75" hidden="1" thickBot="1" x14ac:dyDescent="0.3">
      <c r="A299" s="168">
        <v>121</v>
      </c>
      <c r="B299" s="203"/>
      <c r="C299" s="189" t="s">
        <v>517</v>
      </c>
      <c r="D299" s="204">
        <v>1015.95</v>
      </c>
      <c r="E299" s="204"/>
      <c r="F299" s="204">
        <v>5.1100000000000003</v>
      </c>
      <c r="G299" s="205"/>
      <c r="H299" s="192"/>
      <c r="I299" s="205"/>
      <c r="J299" s="193"/>
      <c r="K299" s="205"/>
      <c r="L299" s="204"/>
      <c r="M299" s="204"/>
      <c r="N299" s="205"/>
      <c r="O299" s="184">
        <f t="shared" si="10"/>
        <v>0</v>
      </c>
      <c r="P299" s="205"/>
      <c r="Q299" s="205"/>
      <c r="R299" s="190">
        <v>230.5</v>
      </c>
      <c r="S299" s="197">
        <v>13143.100000000002</v>
      </c>
      <c r="T299" s="204">
        <v>11.77</v>
      </c>
      <c r="U299" s="205"/>
      <c r="V299" s="166">
        <f t="shared" si="11"/>
        <v>11.77</v>
      </c>
      <c r="W299" s="204">
        <v>6.4</v>
      </c>
      <c r="X299" s="204">
        <v>7.25</v>
      </c>
      <c r="Y299" s="205"/>
      <c r="Z299" s="204"/>
      <c r="AA299" s="204"/>
      <c r="AB299" s="205"/>
      <c r="AC299" s="199" t="s">
        <v>396</v>
      </c>
    </row>
    <row r="300" spans="1:29" ht="18.75" hidden="1" thickBot="1" x14ac:dyDescent="0.3">
      <c r="A300" s="155">
        <v>122</v>
      </c>
      <c r="B300" s="225"/>
      <c r="C300" s="230" t="s">
        <v>518</v>
      </c>
      <c r="D300" s="190">
        <v>2255.6799999999998</v>
      </c>
      <c r="E300" s="190">
        <v>768.05</v>
      </c>
      <c r="F300" s="190">
        <v>115.62</v>
      </c>
      <c r="G300" s="190">
        <v>74.33</v>
      </c>
      <c r="H300" s="192">
        <v>50</v>
      </c>
      <c r="I300" s="190"/>
      <c r="J300" s="193"/>
      <c r="K300" s="190"/>
      <c r="L300" s="190"/>
      <c r="M300" s="190"/>
      <c r="N300" s="190"/>
      <c r="O300" s="184">
        <f t="shared" si="10"/>
        <v>50</v>
      </c>
      <c r="P300" s="204"/>
      <c r="Q300" s="204"/>
      <c r="R300" s="190">
        <v>743.34</v>
      </c>
      <c r="S300" s="197"/>
      <c r="T300" s="190"/>
      <c r="U300" s="190"/>
      <c r="V300" s="166">
        <f t="shared" si="11"/>
        <v>0</v>
      </c>
      <c r="W300" s="190">
        <v>21.45</v>
      </c>
      <c r="X300" s="190">
        <v>23.25</v>
      </c>
      <c r="Y300" s="190"/>
      <c r="Z300" s="190">
        <v>176.12</v>
      </c>
      <c r="AA300" s="190">
        <v>117.86</v>
      </c>
      <c r="AB300" s="190"/>
      <c r="AC300" s="199" t="s">
        <v>404</v>
      </c>
    </row>
    <row r="301" spans="1:29" ht="18.75" hidden="1" thickBot="1" x14ac:dyDescent="0.3">
      <c r="A301" s="168">
        <v>123</v>
      </c>
      <c r="B301" s="203"/>
      <c r="C301" s="189" t="s">
        <v>519</v>
      </c>
      <c r="D301" s="204">
        <v>1066.75</v>
      </c>
      <c r="E301" s="204"/>
      <c r="F301" s="204">
        <v>5.1100000000000003</v>
      </c>
      <c r="G301" s="205"/>
      <c r="H301" s="192">
        <v>145</v>
      </c>
      <c r="I301" s="205"/>
      <c r="J301" s="193"/>
      <c r="K301" s="205"/>
      <c r="L301" s="204"/>
      <c r="M301" s="204"/>
      <c r="N301" s="205"/>
      <c r="O301" s="184">
        <f t="shared" si="10"/>
        <v>145</v>
      </c>
      <c r="P301" s="205"/>
      <c r="Q301" s="205"/>
      <c r="R301" s="190">
        <v>230.5</v>
      </c>
      <c r="S301" s="197">
        <v>14181.470000000001</v>
      </c>
      <c r="T301" s="204"/>
      <c r="U301" s="205"/>
      <c r="V301" s="166">
        <f t="shared" si="11"/>
        <v>0</v>
      </c>
      <c r="W301" s="204">
        <v>7.55</v>
      </c>
      <c r="X301" s="204">
        <v>8.8000000000000007</v>
      </c>
      <c r="Y301" s="205"/>
      <c r="Z301" s="204"/>
      <c r="AA301" s="204">
        <v>0.57999999999999996</v>
      </c>
      <c r="AB301" s="205"/>
      <c r="AC301" s="199" t="s">
        <v>396</v>
      </c>
    </row>
    <row r="302" spans="1:29" ht="18.75" hidden="1" thickBot="1" x14ac:dyDescent="0.3">
      <c r="A302" s="155">
        <v>124</v>
      </c>
      <c r="B302" s="210"/>
      <c r="C302" s="189" t="s">
        <v>520</v>
      </c>
      <c r="D302" s="190">
        <v>1474.73</v>
      </c>
      <c r="E302" s="190">
        <v>196.47</v>
      </c>
      <c r="F302" s="190">
        <v>45.97</v>
      </c>
      <c r="G302" s="190"/>
      <c r="H302" s="192">
        <v>150</v>
      </c>
      <c r="I302" s="190"/>
      <c r="J302" s="193"/>
      <c r="K302" s="190"/>
      <c r="L302" s="190"/>
      <c r="M302" s="190"/>
      <c r="N302" s="190"/>
      <c r="O302" s="184">
        <f t="shared" si="10"/>
        <v>150</v>
      </c>
      <c r="P302" s="204"/>
      <c r="Q302" s="204"/>
      <c r="R302" s="190">
        <v>394.07</v>
      </c>
      <c r="S302" s="197">
        <v>22549.94</v>
      </c>
      <c r="T302" s="190">
        <v>4.22</v>
      </c>
      <c r="U302" s="190"/>
      <c r="V302" s="166">
        <f t="shared" si="11"/>
        <v>4.22</v>
      </c>
      <c r="W302" s="190">
        <v>12.3</v>
      </c>
      <c r="X302" s="190">
        <v>13.55</v>
      </c>
      <c r="Y302" s="190"/>
      <c r="Z302" s="190">
        <v>54.55</v>
      </c>
      <c r="AA302" s="190">
        <v>13.13</v>
      </c>
      <c r="AB302" s="190"/>
      <c r="AC302" s="199" t="s">
        <v>404</v>
      </c>
    </row>
    <row r="303" spans="1:29" ht="18.75" hidden="1" thickBot="1" x14ac:dyDescent="0.3">
      <c r="A303" s="168">
        <v>125</v>
      </c>
      <c r="B303" s="203"/>
      <c r="C303" s="189" t="s">
        <v>521</v>
      </c>
      <c r="D303" s="204">
        <v>1040.56</v>
      </c>
      <c r="E303" s="204"/>
      <c r="F303" s="204">
        <v>5.65</v>
      </c>
      <c r="G303" s="205"/>
      <c r="H303" s="192">
        <v>100</v>
      </c>
      <c r="I303" s="205"/>
      <c r="J303" s="193">
        <v>88.62</v>
      </c>
      <c r="K303" s="205"/>
      <c r="L303" s="204"/>
      <c r="M303" s="204"/>
      <c r="N303" s="205"/>
      <c r="O303" s="184">
        <f t="shared" si="10"/>
        <v>188.62</v>
      </c>
      <c r="P303" s="205"/>
      <c r="Q303" s="205"/>
      <c r="R303" s="190">
        <v>220.5</v>
      </c>
      <c r="S303" s="197">
        <v>21452.43</v>
      </c>
      <c r="T303" s="204"/>
      <c r="U303" s="205"/>
      <c r="V303" s="166">
        <f t="shared" si="11"/>
        <v>0</v>
      </c>
      <c r="W303" s="204">
        <v>6.55</v>
      </c>
      <c r="X303" s="204">
        <v>8.85</v>
      </c>
      <c r="Y303" s="205"/>
      <c r="Z303" s="204"/>
      <c r="AA303" s="204">
        <v>0.74</v>
      </c>
      <c r="AB303" s="205"/>
      <c r="AC303" s="199" t="s">
        <v>396</v>
      </c>
    </row>
    <row r="304" spans="1:29" ht="18.75" hidden="1" thickBot="1" x14ac:dyDescent="0.3">
      <c r="A304" s="155">
        <v>126</v>
      </c>
      <c r="B304" s="225"/>
      <c r="C304" s="226" t="s">
        <v>522</v>
      </c>
      <c r="D304" s="204">
        <v>1251.04</v>
      </c>
      <c r="E304" s="204">
        <v>48.93</v>
      </c>
      <c r="F304" s="204">
        <v>10.48</v>
      </c>
      <c r="G304" s="205"/>
      <c r="H304" s="192">
        <v>50</v>
      </c>
      <c r="I304" s="205"/>
      <c r="J304" s="193"/>
      <c r="K304" s="205"/>
      <c r="L304" s="204">
        <v>15</v>
      </c>
      <c r="M304" s="204"/>
      <c r="N304" s="205"/>
      <c r="O304" s="184">
        <f t="shared" si="10"/>
        <v>65</v>
      </c>
      <c r="P304" s="205"/>
      <c r="Q304" s="205"/>
      <c r="R304" s="190">
        <v>309.39</v>
      </c>
      <c r="S304" s="197">
        <v>18604.75</v>
      </c>
      <c r="T304" s="204"/>
      <c r="U304" s="205"/>
      <c r="V304" s="166">
        <f t="shared" si="11"/>
        <v>0</v>
      </c>
      <c r="W304" s="204">
        <v>9.65</v>
      </c>
      <c r="X304" s="204">
        <v>9.9499999999999993</v>
      </c>
      <c r="Y304" s="205"/>
      <c r="Z304" s="204">
        <v>20.04</v>
      </c>
      <c r="AA304" s="204">
        <v>3.57</v>
      </c>
      <c r="AB304" s="205"/>
      <c r="AC304" s="199" t="s">
        <v>396</v>
      </c>
    </row>
    <row r="305" spans="1:29" ht="18.75" hidden="1" thickBot="1" x14ac:dyDescent="0.3">
      <c r="A305" s="168">
        <v>127</v>
      </c>
      <c r="B305" s="203"/>
      <c r="C305" s="189" t="s">
        <v>523</v>
      </c>
      <c r="D305" s="204">
        <v>1358.48</v>
      </c>
      <c r="E305" s="204">
        <v>103.27</v>
      </c>
      <c r="F305" s="204">
        <v>27.5</v>
      </c>
      <c r="G305" s="205"/>
      <c r="H305" s="192">
        <v>150</v>
      </c>
      <c r="I305" s="205"/>
      <c r="J305" s="193">
        <v>235.17</v>
      </c>
      <c r="K305" s="205"/>
      <c r="L305" s="204"/>
      <c r="M305" s="204"/>
      <c r="N305" s="205"/>
      <c r="O305" s="184">
        <f t="shared" si="10"/>
        <v>385.16999999999996</v>
      </c>
      <c r="P305" s="205"/>
      <c r="Q305" s="205"/>
      <c r="R305" s="190">
        <v>349.01</v>
      </c>
      <c r="S305" s="197">
        <v>29160</v>
      </c>
      <c r="T305" s="204"/>
      <c r="U305" s="205"/>
      <c r="V305" s="166">
        <f t="shared" si="11"/>
        <v>0</v>
      </c>
      <c r="W305" s="204">
        <v>10.7</v>
      </c>
      <c r="X305" s="204">
        <v>13.45</v>
      </c>
      <c r="Y305" s="205"/>
      <c r="Z305" s="204">
        <v>33.86</v>
      </c>
      <c r="AA305" s="204">
        <v>12.84</v>
      </c>
      <c r="AB305" s="205"/>
      <c r="AC305" s="199" t="s">
        <v>396</v>
      </c>
    </row>
    <row r="306" spans="1:29" ht="18.75" hidden="1" thickBot="1" x14ac:dyDescent="0.3">
      <c r="A306" s="155">
        <v>128</v>
      </c>
      <c r="B306" s="210"/>
      <c r="C306" s="189" t="s">
        <v>524</v>
      </c>
      <c r="D306" s="204">
        <v>1086.29</v>
      </c>
      <c r="E306" s="204"/>
      <c r="F306" s="204">
        <v>5.89</v>
      </c>
      <c r="G306" s="205"/>
      <c r="H306" s="192">
        <v>100</v>
      </c>
      <c r="I306" s="205"/>
      <c r="J306" s="193"/>
      <c r="K306" s="205"/>
      <c r="L306" s="204"/>
      <c r="M306" s="204"/>
      <c r="N306" s="205"/>
      <c r="O306" s="184">
        <f t="shared" si="10"/>
        <v>100</v>
      </c>
      <c r="P306" s="205"/>
      <c r="Q306" s="205"/>
      <c r="R306" s="190">
        <v>226.5</v>
      </c>
      <c r="S306" s="197">
        <v>14332.070000000002</v>
      </c>
      <c r="T306" s="204">
        <v>9.68</v>
      </c>
      <c r="U306" s="205"/>
      <c r="V306" s="166">
        <f t="shared" si="11"/>
        <v>9.68</v>
      </c>
      <c r="W306" s="204">
        <v>7.35</v>
      </c>
      <c r="X306" s="204">
        <v>8.5500000000000007</v>
      </c>
      <c r="Y306" s="205"/>
      <c r="Z306" s="204"/>
      <c r="AA306" s="204"/>
      <c r="AB306" s="205"/>
      <c r="AC306" s="199" t="s">
        <v>396</v>
      </c>
    </row>
    <row r="307" spans="1:29" ht="18.75" hidden="1" thickBot="1" x14ac:dyDescent="0.3">
      <c r="A307" s="168">
        <v>129</v>
      </c>
      <c r="B307" s="225"/>
      <c r="C307" s="226" t="s">
        <v>525</v>
      </c>
      <c r="D307" s="204">
        <v>1342.01</v>
      </c>
      <c r="E307" s="204">
        <v>61.67</v>
      </c>
      <c r="F307" s="204">
        <v>14.77</v>
      </c>
      <c r="G307" s="205"/>
      <c r="H307" s="192">
        <v>150</v>
      </c>
      <c r="I307" s="205"/>
      <c r="J307" s="193"/>
      <c r="K307" s="205"/>
      <c r="L307" s="204"/>
      <c r="M307" s="204"/>
      <c r="N307" s="205"/>
      <c r="O307" s="184">
        <f t="shared" si="10"/>
        <v>150</v>
      </c>
      <c r="P307" s="205"/>
      <c r="Q307" s="205"/>
      <c r="R307" s="190">
        <v>319.42</v>
      </c>
      <c r="S307" s="197">
        <v>18913.780000000002</v>
      </c>
      <c r="T307" s="204"/>
      <c r="U307" s="205"/>
      <c r="V307" s="166">
        <f t="shared" si="11"/>
        <v>0</v>
      </c>
      <c r="W307" s="204">
        <v>9.8000000000000007</v>
      </c>
      <c r="X307" s="204">
        <v>10.85</v>
      </c>
      <c r="Y307" s="205"/>
      <c r="Z307" s="204">
        <v>21.95</v>
      </c>
      <c r="AA307" s="204">
        <v>6.02</v>
      </c>
      <c r="AB307" s="205"/>
      <c r="AC307" s="199" t="s">
        <v>396</v>
      </c>
    </row>
    <row r="308" spans="1:29" ht="18.75" hidden="1" thickBot="1" x14ac:dyDescent="0.3">
      <c r="A308" s="155">
        <v>130</v>
      </c>
      <c r="B308" s="210"/>
      <c r="C308" s="224" t="s">
        <v>526</v>
      </c>
      <c r="D308" s="190">
        <v>2202.5300000000002</v>
      </c>
      <c r="E308" s="190">
        <v>746.74</v>
      </c>
      <c r="F308" s="190">
        <v>111.86</v>
      </c>
      <c r="G308" s="190">
        <v>72.489999999999995</v>
      </c>
      <c r="H308" s="192">
        <v>100</v>
      </c>
      <c r="I308" s="190"/>
      <c r="J308" s="193"/>
      <c r="K308" s="190"/>
      <c r="L308" s="190"/>
      <c r="M308" s="190"/>
      <c r="N308" s="190"/>
      <c r="O308" s="184">
        <f t="shared" si="10"/>
        <v>100</v>
      </c>
      <c r="P308" s="204"/>
      <c r="Q308" s="204"/>
      <c r="R308" s="190">
        <v>724.98</v>
      </c>
      <c r="S308" s="197">
        <v>29160.000000000004</v>
      </c>
      <c r="T308" s="190"/>
      <c r="U308" s="190"/>
      <c r="V308" s="166">
        <f t="shared" si="11"/>
        <v>0</v>
      </c>
      <c r="W308" s="190">
        <v>21.3</v>
      </c>
      <c r="X308" s="190">
        <v>23.05</v>
      </c>
      <c r="Y308" s="190"/>
      <c r="Z308" s="190">
        <v>174</v>
      </c>
      <c r="AA308" s="190">
        <v>115.14</v>
      </c>
      <c r="AB308" s="190"/>
      <c r="AC308" s="199" t="s">
        <v>404</v>
      </c>
    </row>
    <row r="309" spans="1:29" ht="18.75" hidden="1" thickBot="1" x14ac:dyDescent="0.3">
      <c r="A309" s="168">
        <v>131</v>
      </c>
      <c r="B309" s="203"/>
      <c r="C309" s="189" t="s">
        <v>527</v>
      </c>
      <c r="D309" s="204">
        <v>2332.5100000000002</v>
      </c>
      <c r="E309" s="204">
        <v>806.22</v>
      </c>
      <c r="F309" s="204">
        <v>120.96</v>
      </c>
      <c r="G309" s="204">
        <v>77.02</v>
      </c>
      <c r="H309" s="192">
        <v>100</v>
      </c>
      <c r="I309" s="204"/>
      <c r="J309" s="193"/>
      <c r="K309" s="204"/>
      <c r="L309" s="204"/>
      <c r="M309" s="204"/>
      <c r="N309" s="204"/>
      <c r="O309" s="184">
        <f t="shared" si="10"/>
        <v>100</v>
      </c>
      <c r="P309" s="204"/>
      <c r="Q309" s="204"/>
      <c r="R309" s="190">
        <v>770.24</v>
      </c>
      <c r="S309" s="197">
        <v>24064.45</v>
      </c>
      <c r="T309" s="204"/>
      <c r="U309" s="204"/>
      <c r="V309" s="166">
        <f t="shared" si="11"/>
        <v>0</v>
      </c>
      <c r="W309" s="204">
        <v>22.65</v>
      </c>
      <c r="X309" s="191"/>
      <c r="Y309" s="191"/>
      <c r="Z309" s="204">
        <v>192.25</v>
      </c>
      <c r="AA309" s="191"/>
      <c r="AB309" s="191"/>
      <c r="AC309" s="199" t="s">
        <v>528</v>
      </c>
    </row>
    <row r="310" spans="1:29" ht="18.75" hidden="1" thickBot="1" x14ac:dyDescent="0.3">
      <c r="A310" s="155">
        <v>132</v>
      </c>
      <c r="B310" s="210"/>
      <c r="C310" s="189" t="s">
        <v>529</v>
      </c>
      <c r="D310" s="204">
        <v>1292.43</v>
      </c>
      <c r="E310" s="204">
        <v>455.82</v>
      </c>
      <c r="F310" s="204">
        <v>67.81</v>
      </c>
      <c r="G310" s="204">
        <v>83.23</v>
      </c>
      <c r="H310" s="192">
        <v>50</v>
      </c>
      <c r="I310" s="204"/>
      <c r="J310" s="193"/>
      <c r="K310" s="204"/>
      <c r="L310" s="204"/>
      <c r="M310" s="204"/>
      <c r="N310" s="204"/>
      <c r="O310" s="184">
        <f t="shared" si="10"/>
        <v>50</v>
      </c>
      <c r="P310" s="204"/>
      <c r="Q310" s="204"/>
      <c r="R310" s="190">
        <v>832.38</v>
      </c>
      <c r="S310" s="197">
        <v>24064.45</v>
      </c>
      <c r="T310" s="204"/>
      <c r="U310" s="204"/>
      <c r="V310" s="166">
        <f t="shared" si="11"/>
        <v>0</v>
      </c>
      <c r="W310" s="204">
        <v>12.05</v>
      </c>
      <c r="X310" s="191"/>
      <c r="Y310" s="191"/>
      <c r="Z310" s="204">
        <v>51.8</v>
      </c>
      <c r="AA310" s="191"/>
      <c r="AB310" s="191"/>
      <c r="AC310" s="199" t="s">
        <v>528</v>
      </c>
    </row>
    <row r="311" spans="1:29" ht="18.75" hidden="1" thickBot="1" x14ac:dyDescent="0.3">
      <c r="A311" s="168">
        <v>133</v>
      </c>
      <c r="B311" s="203"/>
      <c r="C311" s="189" t="s">
        <v>530</v>
      </c>
      <c r="D311" s="204">
        <v>2164.02</v>
      </c>
      <c r="E311" s="204">
        <v>594.51</v>
      </c>
      <c r="F311" s="204">
        <v>105.35</v>
      </c>
      <c r="G311" s="204">
        <v>67.2</v>
      </c>
      <c r="H311" s="192">
        <v>100</v>
      </c>
      <c r="I311" s="204"/>
      <c r="J311" s="193"/>
      <c r="K311" s="204"/>
      <c r="L311" s="204"/>
      <c r="M311" s="204"/>
      <c r="N311" s="204"/>
      <c r="O311" s="184">
        <f t="shared" si="10"/>
        <v>100</v>
      </c>
      <c r="P311" s="204"/>
      <c r="Q311" s="204"/>
      <c r="R311" s="190">
        <v>672.04</v>
      </c>
      <c r="S311" s="197">
        <v>29160</v>
      </c>
      <c r="T311" s="204"/>
      <c r="U311" s="204"/>
      <c r="V311" s="166">
        <f t="shared" si="11"/>
        <v>0</v>
      </c>
      <c r="W311" s="204">
        <v>19.95</v>
      </c>
      <c r="X311" s="190">
        <v>21.6</v>
      </c>
      <c r="Y311" s="190"/>
      <c r="Z311" s="204">
        <v>156.13</v>
      </c>
      <c r="AA311" s="190">
        <v>34.479999999999997</v>
      </c>
      <c r="AB311" s="190"/>
      <c r="AC311" s="199" t="s">
        <v>528</v>
      </c>
    </row>
    <row r="312" spans="1:29" ht="18.75" hidden="1" thickBot="1" x14ac:dyDescent="0.3">
      <c r="A312" s="155">
        <v>134</v>
      </c>
      <c r="B312" s="210"/>
      <c r="C312" s="189" t="s">
        <v>531</v>
      </c>
      <c r="D312" s="204">
        <v>1612.24</v>
      </c>
      <c r="E312" s="204">
        <v>345.03</v>
      </c>
      <c r="F312" s="204">
        <v>73.31</v>
      </c>
      <c r="G312" s="204"/>
      <c r="H312" s="192">
        <v>50</v>
      </c>
      <c r="I312" s="204"/>
      <c r="J312" s="193"/>
      <c r="K312" s="204"/>
      <c r="L312" s="204"/>
      <c r="M312" s="204"/>
      <c r="N312" s="204"/>
      <c r="O312" s="184">
        <f t="shared" si="10"/>
        <v>50</v>
      </c>
      <c r="P312" s="204"/>
      <c r="Q312" s="204"/>
      <c r="R312" s="190">
        <v>475.6</v>
      </c>
      <c r="S312" s="197">
        <v>25898.800000000003</v>
      </c>
      <c r="T312" s="204"/>
      <c r="U312" s="204"/>
      <c r="V312" s="166">
        <f t="shared" si="11"/>
        <v>0</v>
      </c>
      <c r="W312" s="204">
        <v>13.55</v>
      </c>
      <c r="X312" s="190">
        <v>14.9</v>
      </c>
      <c r="Y312" s="190"/>
      <c r="Z312" s="204">
        <v>71.63</v>
      </c>
      <c r="AA312" s="190">
        <v>16.760000000000002</v>
      </c>
      <c r="AB312" s="190"/>
      <c r="AC312" s="199" t="s">
        <v>528</v>
      </c>
    </row>
    <row r="313" spans="1:29" ht="18.75" hidden="1" thickBot="1" x14ac:dyDescent="0.3">
      <c r="A313" s="168">
        <v>135</v>
      </c>
      <c r="B313" s="203"/>
      <c r="C313" s="189" t="s">
        <v>532</v>
      </c>
      <c r="D313" s="204">
        <v>1894.02</v>
      </c>
      <c r="E313" s="204">
        <v>474.56</v>
      </c>
      <c r="F313" s="204">
        <v>88.84</v>
      </c>
      <c r="G313" s="204"/>
      <c r="H313" s="192">
        <v>50</v>
      </c>
      <c r="I313" s="204"/>
      <c r="J313" s="193"/>
      <c r="K313" s="204"/>
      <c r="L313" s="204"/>
      <c r="M313" s="204"/>
      <c r="N313" s="204"/>
      <c r="O313" s="184">
        <f t="shared" si="10"/>
        <v>50</v>
      </c>
      <c r="P313" s="204"/>
      <c r="Q313" s="204"/>
      <c r="R313" s="190">
        <v>577.59</v>
      </c>
      <c r="S313" s="197">
        <v>29160.000000000004</v>
      </c>
      <c r="T313" s="204"/>
      <c r="U313" s="204"/>
      <c r="V313" s="166">
        <f t="shared" si="11"/>
        <v>0</v>
      </c>
      <c r="W313" s="204">
        <v>16.399999999999999</v>
      </c>
      <c r="X313" s="190">
        <v>18</v>
      </c>
      <c r="Y313" s="190"/>
      <c r="Z313" s="204">
        <v>109.24</v>
      </c>
      <c r="AA313" s="190">
        <v>24.85</v>
      </c>
      <c r="AB313" s="190"/>
      <c r="AC313" s="199" t="s">
        <v>528</v>
      </c>
    </row>
    <row r="314" spans="1:29" ht="18.75" hidden="1" thickBot="1" x14ac:dyDescent="0.3">
      <c r="A314" s="155">
        <v>136</v>
      </c>
      <c r="B314" s="210"/>
      <c r="C314" s="189" t="s">
        <v>533</v>
      </c>
      <c r="D314" s="204">
        <v>2024.09</v>
      </c>
      <c r="E314" s="204">
        <v>532.91</v>
      </c>
      <c r="F314" s="204">
        <v>96.95</v>
      </c>
      <c r="G314" s="204">
        <v>62.19</v>
      </c>
      <c r="H314" s="192">
        <v>150</v>
      </c>
      <c r="I314" s="204"/>
      <c r="J314" s="193"/>
      <c r="K314" s="204"/>
      <c r="L314" s="204"/>
      <c r="M314" s="204"/>
      <c r="N314" s="204"/>
      <c r="O314" s="184">
        <f t="shared" si="10"/>
        <v>150</v>
      </c>
      <c r="P314" s="204"/>
      <c r="Q314" s="204"/>
      <c r="R314" s="190">
        <v>621.95000000000005</v>
      </c>
      <c r="S314" s="197">
        <v>29160</v>
      </c>
      <c r="T314" s="204">
        <v>2.81</v>
      </c>
      <c r="U314" s="204"/>
      <c r="V314" s="166">
        <f t="shared" si="11"/>
        <v>2.81</v>
      </c>
      <c r="W314" s="204">
        <v>18.899999999999999</v>
      </c>
      <c r="X314" s="190">
        <v>20.5</v>
      </c>
      <c r="Y314" s="190"/>
      <c r="Z314" s="204">
        <v>141.82</v>
      </c>
      <c r="AA314" s="190">
        <v>31.48</v>
      </c>
      <c r="AB314" s="190"/>
      <c r="AC314" s="199" t="s">
        <v>528</v>
      </c>
    </row>
    <row r="315" spans="1:29" ht="18.75" hidden="1" thickBot="1" x14ac:dyDescent="0.3">
      <c r="A315" s="168">
        <v>137</v>
      </c>
      <c r="B315" s="203"/>
      <c r="C315" s="189" t="s">
        <v>534</v>
      </c>
      <c r="D315" s="204">
        <v>1712.7</v>
      </c>
      <c r="E315" s="204">
        <v>390.94</v>
      </c>
      <c r="F315" s="204">
        <v>79.180000000000007</v>
      </c>
      <c r="G315" s="204"/>
      <c r="H315" s="192">
        <v>150</v>
      </c>
      <c r="I315" s="204"/>
      <c r="J315" s="193"/>
      <c r="K315" s="204"/>
      <c r="L315" s="204"/>
      <c r="M315" s="204"/>
      <c r="N315" s="204"/>
      <c r="O315" s="184">
        <f t="shared" si="10"/>
        <v>150</v>
      </c>
      <c r="P315" s="204"/>
      <c r="Q315" s="204"/>
      <c r="R315" s="190">
        <v>511.76</v>
      </c>
      <c r="S315" s="197">
        <v>29031.119999999995</v>
      </c>
      <c r="T315" s="204"/>
      <c r="U315" s="204"/>
      <c r="V315" s="166">
        <f t="shared" si="11"/>
        <v>0</v>
      </c>
      <c r="W315" s="204">
        <v>15.3</v>
      </c>
      <c r="X315" s="190">
        <v>17.399999999999999</v>
      </c>
      <c r="Y315" s="190"/>
      <c r="Z315" s="204">
        <v>95.01</v>
      </c>
      <c r="AA315" s="190">
        <v>23.38</v>
      </c>
      <c r="AB315" s="190"/>
      <c r="AC315" s="199" t="s">
        <v>528</v>
      </c>
    </row>
    <row r="316" spans="1:29" ht="18.75" hidden="1" thickBot="1" x14ac:dyDescent="0.3">
      <c r="A316" s="155">
        <v>138</v>
      </c>
      <c r="B316" s="210"/>
      <c r="C316" s="189" t="s">
        <v>535</v>
      </c>
      <c r="D316" s="204">
        <v>1529.46</v>
      </c>
      <c r="E316" s="204">
        <v>236.28</v>
      </c>
      <c r="F316" s="204">
        <v>59</v>
      </c>
      <c r="G316" s="204"/>
      <c r="H316" s="192">
        <v>50</v>
      </c>
      <c r="I316" s="204"/>
      <c r="J316" s="193"/>
      <c r="K316" s="204"/>
      <c r="L316" s="204"/>
      <c r="M316" s="204"/>
      <c r="N316" s="204"/>
      <c r="O316" s="184">
        <f t="shared" si="10"/>
        <v>50</v>
      </c>
      <c r="P316" s="204"/>
      <c r="Q316" s="204"/>
      <c r="R316" s="190">
        <v>425.4</v>
      </c>
      <c r="S316" s="197">
        <v>23887.23</v>
      </c>
      <c r="T316" s="204"/>
      <c r="U316" s="204"/>
      <c r="V316" s="166">
        <f t="shared" si="11"/>
        <v>0</v>
      </c>
      <c r="W316" s="204">
        <v>12.2</v>
      </c>
      <c r="X316" s="190">
        <v>13.5</v>
      </c>
      <c r="Y316" s="190"/>
      <c r="Z316" s="204">
        <v>53.45</v>
      </c>
      <c r="AA316" s="190">
        <v>12.96</v>
      </c>
      <c r="AB316" s="190"/>
      <c r="AC316" s="199" t="s">
        <v>528</v>
      </c>
    </row>
    <row r="317" spans="1:29" ht="18.75" hidden="1" thickBot="1" x14ac:dyDescent="0.3">
      <c r="A317" s="168">
        <v>139</v>
      </c>
      <c r="B317" s="203"/>
      <c r="C317" s="189" t="s">
        <v>536</v>
      </c>
      <c r="D317" s="204">
        <v>1622.01</v>
      </c>
      <c r="E317" s="204">
        <v>277.63</v>
      </c>
      <c r="F317" s="204">
        <v>71.650000000000006</v>
      </c>
      <c r="G317" s="204"/>
      <c r="H317" s="192">
        <v>150</v>
      </c>
      <c r="I317" s="204"/>
      <c r="J317" s="193"/>
      <c r="K317" s="204"/>
      <c r="L317" s="204"/>
      <c r="M317" s="204"/>
      <c r="N317" s="204"/>
      <c r="O317" s="184">
        <f t="shared" si="10"/>
        <v>150</v>
      </c>
      <c r="P317" s="204"/>
      <c r="Q317" s="204"/>
      <c r="R317" s="190">
        <v>457.98</v>
      </c>
      <c r="S317" s="197">
        <v>25481.99</v>
      </c>
      <c r="T317" s="204"/>
      <c r="U317" s="204"/>
      <c r="V317" s="166">
        <f t="shared" si="11"/>
        <v>0</v>
      </c>
      <c r="W317" s="204">
        <v>13.9</v>
      </c>
      <c r="X317" s="190">
        <v>15.3</v>
      </c>
      <c r="Y317" s="190"/>
      <c r="Z317" s="204">
        <v>76.33</v>
      </c>
      <c r="AA317" s="190">
        <v>17.739999999999998</v>
      </c>
      <c r="AB317" s="190"/>
      <c r="AC317" s="199" t="s">
        <v>528</v>
      </c>
    </row>
    <row r="318" spans="1:29" ht="18.75" hidden="1" thickBot="1" x14ac:dyDescent="0.3">
      <c r="A318" s="155">
        <v>140</v>
      </c>
      <c r="B318" s="210"/>
      <c r="C318" s="189" t="s">
        <v>537</v>
      </c>
      <c r="D318" s="204">
        <v>2172.4</v>
      </c>
      <c r="E318" s="204">
        <v>731.77</v>
      </c>
      <c r="F318" s="204">
        <v>122.64</v>
      </c>
      <c r="G318" s="204">
        <v>71.31</v>
      </c>
      <c r="H318" s="192">
        <v>150</v>
      </c>
      <c r="I318" s="204"/>
      <c r="J318" s="193"/>
      <c r="K318" s="204"/>
      <c r="L318" s="204"/>
      <c r="M318" s="204"/>
      <c r="N318" s="204"/>
      <c r="O318" s="184">
        <f t="shared" si="10"/>
        <v>150</v>
      </c>
      <c r="P318" s="204"/>
      <c r="Q318" s="204"/>
      <c r="R318" s="190">
        <v>713.19</v>
      </c>
      <c r="S318" s="197">
        <v>29160</v>
      </c>
      <c r="T318" s="204"/>
      <c r="U318" s="204">
        <v>99.29</v>
      </c>
      <c r="V318" s="166">
        <f t="shared" si="11"/>
        <v>99.29</v>
      </c>
      <c r="W318" s="204">
        <v>21.45</v>
      </c>
      <c r="X318" s="190">
        <v>22.4</v>
      </c>
      <c r="Y318" s="190"/>
      <c r="Z318" s="204">
        <v>165.91</v>
      </c>
      <c r="AA318" s="190">
        <v>36.57</v>
      </c>
      <c r="AB318" s="190"/>
      <c r="AC318" s="199" t="s">
        <v>528</v>
      </c>
    </row>
    <row r="319" spans="1:29" ht="18.75" hidden="1" thickBot="1" x14ac:dyDescent="0.3">
      <c r="A319" s="168">
        <v>141</v>
      </c>
      <c r="B319" s="203"/>
      <c r="C319" s="189" t="s">
        <v>538</v>
      </c>
      <c r="D319" s="204">
        <v>1562.2</v>
      </c>
      <c r="E319" s="204">
        <v>254.67</v>
      </c>
      <c r="F319" s="204">
        <v>68.67</v>
      </c>
      <c r="G319" s="204"/>
      <c r="H319" s="192">
        <v>150</v>
      </c>
      <c r="I319" s="204"/>
      <c r="J319" s="193"/>
      <c r="K319" s="204"/>
      <c r="L319" s="204"/>
      <c r="M319" s="204"/>
      <c r="N319" s="204"/>
      <c r="O319" s="184">
        <f t="shared" si="10"/>
        <v>150</v>
      </c>
      <c r="P319" s="204"/>
      <c r="Q319" s="204"/>
      <c r="R319" s="190">
        <v>436.74</v>
      </c>
      <c r="S319" s="197">
        <v>24064.45</v>
      </c>
      <c r="T319" s="204">
        <v>2.48</v>
      </c>
      <c r="U319" s="204"/>
      <c r="V319" s="166">
        <f t="shared" si="11"/>
        <v>2.48</v>
      </c>
      <c r="W319" s="204">
        <v>13.35</v>
      </c>
      <c r="X319" s="190">
        <v>14.65</v>
      </c>
      <c r="Y319" s="190"/>
      <c r="Z319" s="204">
        <v>68.510000000000005</v>
      </c>
      <c r="AA319" s="190">
        <v>16.04</v>
      </c>
      <c r="AB319" s="190"/>
      <c r="AC319" s="199" t="s">
        <v>528</v>
      </c>
    </row>
    <row r="320" spans="1:29" ht="18.75" hidden="1" thickBot="1" x14ac:dyDescent="0.3">
      <c r="A320" s="155">
        <v>142</v>
      </c>
      <c r="B320" s="210"/>
      <c r="C320" s="189" t="s">
        <v>539</v>
      </c>
      <c r="D320" s="204">
        <v>1870.18</v>
      </c>
      <c r="E320" s="204">
        <v>445.51</v>
      </c>
      <c r="F320" s="204">
        <v>85.99</v>
      </c>
      <c r="G320" s="204"/>
      <c r="H320" s="192">
        <v>150</v>
      </c>
      <c r="I320" s="204"/>
      <c r="J320" s="193"/>
      <c r="K320" s="204"/>
      <c r="L320" s="204"/>
      <c r="M320" s="204"/>
      <c r="N320" s="204"/>
      <c r="O320" s="184">
        <f t="shared" si="10"/>
        <v>150</v>
      </c>
      <c r="P320" s="204"/>
      <c r="Q320" s="204"/>
      <c r="R320" s="190">
        <v>551.58000000000004</v>
      </c>
      <c r="S320" s="197">
        <v>28771.03</v>
      </c>
      <c r="T320" s="204">
        <v>1.62</v>
      </c>
      <c r="U320" s="204"/>
      <c r="V320" s="166">
        <f t="shared" si="11"/>
        <v>1.62</v>
      </c>
      <c r="W320" s="204">
        <v>16.75</v>
      </c>
      <c r="X320" s="190">
        <v>18.350000000000001</v>
      </c>
      <c r="Y320" s="190"/>
      <c r="Z320" s="204">
        <v>113.8</v>
      </c>
      <c r="AA320" s="190">
        <v>25.83</v>
      </c>
      <c r="AB320" s="190"/>
      <c r="AC320" s="199" t="s">
        <v>528</v>
      </c>
    </row>
    <row r="321" spans="1:29" ht="18.75" hidden="1" thickBot="1" x14ac:dyDescent="0.3">
      <c r="A321" s="168">
        <v>143</v>
      </c>
      <c r="B321" s="203"/>
      <c r="C321" s="189" t="s">
        <v>540</v>
      </c>
      <c r="D321" s="204">
        <v>1984.6</v>
      </c>
      <c r="E321" s="204">
        <v>520.19000000000005</v>
      </c>
      <c r="F321" s="204">
        <v>95.02</v>
      </c>
      <c r="G321" s="204"/>
      <c r="H321" s="192">
        <v>150</v>
      </c>
      <c r="I321" s="204"/>
      <c r="J321" s="193"/>
      <c r="K321" s="204"/>
      <c r="L321" s="204"/>
      <c r="M321" s="204"/>
      <c r="N321" s="204"/>
      <c r="O321" s="184">
        <f t="shared" si="10"/>
        <v>150</v>
      </c>
      <c r="P321" s="204"/>
      <c r="Q321" s="204"/>
      <c r="R321" s="190">
        <v>610.38</v>
      </c>
      <c r="S321" s="197">
        <v>29160</v>
      </c>
      <c r="T321" s="204">
        <v>1.52</v>
      </c>
      <c r="U321" s="204"/>
      <c r="V321" s="166">
        <f t="shared" si="11"/>
        <v>1.52</v>
      </c>
      <c r="W321" s="204">
        <v>18.100000000000001</v>
      </c>
      <c r="X321" s="190">
        <v>19.7</v>
      </c>
      <c r="Y321" s="190"/>
      <c r="Z321" s="204">
        <v>131.69</v>
      </c>
      <c r="AA321" s="190">
        <v>29.43</v>
      </c>
      <c r="AB321" s="190"/>
      <c r="AC321" s="199" t="s">
        <v>528</v>
      </c>
    </row>
    <row r="322" spans="1:29" ht="18.75" hidden="1" thickBot="1" x14ac:dyDescent="0.3">
      <c r="A322" s="155">
        <v>144</v>
      </c>
      <c r="B322" s="210"/>
      <c r="C322" s="189" t="s">
        <v>541</v>
      </c>
      <c r="D322" s="204">
        <v>2192.88</v>
      </c>
      <c r="E322" s="204">
        <v>607.45000000000005</v>
      </c>
      <c r="F322" s="204">
        <v>106.96</v>
      </c>
      <c r="G322" s="204">
        <v>68.22</v>
      </c>
      <c r="H322" s="192">
        <v>150</v>
      </c>
      <c r="I322" s="204"/>
      <c r="J322" s="193"/>
      <c r="K322" s="204"/>
      <c r="L322" s="204"/>
      <c r="M322" s="204"/>
      <c r="N322" s="204"/>
      <c r="O322" s="184">
        <f t="shared" si="10"/>
        <v>150</v>
      </c>
      <c r="P322" s="204"/>
      <c r="Q322" s="204"/>
      <c r="R322" s="190">
        <v>682.22</v>
      </c>
      <c r="S322" s="197">
        <v>29160.000000000004</v>
      </c>
      <c r="T322" s="204"/>
      <c r="U322" s="204"/>
      <c r="V322" s="166">
        <f t="shared" si="11"/>
        <v>0</v>
      </c>
      <c r="W322" s="204">
        <v>20.6</v>
      </c>
      <c r="X322" s="190">
        <v>22.3</v>
      </c>
      <c r="Y322" s="190"/>
      <c r="Z322" s="204">
        <v>165.02</v>
      </c>
      <c r="AA322" s="190">
        <v>36.28</v>
      </c>
      <c r="AB322" s="190"/>
      <c r="AC322" s="199" t="s">
        <v>528</v>
      </c>
    </row>
    <row r="323" spans="1:29" ht="18.75" hidden="1" thickBot="1" x14ac:dyDescent="0.3">
      <c r="A323" s="168">
        <v>145</v>
      </c>
      <c r="B323" s="203"/>
      <c r="C323" s="189" t="s">
        <v>542</v>
      </c>
      <c r="D323" s="204">
        <v>1894.02</v>
      </c>
      <c r="E323" s="204">
        <v>474.56</v>
      </c>
      <c r="F323" s="204">
        <v>89.54</v>
      </c>
      <c r="G323" s="204"/>
      <c r="H323" s="192">
        <v>50</v>
      </c>
      <c r="I323" s="204"/>
      <c r="J323" s="193"/>
      <c r="K323" s="204"/>
      <c r="L323" s="204"/>
      <c r="M323" s="204"/>
      <c r="N323" s="204"/>
      <c r="O323" s="184">
        <f t="shared" si="10"/>
        <v>50</v>
      </c>
      <c r="P323" s="204"/>
      <c r="Q323" s="204"/>
      <c r="R323" s="190">
        <v>577.59</v>
      </c>
      <c r="S323" s="197">
        <v>29160.000000000004</v>
      </c>
      <c r="T323" s="204">
        <v>5.85</v>
      </c>
      <c r="U323" s="204"/>
      <c r="V323" s="166">
        <f t="shared" si="11"/>
        <v>5.85</v>
      </c>
      <c r="W323" s="204">
        <v>16.399999999999999</v>
      </c>
      <c r="X323" s="190">
        <v>17.95</v>
      </c>
      <c r="Y323" s="190"/>
      <c r="Z323" s="204">
        <v>108.81</v>
      </c>
      <c r="AA323" s="190">
        <v>24.77</v>
      </c>
      <c r="AB323" s="190"/>
      <c r="AC323" s="199" t="s">
        <v>528</v>
      </c>
    </row>
    <row r="324" spans="1:29" ht="18.75" hidden="1" thickBot="1" x14ac:dyDescent="0.3">
      <c r="A324" s="155">
        <v>146</v>
      </c>
      <c r="B324" s="210"/>
      <c r="C324" s="189" t="s">
        <v>543</v>
      </c>
      <c r="D324" s="204">
        <v>1803.41</v>
      </c>
      <c r="E324" s="204">
        <v>416.42</v>
      </c>
      <c r="F324" s="204">
        <v>82.61</v>
      </c>
      <c r="G324" s="204"/>
      <c r="H324" s="192">
        <v>150</v>
      </c>
      <c r="I324" s="204"/>
      <c r="J324" s="193"/>
      <c r="K324" s="204"/>
      <c r="L324" s="204"/>
      <c r="M324" s="204"/>
      <c r="N324" s="204"/>
      <c r="O324" s="184">
        <f t="shared" si="10"/>
        <v>150</v>
      </c>
      <c r="P324" s="204"/>
      <c r="Q324" s="204"/>
      <c r="R324" s="190">
        <v>528.65</v>
      </c>
      <c r="S324" s="197">
        <v>29159.999999999996</v>
      </c>
      <c r="T324" s="204">
        <v>1.45</v>
      </c>
      <c r="U324" s="204"/>
      <c r="V324" s="166">
        <f t="shared" si="11"/>
        <v>1.45</v>
      </c>
      <c r="W324" s="204">
        <v>16.100000000000001</v>
      </c>
      <c r="X324" s="190">
        <v>17.649999999999999</v>
      </c>
      <c r="Y324" s="190"/>
      <c r="Z324" s="204">
        <v>105.07</v>
      </c>
      <c r="AA324" s="190">
        <v>23.95</v>
      </c>
      <c r="AB324" s="190"/>
      <c r="AC324" s="199" t="s">
        <v>528</v>
      </c>
    </row>
    <row r="325" spans="1:29" ht="18.75" hidden="1" thickBot="1" x14ac:dyDescent="0.3">
      <c r="A325" s="168">
        <v>147</v>
      </c>
      <c r="B325" s="203"/>
      <c r="C325" s="189" t="s">
        <v>544</v>
      </c>
      <c r="D325" s="204">
        <v>2145.46</v>
      </c>
      <c r="E325" s="204">
        <v>587.97</v>
      </c>
      <c r="F325" s="204">
        <v>104.04</v>
      </c>
      <c r="G325" s="204">
        <v>66.53</v>
      </c>
      <c r="H325" s="192">
        <v>150</v>
      </c>
      <c r="I325" s="204"/>
      <c r="J325" s="193"/>
      <c r="K325" s="204"/>
      <c r="L325" s="204"/>
      <c r="M325" s="204"/>
      <c r="N325" s="204"/>
      <c r="O325" s="184">
        <f t="shared" si="10"/>
        <v>150</v>
      </c>
      <c r="P325" s="204"/>
      <c r="Q325" s="204"/>
      <c r="R325" s="190">
        <v>665.32</v>
      </c>
      <c r="S325" s="197">
        <v>29160</v>
      </c>
      <c r="T325" s="204"/>
      <c r="U325" s="204"/>
      <c r="V325" s="166">
        <f t="shared" si="11"/>
        <v>0</v>
      </c>
      <c r="W325" s="204">
        <v>20.149999999999999</v>
      </c>
      <c r="X325" s="190">
        <v>21.8</v>
      </c>
      <c r="Y325" s="190"/>
      <c r="Z325" s="204">
        <v>158.69999999999999</v>
      </c>
      <c r="AA325" s="190">
        <v>34.97</v>
      </c>
      <c r="AB325" s="190"/>
      <c r="AC325" s="199" t="s">
        <v>528</v>
      </c>
    </row>
    <row r="326" spans="1:29" ht="18.75" hidden="1" thickBot="1" x14ac:dyDescent="0.3">
      <c r="A326" s="155">
        <v>148</v>
      </c>
      <c r="B326" s="210"/>
      <c r="C326" s="189" t="s">
        <v>545</v>
      </c>
      <c r="D326" s="204">
        <v>1612.24</v>
      </c>
      <c r="E326" s="204">
        <v>345.03</v>
      </c>
      <c r="F326" s="204">
        <v>73.36</v>
      </c>
      <c r="G326" s="204"/>
      <c r="H326" s="192">
        <v>145</v>
      </c>
      <c r="I326" s="204"/>
      <c r="J326" s="193"/>
      <c r="K326" s="204"/>
      <c r="L326" s="204"/>
      <c r="M326" s="204"/>
      <c r="N326" s="204"/>
      <c r="O326" s="184">
        <f t="shared" si="10"/>
        <v>145</v>
      </c>
      <c r="P326" s="204"/>
      <c r="Q326" s="204"/>
      <c r="R326" s="190">
        <v>475.6</v>
      </c>
      <c r="S326" s="197">
        <v>26977.249999999996</v>
      </c>
      <c r="T326" s="204"/>
      <c r="U326" s="204"/>
      <c r="V326" s="166">
        <f t="shared" si="11"/>
        <v>0</v>
      </c>
      <c r="W326" s="204">
        <v>14.25</v>
      </c>
      <c r="X326" s="190">
        <v>15.65</v>
      </c>
      <c r="Y326" s="190"/>
      <c r="Z326" s="204">
        <v>80.97</v>
      </c>
      <c r="AA326" s="190">
        <v>18.73</v>
      </c>
      <c r="AB326" s="190"/>
      <c r="AC326" s="199" t="s">
        <v>528</v>
      </c>
    </row>
    <row r="327" spans="1:29" ht="18.75" hidden="1" thickBot="1" x14ac:dyDescent="0.3">
      <c r="A327" s="168">
        <v>149</v>
      </c>
      <c r="B327" s="203"/>
      <c r="C327" s="189" t="s">
        <v>546</v>
      </c>
      <c r="D327" s="204">
        <v>2112.35</v>
      </c>
      <c r="E327" s="204">
        <v>568.75</v>
      </c>
      <c r="F327" s="204">
        <v>101.67</v>
      </c>
      <c r="G327" s="204">
        <v>65.33</v>
      </c>
      <c r="H327" s="192">
        <v>50</v>
      </c>
      <c r="I327" s="204"/>
      <c r="J327" s="193"/>
      <c r="K327" s="204"/>
      <c r="L327" s="204"/>
      <c r="M327" s="204"/>
      <c r="N327" s="204"/>
      <c r="O327" s="184">
        <f t="shared" si="10"/>
        <v>50</v>
      </c>
      <c r="P327" s="204"/>
      <c r="Q327" s="204"/>
      <c r="R327" s="190">
        <v>653.34</v>
      </c>
      <c r="S327" s="197">
        <v>29160.009999999995</v>
      </c>
      <c r="T327" s="204"/>
      <c r="U327" s="204"/>
      <c r="V327" s="166">
        <f t="shared" si="11"/>
        <v>0</v>
      </c>
      <c r="W327" s="204">
        <v>19</v>
      </c>
      <c r="X327" s="190">
        <v>20.65</v>
      </c>
      <c r="Y327" s="190"/>
      <c r="Z327" s="204">
        <v>143.83000000000001</v>
      </c>
      <c r="AA327" s="190">
        <v>31.97</v>
      </c>
      <c r="AB327" s="190"/>
      <c r="AC327" s="199" t="s">
        <v>528</v>
      </c>
    </row>
    <row r="328" spans="1:29" ht="18.75" hidden="1" thickBot="1" x14ac:dyDescent="0.3">
      <c r="A328" s="155">
        <v>150</v>
      </c>
      <c r="B328" s="210"/>
      <c r="C328" s="189" t="s">
        <v>547</v>
      </c>
      <c r="D328" s="204">
        <v>1601.6</v>
      </c>
      <c r="E328" s="204">
        <v>340.35</v>
      </c>
      <c r="F328" s="204">
        <v>72.67</v>
      </c>
      <c r="G328" s="204"/>
      <c r="H328" s="192">
        <v>95</v>
      </c>
      <c r="I328" s="204"/>
      <c r="J328" s="193"/>
      <c r="K328" s="204"/>
      <c r="L328" s="204"/>
      <c r="M328" s="204"/>
      <c r="N328" s="204"/>
      <c r="O328" s="184">
        <f t="shared" si="10"/>
        <v>95</v>
      </c>
      <c r="P328" s="204"/>
      <c r="Q328" s="204"/>
      <c r="R328" s="190">
        <v>471.93</v>
      </c>
      <c r="S328" s="197">
        <v>25981.62</v>
      </c>
      <c r="T328" s="204"/>
      <c r="U328" s="204"/>
      <c r="V328" s="166">
        <f t="shared" si="11"/>
        <v>0</v>
      </c>
      <c r="W328" s="204">
        <v>13.8</v>
      </c>
      <c r="X328" s="190">
        <v>15.15</v>
      </c>
      <c r="Y328" s="190"/>
      <c r="Z328" s="204">
        <v>74.680000000000007</v>
      </c>
      <c r="AA328" s="190">
        <v>17.350000000000001</v>
      </c>
      <c r="AB328" s="190"/>
      <c r="AC328" s="199" t="s">
        <v>528</v>
      </c>
    </row>
    <row r="329" spans="1:29" ht="18.75" hidden="1" thickBot="1" x14ac:dyDescent="0.3">
      <c r="A329" s="168">
        <v>151</v>
      </c>
      <c r="B329" s="203"/>
      <c r="C329" s="189" t="s">
        <v>548</v>
      </c>
      <c r="D329" s="204">
        <v>1650.65</v>
      </c>
      <c r="E329" s="204">
        <v>294.76</v>
      </c>
      <c r="F329" s="204">
        <v>74.47</v>
      </c>
      <c r="G329" s="204"/>
      <c r="H329" s="192">
        <v>100</v>
      </c>
      <c r="I329" s="204"/>
      <c r="J329" s="193"/>
      <c r="K329" s="204"/>
      <c r="L329" s="204"/>
      <c r="M329" s="204"/>
      <c r="N329" s="204"/>
      <c r="O329" s="184">
        <f t="shared" si="10"/>
        <v>100</v>
      </c>
      <c r="P329" s="204"/>
      <c r="Q329" s="204"/>
      <c r="R329" s="190">
        <v>471.45</v>
      </c>
      <c r="S329" s="197">
        <v>25693.319999999996</v>
      </c>
      <c r="T329" s="204">
        <v>2.94</v>
      </c>
      <c r="U329" s="204"/>
      <c r="V329" s="166">
        <f t="shared" si="11"/>
        <v>2.94</v>
      </c>
      <c r="W329" s="204">
        <v>13.85</v>
      </c>
      <c r="X329" s="190">
        <v>15.25</v>
      </c>
      <c r="Y329" s="190"/>
      <c r="Z329" s="204">
        <v>75.489999999999995</v>
      </c>
      <c r="AA329" s="190">
        <v>17.63</v>
      </c>
      <c r="AB329" s="190"/>
      <c r="AC329" s="199" t="s">
        <v>528</v>
      </c>
    </row>
    <row r="330" spans="1:29" ht="18.75" hidden="1" thickBot="1" x14ac:dyDescent="0.3">
      <c r="A330" s="155">
        <v>152</v>
      </c>
      <c r="B330" s="210"/>
      <c r="C330" s="189" t="s">
        <v>549</v>
      </c>
      <c r="D330" s="204">
        <v>1485.91</v>
      </c>
      <c r="E330" s="204">
        <v>219.34</v>
      </c>
      <c r="F330" s="204">
        <v>53.29</v>
      </c>
      <c r="G330" s="204"/>
      <c r="H330" s="192">
        <v>50</v>
      </c>
      <c r="I330" s="204"/>
      <c r="J330" s="193"/>
      <c r="K330" s="204"/>
      <c r="L330" s="204"/>
      <c r="M330" s="204"/>
      <c r="N330" s="204"/>
      <c r="O330" s="184">
        <f t="shared" si="10"/>
        <v>50</v>
      </c>
      <c r="P330" s="204"/>
      <c r="Q330" s="204"/>
      <c r="R330" s="190">
        <v>412.07</v>
      </c>
      <c r="S330" s="197">
        <v>23970.79</v>
      </c>
      <c r="T330" s="204">
        <v>22.28</v>
      </c>
      <c r="U330" s="204"/>
      <c r="V330" s="166">
        <f t="shared" si="11"/>
        <v>22.28</v>
      </c>
      <c r="W330" s="204">
        <v>11.75</v>
      </c>
      <c r="X330" s="190">
        <v>12.85</v>
      </c>
      <c r="Y330" s="190"/>
      <c r="Z330" s="204">
        <v>45.44</v>
      </c>
      <c r="AA330" s="190">
        <v>11.26</v>
      </c>
      <c r="AB330" s="190"/>
      <c r="AC330" s="199" t="s">
        <v>528</v>
      </c>
    </row>
    <row r="331" spans="1:29" ht="18.75" hidden="1" thickBot="1" x14ac:dyDescent="0.3">
      <c r="A331" s="168">
        <v>153</v>
      </c>
      <c r="B331" s="203"/>
      <c r="C331" s="189" t="s">
        <v>550</v>
      </c>
      <c r="D331" s="204">
        <v>1546.34</v>
      </c>
      <c r="E331" s="204">
        <v>243.39</v>
      </c>
      <c r="F331" s="204">
        <v>61.49</v>
      </c>
      <c r="G331" s="204"/>
      <c r="H331" s="192">
        <v>50</v>
      </c>
      <c r="I331" s="204"/>
      <c r="J331" s="193"/>
      <c r="K331" s="204"/>
      <c r="L331" s="204"/>
      <c r="M331" s="204"/>
      <c r="N331" s="204"/>
      <c r="O331" s="184">
        <f t="shared" si="10"/>
        <v>50</v>
      </c>
      <c r="P331" s="204"/>
      <c r="Q331" s="204"/>
      <c r="R331" s="190">
        <v>431</v>
      </c>
      <c r="S331" s="197">
        <v>26855.199999999997</v>
      </c>
      <c r="T331" s="204">
        <v>7.22</v>
      </c>
      <c r="U331" s="204"/>
      <c r="V331" s="166">
        <f t="shared" si="11"/>
        <v>7.22</v>
      </c>
      <c r="W331" s="204">
        <v>12.35</v>
      </c>
      <c r="X331" s="190">
        <v>13.6</v>
      </c>
      <c r="Y331" s="190"/>
      <c r="Z331" s="204">
        <v>55.07</v>
      </c>
      <c r="AA331" s="190">
        <v>13.32</v>
      </c>
      <c r="AB331" s="190"/>
      <c r="AC331" s="199" t="s">
        <v>528</v>
      </c>
    </row>
    <row r="332" spans="1:29" ht="18.75" hidden="1" thickBot="1" x14ac:dyDescent="0.3">
      <c r="A332" s="155">
        <v>154</v>
      </c>
      <c r="B332" s="210"/>
      <c r="C332" s="189" t="s">
        <v>551</v>
      </c>
      <c r="D332" s="204">
        <v>1980.82</v>
      </c>
      <c r="E332" s="204">
        <v>514.41</v>
      </c>
      <c r="F332" s="204">
        <v>94.6</v>
      </c>
      <c r="G332" s="204"/>
      <c r="H332" s="192">
        <v>50</v>
      </c>
      <c r="I332" s="204"/>
      <c r="J332" s="193"/>
      <c r="K332" s="204"/>
      <c r="L332" s="204"/>
      <c r="M332" s="204"/>
      <c r="N332" s="204"/>
      <c r="O332" s="184">
        <f t="shared" si="10"/>
        <v>50</v>
      </c>
      <c r="P332" s="204"/>
      <c r="Q332" s="204"/>
      <c r="R332" s="190">
        <v>608.97</v>
      </c>
      <c r="S332" s="197">
        <v>29160</v>
      </c>
      <c r="T332" s="204">
        <v>2.4300000000000002</v>
      </c>
      <c r="U332" s="204"/>
      <c r="V332" s="166">
        <f t="shared" si="11"/>
        <v>2.4300000000000002</v>
      </c>
      <c r="W332" s="204">
        <v>17.3</v>
      </c>
      <c r="X332" s="190">
        <v>18.899999999999999</v>
      </c>
      <c r="Y332" s="190"/>
      <c r="Z332" s="204">
        <v>120.79</v>
      </c>
      <c r="AA332" s="190">
        <v>27.25</v>
      </c>
      <c r="AB332" s="190"/>
      <c r="AC332" s="199" t="s">
        <v>528</v>
      </c>
    </row>
    <row r="333" spans="1:29" ht="18.75" hidden="1" thickBot="1" x14ac:dyDescent="0.3">
      <c r="A333" s="168">
        <v>155</v>
      </c>
      <c r="B333" s="203"/>
      <c r="C333" s="189" t="s">
        <v>552</v>
      </c>
      <c r="D333" s="204">
        <v>1613.03</v>
      </c>
      <c r="E333" s="204">
        <v>256.02</v>
      </c>
      <c r="F333" s="204">
        <v>65.7</v>
      </c>
      <c r="G333" s="204"/>
      <c r="H333" s="192">
        <v>100</v>
      </c>
      <c r="I333" s="204"/>
      <c r="J333" s="193"/>
      <c r="K333" s="204"/>
      <c r="L333" s="204"/>
      <c r="M333" s="204"/>
      <c r="N333" s="204"/>
      <c r="O333" s="184">
        <f t="shared" si="10"/>
        <v>100</v>
      </c>
      <c r="P333" s="204"/>
      <c r="Q333" s="204"/>
      <c r="R333" s="190">
        <v>440.94</v>
      </c>
      <c r="S333" s="197">
        <v>26080.46</v>
      </c>
      <c r="T333" s="204">
        <v>2.08</v>
      </c>
      <c r="U333" s="204"/>
      <c r="V333" s="166">
        <f t="shared" si="11"/>
        <v>2.08</v>
      </c>
      <c r="W333" s="204">
        <v>13.3</v>
      </c>
      <c r="X333" s="190">
        <v>14.65</v>
      </c>
      <c r="Y333" s="190"/>
      <c r="Z333" s="204">
        <v>67.97</v>
      </c>
      <c r="AA333" s="190">
        <v>16.05</v>
      </c>
      <c r="AB333" s="190"/>
      <c r="AC333" s="199" t="s">
        <v>528</v>
      </c>
    </row>
    <row r="334" spans="1:29" ht="18.75" hidden="1" thickBot="1" x14ac:dyDescent="0.3">
      <c r="A334" s="155">
        <v>156</v>
      </c>
      <c r="B334" s="210"/>
      <c r="C334" s="189" t="s">
        <v>553</v>
      </c>
      <c r="D334" s="204">
        <v>1621.11</v>
      </c>
      <c r="E334" s="204">
        <v>281.12</v>
      </c>
      <c r="F334" s="204">
        <v>72.08</v>
      </c>
      <c r="G334" s="204"/>
      <c r="H334" s="192">
        <v>150</v>
      </c>
      <c r="I334" s="204"/>
      <c r="J334" s="193"/>
      <c r="K334" s="204"/>
      <c r="L334" s="204"/>
      <c r="M334" s="204"/>
      <c r="N334" s="204"/>
      <c r="O334" s="184">
        <f t="shared" si="10"/>
        <v>150</v>
      </c>
      <c r="P334" s="204"/>
      <c r="Q334" s="204"/>
      <c r="R334" s="190">
        <v>457.58</v>
      </c>
      <c r="S334" s="197">
        <v>26422.84</v>
      </c>
      <c r="T334" s="204"/>
      <c r="U334" s="204"/>
      <c r="V334" s="166">
        <f t="shared" si="11"/>
        <v>0</v>
      </c>
      <c r="W334" s="204">
        <v>13.95</v>
      </c>
      <c r="X334" s="190">
        <v>15.3</v>
      </c>
      <c r="Y334" s="190"/>
      <c r="Z334" s="204">
        <v>76.599999999999994</v>
      </c>
      <c r="AA334" s="190">
        <v>17.79</v>
      </c>
      <c r="AB334" s="190"/>
      <c r="AC334" s="199" t="s">
        <v>528</v>
      </c>
    </row>
    <row r="335" spans="1:29" ht="18.75" hidden="1" thickBot="1" x14ac:dyDescent="0.3">
      <c r="A335" s="168">
        <v>157</v>
      </c>
      <c r="B335" s="203"/>
      <c r="C335" s="189" t="s">
        <v>554</v>
      </c>
      <c r="D335" s="204">
        <v>1516.49</v>
      </c>
      <c r="E335" s="204">
        <v>230.33</v>
      </c>
      <c r="F335" s="204">
        <v>57.02</v>
      </c>
      <c r="G335" s="204"/>
      <c r="H335" s="192">
        <v>100</v>
      </c>
      <c r="I335" s="204"/>
      <c r="J335" s="193"/>
      <c r="K335" s="204"/>
      <c r="L335" s="204"/>
      <c r="M335" s="204"/>
      <c r="N335" s="204"/>
      <c r="O335" s="184">
        <f t="shared" si="10"/>
        <v>100</v>
      </c>
      <c r="P335" s="204"/>
      <c r="Q335" s="204"/>
      <c r="R335" s="190">
        <v>420.71</v>
      </c>
      <c r="S335" s="197">
        <v>24756.86</v>
      </c>
      <c r="T335" s="204">
        <v>13.79</v>
      </c>
      <c r="U335" s="204"/>
      <c r="V335" s="166">
        <f t="shared" si="11"/>
        <v>13.79</v>
      </c>
      <c r="W335" s="204">
        <v>12.4</v>
      </c>
      <c r="X335" s="190">
        <v>13.6</v>
      </c>
      <c r="Y335" s="190"/>
      <c r="Z335" s="204">
        <v>55.19</v>
      </c>
      <c r="AA335" s="190">
        <v>13.28</v>
      </c>
      <c r="AB335" s="190"/>
      <c r="AC335" s="199" t="s">
        <v>528</v>
      </c>
    </row>
    <row r="336" spans="1:29" ht="18.75" hidden="1" thickBot="1" x14ac:dyDescent="0.3">
      <c r="A336" s="155">
        <v>158</v>
      </c>
      <c r="B336" s="210"/>
      <c r="C336" s="189" t="s">
        <v>555</v>
      </c>
      <c r="D336" s="204">
        <v>2232.0500000000002</v>
      </c>
      <c r="E336" s="204">
        <v>764.28</v>
      </c>
      <c r="F336" s="204">
        <v>114.29</v>
      </c>
      <c r="G336" s="204">
        <v>73.56</v>
      </c>
      <c r="H336" s="192">
        <v>150</v>
      </c>
      <c r="I336" s="204"/>
      <c r="J336" s="193"/>
      <c r="K336" s="204"/>
      <c r="L336" s="204"/>
      <c r="M336" s="204"/>
      <c r="N336" s="204"/>
      <c r="O336" s="184">
        <f t="shared" si="10"/>
        <v>150</v>
      </c>
      <c r="P336" s="204"/>
      <c r="Q336" s="204"/>
      <c r="R336" s="190">
        <v>735.65</v>
      </c>
      <c r="S336" s="197">
        <v>29160</v>
      </c>
      <c r="T336" s="204"/>
      <c r="U336" s="204"/>
      <c r="V336" s="166">
        <f t="shared" si="11"/>
        <v>0</v>
      </c>
      <c r="W336" s="204">
        <v>22</v>
      </c>
      <c r="X336" s="190">
        <v>23.8</v>
      </c>
      <c r="Y336" s="190"/>
      <c r="Z336" s="204">
        <v>183.44</v>
      </c>
      <c r="AA336" s="190">
        <v>124.13</v>
      </c>
      <c r="AB336" s="190"/>
      <c r="AC336" s="199" t="s">
        <v>528</v>
      </c>
    </row>
    <row r="337" spans="1:29" ht="18.75" hidden="1" thickBot="1" x14ac:dyDescent="0.3">
      <c r="A337" s="168">
        <v>159</v>
      </c>
      <c r="B337" s="203"/>
      <c r="C337" s="189" t="s">
        <v>556</v>
      </c>
      <c r="D337" s="204">
        <v>1973.99</v>
      </c>
      <c r="E337" s="204">
        <v>492.13</v>
      </c>
      <c r="F337" s="204">
        <v>92.96</v>
      </c>
      <c r="G337" s="204"/>
      <c r="H337" s="192">
        <v>150</v>
      </c>
      <c r="I337" s="204"/>
      <c r="J337" s="193"/>
      <c r="K337" s="204"/>
      <c r="L337" s="204"/>
      <c r="M337" s="204"/>
      <c r="N337" s="204"/>
      <c r="O337" s="184">
        <f t="shared" si="10"/>
        <v>150</v>
      </c>
      <c r="P337" s="204"/>
      <c r="Q337" s="204"/>
      <c r="R337" s="190">
        <v>588.26</v>
      </c>
      <c r="S337" s="197">
        <v>29160</v>
      </c>
      <c r="T337" s="204"/>
      <c r="U337" s="204">
        <v>0.43</v>
      </c>
      <c r="V337" s="166">
        <f t="shared" si="11"/>
        <v>0.43</v>
      </c>
      <c r="W337" s="204">
        <v>17.8</v>
      </c>
      <c r="X337" s="190">
        <v>19.45</v>
      </c>
      <c r="Y337" s="190"/>
      <c r="Z337" s="204">
        <v>127.81</v>
      </c>
      <c r="AA337" s="190">
        <v>28.74</v>
      </c>
      <c r="AB337" s="190"/>
      <c r="AC337" s="199" t="s">
        <v>528</v>
      </c>
    </row>
    <row r="338" spans="1:29" ht="18.75" hidden="1" thickBot="1" x14ac:dyDescent="0.3">
      <c r="A338" s="155">
        <v>160</v>
      </c>
      <c r="B338" s="210"/>
      <c r="C338" s="189" t="s">
        <v>557</v>
      </c>
      <c r="D338" s="204">
        <v>2185.37</v>
      </c>
      <c r="E338" s="204">
        <v>608.29999999999995</v>
      </c>
      <c r="F338" s="204">
        <v>106.9</v>
      </c>
      <c r="G338" s="204">
        <v>67.97</v>
      </c>
      <c r="H338" s="192">
        <v>100</v>
      </c>
      <c r="I338" s="204"/>
      <c r="J338" s="193"/>
      <c r="K338" s="204"/>
      <c r="L338" s="204"/>
      <c r="M338" s="204"/>
      <c r="N338" s="204"/>
      <c r="O338" s="184">
        <f t="shared" si="10"/>
        <v>100</v>
      </c>
      <c r="P338" s="204"/>
      <c r="Q338" s="204"/>
      <c r="R338" s="190">
        <v>679.75</v>
      </c>
      <c r="S338" s="197">
        <v>29160.000000000007</v>
      </c>
      <c r="T338" s="204"/>
      <c r="U338" s="204">
        <v>0.85</v>
      </c>
      <c r="V338" s="166">
        <f t="shared" si="11"/>
        <v>0.85</v>
      </c>
      <c r="W338" s="204">
        <v>20.2</v>
      </c>
      <c r="X338" s="190">
        <v>21.85</v>
      </c>
      <c r="Y338" s="190"/>
      <c r="Z338" s="204">
        <v>159.36000000000001</v>
      </c>
      <c r="AA338" s="190">
        <v>35.14</v>
      </c>
      <c r="AB338" s="190"/>
      <c r="AC338" s="199" t="s">
        <v>528</v>
      </c>
    </row>
    <row r="339" spans="1:29" ht="18.75" hidden="1" thickBot="1" x14ac:dyDescent="0.3">
      <c r="A339" s="168">
        <v>161</v>
      </c>
      <c r="B339" s="203"/>
      <c r="C339" s="189" t="s">
        <v>558</v>
      </c>
      <c r="D339" s="204">
        <v>1676.2</v>
      </c>
      <c r="E339" s="204">
        <v>378.45</v>
      </c>
      <c r="F339" s="204">
        <v>78.33</v>
      </c>
      <c r="G339" s="204"/>
      <c r="H339" s="192">
        <v>150</v>
      </c>
      <c r="I339" s="204"/>
      <c r="J339" s="193"/>
      <c r="K339" s="204"/>
      <c r="L339" s="204"/>
      <c r="M339" s="204"/>
      <c r="N339" s="204"/>
      <c r="O339" s="184">
        <f t="shared" si="10"/>
        <v>150</v>
      </c>
      <c r="P339" s="204"/>
      <c r="Q339" s="204"/>
      <c r="R339" s="190">
        <v>498.76</v>
      </c>
      <c r="S339" s="197">
        <v>29160</v>
      </c>
      <c r="T339" s="204">
        <v>4.6100000000000003</v>
      </c>
      <c r="U339" s="204"/>
      <c r="V339" s="166">
        <f t="shared" si="11"/>
        <v>4.6100000000000003</v>
      </c>
      <c r="W339" s="204">
        <v>15</v>
      </c>
      <c r="X339" s="190">
        <v>16.350000000000001</v>
      </c>
      <c r="Y339" s="190"/>
      <c r="Z339" s="204">
        <v>90.14</v>
      </c>
      <c r="AA339" s="190">
        <v>20.6</v>
      </c>
      <c r="AB339" s="190"/>
      <c r="AC339" s="199" t="s">
        <v>528</v>
      </c>
    </row>
    <row r="340" spans="1:29" ht="18.75" hidden="1" thickBot="1" x14ac:dyDescent="0.3">
      <c r="A340" s="155">
        <v>162</v>
      </c>
      <c r="B340" s="210"/>
      <c r="C340" s="189" t="s">
        <v>559</v>
      </c>
      <c r="D340" s="204">
        <v>2142.8200000000002</v>
      </c>
      <c r="E340" s="204">
        <v>584.77</v>
      </c>
      <c r="F340" s="204">
        <v>103.64</v>
      </c>
      <c r="G340" s="204">
        <v>66.430000000000007</v>
      </c>
      <c r="H340" s="192">
        <v>150</v>
      </c>
      <c r="I340" s="204"/>
      <c r="J340" s="193"/>
      <c r="K340" s="204"/>
      <c r="L340" s="204"/>
      <c r="M340" s="204"/>
      <c r="N340" s="204"/>
      <c r="O340" s="184">
        <f t="shared" si="10"/>
        <v>150</v>
      </c>
      <c r="P340" s="204"/>
      <c r="Q340" s="204"/>
      <c r="R340" s="190">
        <v>664.37</v>
      </c>
      <c r="S340" s="197">
        <v>29159.999999999996</v>
      </c>
      <c r="T340" s="204"/>
      <c r="U340" s="204"/>
      <c r="V340" s="166">
        <f t="shared" si="11"/>
        <v>0</v>
      </c>
      <c r="W340" s="204">
        <v>20.100000000000001</v>
      </c>
      <c r="X340" s="190">
        <v>21.75</v>
      </c>
      <c r="Y340" s="190"/>
      <c r="Z340" s="204">
        <v>158.13999999999999</v>
      </c>
      <c r="AA340" s="190">
        <v>34.86</v>
      </c>
      <c r="AB340" s="190"/>
      <c r="AC340" s="199" t="s">
        <v>528</v>
      </c>
    </row>
    <row r="341" spans="1:29" ht="18.75" hidden="1" thickBot="1" x14ac:dyDescent="0.3">
      <c r="A341" s="168">
        <v>163</v>
      </c>
      <c r="B341" s="203"/>
      <c r="C341" s="189" t="s">
        <v>560</v>
      </c>
      <c r="D341" s="204">
        <v>2432.2199999999998</v>
      </c>
      <c r="E341" s="204">
        <v>850.04</v>
      </c>
      <c r="F341" s="204">
        <v>126.9</v>
      </c>
      <c r="G341" s="204">
        <v>80.63</v>
      </c>
      <c r="H341" s="192">
        <v>100</v>
      </c>
      <c r="I341" s="204"/>
      <c r="J341" s="193"/>
      <c r="K341" s="204"/>
      <c r="L341" s="204"/>
      <c r="M341" s="204"/>
      <c r="N341" s="204"/>
      <c r="O341" s="184">
        <f t="shared" si="10"/>
        <v>100</v>
      </c>
      <c r="P341" s="204"/>
      <c r="Q341" s="204"/>
      <c r="R341" s="190">
        <v>806.3</v>
      </c>
      <c r="S341" s="197">
        <v>29159.999999999996</v>
      </c>
      <c r="T341" s="204"/>
      <c r="U341" s="204"/>
      <c r="V341" s="166">
        <f t="shared" si="11"/>
        <v>0</v>
      </c>
      <c r="W341" s="204">
        <v>23.8</v>
      </c>
      <c r="X341" s="190">
        <v>26.7</v>
      </c>
      <c r="Y341" s="190"/>
      <c r="Z341" s="204">
        <v>212.38</v>
      </c>
      <c r="AA341" s="190">
        <v>158.69</v>
      </c>
      <c r="AB341" s="190"/>
      <c r="AC341" s="199" t="s">
        <v>528</v>
      </c>
    </row>
    <row r="342" spans="1:29" ht="18.75" hidden="1" thickBot="1" x14ac:dyDescent="0.3">
      <c r="A342" s="155">
        <v>164</v>
      </c>
      <c r="B342" s="210"/>
      <c r="C342" s="189" t="s">
        <v>561</v>
      </c>
      <c r="D342" s="204">
        <v>1566.61</v>
      </c>
      <c r="E342" s="204">
        <v>256.18</v>
      </c>
      <c r="F342" s="204">
        <v>65</v>
      </c>
      <c r="G342" s="204"/>
      <c r="H342" s="192">
        <v>150</v>
      </c>
      <c r="I342" s="204"/>
      <c r="J342" s="193"/>
      <c r="K342" s="204"/>
      <c r="L342" s="204"/>
      <c r="M342" s="204"/>
      <c r="N342" s="204"/>
      <c r="O342" s="184">
        <f t="shared" si="10"/>
        <v>150</v>
      </c>
      <c r="P342" s="204"/>
      <c r="Q342" s="204"/>
      <c r="R342" s="190">
        <v>437.92</v>
      </c>
      <c r="S342" s="197">
        <v>24775.690000000002</v>
      </c>
      <c r="T342" s="204"/>
      <c r="U342" s="204"/>
      <c r="V342" s="166">
        <f t="shared" si="11"/>
        <v>0</v>
      </c>
      <c r="W342" s="204">
        <v>13.35</v>
      </c>
      <c r="X342" s="190">
        <v>14.7</v>
      </c>
      <c r="Y342" s="190"/>
      <c r="Z342" s="204">
        <v>68.959999999999994</v>
      </c>
      <c r="AA342" s="190">
        <v>16.14</v>
      </c>
      <c r="AB342" s="190"/>
      <c r="AC342" s="199" t="s">
        <v>528</v>
      </c>
    </row>
    <row r="343" spans="1:29" ht="18.75" hidden="1" thickBot="1" x14ac:dyDescent="0.3">
      <c r="A343" s="168">
        <v>165</v>
      </c>
      <c r="B343" s="203"/>
      <c r="C343" s="189" t="s">
        <v>562</v>
      </c>
      <c r="D343" s="204">
        <v>1674.89</v>
      </c>
      <c r="E343" s="204">
        <v>373.56</v>
      </c>
      <c r="F343" s="204">
        <v>77.06</v>
      </c>
      <c r="G343" s="204"/>
      <c r="H343" s="192">
        <v>50</v>
      </c>
      <c r="I343" s="204"/>
      <c r="J343" s="193"/>
      <c r="K343" s="204"/>
      <c r="L343" s="204"/>
      <c r="M343" s="204"/>
      <c r="N343" s="204"/>
      <c r="O343" s="184">
        <f t="shared" si="10"/>
        <v>50</v>
      </c>
      <c r="P343" s="204"/>
      <c r="Q343" s="204"/>
      <c r="R343" s="190">
        <v>498.06</v>
      </c>
      <c r="S343" s="197">
        <v>27984.720000000001</v>
      </c>
      <c r="T343" s="204"/>
      <c r="U343" s="204"/>
      <c r="V343" s="166">
        <f t="shared" si="11"/>
        <v>0</v>
      </c>
      <c r="W343" s="204">
        <v>14.2</v>
      </c>
      <c r="X343" s="190">
        <v>15.6</v>
      </c>
      <c r="Y343" s="190"/>
      <c r="Z343" s="204">
        <v>80.02</v>
      </c>
      <c r="AA343" s="190">
        <v>18.57</v>
      </c>
      <c r="AB343" s="190"/>
      <c r="AC343" s="199" t="s">
        <v>528</v>
      </c>
    </row>
    <row r="344" spans="1:29" ht="18.75" hidden="1" thickBot="1" x14ac:dyDescent="0.3">
      <c r="A344" s="155">
        <v>166</v>
      </c>
      <c r="B344" s="210"/>
      <c r="C344" s="189" t="s">
        <v>563</v>
      </c>
      <c r="D344" s="204">
        <v>1946.3</v>
      </c>
      <c r="E344" s="204">
        <v>479.62</v>
      </c>
      <c r="F344" s="204">
        <v>90.85</v>
      </c>
      <c r="G344" s="204"/>
      <c r="H344" s="192">
        <v>150</v>
      </c>
      <c r="I344" s="204"/>
      <c r="J344" s="193"/>
      <c r="K344" s="204"/>
      <c r="L344" s="204"/>
      <c r="M344" s="204"/>
      <c r="N344" s="204"/>
      <c r="O344" s="184">
        <f t="shared" si="10"/>
        <v>150</v>
      </c>
      <c r="P344" s="204"/>
      <c r="Q344" s="204"/>
      <c r="R344" s="190">
        <v>578.41999999999996</v>
      </c>
      <c r="S344" s="197">
        <v>29160</v>
      </c>
      <c r="T344" s="204">
        <v>6.19</v>
      </c>
      <c r="U344" s="204"/>
      <c r="V344" s="166">
        <f t="shared" si="11"/>
        <v>6.19</v>
      </c>
      <c r="W344" s="204">
        <v>17.5</v>
      </c>
      <c r="X344" s="190">
        <v>19.100000000000001</v>
      </c>
      <c r="Y344" s="190"/>
      <c r="Z344" s="204">
        <v>123.5</v>
      </c>
      <c r="AA344" s="190">
        <v>27.85</v>
      </c>
      <c r="AB344" s="190"/>
      <c r="AC344" s="199" t="s">
        <v>528</v>
      </c>
    </row>
    <row r="345" spans="1:29" ht="18.75" hidden="1" thickBot="1" x14ac:dyDescent="0.3">
      <c r="A345" s="168">
        <v>167</v>
      </c>
      <c r="B345" s="203"/>
      <c r="C345" s="189" t="s">
        <v>564</v>
      </c>
      <c r="D345" s="204">
        <v>1988.86</v>
      </c>
      <c r="E345" s="204">
        <v>522.1</v>
      </c>
      <c r="F345" s="204">
        <v>95.06</v>
      </c>
      <c r="G345" s="204"/>
      <c r="H345" s="192">
        <v>150</v>
      </c>
      <c r="I345" s="204"/>
      <c r="J345" s="193"/>
      <c r="K345" s="204"/>
      <c r="L345" s="204"/>
      <c r="M345" s="204"/>
      <c r="N345" s="204"/>
      <c r="O345" s="184">
        <f t="shared" si="10"/>
        <v>150</v>
      </c>
      <c r="P345" s="204"/>
      <c r="Q345" s="204"/>
      <c r="R345" s="190">
        <v>611.88</v>
      </c>
      <c r="S345" s="197">
        <v>29160</v>
      </c>
      <c r="T345" s="204"/>
      <c r="U345" s="204"/>
      <c r="V345" s="166">
        <f t="shared" si="11"/>
        <v>0</v>
      </c>
      <c r="W345" s="204">
        <v>18.149999999999999</v>
      </c>
      <c r="X345" s="190">
        <v>19.75</v>
      </c>
      <c r="Y345" s="190"/>
      <c r="Z345" s="204">
        <v>132.38999999999999</v>
      </c>
      <c r="AA345" s="190">
        <v>29.57</v>
      </c>
      <c r="AB345" s="190"/>
      <c r="AC345" s="199" t="s">
        <v>528</v>
      </c>
    </row>
    <row r="346" spans="1:29" ht="18.75" hidden="1" thickBot="1" x14ac:dyDescent="0.3">
      <c r="A346" s="155">
        <v>168</v>
      </c>
      <c r="B346" s="210"/>
      <c r="C346" s="189" t="s">
        <v>565</v>
      </c>
      <c r="D346" s="204">
        <v>2021.65</v>
      </c>
      <c r="E346" s="204">
        <v>533.49</v>
      </c>
      <c r="F346" s="204">
        <v>96.64</v>
      </c>
      <c r="G346" s="204">
        <v>62.08</v>
      </c>
      <c r="H346" s="192">
        <v>150</v>
      </c>
      <c r="I346" s="204"/>
      <c r="J346" s="193"/>
      <c r="K346" s="204"/>
      <c r="L346" s="204"/>
      <c r="M346" s="204"/>
      <c r="N346" s="204"/>
      <c r="O346" s="184">
        <f t="shared" si="10"/>
        <v>150</v>
      </c>
      <c r="P346" s="204"/>
      <c r="Q346" s="204"/>
      <c r="R346" s="190">
        <v>620.85</v>
      </c>
      <c r="S346" s="197">
        <v>29160</v>
      </c>
      <c r="T346" s="204"/>
      <c r="U346" s="204"/>
      <c r="V346" s="166">
        <f t="shared" si="11"/>
        <v>0</v>
      </c>
      <c r="W346" s="204">
        <v>18.850000000000001</v>
      </c>
      <c r="X346" s="190">
        <v>20.5</v>
      </c>
      <c r="Y346" s="190"/>
      <c r="Z346" s="204">
        <v>141.9</v>
      </c>
      <c r="AA346" s="190">
        <v>31.49</v>
      </c>
      <c r="AB346" s="190"/>
      <c r="AC346" s="199" t="s">
        <v>528</v>
      </c>
    </row>
    <row r="347" spans="1:29" ht="18.75" hidden="1" thickBot="1" x14ac:dyDescent="0.3">
      <c r="A347" s="168">
        <v>169</v>
      </c>
      <c r="B347" s="203"/>
      <c r="C347" s="189" t="s">
        <v>566</v>
      </c>
      <c r="D347" s="204">
        <v>2189.88</v>
      </c>
      <c r="E347" s="204">
        <v>610.04</v>
      </c>
      <c r="F347" s="204">
        <v>107.3</v>
      </c>
      <c r="G347" s="204">
        <v>68.11</v>
      </c>
      <c r="H347" s="192">
        <v>150</v>
      </c>
      <c r="I347" s="204"/>
      <c r="J347" s="193"/>
      <c r="K347" s="204"/>
      <c r="L347" s="204"/>
      <c r="M347" s="204"/>
      <c r="N347" s="204"/>
      <c r="O347" s="184">
        <f t="shared" si="10"/>
        <v>150</v>
      </c>
      <c r="P347" s="204"/>
      <c r="Q347" s="204"/>
      <c r="R347" s="190">
        <v>681.13</v>
      </c>
      <c r="S347" s="197">
        <v>29160</v>
      </c>
      <c r="T347" s="204"/>
      <c r="U347" s="204"/>
      <c r="V347" s="166">
        <f t="shared" si="11"/>
        <v>0</v>
      </c>
      <c r="W347" s="204">
        <v>20.6</v>
      </c>
      <c r="X347" s="190">
        <v>22.3</v>
      </c>
      <c r="Y347" s="190"/>
      <c r="Z347" s="204">
        <v>165.01</v>
      </c>
      <c r="AA347" s="190">
        <v>36.270000000000003</v>
      </c>
      <c r="AB347" s="190"/>
      <c r="AC347" s="199" t="s">
        <v>528</v>
      </c>
    </row>
    <row r="348" spans="1:29" ht="18.75" hidden="1" thickBot="1" x14ac:dyDescent="0.3">
      <c r="A348" s="155">
        <v>170</v>
      </c>
      <c r="B348" s="210"/>
      <c r="C348" s="189" t="s">
        <v>567</v>
      </c>
      <c r="D348" s="204">
        <v>2021.08</v>
      </c>
      <c r="E348" s="204">
        <v>533.49</v>
      </c>
      <c r="F348" s="204">
        <v>96.59</v>
      </c>
      <c r="G348" s="204">
        <v>62.08</v>
      </c>
      <c r="H348" s="192">
        <v>150</v>
      </c>
      <c r="I348" s="204"/>
      <c r="J348" s="193"/>
      <c r="K348" s="204"/>
      <c r="L348" s="204"/>
      <c r="M348" s="204"/>
      <c r="N348" s="204"/>
      <c r="O348" s="184">
        <f t="shared" si="10"/>
        <v>150</v>
      </c>
      <c r="P348" s="204"/>
      <c r="Q348" s="204"/>
      <c r="R348" s="190">
        <v>620.85</v>
      </c>
      <c r="S348" s="197">
        <v>29160</v>
      </c>
      <c r="T348" s="204"/>
      <c r="U348" s="204"/>
      <c r="V348" s="166">
        <f t="shared" si="11"/>
        <v>0</v>
      </c>
      <c r="W348" s="204">
        <v>18.850000000000001</v>
      </c>
      <c r="X348" s="190">
        <v>20.5</v>
      </c>
      <c r="Y348" s="190"/>
      <c r="Z348" s="204">
        <v>141.85</v>
      </c>
      <c r="AA348" s="190">
        <v>31.48</v>
      </c>
      <c r="AB348" s="190"/>
      <c r="AC348" s="199" t="s">
        <v>528</v>
      </c>
    </row>
    <row r="349" spans="1:29" ht="18.75" hidden="1" thickBot="1" x14ac:dyDescent="0.3">
      <c r="A349" s="168">
        <v>171</v>
      </c>
      <c r="B349" s="203"/>
      <c r="C349" s="189" t="s">
        <v>568</v>
      </c>
      <c r="D349" s="204">
        <v>1882.1</v>
      </c>
      <c r="E349" s="204">
        <v>451.24</v>
      </c>
      <c r="F349" s="204">
        <v>86.64</v>
      </c>
      <c r="G349" s="204"/>
      <c r="H349" s="192">
        <v>150</v>
      </c>
      <c r="I349" s="204"/>
      <c r="J349" s="193"/>
      <c r="K349" s="204"/>
      <c r="L349" s="204"/>
      <c r="M349" s="204"/>
      <c r="N349" s="204"/>
      <c r="O349" s="184">
        <f t="shared" si="10"/>
        <v>150</v>
      </c>
      <c r="P349" s="204"/>
      <c r="Q349" s="204"/>
      <c r="R349" s="190">
        <v>556.09</v>
      </c>
      <c r="S349" s="197">
        <v>29160</v>
      </c>
      <c r="T349" s="204"/>
      <c r="U349" s="204"/>
      <c r="V349" s="166">
        <f t="shared" si="11"/>
        <v>0</v>
      </c>
      <c r="W349" s="204">
        <v>16.899999999999999</v>
      </c>
      <c r="X349" s="190">
        <v>18.5</v>
      </c>
      <c r="Y349" s="190"/>
      <c r="Z349" s="204">
        <v>115.58</v>
      </c>
      <c r="AA349" s="190">
        <v>26.2</v>
      </c>
      <c r="AB349" s="190"/>
      <c r="AC349" s="199" t="s">
        <v>528</v>
      </c>
    </row>
    <row r="350" spans="1:29" ht="18.75" hidden="1" thickBot="1" x14ac:dyDescent="0.3">
      <c r="A350" s="155">
        <v>172</v>
      </c>
      <c r="B350" s="210"/>
      <c r="C350" s="189" t="s">
        <v>569</v>
      </c>
      <c r="D350" s="204">
        <v>2026.61</v>
      </c>
      <c r="E350" s="204">
        <v>534.03</v>
      </c>
      <c r="F350" s="204">
        <v>96.93</v>
      </c>
      <c r="G350" s="204">
        <v>62.28</v>
      </c>
      <c r="H350" s="192">
        <v>150</v>
      </c>
      <c r="I350" s="204"/>
      <c r="J350" s="193"/>
      <c r="K350" s="204"/>
      <c r="L350" s="204"/>
      <c r="M350" s="204"/>
      <c r="N350" s="204"/>
      <c r="O350" s="184">
        <f t="shared" si="10"/>
        <v>150</v>
      </c>
      <c r="P350" s="204"/>
      <c r="Q350" s="204"/>
      <c r="R350" s="190">
        <v>622.85</v>
      </c>
      <c r="S350" s="197">
        <v>29160</v>
      </c>
      <c r="T350" s="204">
        <v>1.85</v>
      </c>
      <c r="U350" s="204"/>
      <c r="V350" s="166">
        <f t="shared" si="11"/>
        <v>1.85</v>
      </c>
      <c r="W350" s="204">
        <v>18.899999999999999</v>
      </c>
      <c r="X350" s="190">
        <v>20.5</v>
      </c>
      <c r="Y350" s="190"/>
      <c r="Z350" s="204">
        <v>142.24</v>
      </c>
      <c r="AA350" s="190">
        <v>31.57</v>
      </c>
      <c r="AB350" s="190"/>
      <c r="AC350" s="199" t="s">
        <v>528</v>
      </c>
    </row>
    <row r="351" spans="1:29" ht="18.75" hidden="1" thickBot="1" x14ac:dyDescent="0.3">
      <c r="A351" s="168">
        <v>173</v>
      </c>
      <c r="B351" s="203"/>
      <c r="C351" s="189" t="s">
        <v>570</v>
      </c>
      <c r="D351" s="204">
        <v>1531.59</v>
      </c>
      <c r="E351" s="204">
        <v>236.97</v>
      </c>
      <c r="F351" s="204">
        <v>59.34</v>
      </c>
      <c r="G351" s="204"/>
      <c r="H351" s="192">
        <v>50</v>
      </c>
      <c r="I351" s="204"/>
      <c r="J351" s="193"/>
      <c r="K351" s="204"/>
      <c r="L351" s="204"/>
      <c r="M351" s="204"/>
      <c r="N351" s="204"/>
      <c r="O351" s="184">
        <f t="shared" ref="O351:O414" si="12">SUM(H351:N351)</f>
        <v>50</v>
      </c>
      <c r="P351" s="204"/>
      <c r="Q351" s="204"/>
      <c r="R351" s="190">
        <v>425.96</v>
      </c>
      <c r="S351" s="197">
        <v>23760</v>
      </c>
      <c r="T351" s="204"/>
      <c r="U351" s="204"/>
      <c r="V351" s="166">
        <f t="shared" ref="V351:V414" si="13">T351+U351</f>
        <v>0</v>
      </c>
      <c r="W351" s="204">
        <v>12.2</v>
      </c>
      <c r="X351" s="190">
        <v>13.5</v>
      </c>
      <c r="Y351" s="190"/>
      <c r="Z351" s="204">
        <v>53.73</v>
      </c>
      <c r="AA351" s="190">
        <v>13.02</v>
      </c>
      <c r="AB351" s="190"/>
      <c r="AC351" s="199" t="s">
        <v>528</v>
      </c>
    </row>
    <row r="352" spans="1:29" ht="18.75" hidden="1" thickBot="1" x14ac:dyDescent="0.3">
      <c r="A352" s="155">
        <v>174</v>
      </c>
      <c r="B352" s="210"/>
      <c r="C352" s="189" t="s">
        <v>571</v>
      </c>
      <c r="D352" s="204">
        <v>1436.7</v>
      </c>
      <c r="E352" s="204">
        <v>134.1</v>
      </c>
      <c r="F352" s="204">
        <v>38.22</v>
      </c>
      <c r="G352" s="204"/>
      <c r="H352" s="192">
        <v>100</v>
      </c>
      <c r="I352" s="204"/>
      <c r="J352" s="193"/>
      <c r="K352" s="204"/>
      <c r="L352" s="204"/>
      <c r="M352" s="204"/>
      <c r="N352" s="204"/>
      <c r="O352" s="184">
        <f t="shared" si="12"/>
        <v>100</v>
      </c>
      <c r="P352" s="204"/>
      <c r="Q352" s="204"/>
      <c r="R352" s="190">
        <v>374.86</v>
      </c>
      <c r="S352" s="197">
        <v>20366.020000000004</v>
      </c>
      <c r="T352" s="204">
        <v>13.64</v>
      </c>
      <c r="U352" s="204"/>
      <c r="V352" s="166">
        <f t="shared" si="13"/>
        <v>13.64</v>
      </c>
      <c r="W352" s="204">
        <v>11.1</v>
      </c>
      <c r="X352" s="190">
        <v>12.25</v>
      </c>
      <c r="Y352" s="190"/>
      <c r="Z352" s="204">
        <v>38.07</v>
      </c>
      <c r="AA352" s="190">
        <v>9.6999999999999993</v>
      </c>
      <c r="AB352" s="190"/>
      <c r="AC352" s="199" t="s">
        <v>528</v>
      </c>
    </row>
    <row r="353" spans="1:29" ht="18.75" hidden="1" thickBot="1" x14ac:dyDescent="0.3">
      <c r="A353" s="168">
        <v>175</v>
      </c>
      <c r="B353" s="203"/>
      <c r="C353" s="189" t="s">
        <v>572</v>
      </c>
      <c r="D353" s="204">
        <v>1641.64</v>
      </c>
      <c r="E353" s="204">
        <v>340.35</v>
      </c>
      <c r="F353" s="204">
        <v>73.19</v>
      </c>
      <c r="G353" s="204"/>
      <c r="H353" s="192">
        <v>100</v>
      </c>
      <c r="I353" s="204"/>
      <c r="J353" s="193"/>
      <c r="K353" s="204"/>
      <c r="L353" s="204"/>
      <c r="M353" s="204"/>
      <c r="N353" s="204"/>
      <c r="O353" s="184">
        <f t="shared" si="12"/>
        <v>100</v>
      </c>
      <c r="P353" s="204"/>
      <c r="Q353" s="204"/>
      <c r="R353" s="190">
        <v>471.93</v>
      </c>
      <c r="S353" s="197">
        <v>26235.05</v>
      </c>
      <c r="T353" s="204">
        <v>4.43</v>
      </c>
      <c r="U353" s="204"/>
      <c r="V353" s="166">
        <f t="shared" si="13"/>
        <v>4.43</v>
      </c>
      <c r="W353" s="204">
        <v>14.1</v>
      </c>
      <c r="X353" s="190">
        <v>15.45</v>
      </c>
      <c r="Y353" s="190"/>
      <c r="Z353" s="204">
        <v>78.36</v>
      </c>
      <c r="AA353" s="190">
        <v>18.170000000000002</v>
      </c>
      <c r="AB353" s="190"/>
      <c r="AC353" s="199" t="s">
        <v>528</v>
      </c>
    </row>
    <row r="354" spans="1:29" ht="18.75" hidden="1" thickBot="1" x14ac:dyDescent="0.3">
      <c r="A354" s="155">
        <v>176</v>
      </c>
      <c r="B354" s="210"/>
      <c r="C354" s="189" t="s">
        <v>573</v>
      </c>
      <c r="D354" s="204">
        <v>1582.33</v>
      </c>
      <c r="E354" s="204">
        <v>335.93</v>
      </c>
      <c r="F354" s="204">
        <v>71.8</v>
      </c>
      <c r="G354" s="204"/>
      <c r="H354" s="192">
        <v>150</v>
      </c>
      <c r="I354" s="204"/>
      <c r="J354" s="193"/>
      <c r="K354" s="204"/>
      <c r="L354" s="204"/>
      <c r="M354" s="204"/>
      <c r="N354" s="204"/>
      <c r="O354" s="184">
        <f t="shared" si="12"/>
        <v>150</v>
      </c>
      <c r="P354" s="204"/>
      <c r="Q354" s="204"/>
      <c r="R354" s="190">
        <v>465.28</v>
      </c>
      <c r="S354" s="197">
        <v>23803.250000000004</v>
      </c>
      <c r="T354" s="204"/>
      <c r="U354" s="204"/>
      <c r="V354" s="166">
        <f t="shared" si="13"/>
        <v>0</v>
      </c>
      <c r="W354" s="204">
        <v>14.05</v>
      </c>
      <c r="X354" s="190">
        <v>15.35</v>
      </c>
      <c r="Y354" s="190"/>
      <c r="Z354" s="204">
        <v>77.98</v>
      </c>
      <c r="AA354" s="190">
        <v>17.96</v>
      </c>
      <c r="AB354" s="190"/>
      <c r="AC354" s="199" t="s">
        <v>528</v>
      </c>
    </row>
    <row r="355" spans="1:29" ht="18.75" hidden="1" thickBot="1" x14ac:dyDescent="0.3">
      <c r="A355" s="168">
        <v>177</v>
      </c>
      <c r="B355" s="203"/>
      <c r="C355" s="189" t="s">
        <v>574</v>
      </c>
      <c r="D355" s="204">
        <v>1531.59</v>
      </c>
      <c r="E355" s="204">
        <v>236.97</v>
      </c>
      <c r="F355" s="204">
        <v>59.34</v>
      </c>
      <c r="G355" s="204"/>
      <c r="H355" s="192">
        <v>140</v>
      </c>
      <c r="I355" s="204"/>
      <c r="J355" s="193"/>
      <c r="K355" s="204"/>
      <c r="L355" s="204"/>
      <c r="M355" s="204"/>
      <c r="N355" s="204"/>
      <c r="O355" s="184">
        <f t="shared" si="12"/>
        <v>140</v>
      </c>
      <c r="P355" s="204"/>
      <c r="Q355" s="204"/>
      <c r="R355" s="190">
        <v>425.96</v>
      </c>
      <c r="S355" s="197">
        <v>24422.879999999997</v>
      </c>
      <c r="T355" s="204"/>
      <c r="U355" s="204"/>
      <c r="V355" s="166">
        <f t="shared" si="13"/>
        <v>0</v>
      </c>
      <c r="W355" s="204">
        <v>12.9</v>
      </c>
      <c r="X355" s="190">
        <v>14.2</v>
      </c>
      <c r="Y355" s="190"/>
      <c r="Z355" s="204">
        <v>62.66</v>
      </c>
      <c r="AA355" s="190">
        <v>14.8</v>
      </c>
      <c r="AB355" s="190"/>
      <c r="AC355" s="199" t="s">
        <v>528</v>
      </c>
    </row>
    <row r="356" spans="1:29" ht="18.75" hidden="1" thickBot="1" x14ac:dyDescent="0.3">
      <c r="A356" s="155">
        <v>178</v>
      </c>
      <c r="B356" s="210"/>
      <c r="C356" s="189" t="s">
        <v>575</v>
      </c>
      <c r="D356" s="204">
        <v>1612.24</v>
      </c>
      <c r="E356" s="204">
        <v>345.03</v>
      </c>
      <c r="F356" s="204">
        <v>73.31</v>
      </c>
      <c r="G356" s="204"/>
      <c r="H356" s="192">
        <v>145</v>
      </c>
      <c r="I356" s="204"/>
      <c r="J356" s="193"/>
      <c r="K356" s="204"/>
      <c r="L356" s="204"/>
      <c r="M356" s="204"/>
      <c r="N356" s="204"/>
      <c r="O356" s="184">
        <f t="shared" si="12"/>
        <v>145</v>
      </c>
      <c r="P356" s="204"/>
      <c r="Q356" s="204"/>
      <c r="R356" s="190">
        <v>475.6</v>
      </c>
      <c r="S356" s="197">
        <v>27101.27</v>
      </c>
      <c r="T356" s="204"/>
      <c r="U356" s="204"/>
      <c r="V356" s="166">
        <f t="shared" si="13"/>
        <v>0</v>
      </c>
      <c r="W356" s="204">
        <v>14.25</v>
      </c>
      <c r="X356" s="190">
        <v>15.65</v>
      </c>
      <c r="Y356" s="190"/>
      <c r="Z356" s="204">
        <v>81.06</v>
      </c>
      <c r="AA356" s="190">
        <v>18.75</v>
      </c>
      <c r="AB356" s="190"/>
      <c r="AC356" s="199" t="s">
        <v>528</v>
      </c>
    </row>
    <row r="357" spans="1:29" ht="18.75" hidden="1" thickBot="1" x14ac:dyDescent="0.3">
      <c r="A357" s="168">
        <v>179</v>
      </c>
      <c r="B357" s="203"/>
      <c r="C357" s="189" t="s">
        <v>576</v>
      </c>
      <c r="D357" s="204">
        <v>2145.46</v>
      </c>
      <c r="E357" s="204">
        <v>585.97</v>
      </c>
      <c r="F357" s="204">
        <v>103.8</v>
      </c>
      <c r="G357" s="204">
        <v>66.53</v>
      </c>
      <c r="H357" s="192">
        <v>150</v>
      </c>
      <c r="I357" s="204"/>
      <c r="J357" s="193"/>
      <c r="K357" s="204"/>
      <c r="L357" s="204"/>
      <c r="M357" s="204"/>
      <c r="N357" s="204"/>
      <c r="O357" s="184">
        <f t="shared" si="12"/>
        <v>150</v>
      </c>
      <c r="P357" s="204"/>
      <c r="Q357" s="204"/>
      <c r="R357" s="190">
        <v>665.32</v>
      </c>
      <c r="S357" s="197">
        <v>29160.000000000007</v>
      </c>
      <c r="T357" s="204"/>
      <c r="U357" s="204"/>
      <c r="V357" s="166">
        <f t="shared" si="13"/>
        <v>0</v>
      </c>
      <c r="W357" s="204">
        <v>20.100000000000001</v>
      </c>
      <c r="X357" s="190">
        <v>21.8</v>
      </c>
      <c r="Y357" s="190"/>
      <c r="Z357" s="204">
        <v>158.5</v>
      </c>
      <c r="AA357" s="190">
        <v>34.93</v>
      </c>
      <c r="AB357" s="190"/>
      <c r="AC357" s="199" t="s">
        <v>528</v>
      </c>
    </row>
    <row r="358" spans="1:29" ht="18.75" hidden="1" thickBot="1" x14ac:dyDescent="0.3">
      <c r="A358" s="155">
        <v>180</v>
      </c>
      <c r="B358" s="210"/>
      <c r="C358" s="189" t="s">
        <v>577</v>
      </c>
      <c r="D358" s="204">
        <v>2189.88</v>
      </c>
      <c r="E358" s="204">
        <v>606.04</v>
      </c>
      <c r="F358" s="204">
        <v>106.82</v>
      </c>
      <c r="G358" s="204">
        <v>68.11</v>
      </c>
      <c r="H358" s="192">
        <v>50</v>
      </c>
      <c r="I358" s="204"/>
      <c r="J358" s="193"/>
      <c r="K358" s="204"/>
      <c r="L358" s="204"/>
      <c r="M358" s="204"/>
      <c r="N358" s="204"/>
      <c r="O358" s="184">
        <f t="shared" si="12"/>
        <v>50</v>
      </c>
      <c r="P358" s="204"/>
      <c r="Q358" s="204"/>
      <c r="R358" s="190">
        <v>681.13</v>
      </c>
      <c r="S358" s="197">
        <v>29160.000000000007</v>
      </c>
      <c r="T358" s="204"/>
      <c r="U358" s="204"/>
      <c r="V358" s="166">
        <f t="shared" si="13"/>
        <v>0</v>
      </c>
      <c r="W358" s="204">
        <v>19.850000000000001</v>
      </c>
      <c r="X358" s="190"/>
      <c r="Y358" s="190"/>
      <c r="Z358" s="204">
        <v>154.68</v>
      </c>
      <c r="AA358" s="190"/>
      <c r="AB358" s="190"/>
      <c r="AC358" s="199" t="s">
        <v>528</v>
      </c>
    </row>
    <row r="359" spans="1:29" ht="18.75" hidden="1" thickBot="1" x14ac:dyDescent="0.3">
      <c r="A359" s="168">
        <v>181</v>
      </c>
      <c r="B359" s="203"/>
      <c r="C359" s="189" t="s">
        <v>578</v>
      </c>
      <c r="D359" s="204">
        <v>1894.02</v>
      </c>
      <c r="E359" s="204">
        <v>472.56</v>
      </c>
      <c r="F359" s="204">
        <v>88.6</v>
      </c>
      <c r="G359" s="204"/>
      <c r="H359" s="192">
        <v>50</v>
      </c>
      <c r="I359" s="204"/>
      <c r="J359" s="193"/>
      <c r="K359" s="204"/>
      <c r="L359" s="204"/>
      <c r="M359" s="204"/>
      <c r="N359" s="204"/>
      <c r="O359" s="184">
        <f t="shared" si="12"/>
        <v>50</v>
      </c>
      <c r="P359" s="204"/>
      <c r="Q359" s="204"/>
      <c r="R359" s="190">
        <v>577.59</v>
      </c>
      <c r="S359" s="197">
        <v>29160</v>
      </c>
      <c r="T359" s="204"/>
      <c r="U359" s="204"/>
      <c r="V359" s="166">
        <f t="shared" si="13"/>
        <v>0</v>
      </c>
      <c r="W359" s="204">
        <v>16.399999999999999</v>
      </c>
      <c r="X359" s="190">
        <v>17.95</v>
      </c>
      <c r="Y359" s="190"/>
      <c r="Z359" s="204">
        <v>109.13</v>
      </c>
      <c r="AA359" s="190">
        <v>24.83</v>
      </c>
      <c r="AB359" s="190"/>
      <c r="AC359" s="199" t="s">
        <v>528</v>
      </c>
    </row>
    <row r="360" spans="1:29" ht="18.75" hidden="1" thickBot="1" x14ac:dyDescent="0.3">
      <c r="A360" s="155">
        <v>182</v>
      </c>
      <c r="B360" s="210"/>
      <c r="C360" s="189" t="s">
        <v>579</v>
      </c>
      <c r="D360" s="204">
        <v>1308.8599999999999</v>
      </c>
      <c r="E360" s="204">
        <v>73.44</v>
      </c>
      <c r="F360" s="204">
        <v>18.420000000000002</v>
      </c>
      <c r="G360" s="204"/>
      <c r="H360" s="192">
        <v>100</v>
      </c>
      <c r="I360" s="204"/>
      <c r="J360" s="193"/>
      <c r="K360" s="204"/>
      <c r="L360" s="204"/>
      <c r="M360" s="204"/>
      <c r="N360" s="204"/>
      <c r="O360" s="184">
        <f t="shared" si="12"/>
        <v>100</v>
      </c>
      <c r="P360" s="204"/>
      <c r="Q360" s="204"/>
      <c r="R360" s="190">
        <v>362.24</v>
      </c>
      <c r="S360" s="197">
        <v>19549.490000000002</v>
      </c>
      <c r="T360" s="204"/>
      <c r="U360" s="204"/>
      <c r="V360" s="166">
        <f t="shared" si="13"/>
        <v>0</v>
      </c>
      <c r="W360" s="204">
        <v>11.25</v>
      </c>
      <c r="X360" s="190">
        <v>12.3</v>
      </c>
      <c r="Y360" s="190"/>
      <c r="Z360" s="204">
        <v>36.49</v>
      </c>
      <c r="AA360" s="190">
        <v>9.84</v>
      </c>
      <c r="AB360" s="190"/>
      <c r="AC360" s="199" t="s">
        <v>528</v>
      </c>
    </row>
    <row r="361" spans="1:29" ht="18.75" hidden="1" thickBot="1" x14ac:dyDescent="0.3">
      <c r="A361" s="168">
        <v>183</v>
      </c>
      <c r="B361" s="203"/>
      <c r="C361" s="189" t="s">
        <v>580</v>
      </c>
      <c r="D361" s="204">
        <v>2183.46</v>
      </c>
      <c r="E361" s="204">
        <v>606.04</v>
      </c>
      <c r="F361" s="204">
        <v>106.82</v>
      </c>
      <c r="G361" s="204"/>
      <c r="H361" s="192">
        <v>50</v>
      </c>
      <c r="I361" s="204"/>
      <c r="J361" s="193"/>
      <c r="K361" s="204"/>
      <c r="L361" s="204"/>
      <c r="M361" s="204"/>
      <c r="N361" s="204"/>
      <c r="O361" s="184">
        <f t="shared" si="12"/>
        <v>50</v>
      </c>
      <c r="P361" s="204"/>
      <c r="Q361" s="204"/>
      <c r="R361" s="190">
        <v>681.13</v>
      </c>
      <c r="S361" s="197">
        <v>29160.000000000004</v>
      </c>
      <c r="T361" s="204"/>
      <c r="U361" s="204"/>
      <c r="V361" s="166">
        <f t="shared" si="13"/>
        <v>0</v>
      </c>
      <c r="W361" s="204">
        <v>19.350000000000001</v>
      </c>
      <c r="X361" s="190">
        <v>21</v>
      </c>
      <c r="Y361" s="190"/>
      <c r="Z361" s="204">
        <v>148.11000000000001</v>
      </c>
      <c r="AA361" s="190">
        <v>32.909999999999997</v>
      </c>
      <c r="AB361" s="190"/>
      <c r="AC361" s="199" t="s">
        <v>528</v>
      </c>
    </row>
    <row r="362" spans="1:29" ht="18.75" hidden="1" thickBot="1" x14ac:dyDescent="0.3">
      <c r="A362" s="155">
        <v>184</v>
      </c>
      <c r="B362" s="210"/>
      <c r="C362" s="189" t="s">
        <v>581</v>
      </c>
      <c r="D362" s="204">
        <v>1900.65</v>
      </c>
      <c r="E362" s="204">
        <v>452.9</v>
      </c>
      <c r="F362" s="204">
        <v>86.83</v>
      </c>
      <c r="G362" s="204"/>
      <c r="H362" s="192">
        <v>50</v>
      </c>
      <c r="I362" s="204"/>
      <c r="J362" s="193"/>
      <c r="K362" s="204"/>
      <c r="L362" s="204"/>
      <c r="M362" s="204"/>
      <c r="N362" s="204"/>
      <c r="O362" s="184">
        <f t="shared" si="12"/>
        <v>50</v>
      </c>
      <c r="P362" s="204"/>
      <c r="Q362" s="204"/>
      <c r="R362" s="190">
        <v>562.1</v>
      </c>
      <c r="S362" s="197">
        <v>29160</v>
      </c>
      <c r="T362" s="204"/>
      <c r="U362" s="204"/>
      <c r="V362" s="166">
        <f t="shared" si="13"/>
        <v>0</v>
      </c>
      <c r="W362" s="204">
        <v>16.25</v>
      </c>
      <c r="X362" s="190">
        <v>17.850000000000001</v>
      </c>
      <c r="Y362" s="190"/>
      <c r="Z362" s="204">
        <v>107.35</v>
      </c>
      <c r="AA362" s="190">
        <v>24.57</v>
      </c>
      <c r="AB362" s="190"/>
      <c r="AC362" s="199" t="s">
        <v>528</v>
      </c>
    </row>
    <row r="363" spans="1:29" ht="18.75" hidden="1" thickBot="1" x14ac:dyDescent="0.3">
      <c r="A363" s="168">
        <v>185</v>
      </c>
      <c r="B363" s="203"/>
      <c r="C363" s="189" t="s">
        <v>582</v>
      </c>
      <c r="D363" s="204">
        <v>1687.54</v>
      </c>
      <c r="E363" s="204">
        <v>379.66</v>
      </c>
      <c r="F363" s="204">
        <v>77.94</v>
      </c>
      <c r="G363" s="204"/>
      <c r="H363" s="192">
        <v>150</v>
      </c>
      <c r="I363" s="204"/>
      <c r="J363" s="193"/>
      <c r="K363" s="204"/>
      <c r="L363" s="204"/>
      <c r="M363" s="204"/>
      <c r="N363" s="204"/>
      <c r="O363" s="184">
        <f t="shared" si="12"/>
        <v>150</v>
      </c>
      <c r="P363" s="204"/>
      <c r="Q363" s="204"/>
      <c r="R363" s="190">
        <v>502.86</v>
      </c>
      <c r="S363" s="197">
        <v>28460.280000000002</v>
      </c>
      <c r="T363" s="204">
        <v>1.27</v>
      </c>
      <c r="U363" s="204"/>
      <c r="V363" s="166">
        <f t="shared" si="13"/>
        <v>1.27</v>
      </c>
      <c r="W363" s="204">
        <v>15.05</v>
      </c>
      <c r="X363" s="190">
        <v>16.5</v>
      </c>
      <c r="Y363" s="190"/>
      <c r="Z363" s="204">
        <v>91.55</v>
      </c>
      <c r="AA363" s="190">
        <v>20.91</v>
      </c>
      <c r="AB363" s="190"/>
      <c r="AC363" s="199" t="s">
        <v>528</v>
      </c>
    </row>
    <row r="364" spans="1:29" ht="18.75" hidden="1" thickBot="1" x14ac:dyDescent="0.3">
      <c r="A364" s="155">
        <v>186</v>
      </c>
      <c r="B364" s="210"/>
      <c r="C364" s="189" t="s">
        <v>583</v>
      </c>
      <c r="D364" s="204">
        <v>1015.95</v>
      </c>
      <c r="E364" s="204"/>
      <c r="F364" s="204">
        <v>5.1100000000000003</v>
      </c>
      <c r="G364" s="204"/>
      <c r="H364" s="192">
        <v>100</v>
      </c>
      <c r="I364" s="205"/>
      <c r="J364" s="193"/>
      <c r="K364" s="205"/>
      <c r="L364" s="204"/>
      <c r="M364" s="204"/>
      <c r="N364" s="204"/>
      <c r="O364" s="184">
        <f t="shared" si="12"/>
        <v>100</v>
      </c>
      <c r="P364" s="204"/>
      <c r="Q364" s="204"/>
      <c r="R364" s="204">
        <v>230.5</v>
      </c>
      <c r="S364" s="197">
        <v>13811.52</v>
      </c>
      <c r="T364" s="204"/>
      <c r="U364" s="191"/>
      <c r="V364" s="166">
        <f t="shared" si="13"/>
        <v>0</v>
      </c>
      <c r="W364" s="204">
        <v>7.2</v>
      </c>
      <c r="X364" s="204">
        <v>8.4499999999999993</v>
      </c>
      <c r="Y364" s="204"/>
      <c r="Z364" s="204"/>
      <c r="AA364" s="204"/>
      <c r="AB364" s="205"/>
      <c r="AC364" s="231" t="s">
        <v>584</v>
      </c>
    </row>
    <row r="365" spans="1:29" ht="18.75" hidden="1" thickBot="1" x14ac:dyDescent="0.3">
      <c r="A365" s="168">
        <v>187</v>
      </c>
      <c r="B365" s="203"/>
      <c r="C365" s="189" t="s">
        <v>585</v>
      </c>
      <c r="D365" s="204">
        <v>995.73</v>
      </c>
      <c r="E365" s="204"/>
      <c r="F365" s="204">
        <v>5.35</v>
      </c>
      <c r="G365" s="204"/>
      <c r="H365" s="192">
        <v>145</v>
      </c>
      <c r="I365" s="205"/>
      <c r="J365" s="193"/>
      <c r="K365" s="205"/>
      <c r="L365" s="204"/>
      <c r="M365" s="204"/>
      <c r="N365" s="204"/>
      <c r="O365" s="184">
        <f t="shared" si="12"/>
        <v>145</v>
      </c>
      <c r="P365" s="204"/>
      <c r="Q365" s="204"/>
      <c r="R365" s="204">
        <v>218.5</v>
      </c>
      <c r="S365" s="197">
        <v>13201.900000000001</v>
      </c>
      <c r="T365" s="204"/>
      <c r="U365" s="191"/>
      <c r="V365" s="166">
        <f t="shared" si="13"/>
        <v>0</v>
      </c>
      <c r="W365" s="204">
        <v>7.4</v>
      </c>
      <c r="X365" s="204">
        <v>8.25</v>
      </c>
      <c r="Y365" s="204"/>
      <c r="Z365" s="204"/>
      <c r="AA365" s="204"/>
      <c r="AB365" s="205"/>
      <c r="AC365" s="231" t="s">
        <v>584</v>
      </c>
    </row>
    <row r="366" spans="1:29" ht="18.75" hidden="1" thickBot="1" x14ac:dyDescent="0.3">
      <c r="A366" s="155">
        <v>188</v>
      </c>
      <c r="B366" s="210"/>
      <c r="C366" s="189" t="s">
        <v>586</v>
      </c>
      <c r="D366" s="204">
        <v>1029.8900000000001</v>
      </c>
      <c r="E366" s="204"/>
      <c r="F366" s="204">
        <v>5.54</v>
      </c>
      <c r="G366" s="204"/>
      <c r="H366" s="192">
        <v>145</v>
      </c>
      <c r="I366" s="205"/>
      <c r="J366" s="193"/>
      <c r="K366" s="205"/>
      <c r="L366" s="204"/>
      <c r="M366" s="204"/>
      <c r="N366" s="204"/>
      <c r="O366" s="184">
        <f t="shared" si="12"/>
        <v>145</v>
      </c>
      <c r="P366" s="204"/>
      <c r="Q366" s="204"/>
      <c r="R366" s="204">
        <v>224.5</v>
      </c>
      <c r="S366" s="197">
        <v>14435.480000000003</v>
      </c>
      <c r="T366" s="204">
        <v>22.74</v>
      </c>
      <c r="U366" s="191"/>
      <c r="V366" s="166">
        <f t="shared" si="13"/>
        <v>22.74</v>
      </c>
      <c r="W366" s="204">
        <v>7.65</v>
      </c>
      <c r="X366" s="204">
        <v>8.4499999999999993</v>
      </c>
      <c r="Y366" s="204"/>
      <c r="Z366" s="204"/>
      <c r="AA366" s="204"/>
      <c r="AB366" s="205"/>
      <c r="AC366" s="231" t="s">
        <v>584</v>
      </c>
    </row>
    <row r="367" spans="1:29" ht="18.75" hidden="1" thickBot="1" x14ac:dyDescent="0.3">
      <c r="A367" s="168">
        <v>189</v>
      </c>
      <c r="B367" s="203"/>
      <c r="C367" s="189" t="s">
        <v>587</v>
      </c>
      <c r="D367" s="204">
        <v>990.01</v>
      </c>
      <c r="E367" s="204"/>
      <c r="F367" s="204">
        <v>5.32</v>
      </c>
      <c r="G367" s="204"/>
      <c r="H367" s="192">
        <v>50</v>
      </c>
      <c r="I367" s="205"/>
      <c r="J367" s="193">
        <v>133.62</v>
      </c>
      <c r="K367" s="205"/>
      <c r="L367" s="204"/>
      <c r="M367" s="204"/>
      <c r="N367" s="204"/>
      <c r="O367" s="184">
        <f t="shared" si="12"/>
        <v>183.62</v>
      </c>
      <c r="P367" s="204"/>
      <c r="Q367" s="204"/>
      <c r="R367" s="204">
        <v>220.5</v>
      </c>
      <c r="S367" s="197">
        <v>13600.14</v>
      </c>
      <c r="T367" s="204"/>
      <c r="U367" s="191"/>
      <c r="V367" s="166">
        <f t="shared" si="13"/>
        <v>0</v>
      </c>
      <c r="W367" s="204">
        <v>6.2</v>
      </c>
      <c r="X367" s="204">
        <v>8.8000000000000007</v>
      </c>
      <c r="Y367" s="204"/>
      <c r="Z367" s="204"/>
      <c r="AA367" s="204">
        <v>0.54</v>
      </c>
      <c r="AB367" s="205"/>
      <c r="AC367" s="231" t="s">
        <v>584</v>
      </c>
    </row>
    <row r="368" spans="1:29" ht="18.75" hidden="1" thickBot="1" x14ac:dyDescent="0.3">
      <c r="A368" s="155">
        <v>190</v>
      </c>
      <c r="B368" s="210"/>
      <c r="C368" s="189" t="s">
        <v>588</v>
      </c>
      <c r="D368" s="204">
        <v>990.01</v>
      </c>
      <c r="E368" s="204"/>
      <c r="F368" s="204">
        <v>5.32</v>
      </c>
      <c r="G368" s="204"/>
      <c r="H368" s="192">
        <v>50</v>
      </c>
      <c r="I368" s="205"/>
      <c r="J368" s="193">
        <v>90.62</v>
      </c>
      <c r="K368" s="205"/>
      <c r="L368" s="204"/>
      <c r="M368" s="204"/>
      <c r="N368" s="204"/>
      <c r="O368" s="184">
        <f t="shared" si="12"/>
        <v>140.62</v>
      </c>
      <c r="P368" s="204"/>
      <c r="Q368" s="204"/>
      <c r="R368" s="204">
        <v>220.5</v>
      </c>
      <c r="S368" s="197">
        <v>21516.03</v>
      </c>
      <c r="T368" s="204"/>
      <c r="U368" s="191"/>
      <c r="V368" s="166">
        <f t="shared" si="13"/>
        <v>0</v>
      </c>
      <c r="W368" s="204">
        <v>6.2</v>
      </c>
      <c r="X368" s="204">
        <v>8.5</v>
      </c>
      <c r="Y368" s="204"/>
      <c r="Z368" s="204"/>
      <c r="AA368" s="204"/>
      <c r="AB368" s="205"/>
      <c r="AC368" s="231" t="s">
        <v>584</v>
      </c>
    </row>
    <row r="369" spans="1:29" ht="18.75" hidden="1" thickBot="1" x14ac:dyDescent="0.3">
      <c r="A369" s="168">
        <v>191</v>
      </c>
      <c r="B369" s="203"/>
      <c r="C369" s="189" t="s">
        <v>589</v>
      </c>
      <c r="D369" s="204">
        <v>1004.94</v>
      </c>
      <c r="E369" s="204"/>
      <c r="F369" s="204">
        <v>5.39</v>
      </c>
      <c r="G369" s="204"/>
      <c r="H369" s="192">
        <v>150</v>
      </c>
      <c r="I369" s="205"/>
      <c r="J369" s="193">
        <v>178.83</v>
      </c>
      <c r="K369" s="205"/>
      <c r="L369" s="204"/>
      <c r="M369" s="204"/>
      <c r="N369" s="204"/>
      <c r="O369" s="184">
        <f t="shared" si="12"/>
        <v>328.83000000000004</v>
      </c>
      <c r="P369" s="204"/>
      <c r="Q369" s="204"/>
      <c r="R369" s="204">
        <v>226.5</v>
      </c>
      <c r="S369" s="197">
        <v>24603.050000000003</v>
      </c>
      <c r="T369" s="204">
        <v>36.26</v>
      </c>
      <c r="U369" s="191"/>
      <c r="V369" s="166">
        <f t="shared" si="13"/>
        <v>36.26</v>
      </c>
      <c r="W369" s="204">
        <v>7.5</v>
      </c>
      <c r="X369" s="204">
        <v>9.3000000000000007</v>
      </c>
      <c r="Y369" s="204"/>
      <c r="Z369" s="204"/>
      <c r="AA369" s="204">
        <v>1.88</v>
      </c>
      <c r="AB369" s="205"/>
      <c r="AC369" s="231" t="s">
        <v>584</v>
      </c>
    </row>
    <row r="370" spans="1:29" ht="18.75" hidden="1" thickBot="1" x14ac:dyDescent="0.3">
      <c r="A370" s="155">
        <v>192</v>
      </c>
      <c r="B370" s="210"/>
      <c r="C370" s="189" t="s">
        <v>590</v>
      </c>
      <c r="D370" s="204">
        <v>988.68</v>
      </c>
      <c r="E370" s="204"/>
      <c r="F370" s="204">
        <v>5.32</v>
      </c>
      <c r="G370" s="204"/>
      <c r="H370" s="192">
        <v>50</v>
      </c>
      <c r="I370" s="205"/>
      <c r="J370" s="193"/>
      <c r="K370" s="205"/>
      <c r="L370" s="204"/>
      <c r="M370" s="204"/>
      <c r="N370" s="204"/>
      <c r="O370" s="184">
        <f t="shared" si="12"/>
        <v>50</v>
      </c>
      <c r="P370" s="204"/>
      <c r="Q370" s="204"/>
      <c r="R370" s="204">
        <v>220.5</v>
      </c>
      <c r="S370" s="197">
        <v>12034.55</v>
      </c>
      <c r="T370" s="204"/>
      <c r="U370" s="191"/>
      <c r="V370" s="166">
        <f t="shared" si="13"/>
        <v>0</v>
      </c>
      <c r="W370" s="204">
        <v>6.2</v>
      </c>
      <c r="X370" s="204"/>
      <c r="Y370" s="204"/>
      <c r="Z370" s="204"/>
      <c r="AA370" s="204"/>
      <c r="AB370" s="205"/>
      <c r="AC370" s="231" t="s">
        <v>584</v>
      </c>
    </row>
    <row r="371" spans="1:29" ht="18.75" hidden="1" thickBot="1" x14ac:dyDescent="0.3">
      <c r="A371" s="168">
        <v>193</v>
      </c>
      <c r="B371" s="203"/>
      <c r="C371" s="189" t="s">
        <v>591</v>
      </c>
      <c r="D371" s="204">
        <v>1015.95</v>
      </c>
      <c r="E371" s="204"/>
      <c r="F371" s="204">
        <v>5.1100000000000003</v>
      </c>
      <c r="G371" s="204"/>
      <c r="H371" s="192">
        <v>50</v>
      </c>
      <c r="I371" s="205"/>
      <c r="J371" s="193"/>
      <c r="K371" s="205"/>
      <c r="L371" s="204"/>
      <c r="M371" s="204"/>
      <c r="N371" s="204"/>
      <c r="O371" s="184">
        <f t="shared" si="12"/>
        <v>50</v>
      </c>
      <c r="P371" s="204"/>
      <c r="Q371" s="204"/>
      <c r="R371" s="204">
        <v>230.5</v>
      </c>
      <c r="S371" s="197">
        <v>13828.800000000001</v>
      </c>
      <c r="T371" s="204"/>
      <c r="U371" s="191"/>
      <c r="V371" s="166">
        <f t="shared" si="13"/>
        <v>0</v>
      </c>
      <c r="W371" s="204">
        <v>6.4</v>
      </c>
      <c r="X371" s="204">
        <v>6.55</v>
      </c>
      <c r="Y371" s="204"/>
      <c r="Z371" s="204"/>
      <c r="AA371" s="204"/>
      <c r="AB371" s="205"/>
      <c r="AC371" s="231" t="s">
        <v>584</v>
      </c>
    </row>
    <row r="372" spans="1:29" ht="18.75" hidden="1" thickBot="1" x14ac:dyDescent="0.3">
      <c r="A372" s="155">
        <v>194</v>
      </c>
      <c r="B372" s="210"/>
      <c r="C372" s="189" t="s">
        <v>592</v>
      </c>
      <c r="D372" s="204">
        <v>1035.5</v>
      </c>
      <c r="E372" s="204"/>
      <c r="F372" s="204">
        <v>5.15</v>
      </c>
      <c r="G372" s="204"/>
      <c r="H372" s="192">
        <v>50</v>
      </c>
      <c r="I372" s="205"/>
      <c r="J372" s="193">
        <v>194.07</v>
      </c>
      <c r="K372" s="205"/>
      <c r="L372" s="204"/>
      <c r="M372" s="204"/>
      <c r="N372" s="204"/>
      <c r="O372" s="184">
        <f t="shared" si="12"/>
        <v>244.07</v>
      </c>
      <c r="P372" s="204"/>
      <c r="Q372" s="204"/>
      <c r="R372" s="204">
        <v>238.5</v>
      </c>
      <c r="S372" s="197">
        <v>13907.43</v>
      </c>
      <c r="T372" s="204">
        <v>24.78</v>
      </c>
      <c r="U372" s="191"/>
      <c r="V372" s="166">
        <f t="shared" si="13"/>
        <v>24.78</v>
      </c>
      <c r="W372" s="204">
        <v>6.5</v>
      </c>
      <c r="X372" s="204">
        <v>8.9499999999999993</v>
      </c>
      <c r="Y372" s="204"/>
      <c r="Z372" s="204"/>
      <c r="AA372" s="204">
        <v>1</v>
      </c>
      <c r="AB372" s="205"/>
      <c r="AC372" s="231" t="s">
        <v>584</v>
      </c>
    </row>
    <row r="373" spans="1:29" ht="18.75" hidden="1" thickBot="1" x14ac:dyDescent="0.3">
      <c r="A373" s="168">
        <v>195</v>
      </c>
      <c r="B373" s="203"/>
      <c r="C373" s="189" t="s">
        <v>593</v>
      </c>
      <c r="D373" s="204">
        <v>1024.94</v>
      </c>
      <c r="E373" s="204"/>
      <c r="F373" s="204">
        <v>5.16</v>
      </c>
      <c r="G373" s="204"/>
      <c r="H373" s="192">
        <v>50</v>
      </c>
      <c r="I373" s="205"/>
      <c r="J373" s="193"/>
      <c r="K373" s="205"/>
      <c r="L373" s="204"/>
      <c r="M373" s="204"/>
      <c r="N373" s="204"/>
      <c r="O373" s="184">
        <f t="shared" si="12"/>
        <v>50</v>
      </c>
      <c r="P373" s="204"/>
      <c r="Q373" s="204"/>
      <c r="R373" s="204">
        <v>234.5</v>
      </c>
      <c r="S373" s="197">
        <v>13839.12</v>
      </c>
      <c r="T373" s="204"/>
      <c r="U373" s="191"/>
      <c r="V373" s="166">
        <f t="shared" si="13"/>
        <v>0</v>
      </c>
      <c r="W373" s="204">
        <v>6.45</v>
      </c>
      <c r="X373" s="204">
        <v>7.75</v>
      </c>
      <c r="Y373" s="204"/>
      <c r="Z373" s="204"/>
      <c r="AA373" s="204"/>
      <c r="AB373" s="205"/>
      <c r="AC373" s="231" t="s">
        <v>584</v>
      </c>
    </row>
    <row r="374" spans="1:29" ht="18.75" hidden="1" thickBot="1" x14ac:dyDescent="0.3">
      <c r="A374" s="155">
        <v>196</v>
      </c>
      <c r="B374" s="210"/>
      <c r="C374" s="189" t="s">
        <v>594</v>
      </c>
      <c r="D374" s="204">
        <v>1061.6400000000001</v>
      </c>
      <c r="E374" s="204"/>
      <c r="F374" s="204">
        <v>5.6</v>
      </c>
      <c r="G374" s="204"/>
      <c r="H374" s="192">
        <v>95</v>
      </c>
      <c r="I374" s="205"/>
      <c r="J374" s="193">
        <v>85.54</v>
      </c>
      <c r="K374" s="205"/>
      <c r="L374" s="204"/>
      <c r="M374" s="204"/>
      <c r="N374" s="204"/>
      <c r="O374" s="184">
        <f t="shared" si="12"/>
        <v>180.54000000000002</v>
      </c>
      <c r="P374" s="204"/>
      <c r="Q374" s="204"/>
      <c r="R374" s="204">
        <v>216.5</v>
      </c>
      <c r="S374" s="197">
        <v>14650.32</v>
      </c>
      <c r="T374" s="204"/>
      <c r="U374" s="191"/>
      <c r="V374" s="166">
        <f t="shared" si="13"/>
        <v>0</v>
      </c>
      <c r="W374" s="204">
        <v>7.45</v>
      </c>
      <c r="X374" s="204">
        <v>8.9499999999999993</v>
      </c>
      <c r="Y374" s="204"/>
      <c r="Z374" s="204"/>
      <c r="AA374" s="204">
        <v>1.01</v>
      </c>
      <c r="AB374" s="205"/>
      <c r="AC374" s="231" t="s">
        <v>584</v>
      </c>
    </row>
    <row r="375" spans="1:29" ht="18.75" hidden="1" thickBot="1" x14ac:dyDescent="0.3">
      <c r="A375" s="168">
        <v>197</v>
      </c>
      <c r="B375" s="203"/>
      <c r="C375" s="189" t="s">
        <v>595</v>
      </c>
      <c r="D375" s="204">
        <v>1025.58</v>
      </c>
      <c r="E375" s="204"/>
      <c r="F375" s="204">
        <v>5.32</v>
      </c>
      <c r="G375" s="204"/>
      <c r="H375" s="192">
        <v>50</v>
      </c>
      <c r="I375" s="205"/>
      <c r="J375" s="193"/>
      <c r="K375" s="205"/>
      <c r="L375" s="204"/>
      <c r="M375" s="204"/>
      <c r="N375" s="204"/>
      <c r="O375" s="184">
        <f t="shared" si="12"/>
        <v>50</v>
      </c>
      <c r="P375" s="204"/>
      <c r="Q375" s="204"/>
      <c r="R375" s="204">
        <v>224.5</v>
      </c>
      <c r="S375" s="197">
        <v>13669.529999999997</v>
      </c>
      <c r="T375" s="204"/>
      <c r="U375" s="191"/>
      <c r="V375" s="166">
        <f t="shared" si="13"/>
        <v>0</v>
      </c>
      <c r="W375" s="204">
        <v>6.45</v>
      </c>
      <c r="X375" s="204">
        <v>7.65</v>
      </c>
      <c r="Y375" s="204"/>
      <c r="Z375" s="204"/>
      <c r="AA375" s="204"/>
      <c r="AB375" s="205"/>
      <c r="AC375" s="231" t="s">
        <v>584</v>
      </c>
    </row>
    <row r="376" spans="1:29" ht="18.75" hidden="1" thickBot="1" x14ac:dyDescent="0.3">
      <c r="A376" s="155">
        <v>198</v>
      </c>
      <c r="B376" s="210"/>
      <c r="C376" s="189" t="s">
        <v>596</v>
      </c>
      <c r="D376" s="204">
        <v>941.6</v>
      </c>
      <c r="E376" s="204"/>
      <c r="F376" s="204">
        <v>5.31</v>
      </c>
      <c r="G376" s="204"/>
      <c r="H376" s="192">
        <v>50</v>
      </c>
      <c r="I376" s="205"/>
      <c r="J376" s="193"/>
      <c r="K376" s="205"/>
      <c r="L376" s="204"/>
      <c r="M376" s="204"/>
      <c r="N376" s="204"/>
      <c r="O376" s="184">
        <f t="shared" si="12"/>
        <v>50</v>
      </c>
      <c r="P376" s="204"/>
      <c r="Q376" s="204"/>
      <c r="R376" s="204">
        <v>214.5</v>
      </c>
      <c r="S376" s="197">
        <v>12908.920000000002</v>
      </c>
      <c r="T376" s="204"/>
      <c r="U376" s="191"/>
      <c r="V376" s="166">
        <f t="shared" si="13"/>
        <v>0</v>
      </c>
      <c r="W376" s="204">
        <v>5.9</v>
      </c>
      <c r="X376" s="204">
        <v>7.15</v>
      </c>
      <c r="Y376" s="204"/>
      <c r="Z376" s="204"/>
      <c r="AA376" s="204"/>
      <c r="AB376" s="205"/>
      <c r="AC376" s="231" t="s">
        <v>584</v>
      </c>
    </row>
    <row r="377" spans="1:29" ht="18.75" hidden="1" thickBot="1" x14ac:dyDescent="0.3">
      <c r="A377" s="168">
        <v>199</v>
      </c>
      <c r="B377" s="203"/>
      <c r="C377" s="189" t="s">
        <v>597</v>
      </c>
      <c r="D377" s="204">
        <v>1035.94</v>
      </c>
      <c r="E377" s="204"/>
      <c r="F377" s="204">
        <v>5.09</v>
      </c>
      <c r="G377" s="204"/>
      <c r="H377" s="192">
        <v>50</v>
      </c>
      <c r="I377" s="205"/>
      <c r="J377" s="193">
        <v>181.37</v>
      </c>
      <c r="K377" s="205"/>
      <c r="L377" s="204"/>
      <c r="M377" s="204"/>
      <c r="N377" s="204"/>
      <c r="O377" s="184">
        <f t="shared" si="12"/>
        <v>231.37</v>
      </c>
      <c r="P377" s="204"/>
      <c r="Q377" s="204"/>
      <c r="R377" s="204">
        <v>228.5</v>
      </c>
      <c r="S377" s="197">
        <v>14536.269999999999</v>
      </c>
      <c r="T377" s="204">
        <v>51.69</v>
      </c>
      <c r="U377" s="191"/>
      <c r="V377" s="166">
        <f t="shared" si="13"/>
        <v>51.69</v>
      </c>
      <c r="W377" s="204">
        <v>6.5</v>
      </c>
      <c r="X377" s="204">
        <v>8.1</v>
      </c>
      <c r="Y377" s="204"/>
      <c r="Z377" s="204"/>
      <c r="AA377" s="204"/>
      <c r="AB377" s="205"/>
      <c r="AC377" s="231" t="s">
        <v>584</v>
      </c>
    </row>
    <row r="378" spans="1:29" ht="18.75" hidden="1" thickBot="1" x14ac:dyDescent="0.3">
      <c r="A378" s="155">
        <v>200</v>
      </c>
      <c r="B378" s="210"/>
      <c r="C378" s="189" t="s">
        <v>598</v>
      </c>
      <c r="D378" s="204">
        <v>1015.95</v>
      </c>
      <c r="E378" s="204"/>
      <c r="F378" s="204">
        <v>5.1100000000000003</v>
      </c>
      <c r="G378" s="204"/>
      <c r="H378" s="192">
        <v>145</v>
      </c>
      <c r="I378" s="205"/>
      <c r="J378" s="193"/>
      <c r="K378" s="205"/>
      <c r="L378" s="204"/>
      <c r="M378" s="204"/>
      <c r="N378" s="204"/>
      <c r="O378" s="184">
        <f t="shared" si="12"/>
        <v>145</v>
      </c>
      <c r="P378" s="204"/>
      <c r="Q378" s="204"/>
      <c r="R378" s="204">
        <v>230.5</v>
      </c>
      <c r="S378" s="197">
        <v>13675.020000000002</v>
      </c>
      <c r="T378" s="204">
        <v>15.48</v>
      </c>
      <c r="U378" s="191"/>
      <c r="V378" s="166">
        <f t="shared" si="13"/>
        <v>15.48</v>
      </c>
      <c r="W378" s="204">
        <v>7.55</v>
      </c>
      <c r="X378" s="204">
        <v>8.3000000000000007</v>
      </c>
      <c r="Y378" s="204"/>
      <c r="Z378" s="204"/>
      <c r="AA378" s="204"/>
      <c r="AB378" s="205"/>
      <c r="AC378" s="231" t="s">
        <v>584</v>
      </c>
    </row>
    <row r="379" spans="1:29" ht="18.75" hidden="1" thickBot="1" x14ac:dyDescent="0.3">
      <c r="A379" s="168">
        <v>201</v>
      </c>
      <c r="B379" s="203"/>
      <c r="C379" s="189" t="s">
        <v>599</v>
      </c>
      <c r="D379" s="204">
        <v>1052.17</v>
      </c>
      <c r="E379" s="204"/>
      <c r="F379" s="204">
        <v>5.16</v>
      </c>
      <c r="G379" s="204"/>
      <c r="H379" s="192">
        <v>50</v>
      </c>
      <c r="I379" s="205"/>
      <c r="J379" s="193"/>
      <c r="K379" s="205"/>
      <c r="L379" s="204"/>
      <c r="M379" s="204"/>
      <c r="N379" s="204"/>
      <c r="O379" s="184">
        <f t="shared" si="12"/>
        <v>50</v>
      </c>
      <c r="P379" s="204"/>
      <c r="Q379" s="204"/>
      <c r="R379" s="204">
        <v>234.5</v>
      </c>
      <c r="S379" s="197">
        <v>14155.120000000003</v>
      </c>
      <c r="T379" s="204"/>
      <c r="U379" s="191"/>
      <c r="V379" s="166">
        <f t="shared" si="13"/>
        <v>0</v>
      </c>
      <c r="W379" s="204">
        <v>6.6</v>
      </c>
      <c r="X379" s="204">
        <v>8</v>
      </c>
      <c r="Y379" s="204"/>
      <c r="Z379" s="204"/>
      <c r="AA379" s="204"/>
      <c r="AB379" s="205"/>
      <c r="AC379" s="231" t="s">
        <v>584</v>
      </c>
    </row>
    <row r="380" spans="1:29" ht="18.75" hidden="1" thickBot="1" x14ac:dyDescent="0.3">
      <c r="A380" s="155">
        <v>202</v>
      </c>
      <c r="B380" s="210"/>
      <c r="C380" s="189" t="s">
        <v>600</v>
      </c>
      <c r="D380" s="204">
        <v>1024.94</v>
      </c>
      <c r="E380" s="204"/>
      <c r="F380" s="204">
        <v>5.16</v>
      </c>
      <c r="G380" s="204"/>
      <c r="H380" s="192">
        <v>100</v>
      </c>
      <c r="I380" s="205"/>
      <c r="J380" s="193"/>
      <c r="K380" s="205"/>
      <c r="L380" s="204"/>
      <c r="M380" s="204"/>
      <c r="N380" s="204"/>
      <c r="O380" s="184">
        <f t="shared" si="12"/>
        <v>100</v>
      </c>
      <c r="P380" s="204"/>
      <c r="Q380" s="204"/>
      <c r="R380" s="204">
        <v>234.5</v>
      </c>
      <c r="S380" s="197">
        <v>13973.269999999999</v>
      </c>
      <c r="T380" s="204"/>
      <c r="U380" s="191"/>
      <c r="V380" s="166">
        <f t="shared" si="13"/>
        <v>0</v>
      </c>
      <c r="W380" s="204">
        <v>7.25</v>
      </c>
      <c r="X380" s="204">
        <v>7.75</v>
      </c>
      <c r="Y380" s="204"/>
      <c r="Z380" s="204"/>
      <c r="AA380" s="204"/>
      <c r="AB380" s="205"/>
      <c r="AC380" s="231" t="s">
        <v>584</v>
      </c>
    </row>
    <row r="381" spans="1:29" ht="18.75" hidden="1" thickBot="1" x14ac:dyDescent="0.3">
      <c r="A381" s="168">
        <v>203</v>
      </c>
      <c r="B381" s="203"/>
      <c r="C381" s="189" t="s">
        <v>601</v>
      </c>
      <c r="D381" s="204">
        <v>1308.6400000000001</v>
      </c>
      <c r="E381" s="204">
        <v>75.78</v>
      </c>
      <c r="F381" s="204">
        <v>19.38</v>
      </c>
      <c r="G381" s="204"/>
      <c r="H381" s="192">
        <v>50</v>
      </c>
      <c r="I381" s="205"/>
      <c r="J381" s="193"/>
      <c r="K381" s="205"/>
      <c r="L381" s="204"/>
      <c r="M381" s="204"/>
      <c r="N381" s="204"/>
      <c r="O381" s="184">
        <f t="shared" si="12"/>
        <v>50</v>
      </c>
      <c r="P381" s="204"/>
      <c r="Q381" s="204"/>
      <c r="R381" s="204">
        <v>330.53</v>
      </c>
      <c r="S381" s="197">
        <v>18023.150000000001</v>
      </c>
      <c r="T381" s="204">
        <v>8.2200000000000006</v>
      </c>
      <c r="U381" s="191"/>
      <c r="V381" s="166">
        <f t="shared" si="13"/>
        <v>8.2200000000000006</v>
      </c>
      <c r="W381" s="204">
        <v>9.4</v>
      </c>
      <c r="X381" s="204">
        <v>10.45</v>
      </c>
      <c r="Y381" s="204"/>
      <c r="Z381" s="204">
        <v>15.56</v>
      </c>
      <c r="AA381" s="204">
        <v>4.92</v>
      </c>
      <c r="AB381" s="205"/>
      <c r="AC381" s="231" t="s">
        <v>584</v>
      </c>
    </row>
    <row r="382" spans="1:29" ht="18.75" hidden="1" thickBot="1" x14ac:dyDescent="0.3">
      <c r="A382" s="155">
        <v>204</v>
      </c>
      <c r="B382" s="210"/>
      <c r="C382" s="189" t="s">
        <v>602</v>
      </c>
      <c r="D382" s="204">
        <v>1010.2</v>
      </c>
      <c r="E382" s="204"/>
      <c r="F382" s="204">
        <v>5.49</v>
      </c>
      <c r="G382" s="204"/>
      <c r="H382" s="192">
        <v>50</v>
      </c>
      <c r="I382" s="205"/>
      <c r="J382" s="193">
        <v>83.54</v>
      </c>
      <c r="K382" s="205"/>
      <c r="L382" s="204"/>
      <c r="M382" s="204"/>
      <c r="N382" s="204"/>
      <c r="O382" s="184">
        <f t="shared" si="12"/>
        <v>133.54000000000002</v>
      </c>
      <c r="P382" s="204"/>
      <c r="Q382" s="204"/>
      <c r="R382" s="204">
        <v>216.5</v>
      </c>
      <c r="S382" s="197">
        <v>19647.249999999996</v>
      </c>
      <c r="T382" s="204"/>
      <c r="U382" s="191"/>
      <c r="V382" s="166">
        <f t="shared" si="13"/>
        <v>0</v>
      </c>
      <c r="W382" s="204">
        <v>6.35</v>
      </c>
      <c r="X382" s="204">
        <v>8.25</v>
      </c>
      <c r="Y382" s="204"/>
      <c r="Z382" s="204"/>
      <c r="AA382" s="204"/>
      <c r="AB382" s="205"/>
      <c r="AC382" s="231" t="s">
        <v>584</v>
      </c>
    </row>
    <row r="383" spans="1:29" ht="18.75" hidden="1" thickBot="1" x14ac:dyDescent="0.3">
      <c r="A383" s="168">
        <v>205</v>
      </c>
      <c r="B383" s="203"/>
      <c r="C383" s="189" t="s">
        <v>603</v>
      </c>
      <c r="D383" s="204">
        <v>1041.57</v>
      </c>
      <c r="E383" s="204"/>
      <c r="F383" s="204">
        <v>5.59</v>
      </c>
      <c r="G383" s="204"/>
      <c r="H383" s="192">
        <v>150</v>
      </c>
      <c r="I383" s="205"/>
      <c r="J383" s="193"/>
      <c r="K383" s="205"/>
      <c r="L383" s="204"/>
      <c r="M383" s="204"/>
      <c r="N383" s="204"/>
      <c r="O383" s="184">
        <f t="shared" si="12"/>
        <v>150</v>
      </c>
      <c r="P383" s="204"/>
      <c r="Q383" s="204"/>
      <c r="R383" s="204">
        <v>228.5</v>
      </c>
      <c r="S383" s="197">
        <v>14054.41</v>
      </c>
      <c r="T383" s="204">
        <v>22.37</v>
      </c>
      <c r="U383" s="191"/>
      <c r="V383" s="166">
        <f t="shared" si="13"/>
        <v>22.37</v>
      </c>
      <c r="W383" s="204">
        <v>7.75</v>
      </c>
      <c r="X383" s="204">
        <v>8.5500000000000007</v>
      </c>
      <c r="Y383" s="204"/>
      <c r="Z383" s="204"/>
      <c r="AA383" s="204"/>
      <c r="AB383" s="205"/>
      <c r="AC383" s="231" t="s">
        <v>584</v>
      </c>
    </row>
    <row r="384" spans="1:29" ht="18.75" hidden="1" thickBot="1" x14ac:dyDescent="0.3">
      <c r="A384" s="155">
        <v>206</v>
      </c>
      <c r="B384" s="210"/>
      <c r="C384" s="189" t="s">
        <v>604</v>
      </c>
      <c r="D384" s="204">
        <v>1109.8399999999999</v>
      </c>
      <c r="E384" s="204"/>
      <c r="F384" s="204">
        <v>5.53</v>
      </c>
      <c r="G384" s="204"/>
      <c r="H384" s="192">
        <v>150</v>
      </c>
      <c r="I384" s="205"/>
      <c r="J384" s="193">
        <v>218.14</v>
      </c>
      <c r="K384" s="205"/>
      <c r="L384" s="204"/>
      <c r="M384" s="204"/>
      <c r="N384" s="204"/>
      <c r="O384" s="184">
        <f t="shared" si="12"/>
        <v>368.14</v>
      </c>
      <c r="P384" s="204"/>
      <c r="Q384" s="204"/>
      <c r="R384" s="204">
        <v>255.88</v>
      </c>
      <c r="S384" s="197">
        <v>25544.43</v>
      </c>
      <c r="T384" s="204">
        <v>23.31</v>
      </c>
      <c r="U384" s="191"/>
      <c r="V384" s="166">
        <f t="shared" si="13"/>
        <v>23.31</v>
      </c>
      <c r="W384" s="204">
        <v>8.1999999999999993</v>
      </c>
      <c r="X384" s="204">
        <v>10.050000000000001</v>
      </c>
      <c r="Y384" s="204"/>
      <c r="Z384" s="204"/>
      <c r="AA384" s="204">
        <v>3.93</v>
      </c>
      <c r="AB384" s="205"/>
      <c r="AC384" s="231" t="s">
        <v>584</v>
      </c>
    </row>
    <row r="385" spans="1:29" ht="18.75" hidden="1" thickBot="1" x14ac:dyDescent="0.3">
      <c r="A385" s="168">
        <v>207</v>
      </c>
      <c r="B385" s="203"/>
      <c r="C385" s="189" t="s">
        <v>605</v>
      </c>
      <c r="D385" s="204">
        <v>1041.3599999999999</v>
      </c>
      <c r="E385" s="204"/>
      <c r="F385" s="204">
        <v>5.1100000000000003</v>
      </c>
      <c r="G385" s="204"/>
      <c r="H385" s="192">
        <v>50</v>
      </c>
      <c r="I385" s="205"/>
      <c r="J385" s="193">
        <v>181.91</v>
      </c>
      <c r="K385" s="205"/>
      <c r="L385" s="204"/>
      <c r="M385" s="204"/>
      <c r="N385" s="204"/>
      <c r="O385" s="184">
        <f t="shared" si="12"/>
        <v>231.91</v>
      </c>
      <c r="P385" s="204"/>
      <c r="Q385" s="204"/>
      <c r="R385" s="204">
        <v>230.5</v>
      </c>
      <c r="S385" s="197">
        <v>24059.489999999998</v>
      </c>
      <c r="T385" s="204"/>
      <c r="U385" s="191"/>
      <c r="V385" s="166">
        <f t="shared" si="13"/>
        <v>0</v>
      </c>
      <c r="W385" s="204">
        <v>6.55</v>
      </c>
      <c r="X385" s="204">
        <v>9.1</v>
      </c>
      <c r="Y385" s="204"/>
      <c r="Z385" s="204"/>
      <c r="AA385" s="204">
        <v>1.4</v>
      </c>
      <c r="AB385" s="205"/>
      <c r="AC385" s="231" t="s">
        <v>584</v>
      </c>
    </row>
    <row r="386" spans="1:29" ht="18.75" hidden="1" thickBot="1" x14ac:dyDescent="0.3">
      <c r="A386" s="155">
        <v>208</v>
      </c>
      <c r="B386" s="210"/>
      <c r="C386" s="189" t="s">
        <v>606</v>
      </c>
      <c r="D386" s="204">
        <v>1005.84</v>
      </c>
      <c r="E386" s="204"/>
      <c r="F386" s="204">
        <v>5.39</v>
      </c>
      <c r="G386" s="204"/>
      <c r="H386" s="192">
        <v>100</v>
      </c>
      <c r="I386" s="205"/>
      <c r="J386" s="193"/>
      <c r="K386" s="205"/>
      <c r="L386" s="204"/>
      <c r="M386" s="204"/>
      <c r="N386" s="204"/>
      <c r="O386" s="184">
        <f t="shared" si="12"/>
        <v>100</v>
      </c>
      <c r="P386" s="204"/>
      <c r="Q386" s="204"/>
      <c r="R386" s="204">
        <v>226.5</v>
      </c>
      <c r="S386" s="197">
        <v>14149.99</v>
      </c>
      <c r="T386" s="204"/>
      <c r="U386" s="191"/>
      <c r="V386" s="166">
        <f t="shared" si="13"/>
        <v>0</v>
      </c>
      <c r="W386" s="204">
        <v>6.65</v>
      </c>
      <c r="X386" s="204">
        <v>8.4</v>
      </c>
      <c r="Y386" s="204"/>
      <c r="Z386" s="204"/>
      <c r="AA386" s="204"/>
      <c r="AB386" s="205"/>
      <c r="AC386" s="231" t="s">
        <v>584</v>
      </c>
    </row>
    <row r="387" spans="1:29" ht="18.75" hidden="1" thickBot="1" x14ac:dyDescent="0.3">
      <c r="A387" s="168">
        <v>209</v>
      </c>
      <c r="B387" s="203"/>
      <c r="C387" s="189" t="s">
        <v>607</v>
      </c>
      <c r="D387" s="204">
        <v>962.29</v>
      </c>
      <c r="E387" s="204"/>
      <c r="F387" s="204">
        <v>5.49</v>
      </c>
      <c r="G387" s="204"/>
      <c r="H387" s="192">
        <v>145</v>
      </c>
      <c r="I387" s="205"/>
      <c r="J387" s="193">
        <v>83.54</v>
      </c>
      <c r="K387" s="205"/>
      <c r="L387" s="204"/>
      <c r="M387" s="204"/>
      <c r="N387" s="204"/>
      <c r="O387" s="184">
        <f t="shared" si="12"/>
        <v>228.54000000000002</v>
      </c>
      <c r="P387" s="204"/>
      <c r="Q387" s="204"/>
      <c r="R387" s="204">
        <v>216.5</v>
      </c>
      <c r="S387" s="197">
        <v>13008.740000000002</v>
      </c>
      <c r="T387" s="204"/>
      <c r="U387" s="191"/>
      <c r="V387" s="166">
        <f t="shared" si="13"/>
        <v>0</v>
      </c>
      <c r="W387" s="204">
        <v>7.2</v>
      </c>
      <c r="X387" s="204">
        <v>8.9499999999999993</v>
      </c>
      <c r="Y387" s="204"/>
      <c r="Z387" s="204"/>
      <c r="AA387" s="204">
        <v>0.93</v>
      </c>
      <c r="AB387" s="205"/>
      <c r="AC387" s="231" t="s">
        <v>584</v>
      </c>
    </row>
    <row r="388" spans="1:29" ht="18.75" hidden="1" thickBot="1" x14ac:dyDescent="0.3">
      <c r="A388" s="155">
        <v>210</v>
      </c>
      <c r="B388" s="210"/>
      <c r="C388" s="189" t="s">
        <v>608</v>
      </c>
      <c r="D388" s="204">
        <v>990.01</v>
      </c>
      <c r="E388" s="204"/>
      <c r="F388" s="204">
        <v>5.32</v>
      </c>
      <c r="G388" s="204"/>
      <c r="H388" s="192">
        <v>50</v>
      </c>
      <c r="I388" s="205"/>
      <c r="J388" s="193"/>
      <c r="K388" s="205"/>
      <c r="L388" s="204"/>
      <c r="M388" s="204"/>
      <c r="N388" s="204"/>
      <c r="O388" s="184">
        <f t="shared" si="12"/>
        <v>50</v>
      </c>
      <c r="P388" s="204"/>
      <c r="Q388" s="204"/>
      <c r="R388" s="204">
        <v>220.5</v>
      </c>
      <c r="S388" s="197">
        <v>13080.14</v>
      </c>
      <c r="T388" s="204"/>
      <c r="U388" s="191"/>
      <c r="V388" s="166">
        <f t="shared" si="13"/>
        <v>0</v>
      </c>
      <c r="W388" s="204">
        <v>6.2</v>
      </c>
      <c r="X388" s="204">
        <v>7.9</v>
      </c>
      <c r="Y388" s="204"/>
      <c r="Z388" s="204"/>
      <c r="AA388" s="204"/>
      <c r="AB388" s="205"/>
      <c r="AC388" s="231" t="s">
        <v>584</v>
      </c>
    </row>
    <row r="389" spans="1:29" ht="18.75" hidden="1" thickBot="1" x14ac:dyDescent="0.3">
      <c r="A389" s="168">
        <v>211</v>
      </c>
      <c r="B389" s="203"/>
      <c r="C389" s="189" t="s">
        <v>609</v>
      </c>
      <c r="D389" s="204">
        <v>1035.5</v>
      </c>
      <c r="E389" s="204"/>
      <c r="F389" s="204">
        <v>5.15</v>
      </c>
      <c r="G389" s="204"/>
      <c r="H389" s="192">
        <v>95</v>
      </c>
      <c r="I389" s="205"/>
      <c r="J389" s="193">
        <v>194.07</v>
      </c>
      <c r="K389" s="205"/>
      <c r="L389" s="204"/>
      <c r="M389" s="204"/>
      <c r="N389" s="204"/>
      <c r="O389" s="184">
        <f t="shared" si="12"/>
        <v>289.07</v>
      </c>
      <c r="P389" s="204"/>
      <c r="Q389" s="204"/>
      <c r="R389" s="204">
        <v>238.5</v>
      </c>
      <c r="S389" s="197">
        <v>14249.960000000001</v>
      </c>
      <c r="T389" s="204"/>
      <c r="U389" s="191"/>
      <c r="V389" s="166">
        <f t="shared" si="13"/>
        <v>0</v>
      </c>
      <c r="W389" s="204">
        <v>7.3</v>
      </c>
      <c r="X389" s="204">
        <v>9.35</v>
      </c>
      <c r="Y389" s="204"/>
      <c r="Z389" s="204"/>
      <c r="AA389" s="204">
        <v>1.98</v>
      </c>
      <c r="AB389" s="205"/>
      <c r="AC389" s="231" t="s">
        <v>584</v>
      </c>
    </row>
    <row r="390" spans="1:29" ht="18.75" hidden="1" thickBot="1" x14ac:dyDescent="0.3">
      <c r="A390" s="155">
        <v>212</v>
      </c>
      <c r="B390" s="210"/>
      <c r="C390" s="189" t="s">
        <v>610</v>
      </c>
      <c r="D390" s="204">
        <v>1010.68</v>
      </c>
      <c r="E390" s="204"/>
      <c r="F390" s="204">
        <v>5.09</v>
      </c>
      <c r="G390" s="204"/>
      <c r="H390" s="192">
        <v>50</v>
      </c>
      <c r="I390" s="205"/>
      <c r="J390" s="193"/>
      <c r="K390" s="205"/>
      <c r="L390" s="204"/>
      <c r="M390" s="204"/>
      <c r="N390" s="204"/>
      <c r="O390" s="184">
        <f t="shared" si="12"/>
        <v>50</v>
      </c>
      <c r="P390" s="204"/>
      <c r="Q390" s="204"/>
      <c r="R390" s="204">
        <v>228.5</v>
      </c>
      <c r="S390" s="197">
        <v>13840.37</v>
      </c>
      <c r="T390" s="204"/>
      <c r="U390" s="191"/>
      <c r="V390" s="166">
        <f t="shared" si="13"/>
        <v>0</v>
      </c>
      <c r="W390" s="204">
        <v>6.35</v>
      </c>
      <c r="X390" s="204">
        <v>8</v>
      </c>
      <c r="Y390" s="204"/>
      <c r="Z390" s="204"/>
      <c r="AA390" s="204"/>
      <c r="AB390" s="205"/>
      <c r="AC390" s="231" t="s">
        <v>584</v>
      </c>
    </row>
    <row r="391" spans="1:29" ht="18.75" hidden="1" thickBot="1" x14ac:dyDescent="0.3">
      <c r="A391" s="168">
        <v>213</v>
      </c>
      <c r="B391" s="203"/>
      <c r="C391" s="189" t="s">
        <v>611</v>
      </c>
      <c r="D391" s="204">
        <v>990.01</v>
      </c>
      <c r="E391" s="204"/>
      <c r="F391" s="204">
        <v>5.32</v>
      </c>
      <c r="G391" s="204"/>
      <c r="H391" s="192">
        <v>50</v>
      </c>
      <c r="I391" s="205"/>
      <c r="J391" s="193"/>
      <c r="K391" s="205"/>
      <c r="L391" s="204"/>
      <c r="M391" s="204"/>
      <c r="N391" s="204"/>
      <c r="O391" s="184">
        <f t="shared" si="12"/>
        <v>50</v>
      </c>
      <c r="P391" s="204"/>
      <c r="Q391" s="204"/>
      <c r="R391" s="204">
        <v>220.5</v>
      </c>
      <c r="S391" s="197">
        <v>13930.89</v>
      </c>
      <c r="T391" s="204">
        <v>6.56</v>
      </c>
      <c r="U391" s="191"/>
      <c r="V391" s="166">
        <f t="shared" si="13"/>
        <v>6.56</v>
      </c>
      <c r="W391" s="204">
        <v>6.2</v>
      </c>
      <c r="X391" s="204">
        <v>7.85</v>
      </c>
      <c r="Y391" s="204"/>
      <c r="Z391" s="204"/>
      <c r="AA391" s="204"/>
      <c r="AB391" s="205"/>
      <c r="AC391" s="231" t="s">
        <v>584</v>
      </c>
    </row>
    <row r="392" spans="1:29" ht="18.75" hidden="1" thickBot="1" x14ac:dyDescent="0.3">
      <c r="A392" s="155">
        <v>214</v>
      </c>
      <c r="B392" s="210"/>
      <c r="C392" s="189" t="s">
        <v>612</v>
      </c>
      <c r="D392" s="204">
        <v>941.6</v>
      </c>
      <c r="E392" s="204"/>
      <c r="F392" s="204">
        <v>5.31</v>
      </c>
      <c r="G392" s="204"/>
      <c r="H392" s="192">
        <v>140</v>
      </c>
      <c r="I392" s="205"/>
      <c r="J392" s="193">
        <v>85</v>
      </c>
      <c r="K392" s="205"/>
      <c r="L392" s="204"/>
      <c r="M392" s="204"/>
      <c r="N392" s="204"/>
      <c r="O392" s="184">
        <f t="shared" si="12"/>
        <v>225</v>
      </c>
      <c r="P392" s="204"/>
      <c r="Q392" s="204"/>
      <c r="R392" s="204">
        <v>214.5</v>
      </c>
      <c r="S392" s="197">
        <v>16907.410000000003</v>
      </c>
      <c r="T392" s="204"/>
      <c r="U392" s="191"/>
      <c r="V392" s="166">
        <f t="shared" si="13"/>
        <v>0</v>
      </c>
      <c r="W392" s="204">
        <v>6.55</v>
      </c>
      <c r="X392" s="204">
        <v>8.4499999999999993</v>
      </c>
      <c r="Y392" s="204"/>
      <c r="Z392" s="204"/>
      <c r="AA392" s="204"/>
      <c r="AB392" s="205"/>
      <c r="AC392" s="231" t="s">
        <v>584</v>
      </c>
    </row>
    <row r="393" spans="1:29" ht="18.75" hidden="1" thickBot="1" x14ac:dyDescent="0.3">
      <c r="A393" s="168">
        <v>215</v>
      </c>
      <c r="B393" s="203"/>
      <c r="C393" s="189" t="s">
        <v>613</v>
      </c>
      <c r="D393" s="204">
        <v>1010.68</v>
      </c>
      <c r="E393" s="204"/>
      <c r="F393" s="204">
        <v>5.09</v>
      </c>
      <c r="G393" s="204"/>
      <c r="H393" s="192">
        <v>140</v>
      </c>
      <c r="I393" s="205"/>
      <c r="J393" s="193"/>
      <c r="K393" s="205"/>
      <c r="L393" s="204"/>
      <c r="M393" s="204"/>
      <c r="N393" s="204"/>
      <c r="O393" s="184">
        <f t="shared" si="12"/>
        <v>140</v>
      </c>
      <c r="P393" s="204"/>
      <c r="Q393" s="204"/>
      <c r="R393" s="204">
        <v>228.5</v>
      </c>
      <c r="S393" s="197">
        <v>13706.87</v>
      </c>
      <c r="T393" s="204"/>
      <c r="U393" s="191"/>
      <c r="V393" s="166">
        <f t="shared" si="13"/>
        <v>0</v>
      </c>
      <c r="W393" s="204">
        <v>7.45</v>
      </c>
      <c r="X393" s="204">
        <v>8.4</v>
      </c>
      <c r="Y393" s="204"/>
      <c r="Z393" s="204"/>
      <c r="AA393" s="204"/>
      <c r="AB393" s="205"/>
      <c r="AC393" s="231" t="s">
        <v>584</v>
      </c>
    </row>
    <row r="394" spans="1:29" ht="18.75" hidden="1" thickBot="1" x14ac:dyDescent="0.3">
      <c r="A394" s="155">
        <v>216</v>
      </c>
      <c r="B394" s="210"/>
      <c r="C394" s="189" t="s">
        <v>614</v>
      </c>
      <c r="D394" s="204">
        <v>1015.95</v>
      </c>
      <c r="E394" s="204"/>
      <c r="F394" s="204">
        <v>5.1100000000000003</v>
      </c>
      <c r="G394" s="204"/>
      <c r="H394" s="192">
        <v>150</v>
      </c>
      <c r="I394" s="205"/>
      <c r="J394" s="193">
        <v>183.91</v>
      </c>
      <c r="K394" s="205"/>
      <c r="L394" s="204"/>
      <c r="M394" s="204"/>
      <c r="N394" s="204"/>
      <c r="O394" s="184">
        <f t="shared" si="12"/>
        <v>333.90999999999997</v>
      </c>
      <c r="P394" s="204"/>
      <c r="Q394" s="204"/>
      <c r="R394" s="204">
        <v>230.5</v>
      </c>
      <c r="S394" s="197">
        <v>13675.020000000002</v>
      </c>
      <c r="T394" s="204">
        <v>15.19</v>
      </c>
      <c r="U394" s="191"/>
      <c r="V394" s="166">
        <f t="shared" si="13"/>
        <v>15.19</v>
      </c>
      <c r="W394" s="204">
        <v>7.6</v>
      </c>
      <c r="X394" s="204">
        <v>9.5500000000000007</v>
      </c>
      <c r="Y394" s="204"/>
      <c r="Z394" s="204"/>
      <c r="AA394" s="204">
        <v>2.6</v>
      </c>
      <c r="AB394" s="205"/>
      <c r="AC394" s="231" t="s">
        <v>584</v>
      </c>
    </row>
    <row r="395" spans="1:29" ht="18.75" hidden="1" thickBot="1" x14ac:dyDescent="0.3">
      <c r="A395" s="168">
        <v>217</v>
      </c>
      <c r="B395" s="203"/>
      <c r="C395" s="189" t="s">
        <v>615</v>
      </c>
      <c r="D395" s="204">
        <v>1010.23</v>
      </c>
      <c r="E395" s="204"/>
      <c r="F395" s="204">
        <v>5.09</v>
      </c>
      <c r="G395" s="204"/>
      <c r="H395" s="192">
        <v>50</v>
      </c>
      <c r="I395" s="205"/>
      <c r="J395" s="193"/>
      <c r="K395" s="205"/>
      <c r="L395" s="204"/>
      <c r="M395" s="204"/>
      <c r="N395" s="204"/>
      <c r="O395" s="184">
        <f t="shared" si="12"/>
        <v>50</v>
      </c>
      <c r="P395" s="204"/>
      <c r="Q395" s="204"/>
      <c r="R395" s="204">
        <v>228.5</v>
      </c>
      <c r="S395" s="197">
        <v>13619.44</v>
      </c>
      <c r="T395" s="204">
        <v>13.89</v>
      </c>
      <c r="U395" s="191"/>
      <c r="V395" s="166">
        <f t="shared" si="13"/>
        <v>13.89</v>
      </c>
      <c r="W395" s="204">
        <v>6.35</v>
      </c>
      <c r="X395" s="204">
        <v>7.55</v>
      </c>
      <c r="Y395" s="204"/>
      <c r="Z395" s="204"/>
      <c r="AA395" s="204"/>
      <c r="AB395" s="205"/>
      <c r="AC395" s="231" t="s">
        <v>584</v>
      </c>
    </row>
    <row r="396" spans="1:29" ht="18.75" hidden="1" thickBot="1" x14ac:dyDescent="0.3">
      <c r="A396" s="155">
        <v>218</v>
      </c>
      <c r="B396" s="210"/>
      <c r="C396" s="189" t="s">
        <v>616</v>
      </c>
      <c r="D396" s="204">
        <v>1052.17</v>
      </c>
      <c r="E396" s="204"/>
      <c r="F396" s="204">
        <v>5.16</v>
      </c>
      <c r="G396" s="204"/>
      <c r="H396" s="192">
        <v>95</v>
      </c>
      <c r="I396" s="205"/>
      <c r="J396" s="193"/>
      <c r="K396" s="205"/>
      <c r="L396" s="204"/>
      <c r="M396" s="204"/>
      <c r="N396" s="204"/>
      <c r="O396" s="184">
        <f t="shared" si="12"/>
        <v>95</v>
      </c>
      <c r="P396" s="204"/>
      <c r="Q396" s="204"/>
      <c r="R396" s="204">
        <v>234.5</v>
      </c>
      <c r="S396" s="197">
        <v>14392.319999999996</v>
      </c>
      <c r="T396" s="204"/>
      <c r="U396" s="191"/>
      <c r="V396" s="166">
        <f t="shared" si="13"/>
        <v>0</v>
      </c>
      <c r="W396" s="204">
        <v>7.4</v>
      </c>
      <c r="X396" s="204">
        <v>8.6999999999999993</v>
      </c>
      <c r="Y396" s="204"/>
      <c r="Z396" s="204"/>
      <c r="AA396" s="204">
        <v>0.35</v>
      </c>
      <c r="AB396" s="205"/>
      <c r="AC396" s="231" t="s">
        <v>584</v>
      </c>
    </row>
    <row r="397" spans="1:29" ht="18.75" hidden="1" thickBot="1" x14ac:dyDescent="0.3">
      <c r="A397" s="168">
        <v>219</v>
      </c>
      <c r="B397" s="203"/>
      <c r="C397" s="189" t="s">
        <v>617</v>
      </c>
      <c r="D397" s="204">
        <v>1024.94</v>
      </c>
      <c r="E397" s="204"/>
      <c r="F397" s="204">
        <v>5.16</v>
      </c>
      <c r="G397" s="204"/>
      <c r="H397" s="192">
        <v>145</v>
      </c>
      <c r="I397" s="205"/>
      <c r="J397" s="193"/>
      <c r="K397" s="205"/>
      <c r="L397" s="204"/>
      <c r="M397" s="204"/>
      <c r="N397" s="204"/>
      <c r="O397" s="184">
        <f t="shared" si="12"/>
        <v>145</v>
      </c>
      <c r="P397" s="204"/>
      <c r="Q397" s="204"/>
      <c r="R397" s="204">
        <v>234.5</v>
      </c>
      <c r="S397" s="197">
        <v>13781.519999999999</v>
      </c>
      <c r="T397" s="204">
        <v>14.29</v>
      </c>
      <c r="U397" s="191"/>
      <c r="V397" s="166">
        <f t="shared" si="13"/>
        <v>14.29</v>
      </c>
      <c r="W397" s="204">
        <v>7.6</v>
      </c>
      <c r="X397" s="204">
        <v>8.4</v>
      </c>
      <c r="Y397" s="204"/>
      <c r="Z397" s="204"/>
      <c r="AA397" s="204"/>
      <c r="AB397" s="205"/>
      <c r="AC397" s="231" t="s">
        <v>584</v>
      </c>
    </row>
    <row r="398" spans="1:29" ht="18.75" hidden="1" thickBot="1" x14ac:dyDescent="0.3">
      <c r="A398" s="155">
        <v>220</v>
      </c>
      <c r="B398" s="210"/>
      <c r="C398" s="189" t="s">
        <v>618</v>
      </c>
      <c r="D398" s="204">
        <v>1276.19</v>
      </c>
      <c r="E398" s="204">
        <v>44.39</v>
      </c>
      <c r="F398" s="204">
        <v>9.4</v>
      </c>
      <c r="G398" s="204"/>
      <c r="H398" s="192">
        <v>50</v>
      </c>
      <c r="I398" s="205"/>
      <c r="J398" s="193"/>
      <c r="K398" s="205"/>
      <c r="L398" s="204"/>
      <c r="M398" s="204"/>
      <c r="N398" s="204"/>
      <c r="O398" s="184">
        <f t="shared" si="12"/>
        <v>50</v>
      </c>
      <c r="P398" s="204"/>
      <c r="Q398" s="204"/>
      <c r="R398" s="204">
        <v>307.39999999999998</v>
      </c>
      <c r="S398" s="197">
        <v>20000.349999999999</v>
      </c>
      <c r="T398" s="204"/>
      <c r="U398" s="191"/>
      <c r="V398" s="166">
        <f t="shared" si="13"/>
        <v>0</v>
      </c>
      <c r="W398" s="204">
        <v>8.9</v>
      </c>
      <c r="X398" s="204">
        <v>9.75</v>
      </c>
      <c r="Y398" s="204"/>
      <c r="Z398" s="204">
        <v>9.8800000000000008</v>
      </c>
      <c r="AA398" s="204">
        <v>3.14</v>
      </c>
      <c r="AB398" s="205"/>
      <c r="AC398" s="231" t="s">
        <v>584</v>
      </c>
    </row>
    <row r="399" spans="1:29" ht="18.75" hidden="1" thickBot="1" x14ac:dyDescent="0.3">
      <c r="A399" s="168">
        <v>221</v>
      </c>
      <c r="B399" s="203"/>
      <c r="C399" s="189" t="s">
        <v>619</v>
      </c>
      <c r="D399" s="204">
        <v>1191.8699999999999</v>
      </c>
      <c r="E399" s="204">
        <v>25.51</v>
      </c>
      <c r="F399" s="204">
        <v>6.2</v>
      </c>
      <c r="G399" s="204"/>
      <c r="H399" s="192">
        <v>150</v>
      </c>
      <c r="I399" s="205"/>
      <c r="J399" s="193"/>
      <c r="K399" s="205"/>
      <c r="L399" s="204"/>
      <c r="M399" s="204"/>
      <c r="N399" s="204"/>
      <c r="O399" s="184">
        <f t="shared" si="12"/>
        <v>150</v>
      </c>
      <c r="P399" s="204"/>
      <c r="Q399" s="204"/>
      <c r="R399" s="204">
        <v>287.79000000000002</v>
      </c>
      <c r="S399" s="197">
        <v>15755.469999999998</v>
      </c>
      <c r="T399" s="204"/>
      <c r="U399" s="191"/>
      <c r="V399" s="166">
        <f t="shared" si="13"/>
        <v>0</v>
      </c>
      <c r="W399" s="204">
        <v>8.9499999999999993</v>
      </c>
      <c r="X399" s="204">
        <v>9.9499999999999993</v>
      </c>
      <c r="Y399" s="204"/>
      <c r="Z399" s="204">
        <v>10.38</v>
      </c>
      <c r="AA399" s="204">
        <v>3.64</v>
      </c>
      <c r="AB399" s="205"/>
      <c r="AC399" s="231" t="s">
        <v>584</v>
      </c>
    </row>
    <row r="400" spans="1:29" ht="18.75" hidden="1" thickBot="1" x14ac:dyDescent="0.3">
      <c r="A400" s="155">
        <v>222</v>
      </c>
      <c r="B400" s="210"/>
      <c r="C400" s="189" t="s">
        <v>620</v>
      </c>
      <c r="D400" s="204">
        <v>1015.95</v>
      </c>
      <c r="E400" s="204"/>
      <c r="F400" s="204">
        <v>5.1100000000000003</v>
      </c>
      <c r="G400" s="204"/>
      <c r="H400" s="192">
        <v>50</v>
      </c>
      <c r="I400" s="205"/>
      <c r="J400" s="193"/>
      <c r="K400" s="205"/>
      <c r="L400" s="204"/>
      <c r="M400" s="204"/>
      <c r="N400" s="204"/>
      <c r="O400" s="184">
        <f t="shared" si="12"/>
        <v>50</v>
      </c>
      <c r="P400" s="204"/>
      <c r="Q400" s="204"/>
      <c r="R400" s="204">
        <v>230.5</v>
      </c>
      <c r="S400" s="197">
        <v>14136.020000000002</v>
      </c>
      <c r="T400" s="204"/>
      <c r="U400" s="191"/>
      <c r="V400" s="166">
        <f t="shared" si="13"/>
        <v>0</v>
      </c>
      <c r="W400" s="204">
        <v>6.4</v>
      </c>
      <c r="X400" s="204">
        <v>7.2</v>
      </c>
      <c r="Y400" s="204"/>
      <c r="Z400" s="204"/>
      <c r="AA400" s="204"/>
      <c r="AB400" s="205"/>
      <c r="AC400" s="231" t="s">
        <v>584</v>
      </c>
    </row>
    <row r="401" spans="1:29" ht="18.75" hidden="1" thickBot="1" x14ac:dyDescent="0.3">
      <c r="A401" s="168">
        <v>223</v>
      </c>
      <c r="B401" s="203"/>
      <c r="C401" s="189" t="s">
        <v>621</v>
      </c>
      <c r="D401" s="204">
        <v>1026.52</v>
      </c>
      <c r="E401" s="204"/>
      <c r="F401" s="204">
        <v>5.16</v>
      </c>
      <c r="G401" s="204"/>
      <c r="H401" s="192">
        <v>150</v>
      </c>
      <c r="I401" s="205"/>
      <c r="J401" s="193">
        <v>193</v>
      </c>
      <c r="K401" s="205"/>
      <c r="L401" s="204"/>
      <c r="M401" s="204"/>
      <c r="N401" s="204"/>
      <c r="O401" s="184">
        <f t="shared" si="12"/>
        <v>343</v>
      </c>
      <c r="P401" s="204"/>
      <c r="Q401" s="204"/>
      <c r="R401" s="204">
        <v>234.5</v>
      </c>
      <c r="S401" s="197">
        <v>13812.86</v>
      </c>
      <c r="T401" s="204">
        <v>76.53</v>
      </c>
      <c r="U401" s="191"/>
      <c r="V401" s="166">
        <f t="shared" si="13"/>
        <v>76.53</v>
      </c>
      <c r="W401" s="204">
        <v>7.65</v>
      </c>
      <c r="X401" s="204">
        <v>9.65</v>
      </c>
      <c r="Y401" s="204"/>
      <c r="Z401" s="204"/>
      <c r="AA401" s="204">
        <v>2.79</v>
      </c>
      <c r="AB401" s="205"/>
      <c r="AC401" s="231" t="s">
        <v>584</v>
      </c>
    </row>
    <row r="402" spans="1:29" ht="18.75" hidden="1" thickBot="1" x14ac:dyDescent="0.3">
      <c r="A402" s="155">
        <v>224</v>
      </c>
      <c r="B402" s="210"/>
      <c r="C402" s="189" t="s">
        <v>622</v>
      </c>
      <c r="D402" s="204">
        <v>1029.8900000000001</v>
      </c>
      <c r="E402" s="204"/>
      <c r="F402" s="204">
        <v>5.54</v>
      </c>
      <c r="G402" s="204"/>
      <c r="H402" s="192">
        <v>100</v>
      </c>
      <c r="I402" s="205"/>
      <c r="J402" s="193"/>
      <c r="K402" s="205"/>
      <c r="L402" s="204"/>
      <c r="M402" s="204"/>
      <c r="N402" s="204"/>
      <c r="O402" s="184">
        <f t="shared" si="12"/>
        <v>100</v>
      </c>
      <c r="P402" s="204"/>
      <c r="Q402" s="204"/>
      <c r="R402" s="204">
        <v>224.5</v>
      </c>
      <c r="S402" s="197">
        <v>14435.480000000003</v>
      </c>
      <c r="T402" s="204"/>
      <c r="U402" s="191"/>
      <c r="V402" s="166">
        <f t="shared" si="13"/>
        <v>0</v>
      </c>
      <c r="W402" s="204">
        <v>7.3</v>
      </c>
      <c r="X402" s="204">
        <v>8.9</v>
      </c>
      <c r="Y402" s="204"/>
      <c r="Z402" s="204"/>
      <c r="AA402" s="204">
        <v>0.87</v>
      </c>
      <c r="AB402" s="205"/>
      <c r="AC402" s="231" t="s">
        <v>584</v>
      </c>
    </row>
    <row r="403" spans="1:29" ht="18.75" hidden="1" thickBot="1" x14ac:dyDescent="0.3">
      <c r="A403" s="168">
        <v>225</v>
      </c>
      <c r="B403" s="203"/>
      <c r="C403" s="189" t="s">
        <v>623</v>
      </c>
      <c r="D403" s="204">
        <v>1030.07</v>
      </c>
      <c r="E403" s="204"/>
      <c r="F403" s="204">
        <v>5.39</v>
      </c>
      <c r="G403" s="204"/>
      <c r="H403" s="192">
        <v>145</v>
      </c>
      <c r="I403" s="205"/>
      <c r="J403" s="193">
        <v>178.83</v>
      </c>
      <c r="K403" s="205"/>
      <c r="L403" s="204"/>
      <c r="M403" s="204"/>
      <c r="N403" s="204"/>
      <c r="O403" s="184">
        <f t="shared" si="12"/>
        <v>323.83000000000004</v>
      </c>
      <c r="P403" s="204"/>
      <c r="Q403" s="204"/>
      <c r="R403" s="204">
        <v>226.5</v>
      </c>
      <c r="S403" s="197">
        <v>23467.61</v>
      </c>
      <c r="T403" s="204">
        <v>10.01</v>
      </c>
      <c r="U403" s="191"/>
      <c r="V403" s="166">
        <f t="shared" si="13"/>
        <v>10.01</v>
      </c>
      <c r="W403" s="204">
        <v>7.65</v>
      </c>
      <c r="X403" s="204">
        <v>9.6999999999999993</v>
      </c>
      <c r="Y403" s="204"/>
      <c r="Z403" s="204"/>
      <c r="AA403" s="204">
        <v>2.91</v>
      </c>
      <c r="AB403" s="205"/>
      <c r="AC403" s="231" t="s">
        <v>584</v>
      </c>
    </row>
    <row r="404" spans="1:29" ht="18.75" hidden="1" thickBot="1" x14ac:dyDescent="0.3">
      <c r="A404" s="155">
        <v>226</v>
      </c>
      <c r="B404" s="210"/>
      <c r="C404" s="189" t="s">
        <v>624</v>
      </c>
      <c r="D404" s="204">
        <v>1358.92</v>
      </c>
      <c r="E404" s="204">
        <v>102.79</v>
      </c>
      <c r="F404" s="204">
        <v>27.49</v>
      </c>
      <c r="G404" s="204"/>
      <c r="H404" s="192">
        <v>100</v>
      </c>
      <c r="I404" s="205"/>
      <c r="J404" s="193"/>
      <c r="K404" s="205"/>
      <c r="L404" s="204"/>
      <c r="M404" s="204"/>
      <c r="N404" s="204"/>
      <c r="O404" s="184">
        <f t="shared" si="12"/>
        <v>100</v>
      </c>
      <c r="P404" s="204"/>
      <c r="Q404" s="204"/>
      <c r="R404" s="204">
        <v>348.65</v>
      </c>
      <c r="S404" s="197">
        <v>19552.560000000001</v>
      </c>
      <c r="T404" s="204"/>
      <c r="U404" s="191"/>
      <c r="V404" s="166">
        <f t="shared" si="13"/>
        <v>0</v>
      </c>
      <c r="W404" s="204">
        <v>10.35</v>
      </c>
      <c r="X404" s="204">
        <v>11.85</v>
      </c>
      <c r="Y404" s="204"/>
      <c r="Z404" s="204">
        <v>28.89</v>
      </c>
      <c r="AA404" s="204">
        <v>8.68</v>
      </c>
      <c r="AB404" s="205"/>
      <c r="AC404" s="231" t="s">
        <v>584</v>
      </c>
    </row>
    <row r="405" spans="1:29" ht="18.75" hidden="1" thickBot="1" x14ac:dyDescent="0.3">
      <c r="A405" s="168">
        <v>227</v>
      </c>
      <c r="B405" s="203"/>
      <c r="C405" s="189" t="s">
        <v>625</v>
      </c>
      <c r="D405" s="204">
        <v>1062.47</v>
      </c>
      <c r="E405" s="204"/>
      <c r="F405" s="204">
        <v>5.35</v>
      </c>
      <c r="G405" s="204"/>
      <c r="H405" s="192">
        <v>145</v>
      </c>
      <c r="I405" s="205"/>
      <c r="J405" s="193">
        <v>195.53</v>
      </c>
      <c r="K405" s="205"/>
      <c r="L405" s="204"/>
      <c r="M405" s="204"/>
      <c r="N405" s="204"/>
      <c r="O405" s="184">
        <f t="shared" si="12"/>
        <v>340.53</v>
      </c>
      <c r="P405" s="204"/>
      <c r="Q405" s="204"/>
      <c r="R405" s="204">
        <v>236.5</v>
      </c>
      <c r="S405" s="197">
        <v>14170.800000000003</v>
      </c>
      <c r="T405" s="204">
        <v>20.69</v>
      </c>
      <c r="U405" s="191"/>
      <c r="V405" s="166">
        <f t="shared" si="13"/>
        <v>20.69</v>
      </c>
      <c r="W405" s="204">
        <v>7.85</v>
      </c>
      <c r="X405" s="204">
        <v>9.9</v>
      </c>
      <c r="Y405" s="204"/>
      <c r="Z405" s="204"/>
      <c r="AA405" s="204">
        <v>3.54</v>
      </c>
      <c r="AB405" s="205"/>
      <c r="AC405" s="231" t="s">
        <v>584</v>
      </c>
    </row>
    <row r="406" spans="1:29" ht="18.75" hidden="1" thickBot="1" x14ac:dyDescent="0.3">
      <c r="A406" s="155">
        <v>228</v>
      </c>
      <c r="B406" s="210"/>
      <c r="C406" s="189" t="s">
        <v>626</v>
      </c>
      <c r="D406" s="204">
        <v>1000.57</v>
      </c>
      <c r="E406" s="204"/>
      <c r="F406" s="204">
        <v>5.32</v>
      </c>
      <c r="G406" s="204"/>
      <c r="H406" s="192">
        <v>50</v>
      </c>
      <c r="I406" s="205"/>
      <c r="J406" s="193"/>
      <c r="K406" s="205"/>
      <c r="L406" s="204">
        <v>10</v>
      </c>
      <c r="M406" s="204"/>
      <c r="N406" s="204"/>
      <c r="O406" s="184">
        <f t="shared" si="12"/>
        <v>60</v>
      </c>
      <c r="P406" s="204"/>
      <c r="Q406" s="204"/>
      <c r="R406" s="204">
        <v>224.5</v>
      </c>
      <c r="S406" s="197">
        <v>14428.430000000002</v>
      </c>
      <c r="T406" s="204"/>
      <c r="U406" s="191"/>
      <c r="V406" s="166">
        <f t="shared" si="13"/>
        <v>0</v>
      </c>
      <c r="W406" s="204">
        <v>6.35</v>
      </c>
      <c r="X406" s="204">
        <v>8.0500000000000007</v>
      </c>
      <c r="Y406" s="204"/>
      <c r="Z406" s="204"/>
      <c r="AA406" s="204"/>
      <c r="AB406" s="205"/>
      <c r="AC406" s="231" t="s">
        <v>584</v>
      </c>
    </row>
    <row r="407" spans="1:29" ht="18.75" hidden="1" thickBot="1" x14ac:dyDescent="0.3">
      <c r="A407" s="168">
        <v>229</v>
      </c>
      <c r="B407" s="203"/>
      <c r="C407" s="189" t="s">
        <v>627</v>
      </c>
      <c r="D407" s="204">
        <v>1000.57</v>
      </c>
      <c r="E407" s="204"/>
      <c r="F407" s="204">
        <v>5.32</v>
      </c>
      <c r="G407" s="204"/>
      <c r="H407" s="192">
        <v>150</v>
      </c>
      <c r="I407" s="205"/>
      <c r="J407" s="193"/>
      <c r="K407" s="205"/>
      <c r="L407" s="204"/>
      <c r="M407" s="204"/>
      <c r="N407" s="204"/>
      <c r="O407" s="184">
        <f t="shared" si="12"/>
        <v>150</v>
      </c>
      <c r="P407" s="204"/>
      <c r="Q407" s="204"/>
      <c r="R407" s="204">
        <v>224.5</v>
      </c>
      <c r="S407" s="197">
        <v>13726.24</v>
      </c>
      <c r="T407" s="204">
        <v>10.07</v>
      </c>
      <c r="U407" s="191"/>
      <c r="V407" s="166">
        <f t="shared" si="13"/>
        <v>10.07</v>
      </c>
      <c r="W407" s="204">
        <v>7.5</v>
      </c>
      <c r="X407" s="204">
        <v>8.65</v>
      </c>
      <c r="Y407" s="204"/>
      <c r="Z407" s="204"/>
      <c r="AA407" s="204">
        <v>0.18</v>
      </c>
      <c r="AB407" s="205"/>
      <c r="AC407" s="231" t="s">
        <v>584</v>
      </c>
    </row>
    <row r="408" spans="1:29" ht="18.75" hidden="1" thickBot="1" x14ac:dyDescent="0.3">
      <c r="A408" s="155">
        <v>230</v>
      </c>
      <c r="B408" s="210"/>
      <c r="C408" s="189" t="s">
        <v>628</v>
      </c>
      <c r="D408" s="204">
        <v>995.28</v>
      </c>
      <c r="E408" s="204"/>
      <c r="F408" s="204">
        <v>5.34</v>
      </c>
      <c r="G408" s="204"/>
      <c r="H408" s="192">
        <v>95</v>
      </c>
      <c r="I408" s="205"/>
      <c r="J408" s="193"/>
      <c r="K408" s="205"/>
      <c r="L408" s="204"/>
      <c r="M408" s="204"/>
      <c r="N408" s="204"/>
      <c r="O408" s="184">
        <f t="shared" si="12"/>
        <v>95</v>
      </c>
      <c r="P408" s="204"/>
      <c r="Q408" s="204"/>
      <c r="R408" s="204">
        <v>222.5</v>
      </c>
      <c r="S408" s="197">
        <v>13871.450000000003</v>
      </c>
      <c r="T408" s="204">
        <v>9.7100000000000009</v>
      </c>
      <c r="U408" s="191"/>
      <c r="V408" s="166">
        <f t="shared" si="13"/>
        <v>9.7100000000000009</v>
      </c>
      <c r="W408" s="204">
        <v>6.55</v>
      </c>
      <c r="X408" s="204">
        <v>8.1999999999999993</v>
      </c>
      <c r="Y408" s="204"/>
      <c r="Z408" s="204"/>
      <c r="AA408" s="204"/>
      <c r="AB408" s="205"/>
      <c r="AC408" s="231" t="s">
        <v>584</v>
      </c>
    </row>
    <row r="409" spans="1:29" ht="18.75" hidden="1" thickBot="1" x14ac:dyDescent="0.3">
      <c r="A409" s="168">
        <v>231</v>
      </c>
      <c r="B409" s="203"/>
      <c r="C409" s="189" t="s">
        <v>629</v>
      </c>
      <c r="D409" s="204">
        <v>1026.52</v>
      </c>
      <c r="E409" s="204"/>
      <c r="F409" s="204">
        <v>5.16</v>
      </c>
      <c r="G409" s="204"/>
      <c r="H409" s="192"/>
      <c r="I409" s="205"/>
      <c r="J409" s="193"/>
      <c r="K409" s="205"/>
      <c r="L409" s="204"/>
      <c r="M409" s="204"/>
      <c r="N409" s="204"/>
      <c r="O409" s="184">
        <f t="shared" si="12"/>
        <v>0</v>
      </c>
      <c r="P409" s="204"/>
      <c r="Q409" s="204"/>
      <c r="R409" s="204">
        <v>234.5</v>
      </c>
      <c r="S409" s="197">
        <v>14203.940000000002</v>
      </c>
      <c r="T409" s="204">
        <v>50.05</v>
      </c>
      <c r="U409" s="191"/>
      <c r="V409" s="166">
        <f t="shared" si="13"/>
        <v>50.05</v>
      </c>
      <c r="W409" s="204">
        <v>6.1</v>
      </c>
      <c r="X409" s="204">
        <v>7.45</v>
      </c>
      <c r="Y409" s="204"/>
      <c r="Z409" s="204"/>
      <c r="AA409" s="204"/>
      <c r="AB409" s="205"/>
      <c r="AC409" s="231" t="s">
        <v>584</v>
      </c>
    </row>
    <row r="410" spans="1:29" ht="18.75" hidden="1" thickBot="1" x14ac:dyDescent="0.3">
      <c r="A410" s="155">
        <v>232</v>
      </c>
      <c r="B410" s="210"/>
      <c r="C410" s="189" t="s">
        <v>630</v>
      </c>
      <c r="D410" s="204">
        <v>1015.95</v>
      </c>
      <c r="E410" s="204"/>
      <c r="F410" s="204">
        <v>5.1100000000000003</v>
      </c>
      <c r="G410" s="204"/>
      <c r="H410" s="192">
        <v>50</v>
      </c>
      <c r="I410" s="205"/>
      <c r="J410" s="193"/>
      <c r="K410" s="205"/>
      <c r="L410" s="204"/>
      <c r="M410" s="204"/>
      <c r="N410" s="204"/>
      <c r="O410" s="184">
        <f t="shared" si="12"/>
        <v>50</v>
      </c>
      <c r="P410" s="204"/>
      <c r="Q410" s="204"/>
      <c r="R410" s="204">
        <v>230.5</v>
      </c>
      <c r="S410" s="197">
        <v>13915.020000000002</v>
      </c>
      <c r="T410" s="204">
        <v>18.66</v>
      </c>
      <c r="U410" s="191"/>
      <c r="V410" s="166">
        <f t="shared" si="13"/>
        <v>18.66</v>
      </c>
      <c r="W410" s="204">
        <v>6.4</v>
      </c>
      <c r="X410" s="204">
        <v>6.55</v>
      </c>
      <c r="Y410" s="204"/>
      <c r="Z410" s="204"/>
      <c r="AA410" s="204"/>
      <c r="AB410" s="205"/>
      <c r="AC410" s="231" t="s">
        <v>584</v>
      </c>
    </row>
    <row r="411" spans="1:29" ht="18.75" hidden="1" thickBot="1" x14ac:dyDescent="0.3">
      <c r="A411" s="168">
        <v>233</v>
      </c>
      <c r="B411" s="203"/>
      <c r="C411" s="189" t="s">
        <v>631</v>
      </c>
      <c r="D411" s="204">
        <v>1178.2</v>
      </c>
      <c r="E411" s="204">
        <v>21.24</v>
      </c>
      <c r="F411" s="204">
        <v>6.05</v>
      </c>
      <c r="G411" s="204"/>
      <c r="H411" s="192">
        <v>150</v>
      </c>
      <c r="I411" s="205"/>
      <c r="J411" s="193"/>
      <c r="K411" s="205"/>
      <c r="L411" s="204"/>
      <c r="M411" s="204"/>
      <c r="N411" s="204"/>
      <c r="O411" s="184">
        <f t="shared" si="12"/>
        <v>150</v>
      </c>
      <c r="P411" s="204"/>
      <c r="Q411" s="204"/>
      <c r="R411" s="204">
        <v>284.43</v>
      </c>
      <c r="S411" s="197">
        <v>19718.98</v>
      </c>
      <c r="T411" s="204">
        <v>10.42</v>
      </c>
      <c r="U411" s="191"/>
      <c r="V411" s="166">
        <f t="shared" si="13"/>
        <v>10.42</v>
      </c>
      <c r="W411" s="204">
        <v>8.8000000000000007</v>
      </c>
      <c r="X411" s="204">
        <v>9.75</v>
      </c>
      <c r="Y411" s="204"/>
      <c r="Z411" s="204">
        <v>7.74</v>
      </c>
      <c r="AA411" s="204">
        <v>3.07</v>
      </c>
      <c r="AB411" s="205"/>
      <c r="AC411" s="231" t="s">
        <v>584</v>
      </c>
    </row>
    <row r="412" spans="1:29" ht="18.75" hidden="1" thickBot="1" x14ac:dyDescent="0.3">
      <c r="A412" s="155">
        <v>234</v>
      </c>
      <c r="B412" s="210"/>
      <c r="C412" s="189" t="s">
        <v>632</v>
      </c>
      <c r="D412" s="204">
        <v>1382.44</v>
      </c>
      <c r="E412" s="204">
        <v>114.7</v>
      </c>
      <c r="F412" s="204">
        <v>31.23</v>
      </c>
      <c r="G412" s="204"/>
      <c r="H412" s="192">
        <v>150</v>
      </c>
      <c r="I412" s="205"/>
      <c r="J412" s="193"/>
      <c r="K412" s="205"/>
      <c r="L412" s="204"/>
      <c r="M412" s="204"/>
      <c r="N412" s="204"/>
      <c r="O412" s="184">
        <f t="shared" si="12"/>
        <v>150</v>
      </c>
      <c r="P412" s="204"/>
      <c r="Q412" s="204"/>
      <c r="R412" s="204">
        <v>358.01</v>
      </c>
      <c r="S412" s="197">
        <v>19685.239999999998</v>
      </c>
      <c r="T412" s="204"/>
      <c r="U412" s="191"/>
      <c r="V412" s="166">
        <f t="shared" si="13"/>
        <v>0</v>
      </c>
      <c r="W412" s="204">
        <v>10.95</v>
      </c>
      <c r="X412" s="204">
        <v>12.15</v>
      </c>
      <c r="Y412" s="204"/>
      <c r="Z412" s="204">
        <v>37.32</v>
      </c>
      <c r="AA412" s="204">
        <v>9.43</v>
      </c>
      <c r="AB412" s="205"/>
      <c r="AC412" s="231" t="s">
        <v>584</v>
      </c>
    </row>
    <row r="413" spans="1:29" ht="18.75" hidden="1" thickBot="1" x14ac:dyDescent="0.3">
      <c r="A413" s="168">
        <v>235</v>
      </c>
      <c r="B413" s="203"/>
      <c r="C413" s="189" t="s">
        <v>633</v>
      </c>
      <c r="D413" s="204">
        <v>1364.72</v>
      </c>
      <c r="E413" s="204">
        <v>106.1</v>
      </c>
      <c r="F413" s="204">
        <v>28.48</v>
      </c>
      <c r="G413" s="204"/>
      <c r="H413" s="192">
        <v>150</v>
      </c>
      <c r="I413" s="205"/>
      <c r="J413" s="193"/>
      <c r="K413" s="205"/>
      <c r="L413" s="204"/>
      <c r="M413" s="204"/>
      <c r="N413" s="204"/>
      <c r="O413" s="184">
        <f t="shared" si="12"/>
        <v>150</v>
      </c>
      <c r="P413" s="204"/>
      <c r="Q413" s="204"/>
      <c r="R413" s="204">
        <v>351.26</v>
      </c>
      <c r="S413" s="197">
        <v>19435.48</v>
      </c>
      <c r="T413" s="204"/>
      <c r="U413" s="191"/>
      <c r="V413" s="166">
        <f t="shared" si="13"/>
        <v>0</v>
      </c>
      <c r="W413" s="204">
        <v>10.75</v>
      </c>
      <c r="X413" s="204">
        <v>11.95</v>
      </c>
      <c r="Y413" s="204"/>
      <c r="Z413" s="204">
        <v>34.75</v>
      </c>
      <c r="AA413" s="204">
        <v>8.8699999999999992</v>
      </c>
      <c r="AB413" s="205"/>
      <c r="AC413" s="231" t="s">
        <v>584</v>
      </c>
    </row>
    <row r="414" spans="1:29" ht="18.75" hidden="1" thickBot="1" x14ac:dyDescent="0.3">
      <c r="A414" s="155">
        <v>236</v>
      </c>
      <c r="B414" s="210"/>
      <c r="C414" s="189" t="s">
        <v>634</v>
      </c>
      <c r="D414" s="204">
        <v>995.73</v>
      </c>
      <c r="E414" s="204"/>
      <c r="F414" s="204">
        <v>5.35</v>
      </c>
      <c r="G414" s="204"/>
      <c r="H414" s="192">
        <v>50</v>
      </c>
      <c r="I414" s="205"/>
      <c r="J414" s="193"/>
      <c r="K414" s="205"/>
      <c r="L414" s="204"/>
      <c r="M414" s="204"/>
      <c r="N414" s="204"/>
      <c r="O414" s="184">
        <f t="shared" si="12"/>
        <v>50</v>
      </c>
      <c r="P414" s="204"/>
      <c r="Q414" s="204"/>
      <c r="R414" s="204">
        <v>218.5</v>
      </c>
      <c r="S414" s="197">
        <v>13446.900000000001</v>
      </c>
      <c r="T414" s="204">
        <v>28</v>
      </c>
      <c r="U414" s="191"/>
      <c r="V414" s="166">
        <f t="shared" si="13"/>
        <v>28</v>
      </c>
      <c r="W414" s="204">
        <v>6.25</v>
      </c>
      <c r="X414" s="204">
        <v>7.2</v>
      </c>
      <c r="Y414" s="204"/>
      <c r="Z414" s="204"/>
      <c r="AA414" s="204"/>
      <c r="AB414" s="205"/>
      <c r="AC414" s="231" t="s">
        <v>584</v>
      </c>
    </row>
    <row r="415" spans="1:29" ht="18.75" hidden="1" thickBot="1" x14ac:dyDescent="0.3">
      <c r="A415" s="168">
        <v>237</v>
      </c>
      <c r="B415" s="203"/>
      <c r="C415" s="189" t="s">
        <v>635</v>
      </c>
      <c r="D415" s="204">
        <v>1083.1400000000001</v>
      </c>
      <c r="E415" s="204"/>
      <c r="F415" s="204">
        <v>5.39</v>
      </c>
      <c r="G415" s="204"/>
      <c r="H415" s="192">
        <v>95</v>
      </c>
      <c r="I415" s="205"/>
      <c r="J415" s="193"/>
      <c r="K415" s="205"/>
      <c r="L415" s="204"/>
      <c r="M415" s="204"/>
      <c r="N415" s="204"/>
      <c r="O415" s="184">
        <f t="shared" ref="O415:O478" si="14">SUM(H415:N415)</f>
        <v>95</v>
      </c>
      <c r="P415" s="204"/>
      <c r="Q415" s="204"/>
      <c r="R415" s="204">
        <v>244.5</v>
      </c>
      <c r="S415" s="197">
        <v>14118.87</v>
      </c>
      <c r="T415" s="204"/>
      <c r="U415" s="191"/>
      <c r="V415" s="166">
        <f t="shared" ref="V415:V478" si="15">T415+U415</f>
        <v>0</v>
      </c>
      <c r="W415" s="204">
        <v>7.6</v>
      </c>
      <c r="X415" s="204">
        <v>8.5500000000000007</v>
      </c>
      <c r="Y415" s="204"/>
      <c r="Z415" s="204"/>
      <c r="AA415" s="204"/>
      <c r="AB415" s="205"/>
      <c r="AC415" s="231" t="s">
        <v>584</v>
      </c>
    </row>
    <row r="416" spans="1:29" ht="18.75" hidden="1" thickBot="1" x14ac:dyDescent="0.3">
      <c r="A416" s="155">
        <v>238</v>
      </c>
      <c r="B416" s="210"/>
      <c r="C416" s="189" t="s">
        <v>636</v>
      </c>
      <c r="D416" s="204">
        <v>986.29</v>
      </c>
      <c r="E416" s="204"/>
      <c r="F416" s="204">
        <v>5.36</v>
      </c>
      <c r="G416" s="204"/>
      <c r="H416" s="192">
        <v>100</v>
      </c>
      <c r="I416" s="205"/>
      <c r="J416" s="193">
        <v>81</v>
      </c>
      <c r="K416" s="205"/>
      <c r="L416" s="204"/>
      <c r="M416" s="204"/>
      <c r="N416" s="204"/>
      <c r="O416" s="184">
        <f t="shared" si="14"/>
        <v>181</v>
      </c>
      <c r="P416" s="204"/>
      <c r="Q416" s="204"/>
      <c r="R416" s="204">
        <v>214.5</v>
      </c>
      <c r="S416" s="197">
        <v>13368.410000000002</v>
      </c>
      <c r="T416" s="204"/>
      <c r="U416" s="191"/>
      <c r="V416" s="166">
        <f t="shared" si="15"/>
        <v>0</v>
      </c>
      <c r="W416" s="204">
        <v>6.55</v>
      </c>
      <c r="X416" s="204">
        <v>8.4</v>
      </c>
      <c r="Y416" s="204"/>
      <c r="Z416" s="204"/>
      <c r="AA416" s="204"/>
      <c r="AB416" s="205"/>
      <c r="AC416" s="231" t="s">
        <v>584</v>
      </c>
    </row>
    <row r="417" spans="1:29" ht="18.75" hidden="1" thickBot="1" x14ac:dyDescent="0.3">
      <c r="A417" s="168">
        <v>239</v>
      </c>
      <c r="B417" s="203"/>
      <c r="C417" s="189" t="s">
        <v>637</v>
      </c>
      <c r="D417" s="204">
        <v>1331.86</v>
      </c>
      <c r="E417" s="204">
        <v>87.35</v>
      </c>
      <c r="F417" s="204">
        <v>23.04</v>
      </c>
      <c r="G417" s="204"/>
      <c r="H417" s="192">
        <v>100</v>
      </c>
      <c r="I417" s="205"/>
      <c r="J417" s="193"/>
      <c r="K417" s="205"/>
      <c r="L417" s="204"/>
      <c r="M417" s="204"/>
      <c r="N417" s="204"/>
      <c r="O417" s="184">
        <f t="shared" si="14"/>
        <v>100</v>
      </c>
      <c r="P417" s="204"/>
      <c r="Q417" s="204"/>
      <c r="R417" s="204">
        <v>339.65</v>
      </c>
      <c r="S417" s="197">
        <v>19339.66</v>
      </c>
      <c r="T417" s="204"/>
      <c r="U417" s="191"/>
      <c r="V417" s="166">
        <f t="shared" si="15"/>
        <v>0</v>
      </c>
      <c r="W417" s="204">
        <v>10</v>
      </c>
      <c r="X417" s="204">
        <v>11.15</v>
      </c>
      <c r="Y417" s="204"/>
      <c r="Z417" s="204">
        <v>24.74</v>
      </c>
      <c r="AA417" s="204">
        <v>6.8</v>
      </c>
      <c r="AB417" s="205"/>
      <c r="AC417" s="231" t="s">
        <v>584</v>
      </c>
    </row>
    <row r="418" spans="1:29" ht="18.75" hidden="1" thickBot="1" x14ac:dyDescent="0.3">
      <c r="A418" s="155">
        <v>240</v>
      </c>
      <c r="B418" s="210"/>
      <c r="C418" s="189" t="s">
        <v>638</v>
      </c>
      <c r="D418" s="204">
        <v>1010.68</v>
      </c>
      <c r="E418" s="204"/>
      <c r="F418" s="204">
        <v>5.09</v>
      </c>
      <c r="G418" s="204"/>
      <c r="H418" s="192">
        <v>150</v>
      </c>
      <c r="I418" s="205"/>
      <c r="J418" s="193">
        <v>185.37</v>
      </c>
      <c r="K418" s="205"/>
      <c r="L418" s="204"/>
      <c r="M418" s="204"/>
      <c r="N418" s="204"/>
      <c r="O418" s="184">
        <f t="shared" si="14"/>
        <v>335.37</v>
      </c>
      <c r="P418" s="204"/>
      <c r="Q418" s="204"/>
      <c r="R418" s="204">
        <v>228.5</v>
      </c>
      <c r="S418" s="197">
        <v>24443.35</v>
      </c>
      <c r="T418" s="204">
        <v>33.08</v>
      </c>
      <c r="U418" s="191"/>
      <c r="V418" s="166">
        <f t="shared" si="15"/>
        <v>33.08</v>
      </c>
      <c r="W418" s="204">
        <v>7.55</v>
      </c>
      <c r="X418" s="204">
        <v>9.4</v>
      </c>
      <c r="Y418" s="204"/>
      <c r="Z418" s="204"/>
      <c r="AA418" s="204">
        <v>2.17</v>
      </c>
      <c r="AB418" s="205"/>
      <c r="AC418" s="231" t="s">
        <v>584</v>
      </c>
    </row>
    <row r="419" spans="1:29" ht="18.75" hidden="1" thickBot="1" x14ac:dyDescent="0.3">
      <c r="A419" s="168">
        <v>241</v>
      </c>
      <c r="B419" s="203"/>
      <c r="C419" s="189" t="s">
        <v>639</v>
      </c>
      <c r="D419" s="204">
        <v>1118.6199999999999</v>
      </c>
      <c r="E419" s="204"/>
      <c r="F419" s="204">
        <v>5.66</v>
      </c>
      <c r="G419" s="204"/>
      <c r="H419" s="192">
        <v>145</v>
      </c>
      <c r="I419" s="205"/>
      <c r="J419" s="193">
        <v>146.69</v>
      </c>
      <c r="K419" s="205"/>
      <c r="L419" s="204"/>
      <c r="M419" s="204"/>
      <c r="N419" s="204"/>
      <c r="O419" s="184">
        <f t="shared" si="14"/>
        <v>291.69</v>
      </c>
      <c r="P419" s="204"/>
      <c r="Q419" s="204"/>
      <c r="R419" s="204">
        <v>261.5</v>
      </c>
      <c r="S419" s="197">
        <v>24067.84</v>
      </c>
      <c r="T419" s="204"/>
      <c r="U419" s="191"/>
      <c r="V419" s="166">
        <f t="shared" si="15"/>
        <v>0</v>
      </c>
      <c r="W419" s="204">
        <v>8.25</v>
      </c>
      <c r="X419" s="204">
        <v>10.55</v>
      </c>
      <c r="Y419" s="204"/>
      <c r="Z419" s="204">
        <v>1.1200000000000001</v>
      </c>
      <c r="AA419" s="204">
        <v>5.23</v>
      </c>
      <c r="AB419" s="205"/>
      <c r="AC419" s="231" t="s">
        <v>584</v>
      </c>
    </row>
    <row r="420" spans="1:29" ht="18.75" hidden="1" thickBot="1" x14ac:dyDescent="0.3">
      <c r="A420" s="155">
        <v>242</v>
      </c>
      <c r="B420" s="210"/>
      <c r="C420" s="189" t="s">
        <v>640</v>
      </c>
      <c r="D420" s="204">
        <v>1301.23</v>
      </c>
      <c r="E420" s="204">
        <v>77.28</v>
      </c>
      <c r="F420" s="204">
        <v>18.809999999999999</v>
      </c>
      <c r="G420" s="204"/>
      <c r="H420" s="192">
        <v>145</v>
      </c>
      <c r="I420" s="205"/>
      <c r="J420" s="193">
        <v>235.17</v>
      </c>
      <c r="K420" s="205"/>
      <c r="L420" s="204"/>
      <c r="M420" s="204"/>
      <c r="N420" s="204"/>
      <c r="O420" s="184">
        <f t="shared" si="14"/>
        <v>380.16999999999996</v>
      </c>
      <c r="P420" s="204"/>
      <c r="Q420" s="204"/>
      <c r="R420" s="204">
        <v>328.56</v>
      </c>
      <c r="S420" s="197">
        <v>18783.47</v>
      </c>
      <c r="T420" s="204"/>
      <c r="U420" s="191"/>
      <c r="V420" s="166">
        <f t="shared" si="15"/>
        <v>0</v>
      </c>
      <c r="W420" s="204">
        <v>10.050000000000001</v>
      </c>
      <c r="X420" s="204">
        <v>12.75</v>
      </c>
      <c r="Y420" s="204"/>
      <c r="Z420" s="204">
        <v>25.24</v>
      </c>
      <c r="AA420" s="204">
        <v>10.99</v>
      </c>
      <c r="AB420" s="205"/>
      <c r="AC420" s="231" t="s">
        <v>584</v>
      </c>
    </row>
    <row r="421" spans="1:29" ht="18.75" hidden="1" thickBot="1" x14ac:dyDescent="0.3">
      <c r="A421" s="168">
        <v>243</v>
      </c>
      <c r="B421" s="203"/>
      <c r="C421" s="189" t="s">
        <v>641</v>
      </c>
      <c r="D421" s="204">
        <v>1030.99</v>
      </c>
      <c r="E421" s="204"/>
      <c r="F421" s="204">
        <v>5.39</v>
      </c>
      <c r="G421" s="204"/>
      <c r="H421" s="192">
        <v>50</v>
      </c>
      <c r="I421" s="205"/>
      <c r="J421" s="193"/>
      <c r="K421" s="205"/>
      <c r="L421" s="204"/>
      <c r="M421" s="204"/>
      <c r="N421" s="204"/>
      <c r="O421" s="184">
        <f t="shared" si="14"/>
        <v>50</v>
      </c>
      <c r="P421" s="204"/>
      <c r="Q421" s="204"/>
      <c r="R421" s="204">
        <v>226.5</v>
      </c>
      <c r="S421" s="197">
        <v>14399.009999999997</v>
      </c>
      <c r="T421" s="204"/>
      <c r="U421" s="191"/>
      <c r="V421" s="166">
        <f t="shared" si="15"/>
        <v>0</v>
      </c>
      <c r="W421" s="204">
        <v>6.45</v>
      </c>
      <c r="X421" s="204">
        <v>8.1999999999999993</v>
      </c>
      <c r="Y421" s="204"/>
      <c r="Z421" s="204"/>
      <c r="AA421" s="204"/>
      <c r="AB421" s="205"/>
      <c r="AC421" s="231" t="s">
        <v>584</v>
      </c>
    </row>
    <row r="422" spans="1:29" ht="18.75" hidden="1" thickBot="1" x14ac:dyDescent="0.3">
      <c r="A422" s="155">
        <v>244</v>
      </c>
      <c r="B422" s="210"/>
      <c r="C422" s="189" t="s">
        <v>642</v>
      </c>
      <c r="D422" s="204">
        <v>1020.51</v>
      </c>
      <c r="E422" s="204"/>
      <c r="F422" s="204">
        <v>5.35</v>
      </c>
      <c r="G422" s="204"/>
      <c r="H422" s="192">
        <v>50</v>
      </c>
      <c r="I422" s="205"/>
      <c r="J422" s="193">
        <v>86.08</v>
      </c>
      <c r="K422" s="205"/>
      <c r="L422" s="204"/>
      <c r="M422" s="204"/>
      <c r="N422" s="204"/>
      <c r="O422" s="184">
        <f t="shared" si="14"/>
        <v>136.07999999999998</v>
      </c>
      <c r="P422" s="204"/>
      <c r="Q422" s="204"/>
      <c r="R422" s="204">
        <v>218.5</v>
      </c>
      <c r="S422" s="197">
        <v>20125.28</v>
      </c>
      <c r="T422" s="204"/>
      <c r="U422" s="191"/>
      <c r="V422" s="166">
        <f t="shared" si="15"/>
        <v>0</v>
      </c>
      <c r="W422" s="204">
        <v>6.4</v>
      </c>
      <c r="X422" s="204">
        <v>7.5</v>
      </c>
      <c r="Y422" s="204"/>
      <c r="Z422" s="204"/>
      <c r="AA422" s="204"/>
      <c r="AB422" s="205"/>
      <c r="AC422" s="231" t="s">
        <v>584</v>
      </c>
    </row>
    <row r="423" spans="1:29" ht="18.75" hidden="1" thickBot="1" x14ac:dyDescent="0.3">
      <c r="A423" s="168">
        <v>245</v>
      </c>
      <c r="B423" s="203"/>
      <c r="C423" s="189" t="s">
        <v>643</v>
      </c>
      <c r="D423" s="204">
        <v>1056.23</v>
      </c>
      <c r="E423" s="204"/>
      <c r="F423" s="204">
        <v>5.64</v>
      </c>
      <c r="G423" s="204"/>
      <c r="H423" s="192">
        <v>50</v>
      </c>
      <c r="I423" s="205"/>
      <c r="J423" s="193">
        <v>81</v>
      </c>
      <c r="K423" s="205"/>
      <c r="L423" s="204"/>
      <c r="M423" s="204"/>
      <c r="N423" s="204"/>
      <c r="O423" s="184">
        <f t="shared" si="14"/>
        <v>131</v>
      </c>
      <c r="P423" s="204"/>
      <c r="Q423" s="204"/>
      <c r="R423" s="204">
        <v>214.5</v>
      </c>
      <c r="S423" s="197">
        <v>14261.189999999999</v>
      </c>
      <c r="T423" s="204"/>
      <c r="U423" s="191"/>
      <c r="V423" s="166">
        <f t="shared" si="15"/>
        <v>0</v>
      </c>
      <c r="W423" s="204">
        <v>6.6</v>
      </c>
      <c r="X423" s="204">
        <v>8.5500000000000007</v>
      </c>
      <c r="Y423" s="204"/>
      <c r="Z423" s="204"/>
      <c r="AA423" s="204"/>
      <c r="AB423" s="205"/>
      <c r="AC423" s="231" t="s">
        <v>584</v>
      </c>
    </row>
    <row r="424" spans="1:29" ht="18.75" hidden="1" thickBot="1" x14ac:dyDescent="0.3">
      <c r="A424" s="155">
        <v>246</v>
      </c>
      <c r="B424" s="210"/>
      <c r="C424" s="189" t="s">
        <v>644</v>
      </c>
      <c r="D424" s="204">
        <v>990.01</v>
      </c>
      <c r="E424" s="204"/>
      <c r="F424" s="204">
        <v>5.32</v>
      </c>
      <c r="G424" s="204"/>
      <c r="H424" s="192">
        <v>50</v>
      </c>
      <c r="I424" s="205"/>
      <c r="J424" s="193"/>
      <c r="K424" s="205"/>
      <c r="L424" s="204"/>
      <c r="M424" s="204"/>
      <c r="N424" s="204"/>
      <c r="O424" s="184">
        <f t="shared" si="14"/>
        <v>50</v>
      </c>
      <c r="P424" s="204"/>
      <c r="Q424" s="204"/>
      <c r="R424" s="204">
        <v>220.5</v>
      </c>
      <c r="S424" s="197">
        <v>14251.259999999998</v>
      </c>
      <c r="T424" s="204"/>
      <c r="U424" s="191"/>
      <c r="V424" s="166">
        <f t="shared" si="15"/>
        <v>0</v>
      </c>
      <c r="W424" s="204">
        <v>6.2</v>
      </c>
      <c r="X424" s="204">
        <v>7.35</v>
      </c>
      <c r="Y424" s="204"/>
      <c r="Z424" s="204"/>
      <c r="AA424" s="204"/>
      <c r="AB424" s="205"/>
      <c r="AC424" s="231" t="s">
        <v>584</v>
      </c>
    </row>
    <row r="425" spans="1:29" ht="18.75" hidden="1" thickBot="1" x14ac:dyDescent="0.3">
      <c r="A425" s="168">
        <v>247</v>
      </c>
      <c r="B425" s="203"/>
      <c r="C425" s="189" t="s">
        <v>645</v>
      </c>
      <c r="D425" s="204">
        <v>941.6</v>
      </c>
      <c r="E425" s="204"/>
      <c r="F425" s="204">
        <v>5.31</v>
      </c>
      <c r="G425" s="204"/>
      <c r="H425" s="192">
        <v>50</v>
      </c>
      <c r="I425" s="205"/>
      <c r="J425" s="193"/>
      <c r="K425" s="205"/>
      <c r="L425" s="204"/>
      <c r="M425" s="204"/>
      <c r="N425" s="204"/>
      <c r="O425" s="184">
        <f t="shared" si="14"/>
        <v>50</v>
      </c>
      <c r="P425" s="204"/>
      <c r="Q425" s="204"/>
      <c r="R425" s="204">
        <v>214.5</v>
      </c>
      <c r="S425" s="197">
        <v>12760.920000000002</v>
      </c>
      <c r="T425" s="204"/>
      <c r="U425" s="191"/>
      <c r="V425" s="166">
        <f t="shared" si="15"/>
        <v>0</v>
      </c>
      <c r="W425" s="204">
        <v>5.9</v>
      </c>
      <c r="X425" s="204">
        <v>7.15</v>
      </c>
      <c r="Y425" s="204"/>
      <c r="Z425" s="204"/>
      <c r="AA425" s="204"/>
      <c r="AB425" s="205"/>
      <c r="AC425" s="231" t="s">
        <v>584</v>
      </c>
    </row>
    <row r="426" spans="1:29" ht="18.75" hidden="1" thickBot="1" x14ac:dyDescent="0.3">
      <c r="A426" s="155">
        <v>248</v>
      </c>
      <c r="B426" s="210"/>
      <c r="C426" s="189" t="s">
        <v>646</v>
      </c>
      <c r="D426" s="204">
        <v>1004.94</v>
      </c>
      <c r="E426" s="204"/>
      <c r="F426" s="204">
        <v>5.39</v>
      </c>
      <c r="G426" s="204"/>
      <c r="H426" s="192">
        <v>140</v>
      </c>
      <c r="I426" s="205"/>
      <c r="J426" s="193">
        <v>178.83</v>
      </c>
      <c r="K426" s="205"/>
      <c r="L426" s="204"/>
      <c r="M426" s="204"/>
      <c r="N426" s="204"/>
      <c r="O426" s="184">
        <f t="shared" si="14"/>
        <v>318.83000000000004</v>
      </c>
      <c r="P426" s="204"/>
      <c r="Q426" s="204"/>
      <c r="R426" s="204">
        <v>226.5</v>
      </c>
      <c r="S426" s="197">
        <v>22478.569999999996</v>
      </c>
      <c r="T426" s="204"/>
      <c r="U426" s="191"/>
      <c r="V426" s="166">
        <f t="shared" si="15"/>
        <v>0</v>
      </c>
      <c r="W426" s="204">
        <v>7.45</v>
      </c>
      <c r="X426" s="204">
        <v>9</v>
      </c>
      <c r="Y426" s="204"/>
      <c r="Z426" s="204"/>
      <c r="AA426" s="204">
        <v>1.1100000000000001</v>
      </c>
      <c r="AB426" s="205"/>
      <c r="AC426" s="231" t="s">
        <v>584</v>
      </c>
    </row>
    <row r="427" spans="1:29" ht="18.75" hidden="1" thickBot="1" x14ac:dyDescent="0.3">
      <c r="A427" s="168">
        <v>249</v>
      </c>
      <c r="B427" s="203"/>
      <c r="C427" s="189" t="s">
        <v>647</v>
      </c>
      <c r="D427" s="204">
        <v>1010.68</v>
      </c>
      <c r="E427" s="204"/>
      <c r="F427" s="204">
        <v>5.09</v>
      </c>
      <c r="G427" s="204"/>
      <c r="H427" s="192">
        <v>150</v>
      </c>
      <c r="I427" s="205"/>
      <c r="J427" s="193"/>
      <c r="K427" s="205"/>
      <c r="L427" s="204"/>
      <c r="M427" s="204"/>
      <c r="N427" s="204"/>
      <c r="O427" s="184">
        <f t="shared" si="14"/>
        <v>150</v>
      </c>
      <c r="P427" s="204"/>
      <c r="Q427" s="204"/>
      <c r="R427" s="204">
        <v>228.5</v>
      </c>
      <c r="S427" s="197">
        <v>13686.87</v>
      </c>
      <c r="T427" s="204">
        <v>9.86</v>
      </c>
      <c r="U427" s="191"/>
      <c r="V427" s="166">
        <f t="shared" si="15"/>
        <v>9.86</v>
      </c>
      <c r="W427" s="204">
        <v>7.55</v>
      </c>
      <c r="X427" s="204">
        <v>7.8</v>
      </c>
      <c r="Y427" s="204"/>
      <c r="Z427" s="204"/>
      <c r="AA427" s="204"/>
      <c r="AB427" s="205"/>
      <c r="AC427" s="231" t="s">
        <v>584</v>
      </c>
    </row>
    <row r="428" spans="1:29" ht="18.75" hidden="1" thickBot="1" x14ac:dyDescent="0.3">
      <c r="A428" s="155">
        <v>250</v>
      </c>
      <c r="B428" s="210"/>
      <c r="C428" s="189" t="s">
        <v>648</v>
      </c>
      <c r="D428" s="204">
        <v>1035.5</v>
      </c>
      <c r="E428" s="204"/>
      <c r="F428" s="204">
        <v>5.15</v>
      </c>
      <c r="G428" s="204"/>
      <c r="H428" s="192">
        <v>50</v>
      </c>
      <c r="I428" s="205"/>
      <c r="J428" s="193">
        <v>192.07</v>
      </c>
      <c r="K428" s="205"/>
      <c r="L428" s="204"/>
      <c r="M428" s="204"/>
      <c r="N428" s="204"/>
      <c r="O428" s="184">
        <f t="shared" si="14"/>
        <v>242.07</v>
      </c>
      <c r="P428" s="204"/>
      <c r="Q428" s="204"/>
      <c r="R428" s="204">
        <v>238.5</v>
      </c>
      <c r="S428" s="197">
        <v>24005.820000000007</v>
      </c>
      <c r="T428" s="204"/>
      <c r="U428" s="191"/>
      <c r="V428" s="166">
        <f t="shared" si="15"/>
        <v>0</v>
      </c>
      <c r="W428" s="204">
        <v>6.5</v>
      </c>
      <c r="X428" s="204">
        <v>8.4499999999999993</v>
      </c>
      <c r="Y428" s="204"/>
      <c r="Z428" s="204"/>
      <c r="AA428" s="204"/>
      <c r="AB428" s="205"/>
      <c r="AC428" s="231" t="s">
        <v>584</v>
      </c>
    </row>
    <row r="429" spans="1:29" ht="18.75" hidden="1" thickBot="1" x14ac:dyDescent="0.3">
      <c r="A429" s="168">
        <v>251</v>
      </c>
      <c r="B429" s="203"/>
      <c r="C429" s="189" t="s">
        <v>649</v>
      </c>
      <c r="D429" s="204">
        <v>1025.58</v>
      </c>
      <c r="E429" s="204"/>
      <c r="F429" s="204">
        <v>5.32</v>
      </c>
      <c r="G429" s="204"/>
      <c r="H429" s="192">
        <v>50</v>
      </c>
      <c r="I429" s="205"/>
      <c r="J429" s="193"/>
      <c r="K429" s="205"/>
      <c r="L429" s="204"/>
      <c r="M429" s="204"/>
      <c r="N429" s="204"/>
      <c r="O429" s="184">
        <f t="shared" si="14"/>
        <v>50</v>
      </c>
      <c r="P429" s="204"/>
      <c r="Q429" s="204"/>
      <c r="R429" s="204">
        <v>224.5</v>
      </c>
      <c r="S429" s="197">
        <v>13988.339999999998</v>
      </c>
      <c r="T429" s="204"/>
      <c r="U429" s="191"/>
      <c r="V429" s="166">
        <f t="shared" si="15"/>
        <v>0</v>
      </c>
      <c r="W429" s="204">
        <v>6.45</v>
      </c>
      <c r="X429" s="204">
        <v>8.1999999999999993</v>
      </c>
      <c r="Y429" s="204"/>
      <c r="Z429" s="204"/>
      <c r="AA429" s="204"/>
      <c r="AB429" s="205"/>
      <c r="AC429" s="231" t="s">
        <v>584</v>
      </c>
    </row>
    <row r="430" spans="1:29" ht="18.75" hidden="1" thickBot="1" x14ac:dyDescent="0.3">
      <c r="A430" s="155">
        <v>252</v>
      </c>
      <c r="B430" s="210"/>
      <c r="C430" s="189" t="s">
        <v>650</v>
      </c>
      <c r="D430" s="204">
        <v>990.01</v>
      </c>
      <c r="E430" s="204"/>
      <c r="F430" s="204">
        <v>5.32</v>
      </c>
      <c r="G430" s="204"/>
      <c r="H430" s="192">
        <v>95</v>
      </c>
      <c r="I430" s="205"/>
      <c r="J430" s="193">
        <v>90.62</v>
      </c>
      <c r="K430" s="205"/>
      <c r="L430" s="204"/>
      <c r="M430" s="204"/>
      <c r="N430" s="204"/>
      <c r="O430" s="184">
        <f t="shared" si="14"/>
        <v>185.62</v>
      </c>
      <c r="P430" s="204"/>
      <c r="Q430" s="204"/>
      <c r="R430" s="204">
        <v>220.5</v>
      </c>
      <c r="S430" s="197">
        <v>20866.650000000001</v>
      </c>
      <c r="T430" s="204"/>
      <c r="U430" s="191"/>
      <c r="V430" s="166">
        <f t="shared" si="15"/>
        <v>0</v>
      </c>
      <c r="W430" s="204">
        <v>6.55</v>
      </c>
      <c r="X430" s="204">
        <v>8.6</v>
      </c>
      <c r="Y430" s="204"/>
      <c r="Z430" s="204"/>
      <c r="AA430" s="204">
        <v>0.08</v>
      </c>
      <c r="AB430" s="205"/>
      <c r="AC430" s="231" t="s">
        <v>584</v>
      </c>
    </row>
    <row r="431" spans="1:29" ht="18.75" hidden="1" thickBot="1" x14ac:dyDescent="0.3">
      <c r="A431" s="168">
        <v>253</v>
      </c>
      <c r="B431" s="203"/>
      <c r="C431" s="189" t="s">
        <v>651</v>
      </c>
      <c r="D431" s="204">
        <v>941.6</v>
      </c>
      <c r="E431" s="204"/>
      <c r="F431" s="204">
        <v>5.31</v>
      </c>
      <c r="G431" s="204"/>
      <c r="H431" s="192">
        <v>50</v>
      </c>
      <c r="I431" s="205"/>
      <c r="J431" s="193"/>
      <c r="K431" s="205"/>
      <c r="L431" s="204"/>
      <c r="M431" s="204"/>
      <c r="N431" s="204"/>
      <c r="O431" s="184">
        <f t="shared" si="14"/>
        <v>50</v>
      </c>
      <c r="P431" s="204"/>
      <c r="Q431" s="204"/>
      <c r="R431" s="204">
        <v>214.5</v>
      </c>
      <c r="S431" s="197">
        <v>13082.670000000002</v>
      </c>
      <c r="T431" s="204"/>
      <c r="U431" s="191"/>
      <c r="V431" s="166">
        <f t="shared" si="15"/>
        <v>0</v>
      </c>
      <c r="W431" s="204">
        <v>5.9</v>
      </c>
      <c r="X431" s="204">
        <v>6.2</v>
      </c>
      <c r="Y431" s="204"/>
      <c r="Z431" s="204"/>
      <c r="AA431" s="204"/>
      <c r="AB431" s="205"/>
      <c r="AC431" s="231" t="s">
        <v>584</v>
      </c>
    </row>
    <row r="432" spans="1:29" ht="18.75" hidden="1" thickBot="1" x14ac:dyDescent="0.3">
      <c r="A432" s="155">
        <v>254</v>
      </c>
      <c r="B432" s="210"/>
      <c r="C432" s="189" t="s">
        <v>652</v>
      </c>
      <c r="D432" s="204">
        <v>1015.95</v>
      </c>
      <c r="E432" s="204"/>
      <c r="F432" s="204">
        <v>5.1100000000000003</v>
      </c>
      <c r="G432" s="204"/>
      <c r="H432" s="192">
        <v>140</v>
      </c>
      <c r="I432" s="205"/>
      <c r="J432" s="193"/>
      <c r="K432" s="205"/>
      <c r="L432" s="204"/>
      <c r="M432" s="204"/>
      <c r="N432" s="204"/>
      <c r="O432" s="184">
        <f t="shared" si="14"/>
        <v>140</v>
      </c>
      <c r="P432" s="204"/>
      <c r="Q432" s="204"/>
      <c r="R432" s="204">
        <v>230.5</v>
      </c>
      <c r="S432" s="197">
        <v>13391.390000000003</v>
      </c>
      <c r="T432" s="204"/>
      <c r="U432" s="191"/>
      <c r="V432" s="166">
        <f t="shared" si="15"/>
        <v>0</v>
      </c>
      <c r="W432" s="204">
        <v>7.5</v>
      </c>
      <c r="X432" s="204">
        <v>7.8</v>
      </c>
      <c r="Y432" s="204"/>
      <c r="Z432" s="204"/>
      <c r="AA432" s="204"/>
      <c r="AB432" s="205"/>
      <c r="AC432" s="231" t="s">
        <v>584</v>
      </c>
    </row>
    <row r="433" spans="1:29" ht="18.75" hidden="1" thickBot="1" x14ac:dyDescent="0.3">
      <c r="A433" s="168">
        <v>255</v>
      </c>
      <c r="B433" s="203"/>
      <c r="C433" s="189" t="s">
        <v>653</v>
      </c>
      <c r="D433" s="204">
        <v>978.07</v>
      </c>
      <c r="E433" s="204"/>
      <c r="F433" s="204">
        <v>4.92</v>
      </c>
      <c r="G433" s="204"/>
      <c r="H433" s="192">
        <v>145</v>
      </c>
      <c r="I433" s="205"/>
      <c r="J433" s="193">
        <v>181.37</v>
      </c>
      <c r="K433" s="205"/>
      <c r="L433" s="204"/>
      <c r="M433" s="204"/>
      <c r="N433" s="204"/>
      <c r="O433" s="184">
        <f t="shared" si="14"/>
        <v>326.37</v>
      </c>
      <c r="P433" s="204"/>
      <c r="Q433" s="204"/>
      <c r="R433" s="204">
        <v>221.12</v>
      </c>
      <c r="S433" s="197">
        <v>23111.39</v>
      </c>
      <c r="T433" s="204"/>
      <c r="U433" s="191"/>
      <c r="V433" s="166">
        <f t="shared" si="15"/>
        <v>0</v>
      </c>
      <c r="W433" s="204">
        <v>7.3</v>
      </c>
      <c r="X433" s="204">
        <v>9.0500000000000007</v>
      </c>
      <c r="Y433" s="204"/>
      <c r="Z433" s="204"/>
      <c r="AA433" s="204">
        <v>1.27</v>
      </c>
      <c r="AB433" s="205"/>
      <c r="AC433" s="231" t="s">
        <v>584</v>
      </c>
    </row>
    <row r="434" spans="1:29" ht="18.75" hidden="1" thickBot="1" x14ac:dyDescent="0.3">
      <c r="A434" s="155">
        <v>256</v>
      </c>
      <c r="B434" s="210"/>
      <c r="C434" s="189" t="s">
        <v>654</v>
      </c>
      <c r="D434" s="204">
        <v>995.28</v>
      </c>
      <c r="E434" s="204"/>
      <c r="F434" s="204">
        <v>5.34</v>
      </c>
      <c r="G434" s="204"/>
      <c r="H434" s="192">
        <v>50</v>
      </c>
      <c r="I434" s="205"/>
      <c r="J434" s="193"/>
      <c r="K434" s="205"/>
      <c r="L434" s="204"/>
      <c r="M434" s="204"/>
      <c r="N434" s="204"/>
      <c r="O434" s="184">
        <f t="shared" si="14"/>
        <v>50</v>
      </c>
      <c r="P434" s="204"/>
      <c r="Q434" s="204"/>
      <c r="R434" s="204">
        <v>222.5</v>
      </c>
      <c r="S434" s="197">
        <v>13466.430000000002</v>
      </c>
      <c r="T434" s="204"/>
      <c r="U434" s="191"/>
      <c r="V434" s="166">
        <f t="shared" si="15"/>
        <v>0</v>
      </c>
      <c r="W434" s="204">
        <v>6.25</v>
      </c>
      <c r="X434" s="204">
        <v>7.35</v>
      </c>
      <c r="Y434" s="204"/>
      <c r="Z434" s="204"/>
      <c r="AA434" s="204"/>
      <c r="AB434" s="205"/>
      <c r="AC434" s="231" t="s">
        <v>584</v>
      </c>
    </row>
    <row r="435" spans="1:29" ht="18.75" hidden="1" thickBot="1" x14ac:dyDescent="0.3">
      <c r="A435" s="168">
        <v>257</v>
      </c>
      <c r="B435" s="203"/>
      <c r="C435" s="189" t="s">
        <v>655</v>
      </c>
      <c r="D435" s="204">
        <v>1015.95</v>
      </c>
      <c r="E435" s="204"/>
      <c r="F435" s="204">
        <v>5.1100000000000003</v>
      </c>
      <c r="G435" s="204"/>
      <c r="H435" s="192">
        <v>50</v>
      </c>
      <c r="I435" s="205"/>
      <c r="J435" s="193"/>
      <c r="K435" s="205"/>
      <c r="L435" s="204"/>
      <c r="M435" s="204"/>
      <c r="N435" s="204"/>
      <c r="O435" s="184">
        <f t="shared" si="14"/>
        <v>50</v>
      </c>
      <c r="P435" s="204"/>
      <c r="Q435" s="204"/>
      <c r="R435" s="204">
        <v>230.5</v>
      </c>
      <c r="S435" s="197">
        <v>13755.020000000002</v>
      </c>
      <c r="T435" s="204"/>
      <c r="U435" s="191"/>
      <c r="V435" s="166">
        <f t="shared" si="15"/>
        <v>0</v>
      </c>
      <c r="W435" s="204">
        <v>6.4</v>
      </c>
      <c r="X435" s="204">
        <v>8.4</v>
      </c>
      <c r="Y435" s="204"/>
      <c r="Z435" s="204"/>
      <c r="AA435" s="204"/>
      <c r="AB435" s="205"/>
      <c r="AC435" s="231" t="s">
        <v>584</v>
      </c>
    </row>
    <row r="436" spans="1:29" ht="18.75" hidden="1" thickBot="1" x14ac:dyDescent="0.3">
      <c r="A436" s="155">
        <v>258</v>
      </c>
      <c r="B436" s="210"/>
      <c r="C436" s="189" t="s">
        <v>656</v>
      </c>
      <c r="D436" s="204">
        <v>1046.77</v>
      </c>
      <c r="E436" s="204"/>
      <c r="F436" s="204">
        <v>5.13</v>
      </c>
      <c r="G436" s="204"/>
      <c r="H436" s="192">
        <v>95</v>
      </c>
      <c r="I436" s="205"/>
      <c r="J436" s="193">
        <v>186.45</v>
      </c>
      <c r="K436" s="205"/>
      <c r="L436" s="204"/>
      <c r="M436" s="204"/>
      <c r="N436" s="204"/>
      <c r="O436" s="184">
        <f t="shared" si="14"/>
        <v>281.45</v>
      </c>
      <c r="P436" s="204"/>
      <c r="Q436" s="204"/>
      <c r="R436" s="204">
        <v>232.5</v>
      </c>
      <c r="S436" s="197">
        <v>24077.54</v>
      </c>
      <c r="T436" s="204"/>
      <c r="U436" s="191"/>
      <c r="V436" s="166">
        <f t="shared" si="15"/>
        <v>0</v>
      </c>
      <c r="W436" s="204">
        <v>7.35</v>
      </c>
      <c r="X436" s="204">
        <v>9.5</v>
      </c>
      <c r="Y436" s="204"/>
      <c r="Z436" s="204"/>
      <c r="AA436" s="204">
        <v>2.48</v>
      </c>
      <c r="AB436" s="205"/>
      <c r="AC436" s="231" t="s">
        <v>584</v>
      </c>
    </row>
    <row r="437" spans="1:29" ht="18.75" hidden="1" thickBot="1" x14ac:dyDescent="0.3">
      <c r="A437" s="168">
        <v>259</v>
      </c>
      <c r="B437" s="203"/>
      <c r="C437" s="189" t="s">
        <v>657</v>
      </c>
      <c r="D437" s="204">
        <v>986.29</v>
      </c>
      <c r="E437" s="204"/>
      <c r="F437" s="204">
        <v>5.36</v>
      </c>
      <c r="G437" s="204"/>
      <c r="H437" s="192">
        <v>50</v>
      </c>
      <c r="I437" s="205"/>
      <c r="J437" s="193">
        <v>81</v>
      </c>
      <c r="K437" s="205"/>
      <c r="L437" s="204"/>
      <c r="M437" s="204"/>
      <c r="N437" s="204"/>
      <c r="O437" s="184">
        <f t="shared" si="14"/>
        <v>131</v>
      </c>
      <c r="P437" s="204"/>
      <c r="Q437" s="204"/>
      <c r="R437" s="204">
        <v>214.5</v>
      </c>
      <c r="S437" s="197">
        <v>21836.769999999997</v>
      </c>
      <c r="T437" s="204"/>
      <c r="U437" s="191"/>
      <c r="V437" s="166">
        <f t="shared" si="15"/>
        <v>0</v>
      </c>
      <c r="W437" s="204">
        <v>6.2</v>
      </c>
      <c r="X437" s="204">
        <v>8.0500000000000007</v>
      </c>
      <c r="Y437" s="204"/>
      <c r="Z437" s="204"/>
      <c r="AA437" s="204"/>
      <c r="AB437" s="205"/>
      <c r="AC437" s="231" t="s">
        <v>584</v>
      </c>
    </row>
    <row r="438" spans="1:29" ht="18.75" hidden="1" thickBot="1" x14ac:dyDescent="0.3">
      <c r="A438" s="155">
        <v>260</v>
      </c>
      <c r="B438" s="210"/>
      <c r="C438" s="189" t="s">
        <v>658</v>
      </c>
      <c r="D438" s="204">
        <v>1041.3599999999999</v>
      </c>
      <c r="E438" s="204"/>
      <c r="F438" s="204">
        <v>5.1100000000000003</v>
      </c>
      <c r="G438" s="204"/>
      <c r="H438" s="192">
        <v>50</v>
      </c>
      <c r="I438" s="205"/>
      <c r="J438" s="193"/>
      <c r="K438" s="205"/>
      <c r="L438" s="204"/>
      <c r="M438" s="204"/>
      <c r="N438" s="204"/>
      <c r="O438" s="184">
        <f t="shared" si="14"/>
        <v>50</v>
      </c>
      <c r="P438" s="204"/>
      <c r="Q438" s="204"/>
      <c r="R438" s="204">
        <v>230.5</v>
      </c>
      <c r="S438" s="197">
        <v>14024.919999999998</v>
      </c>
      <c r="T438" s="204"/>
      <c r="U438" s="191"/>
      <c r="V438" s="166">
        <f t="shared" si="15"/>
        <v>0</v>
      </c>
      <c r="W438" s="204">
        <v>6.5</v>
      </c>
      <c r="X438" s="204">
        <v>7.9</v>
      </c>
      <c r="Y438" s="204"/>
      <c r="Z438" s="204"/>
      <c r="AA438" s="204"/>
      <c r="AB438" s="205"/>
      <c r="AC438" s="231" t="s">
        <v>584</v>
      </c>
    </row>
    <row r="439" spans="1:29" ht="18.75" hidden="1" thickBot="1" x14ac:dyDescent="0.3">
      <c r="A439" s="168">
        <v>261</v>
      </c>
      <c r="B439" s="203"/>
      <c r="C439" s="189" t="s">
        <v>659</v>
      </c>
      <c r="D439" s="204">
        <v>1029.8900000000001</v>
      </c>
      <c r="E439" s="204"/>
      <c r="F439" s="204">
        <v>5.54</v>
      </c>
      <c r="G439" s="204"/>
      <c r="H439" s="192">
        <v>145</v>
      </c>
      <c r="I439" s="205"/>
      <c r="J439" s="193"/>
      <c r="K439" s="205"/>
      <c r="L439" s="204"/>
      <c r="M439" s="204"/>
      <c r="N439" s="204"/>
      <c r="O439" s="184">
        <f t="shared" si="14"/>
        <v>145</v>
      </c>
      <c r="P439" s="204"/>
      <c r="Q439" s="204"/>
      <c r="R439" s="204">
        <v>224.5</v>
      </c>
      <c r="S439" s="197">
        <v>13669.330000000002</v>
      </c>
      <c r="T439" s="204"/>
      <c r="U439" s="191"/>
      <c r="V439" s="166">
        <f t="shared" si="15"/>
        <v>0</v>
      </c>
      <c r="W439" s="204">
        <v>7.65</v>
      </c>
      <c r="X439" s="204">
        <v>8.9499999999999993</v>
      </c>
      <c r="Y439" s="204"/>
      <c r="Z439" s="204"/>
      <c r="AA439" s="204">
        <v>0.97</v>
      </c>
      <c r="AB439" s="205"/>
      <c r="AC439" s="231" t="s">
        <v>584</v>
      </c>
    </row>
    <row r="440" spans="1:29" ht="18.75" hidden="1" thickBot="1" x14ac:dyDescent="0.3">
      <c r="A440" s="155">
        <v>262</v>
      </c>
      <c r="B440" s="210"/>
      <c r="C440" s="189" t="s">
        <v>660</v>
      </c>
      <c r="D440" s="204">
        <v>1004.94</v>
      </c>
      <c r="E440" s="204"/>
      <c r="F440" s="204">
        <v>5.39</v>
      </c>
      <c r="G440" s="204"/>
      <c r="H440" s="192">
        <v>50</v>
      </c>
      <c r="I440" s="205"/>
      <c r="J440" s="193"/>
      <c r="K440" s="205"/>
      <c r="L440" s="204"/>
      <c r="M440" s="204"/>
      <c r="N440" s="204"/>
      <c r="O440" s="184">
        <f t="shared" si="14"/>
        <v>50</v>
      </c>
      <c r="P440" s="204"/>
      <c r="Q440" s="204"/>
      <c r="R440" s="204">
        <v>226.5</v>
      </c>
      <c r="S440" s="197">
        <v>13547.260000000002</v>
      </c>
      <c r="T440" s="204"/>
      <c r="U440" s="191"/>
      <c r="V440" s="166">
        <f t="shared" si="15"/>
        <v>0</v>
      </c>
      <c r="W440" s="204">
        <v>6.3</v>
      </c>
      <c r="X440" s="204">
        <v>7.65</v>
      </c>
      <c r="Y440" s="204"/>
      <c r="Z440" s="204"/>
      <c r="AA440" s="204"/>
      <c r="AB440" s="205"/>
      <c r="AC440" s="231" t="s">
        <v>584</v>
      </c>
    </row>
    <row r="441" spans="1:29" ht="18.75" hidden="1" thickBot="1" x14ac:dyDescent="0.3">
      <c r="A441" s="168">
        <v>438</v>
      </c>
      <c r="B441" s="203"/>
      <c r="C441" s="189" t="s">
        <v>661</v>
      </c>
      <c r="D441" s="204">
        <v>1294.31</v>
      </c>
      <c r="E441" s="204">
        <v>1.34</v>
      </c>
      <c r="F441" s="204">
        <v>9.18</v>
      </c>
      <c r="G441" s="204"/>
      <c r="H441" s="192">
        <v>150</v>
      </c>
      <c r="I441" s="204"/>
      <c r="J441" s="193"/>
      <c r="K441" s="204"/>
      <c r="L441" s="204"/>
      <c r="M441" s="204"/>
      <c r="N441" s="204"/>
      <c r="O441" s="184">
        <f t="shared" si="14"/>
        <v>150</v>
      </c>
      <c r="P441" s="204"/>
      <c r="Q441" s="204"/>
      <c r="R441" s="190">
        <v>304.2</v>
      </c>
      <c r="S441" s="197">
        <v>16083.149999999998</v>
      </c>
      <c r="T441" s="204"/>
      <c r="U441" s="204"/>
      <c r="V441" s="166">
        <f t="shared" si="15"/>
        <v>0</v>
      </c>
      <c r="W441" s="204">
        <v>9.4499999999999993</v>
      </c>
      <c r="X441" s="190">
        <v>10.6</v>
      </c>
      <c r="Y441" s="190"/>
      <c r="Z441" s="204">
        <v>17.579999999999998</v>
      </c>
      <c r="AA441" s="190">
        <v>5.3</v>
      </c>
      <c r="AB441" s="190"/>
      <c r="AC441" s="199" t="s">
        <v>662</v>
      </c>
    </row>
    <row r="442" spans="1:29" ht="18.75" hidden="1" thickBot="1" x14ac:dyDescent="0.3">
      <c r="A442" s="155">
        <v>439</v>
      </c>
      <c r="B442" s="210"/>
      <c r="C442" s="189" t="s">
        <v>663</v>
      </c>
      <c r="D442" s="204">
        <v>1524.18</v>
      </c>
      <c r="E442" s="204">
        <v>178.01</v>
      </c>
      <c r="F442" s="204">
        <v>52.64</v>
      </c>
      <c r="G442" s="204"/>
      <c r="H442" s="192">
        <v>150</v>
      </c>
      <c r="I442" s="204"/>
      <c r="J442" s="193"/>
      <c r="K442" s="204"/>
      <c r="L442" s="204"/>
      <c r="M442" s="204"/>
      <c r="N442" s="204"/>
      <c r="O442" s="184">
        <f t="shared" si="14"/>
        <v>150</v>
      </c>
      <c r="P442" s="204"/>
      <c r="Q442" s="204"/>
      <c r="R442" s="190">
        <v>407.87</v>
      </c>
      <c r="S442" s="197">
        <v>21361.119999999999</v>
      </c>
      <c r="T442" s="204"/>
      <c r="U442" s="204"/>
      <c r="V442" s="166">
        <f t="shared" si="15"/>
        <v>0</v>
      </c>
      <c r="W442" s="204">
        <v>12.5</v>
      </c>
      <c r="X442" s="190">
        <v>13.8</v>
      </c>
      <c r="Y442" s="190"/>
      <c r="Z442" s="204">
        <v>57.34</v>
      </c>
      <c r="AA442" s="190">
        <v>13.74</v>
      </c>
      <c r="AB442" s="190"/>
      <c r="AC442" s="199" t="s">
        <v>662</v>
      </c>
    </row>
    <row r="443" spans="1:29" ht="18.75" hidden="1" thickBot="1" x14ac:dyDescent="0.3">
      <c r="A443" s="168">
        <v>440</v>
      </c>
      <c r="B443" s="203"/>
      <c r="C443" s="189" t="s">
        <v>664</v>
      </c>
      <c r="D443" s="204">
        <v>1476.21</v>
      </c>
      <c r="E443" s="204">
        <v>80.959999999999994</v>
      </c>
      <c r="F443" s="204">
        <v>36.520000000000003</v>
      </c>
      <c r="G443" s="204"/>
      <c r="H443" s="192">
        <v>100</v>
      </c>
      <c r="I443" s="204"/>
      <c r="J443" s="193"/>
      <c r="K443" s="204"/>
      <c r="L443" s="204"/>
      <c r="M443" s="204"/>
      <c r="N443" s="204"/>
      <c r="O443" s="184">
        <f t="shared" si="14"/>
        <v>100</v>
      </c>
      <c r="P443" s="204"/>
      <c r="Q443" s="204"/>
      <c r="R443" s="190">
        <v>370.03</v>
      </c>
      <c r="S443" s="197">
        <v>28752.839999999997</v>
      </c>
      <c r="T443" s="204">
        <v>15.86</v>
      </c>
      <c r="U443" s="204"/>
      <c r="V443" s="166">
        <f t="shared" si="15"/>
        <v>15.86</v>
      </c>
      <c r="W443" s="204">
        <v>11.05</v>
      </c>
      <c r="X443" s="190">
        <v>12.15</v>
      </c>
      <c r="Y443" s="190"/>
      <c r="Z443" s="204">
        <v>36.549999999999997</v>
      </c>
      <c r="AA443" s="190">
        <v>9.5</v>
      </c>
      <c r="AB443" s="190"/>
      <c r="AC443" s="199" t="s">
        <v>662</v>
      </c>
    </row>
    <row r="444" spans="1:29" ht="18.75" hidden="1" thickBot="1" x14ac:dyDescent="0.3">
      <c r="A444" s="168">
        <v>441</v>
      </c>
      <c r="B444" s="203"/>
      <c r="C444" s="189" t="s">
        <v>665</v>
      </c>
      <c r="D444" s="204">
        <v>1376.03</v>
      </c>
      <c r="E444" s="204">
        <v>110.91</v>
      </c>
      <c r="F444" s="204">
        <v>30.17</v>
      </c>
      <c r="G444" s="204"/>
      <c r="H444" s="192">
        <v>150</v>
      </c>
      <c r="I444" s="204"/>
      <c r="J444" s="193"/>
      <c r="K444" s="204"/>
      <c r="L444" s="204"/>
      <c r="M444" s="204"/>
      <c r="N444" s="204"/>
      <c r="O444" s="184">
        <f t="shared" si="14"/>
        <v>150</v>
      </c>
      <c r="P444" s="204"/>
      <c r="Q444" s="204"/>
      <c r="R444" s="190">
        <v>355.03</v>
      </c>
      <c r="S444" s="197">
        <v>18629.090000000004</v>
      </c>
      <c r="T444" s="204"/>
      <c r="U444" s="204"/>
      <c r="V444" s="166">
        <f t="shared" si="15"/>
        <v>0</v>
      </c>
      <c r="W444" s="204">
        <v>10.9</v>
      </c>
      <c r="X444" s="190">
        <v>12.05</v>
      </c>
      <c r="Y444" s="190"/>
      <c r="Z444" s="204">
        <v>36.33</v>
      </c>
      <c r="AA444" s="190">
        <v>9.2100000000000009</v>
      </c>
      <c r="AB444" s="190"/>
      <c r="AC444" s="199" t="s">
        <v>662</v>
      </c>
    </row>
    <row r="445" spans="1:29" ht="18.75" hidden="1" thickBot="1" x14ac:dyDescent="0.3">
      <c r="A445" s="155">
        <v>442</v>
      </c>
      <c r="B445" s="210"/>
      <c r="C445" s="189" t="s">
        <v>666</v>
      </c>
      <c r="D445" s="204">
        <v>1507.78</v>
      </c>
      <c r="E445" s="204">
        <v>170.83</v>
      </c>
      <c r="F445" s="204">
        <v>50.2</v>
      </c>
      <c r="G445" s="204"/>
      <c r="H445" s="192">
        <v>150</v>
      </c>
      <c r="I445" s="204"/>
      <c r="J445" s="193"/>
      <c r="K445" s="204"/>
      <c r="L445" s="204">
        <v>15</v>
      </c>
      <c r="M445" s="204"/>
      <c r="N445" s="204"/>
      <c r="O445" s="184">
        <f t="shared" si="14"/>
        <v>165</v>
      </c>
      <c r="P445" s="204"/>
      <c r="Q445" s="204"/>
      <c r="R445" s="190">
        <v>402.22</v>
      </c>
      <c r="S445" s="197">
        <v>21263.06</v>
      </c>
      <c r="T445" s="204"/>
      <c r="U445" s="204"/>
      <c r="V445" s="166">
        <f t="shared" si="15"/>
        <v>0</v>
      </c>
      <c r="W445" s="204">
        <v>12.4</v>
      </c>
      <c r="X445" s="190">
        <v>13.7</v>
      </c>
      <c r="Y445" s="190"/>
      <c r="Z445" s="204">
        <v>56.38</v>
      </c>
      <c r="AA445" s="190">
        <v>13.51</v>
      </c>
      <c r="AB445" s="190"/>
      <c r="AC445" s="199" t="s">
        <v>662</v>
      </c>
    </row>
    <row r="446" spans="1:29" ht="18.75" hidden="1" thickBot="1" x14ac:dyDescent="0.3">
      <c r="A446" s="168">
        <v>443</v>
      </c>
      <c r="B446" s="203"/>
      <c r="C446" s="189" t="s">
        <v>667</v>
      </c>
      <c r="D446" s="204">
        <v>1929.57</v>
      </c>
      <c r="E446" s="204">
        <v>360.24</v>
      </c>
      <c r="F446" s="204">
        <v>89.71</v>
      </c>
      <c r="G446" s="204"/>
      <c r="H446" s="192">
        <v>100</v>
      </c>
      <c r="I446" s="204"/>
      <c r="J446" s="193"/>
      <c r="K446" s="204"/>
      <c r="L446" s="204"/>
      <c r="M446" s="204"/>
      <c r="N446" s="204"/>
      <c r="O446" s="184">
        <f t="shared" si="14"/>
        <v>100</v>
      </c>
      <c r="P446" s="204"/>
      <c r="Q446" s="204"/>
      <c r="R446" s="190">
        <v>554.51</v>
      </c>
      <c r="S446" s="197">
        <v>29160</v>
      </c>
      <c r="T446" s="204"/>
      <c r="U446" s="204"/>
      <c r="V446" s="166">
        <f t="shared" si="15"/>
        <v>0</v>
      </c>
      <c r="W446" s="204">
        <v>16.25</v>
      </c>
      <c r="X446" s="190">
        <v>17.850000000000001</v>
      </c>
      <c r="Y446" s="190"/>
      <c r="Z446" s="204">
        <v>107.58</v>
      </c>
      <c r="AA446" s="190">
        <v>24.58</v>
      </c>
      <c r="AB446" s="190"/>
      <c r="AC446" s="199" t="s">
        <v>662</v>
      </c>
    </row>
    <row r="447" spans="1:29" ht="18.75" hidden="1" thickBot="1" x14ac:dyDescent="0.3">
      <c r="A447" s="168">
        <v>444</v>
      </c>
      <c r="B447" s="203"/>
      <c r="C447" s="189" t="s">
        <v>668</v>
      </c>
      <c r="D447" s="204">
        <v>1436.29</v>
      </c>
      <c r="E447" s="204">
        <v>138.35</v>
      </c>
      <c r="F447" s="204">
        <v>39.33</v>
      </c>
      <c r="G447" s="204"/>
      <c r="H447" s="192">
        <v>150</v>
      </c>
      <c r="I447" s="204"/>
      <c r="J447" s="193"/>
      <c r="K447" s="204"/>
      <c r="L447" s="204"/>
      <c r="M447" s="204"/>
      <c r="N447" s="204"/>
      <c r="O447" s="184">
        <f t="shared" si="14"/>
        <v>150</v>
      </c>
      <c r="P447" s="204"/>
      <c r="Q447" s="204"/>
      <c r="R447" s="190">
        <v>376.64</v>
      </c>
      <c r="S447" s="197">
        <v>19977.939999999999</v>
      </c>
      <c r="T447" s="204"/>
      <c r="U447" s="204"/>
      <c r="V447" s="166">
        <f t="shared" si="15"/>
        <v>0</v>
      </c>
      <c r="W447" s="204">
        <v>11.55</v>
      </c>
      <c r="X447" s="190">
        <v>12.75</v>
      </c>
      <c r="Y447" s="190"/>
      <c r="Z447" s="204">
        <v>44.89</v>
      </c>
      <c r="AA447" s="190">
        <v>11.06</v>
      </c>
      <c r="AB447" s="190"/>
      <c r="AC447" s="199" t="s">
        <v>662</v>
      </c>
    </row>
    <row r="448" spans="1:29" ht="18.75" hidden="1" thickBot="1" x14ac:dyDescent="0.3">
      <c r="A448" s="155">
        <v>445</v>
      </c>
      <c r="B448" s="210"/>
      <c r="C448" s="189" t="s">
        <v>669</v>
      </c>
      <c r="D448" s="204">
        <v>1722.71</v>
      </c>
      <c r="E448" s="204">
        <v>269.52999999999997</v>
      </c>
      <c r="F448" s="204">
        <v>78.77</v>
      </c>
      <c r="G448" s="204"/>
      <c r="H448" s="192">
        <v>150</v>
      </c>
      <c r="I448" s="204"/>
      <c r="J448" s="193"/>
      <c r="K448" s="204"/>
      <c r="L448" s="204"/>
      <c r="M448" s="204"/>
      <c r="N448" s="204"/>
      <c r="O448" s="184">
        <f t="shared" si="14"/>
        <v>150</v>
      </c>
      <c r="P448" s="204"/>
      <c r="Q448" s="204"/>
      <c r="R448" s="190">
        <v>479.95</v>
      </c>
      <c r="S448" s="197"/>
      <c r="T448" s="204"/>
      <c r="U448" s="204"/>
      <c r="V448" s="166">
        <f t="shared" si="15"/>
        <v>0</v>
      </c>
      <c r="W448" s="204">
        <v>14.6</v>
      </c>
      <c r="X448" s="190">
        <v>16.05</v>
      </c>
      <c r="Y448" s="190"/>
      <c r="Z448" s="204">
        <v>85.29</v>
      </c>
      <c r="AA448" s="190">
        <v>19.760000000000002</v>
      </c>
      <c r="AB448" s="190"/>
      <c r="AC448" s="199" t="s">
        <v>662</v>
      </c>
    </row>
    <row r="449" spans="1:29" ht="18.75" hidden="1" thickBot="1" x14ac:dyDescent="0.3">
      <c r="A449" s="168">
        <v>446</v>
      </c>
      <c r="B449" s="203"/>
      <c r="C449" s="189" t="s">
        <v>670</v>
      </c>
      <c r="D449" s="204">
        <v>1504.24</v>
      </c>
      <c r="E449" s="204">
        <v>170.18</v>
      </c>
      <c r="F449" s="204">
        <v>49.73</v>
      </c>
      <c r="G449" s="204"/>
      <c r="H449" s="192">
        <v>50</v>
      </c>
      <c r="I449" s="204"/>
      <c r="J449" s="193"/>
      <c r="K449" s="204"/>
      <c r="L449" s="204"/>
      <c r="M449" s="204"/>
      <c r="N449" s="204"/>
      <c r="O449" s="184">
        <f t="shared" si="14"/>
        <v>50</v>
      </c>
      <c r="P449" s="204"/>
      <c r="Q449" s="204"/>
      <c r="R449" s="190">
        <v>401.7</v>
      </c>
      <c r="S449" s="197"/>
      <c r="T449" s="204">
        <v>11.9</v>
      </c>
      <c r="U449" s="204"/>
      <c r="V449" s="166">
        <f t="shared" si="15"/>
        <v>11.9</v>
      </c>
      <c r="W449" s="204">
        <v>11.5</v>
      </c>
      <c r="X449" s="190"/>
      <c r="Y449" s="190"/>
      <c r="Z449" s="204">
        <v>43.51</v>
      </c>
      <c r="AA449" s="190"/>
      <c r="AB449" s="190"/>
      <c r="AC449" s="199" t="s">
        <v>662</v>
      </c>
    </row>
    <row r="450" spans="1:29" ht="18.75" hidden="1" thickBot="1" x14ac:dyDescent="0.3">
      <c r="A450" s="168">
        <v>447</v>
      </c>
      <c r="B450" s="203"/>
      <c r="C450" s="189" t="s">
        <v>671</v>
      </c>
      <c r="D450" s="204">
        <v>1014.64</v>
      </c>
      <c r="E450" s="204">
        <v>95.76</v>
      </c>
      <c r="F450" s="204">
        <v>27.31</v>
      </c>
      <c r="G450" s="204"/>
      <c r="H450" s="192">
        <v>150</v>
      </c>
      <c r="I450" s="204"/>
      <c r="J450" s="193"/>
      <c r="K450" s="204"/>
      <c r="L450" s="204"/>
      <c r="M450" s="204"/>
      <c r="N450" s="204"/>
      <c r="O450" s="184">
        <f t="shared" si="14"/>
        <v>150</v>
      </c>
      <c r="P450" s="204"/>
      <c r="Q450" s="204"/>
      <c r="R450" s="190">
        <v>265.39</v>
      </c>
      <c r="S450" s="197">
        <v>17226.480000000003</v>
      </c>
      <c r="T450" s="204"/>
      <c r="U450" s="204"/>
      <c r="V450" s="166">
        <f t="shared" si="15"/>
        <v>0</v>
      </c>
      <c r="W450" s="204">
        <v>8.35</v>
      </c>
      <c r="X450" s="190">
        <v>8.85</v>
      </c>
      <c r="Y450" s="190"/>
      <c r="Z450" s="204">
        <v>2.85</v>
      </c>
      <c r="AA450" s="190">
        <v>0.68</v>
      </c>
      <c r="AB450" s="190"/>
      <c r="AC450" s="199" t="s">
        <v>662</v>
      </c>
    </row>
    <row r="451" spans="1:29" ht="18.75" hidden="1" thickBot="1" x14ac:dyDescent="0.3">
      <c r="A451" s="155">
        <v>448</v>
      </c>
      <c r="B451" s="210"/>
      <c r="C451" s="189" t="s">
        <v>672</v>
      </c>
      <c r="D451" s="204">
        <v>1368.29</v>
      </c>
      <c r="E451" s="204">
        <v>31.41</v>
      </c>
      <c r="F451" s="204">
        <v>20.03</v>
      </c>
      <c r="G451" s="204"/>
      <c r="H451" s="192">
        <v>100</v>
      </c>
      <c r="I451" s="204"/>
      <c r="J451" s="193"/>
      <c r="K451" s="204"/>
      <c r="L451" s="204"/>
      <c r="M451" s="204"/>
      <c r="N451" s="204"/>
      <c r="O451" s="184">
        <f t="shared" si="14"/>
        <v>100</v>
      </c>
      <c r="P451" s="204"/>
      <c r="Q451" s="204"/>
      <c r="R451" s="190">
        <v>331.02</v>
      </c>
      <c r="S451" s="197">
        <v>17560.82</v>
      </c>
      <c r="T451" s="204">
        <v>15.49</v>
      </c>
      <c r="U451" s="204"/>
      <c r="V451" s="166">
        <f t="shared" si="15"/>
        <v>15.49</v>
      </c>
      <c r="W451" s="204">
        <v>9.85</v>
      </c>
      <c r="X451" s="190">
        <v>10.95</v>
      </c>
      <c r="Y451" s="190"/>
      <c r="Z451" s="204">
        <v>21.22</v>
      </c>
      <c r="AA451" s="190">
        <v>6.19</v>
      </c>
      <c r="AB451" s="190"/>
      <c r="AC451" s="199" t="s">
        <v>662</v>
      </c>
    </row>
    <row r="452" spans="1:29" ht="18.75" hidden="1" thickBot="1" x14ac:dyDescent="0.3">
      <c r="A452" s="168">
        <v>449</v>
      </c>
      <c r="B452" s="203"/>
      <c r="C452" s="189" t="s">
        <v>673</v>
      </c>
      <c r="D452" s="204">
        <v>1377.94</v>
      </c>
      <c r="E452" s="204">
        <v>111.21</v>
      </c>
      <c r="F452" s="204">
        <v>30.4</v>
      </c>
      <c r="G452" s="204"/>
      <c r="H452" s="192">
        <v>150</v>
      </c>
      <c r="I452" s="204"/>
      <c r="J452" s="193"/>
      <c r="K452" s="204"/>
      <c r="L452" s="204"/>
      <c r="M452" s="204"/>
      <c r="N452" s="204"/>
      <c r="O452" s="184">
        <f t="shared" si="14"/>
        <v>150</v>
      </c>
      <c r="P452" s="204"/>
      <c r="Q452" s="204"/>
      <c r="R452" s="190">
        <v>355.27</v>
      </c>
      <c r="S452" s="197">
        <v>18658.970000000005</v>
      </c>
      <c r="T452" s="204"/>
      <c r="U452" s="204"/>
      <c r="V452" s="166">
        <f t="shared" si="15"/>
        <v>0</v>
      </c>
      <c r="W452" s="204">
        <v>10.9</v>
      </c>
      <c r="X452" s="190">
        <v>12.1</v>
      </c>
      <c r="Y452" s="190"/>
      <c r="Z452" s="204">
        <v>36.54</v>
      </c>
      <c r="AA452" s="190">
        <v>9.26</v>
      </c>
      <c r="AB452" s="190"/>
      <c r="AC452" s="199" t="s">
        <v>662</v>
      </c>
    </row>
    <row r="453" spans="1:29" ht="18.75" hidden="1" thickBot="1" x14ac:dyDescent="0.3">
      <c r="A453" s="168">
        <v>450</v>
      </c>
      <c r="B453" s="203"/>
      <c r="C453" s="189" t="s">
        <v>674</v>
      </c>
      <c r="D453" s="204">
        <v>1462.48</v>
      </c>
      <c r="E453" s="204">
        <v>150.87</v>
      </c>
      <c r="F453" s="204">
        <v>43.33</v>
      </c>
      <c r="G453" s="204"/>
      <c r="H453" s="192">
        <v>150</v>
      </c>
      <c r="I453" s="204"/>
      <c r="J453" s="193"/>
      <c r="K453" s="204"/>
      <c r="L453" s="204"/>
      <c r="M453" s="204"/>
      <c r="N453" s="204"/>
      <c r="O453" s="184">
        <f t="shared" si="14"/>
        <v>150</v>
      </c>
      <c r="P453" s="204"/>
      <c r="Q453" s="204"/>
      <c r="R453" s="190">
        <v>386.5</v>
      </c>
      <c r="S453" s="197">
        <v>21298.080000000005</v>
      </c>
      <c r="T453" s="204"/>
      <c r="U453" s="204"/>
      <c r="V453" s="166">
        <f t="shared" si="15"/>
        <v>0</v>
      </c>
      <c r="W453" s="204">
        <v>11.8</v>
      </c>
      <c r="X453" s="190">
        <v>13.05</v>
      </c>
      <c r="Y453" s="190"/>
      <c r="Z453" s="204">
        <v>48.67</v>
      </c>
      <c r="AA453" s="190">
        <v>11.87</v>
      </c>
      <c r="AB453" s="190"/>
      <c r="AC453" s="199" t="s">
        <v>662</v>
      </c>
    </row>
    <row r="454" spans="1:29" ht="18.75" hidden="1" thickBot="1" x14ac:dyDescent="0.3">
      <c r="A454" s="155">
        <v>451</v>
      </c>
      <c r="B454" s="210"/>
      <c r="C454" s="189" t="s">
        <v>675</v>
      </c>
      <c r="D454" s="204">
        <v>1324.81</v>
      </c>
      <c r="E454" s="204">
        <v>15.77</v>
      </c>
      <c r="F454" s="204">
        <v>13.92</v>
      </c>
      <c r="G454" s="204"/>
      <c r="H454" s="192">
        <v>150</v>
      </c>
      <c r="I454" s="204"/>
      <c r="J454" s="193"/>
      <c r="K454" s="204"/>
      <c r="L454" s="204"/>
      <c r="M454" s="204"/>
      <c r="N454" s="204"/>
      <c r="O454" s="184">
        <f t="shared" si="14"/>
        <v>150</v>
      </c>
      <c r="P454" s="204"/>
      <c r="Q454" s="204"/>
      <c r="R454" s="190">
        <v>315.55</v>
      </c>
      <c r="S454" s="197">
        <v>26143.74</v>
      </c>
      <c r="T454" s="204">
        <v>3.38</v>
      </c>
      <c r="U454" s="204"/>
      <c r="V454" s="166">
        <f t="shared" si="15"/>
        <v>3.38</v>
      </c>
      <c r="W454" s="204">
        <v>9.8000000000000007</v>
      </c>
      <c r="X454" s="190">
        <v>10.9</v>
      </c>
      <c r="Y454" s="190"/>
      <c r="Z454" s="204">
        <v>21.63</v>
      </c>
      <c r="AA454" s="190">
        <v>6.18</v>
      </c>
      <c r="AB454" s="190"/>
      <c r="AC454" s="199" t="s">
        <v>662</v>
      </c>
    </row>
    <row r="455" spans="1:29" ht="18.75" hidden="1" thickBot="1" x14ac:dyDescent="0.3">
      <c r="A455" s="168">
        <v>452</v>
      </c>
      <c r="B455" s="203"/>
      <c r="C455" s="189" t="s">
        <v>676</v>
      </c>
      <c r="D455" s="204">
        <v>1546.97</v>
      </c>
      <c r="E455" s="204">
        <v>171.72</v>
      </c>
      <c r="F455" s="204">
        <v>50.44</v>
      </c>
      <c r="G455" s="204"/>
      <c r="H455" s="192">
        <v>150</v>
      </c>
      <c r="I455" s="204"/>
      <c r="J455" s="193"/>
      <c r="K455" s="204"/>
      <c r="L455" s="204"/>
      <c r="M455" s="204"/>
      <c r="N455" s="204"/>
      <c r="O455" s="184">
        <f t="shared" si="14"/>
        <v>150</v>
      </c>
      <c r="P455" s="204"/>
      <c r="Q455" s="204"/>
      <c r="R455" s="190">
        <v>402.92</v>
      </c>
      <c r="S455" s="197">
        <v>23170.75</v>
      </c>
      <c r="T455" s="204"/>
      <c r="U455" s="204"/>
      <c r="V455" s="166">
        <f t="shared" si="15"/>
        <v>0</v>
      </c>
      <c r="W455" s="204">
        <v>12.6</v>
      </c>
      <c r="X455" s="190">
        <v>13.9</v>
      </c>
      <c r="Y455" s="190"/>
      <c r="Z455" s="204">
        <v>58.64</v>
      </c>
      <c r="AA455" s="190">
        <v>14.05</v>
      </c>
      <c r="AB455" s="190"/>
      <c r="AC455" s="199" t="s">
        <v>662</v>
      </c>
    </row>
    <row r="456" spans="1:29" ht="18.75" hidden="1" thickBot="1" x14ac:dyDescent="0.3">
      <c r="A456" s="168">
        <v>453</v>
      </c>
      <c r="B456" s="203"/>
      <c r="C456" s="189" t="s">
        <v>677</v>
      </c>
      <c r="D456" s="204">
        <v>1397.16</v>
      </c>
      <c r="E456" s="204">
        <v>121.11</v>
      </c>
      <c r="F456" s="204">
        <v>33.479999999999997</v>
      </c>
      <c r="G456" s="204"/>
      <c r="H456" s="192">
        <v>150</v>
      </c>
      <c r="I456" s="204"/>
      <c r="J456" s="193"/>
      <c r="K456" s="204"/>
      <c r="L456" s="204"/>
      <c r="M456" s="204"/>
      <c r="N456" s="204"/>
      <c r="O456" s="184">
        <f t="shared" si="14"/>
        <v>150</v>
      </c>
      <c r="P456" s="204"/>
      <c r="Q456" s="204"/>
      <c r="R456" s="190">
        <v>363.06</v>
      </c>
      <c r="S456" s="197">
        <v>23770.77</v>
      </c>
      <c r="T456" s="204"/>
      <c r="U456" s="204"/>
      <c r="V456" s="166">
        <f t="shared" si="15"/>
        <v>0</v>
      </c>
      <c r="W456" s="204">
        <v>11.1</v>
      </c>
      <c r="X456" s="190">
        <v>12.3</v>
      </c>
      <c r="Y456" s="190"/>
      <c r="Z456" s="204">
        <v>39.39</v>
      </c>
      <c r="AA456" s="190">
        <v>9.8699999999999992</v>
      </c>
      <c r="AB456" s="190"/>
      <c r="AC456" s="199" t="s">
        <v>662</v>
      </c>
    </row>
    <row r="457" spans="1:29" ht="18.75" hidden="1" thickBot="1" x14ac:dyDescent="0.3">
      <c r="A457" s="155">
        <v>454</v>
      </c>
      <c r="B457" s="210"/>
      <c r="C457" s="189" t="s">
        <v>678</v>
      </c>
      <c r="D457" s="204">
        <v>1342.58</v>
      </c>
      <c r="E457" s="204">
        <v>95.53</v>
      </c>
      <c r="F457" s="204">
        <v>25.1</v>
      </c>
      <c r="G457" s="204"/>
      <c r="H457" s="192">
        <v>150</v>
      </c>
      <c r="I457" s="204"/>
      <c r="J457" s="193"/>
      <c r="K457" s="204"/>
      <c r="L457" s="204">
        <v>10</v>
      </c>
      <c r="M457" s="204"/>
      <c r="N457" s="204"/>
      <c r="O457" s="184">
        <f t="shared" si="14"/>
        <v>160</v>
      </c>
      <c r="P457" s="204"/>
      <c r="Q457" s="204"/>
      <c r="R457" s="190">
        <v>342.91</v>
      </c>
      <c r="S457" s="197">
        <v>18129.05</v>
      </c>
      <c r="T457" s="204"/>
      <c r="U457" s="204"/>
      <c r="V457" s="166">
        <f t="shared" si="15"/>
        <v>0</v>
      </c>
      <c r="W457" s="204">
        <v>10.6</v>
      </c>
      <c r="X457" s="190">
        <v>11.75</v>
      </c>
      <c r="Y457" s="190"/>
      <c r="Z457" s="204">
        <v>32.450000000000003</v>
      </c>
      <c r="AA457" s="190">
        <v>8.36</v>
      </c>
      <c r="AB457" s="190"/>
      <c r="AC457" s="199" t="s">
        <v>662</v>
      </c>
    </row>
    <row r="458" spans="1:29" ht="18.75" hidden="1" thickBot="1" x14ac:dyDescent="0.3">
      <c r="A458" s="168">
        <v>455</v>
      </c>
      <c r="B458" s="203"/>
      <c r="C458" s="189" t="s">
        <v>679</v>
      </c>
      <c r="D458" s="204">
        <v>1343.24</v>
      </c>
      <c r="E458" s="204">
        <v>89.8</v>
      </c>
      <c r="F458" s="204">
        <v>24.49</v>
      </c>
      <c r="G458" s="204"/>
      <c r="H458" s="192">
        <v>50</v>
      </c>
      <c r="I458" s="204"/>
      <c r="J458" s="193"/>
      <c r="K458" s="204"/>
      <c r="L458" s="204"/>
      <c r="M458" s="204"/>
      <c r="N458" s="204"/>
      <c r="O458" s="184">
        <f t="shared" si="14"/>
        <v>50</v>
      </c>
      <c r="P458" s="204"/>
      <c r="Q458" s="204"/>
      <c r="R458" s="190">
        <v>343.14</v>
      </c>
      <c r="S458" s="197">
        <v>17940.46</v>
      </c>
      <c r="T458" s="204">
        <v>7.33</v>
      </c>
      <c r="U458" s="204"/>
      <c r="V458" s="166">
        <f t="shared" si="15"/>
        <v>7.33</v>
      </c>
      <c r="W458" s="204">
        <v>9.75</v>
      </c>
      <c r="X458" s="190">
        <v>10.85</v>
      </c>
      <c r="Y458" s="190"/>
      <c r="Z458" s="204">
        <v>20.39</v>
      </c>
      <c r="AA458" s="190">
        <v>5.96</v>
      </c>
      <c r="AB458" s="190"/>
      <c r="AC458" s="199" t="s">
        <v>662</v>
      </c>
    </row>
    <row r="459" spans="1:29" ht="18.75" hidden="1" thickBot="1" x14ac:dyDescent="0.3">
      <c r="A459" s="168">
        <v>456</v>
      </c>
      <c r="B459" s="203"/>
      <c r="C459" s="189" t="s">
        <v>680</v>
      </c>
      <c r="D459" s="204">
        <v>1475.43</v>
      </c>
      <c r="E459" s="204">
        <v>139.38</v>
      </c>
      <c r="F459" s="204">
        <v>39.76</v>
      </c>
      <c r="G459" s="204"/>
      <c r="H459" s="192">
        <v>150</v>
      </c>
      <c r="I459" s="204"/>
      <c r="J459" s="193"/>
      <c r="K459" s="204"/>
      <c r="L459" s="204"/>
      <c r="M459" s="204"/>
      <c r="N459" s="204"/>
      <c r="O459" s="184">
        <f t="shared" si="14"/>
        <v>150</v>
      </c>
      <c r="P459" s="204"/>
      <c r="Q459" s="204"/>
      <c r="R459" s="190">
        <v>377.46</v>
      </c>
      <c r="S459" s="197">
        <v>29160</v>
      </c>
      <c r="T459" s="204"/>
      <c r="U459" s="204"/>
      <c r="V459" s="166">
        <f t="shared" si="15"/>
        <v>0</v>
      </c>
      <c r="W459" s="204">
        <v>11.8</v>
      </c>
      <c r="X459" s="190">
        <v>13.05</v>
      </c>
      <c r="Y459" s="190"/>
      <c r="Z459" s="204">
        <v>48.51</v>
      </c>
      <c r="AA459" s="190">
        <v>11.87</v>
      </c>
      <c r="AB459" s="190"/>
      <c r="AC459" s="199" t="s">
        <v>662</v>
      </c>
    </row>
    <row r="460" spans="1:29" ht="18.75" hidden="1" thickBot="1" x14ac:dyDescent="0.3">
      <c r="A460" s="155">
        <v>457</v>
      </c>
      <c r="B460" s="210"/>
      <c r="C460" s="189" t="s">
        <v>681</v>
      </c>
      <c r="D460" s="204">
        <v>1699.26</v>
      </c>
      <c r="E460" s="204">
        <v>258.92</v>
      </c>
      <c r="F460" s="204">
        <v>78.37</v>
      </c>
      <c r="G460" s="204"/>
      <c r="H460" s="192">
        <v>150</v>
      </c>
      <c r="I460" s="204"/>
      <c r="J460" s="193"/>
      <c r="K460" s="204"/>
      <c r="L460" s="204"/>
      <c r="M460" s="204"/>
      <c r="N460" s="204"/>
      <c r="O460" s="184">
        <f t="shared" si="14"/>
        <v>150</v>
      </c>
      <c r="P460" s="204"/>
      <c r="Q460" s="204"/>
      <c r="R460" s="190">
        <v>471.56</v>
      </c>
      <c r="S460" s="197"/>
      <c r="T460" s="204">
        <v>3.66</v>
      </c>
      <c r="U460" s="204"/>
      <c r="V460" s="166">
        <f t="shared" si="15"/>
        <v>3.66</v>
      </c>
      <c r="W460" s="204">
        <v>14.35</v>
      </c>
      <c r="X460" s="190"/>
      <c r="Y460" s="190"/>
      <c r="Z460" s="204">
        <v>80.28</v>
      </c>
      <c r="AA460" s="190"/>
      <c r="AB460" s="190"/>
      <c r="AC460" s="199" t="s">
        <v>662</v>
      </c>
    </row>
    <row r="461" spans="1:29" ht="18.75" hidden="1" thickBot="1" x14ac:dyDescent="0.3">
      <c r="A461" s="168">
        <v>458</v>
      </c>
      <c r="B461" s="203"/>
      <c r="C461" s="189" t="s">
        <v>682</v>
      </c>
      <c r="D461" s="204">
        <v>1875.11</v>
      </c>
      <c r="E461" s="204">
        <v>470.38</v>
      </c>
      <c r="F461" s="204">
        <v>90.1</v>
      </c>
      <c r="G461" s="204"/>
      <c r="H461" s="192">
        <v>150</v>
      </c>
      <c r="I461" s="204"/>
      <c r="J461" s="193"/>
      <c r="K461" s="204"/>
      <c r="L461" s="204"/>
      <c r="M461" s="204"/>
      <c r="N461" s="204"/>
      <c r="O461" s="184">
        <f t="shared" si="14"/>
        <v>150</v>
      </c>
      <c r="P461" s="204"/>
      <c r="Q461" s="204"/>
      <c r="R461" s="190">
        <v>571.15</v>
      </c>
      <c r="S461" s="197">
        <v>28349.660000000003</v>
      </c>
      <c r="T461" s="204"/>
      <c r="U461" s="204"/>
      <c r="V461" s="166">
        <f t="shared" si="15"/>
        <v>0</v>
      </c>
      <c r="W461" s="204">
        <v>17</v>
      </c>
      <c r="X461" s="190">
        <v>18.5</v>
      </c>
      <c r="Y461" s="190"/>
      <c r="Z461" s="204">
        <v>116.44</v>
      </c>
      <c r="AA461" s="190">
        <v>26.28</v>
      </c>
      <c r="AB461" s="190"/>
      <c r="AC461" s="199" t="s">
        <v>662</v>
      </c>
    </row>
    <row r="462" spans="1:29" ht="18.75" hidden="1" thickBot="1" x14ac:dyDescent="0.3">
      <c r="A462" s="168">
        <v>459</v>
      </c>
      <c r="B462" s="203"/>
      <c r="C462" s="189" t="s">
        <v>683</v>
      </c>
      <c r="D462" s="204">
        <v>1516.47</v>
      </c>
      <c r="E462" s="204">
        <v>175.58</v>
      </c>
      <c r="F462" s="204">
        <v>51.5</v>
      </c>
      <c r="G462" s="204"/>
      <c r="H462" s="192">
        <v>150</v>
      </c>
      <c r="I462" s="204"/>
      <c r="J462" s="193"/>
      <c r="K462" s="204"/>
      <c r="L462" s="204"/>
      <c r="M462" s="204"/>
      <c r="N462" s="204"/>
      <c r="O462" s="184">
        <f t="shared" si="14"/>
        <v>150</v>
      </c>
      <c r="P462" s="204"/>
      <c r="Q462" s="204"/>
      <c r="R462" s="190">
        <v>405.95</v>
      </c>
      <c r="S462" s="197">
        <v>21231.629999999997</v>
      </c>
      <c r="T462" s="204"/>
      <c r="U462" s="204"/>
      <c r="V462" s="166">
        <f t="shared" si="15"/>
        <v>0</v>
      </c>
      <c r="W462" s="204">
        <v>12.4</v>
      </c>
      <c r="X462" s="190">
        <v>13.7</v>
      </c>
      <c r="Y462" s="190"/>
      <c r="Z462" s="204">
        <v>56.34</v>
      </c>
      <c r="AA462" s="190">
        <v>13.52</v>
      </c>
      <c r="AB462" s="190"/>
      <c r="AC462" s="199" t="s">
        <v>662</v>
      </c>
    </row>
    <row r="463" spans="1:29" ht="18.75" hidden="1" thickBot="1" x14ac:dyDescent="0.3">
      <c r="A463" s="155">
        <v>460</v>
      </c>
      <c r="B463" s="210"/>
      <c r="C463" s="189" t="s">
        <v>684</v>
      </c>
      <c r="D463" s="204">
        <v>1375.13</v>
      </c>
      <c r="E463" s="204">
        <v>109.95</v>
      </c>
      <c r="F463" s="204">
        <v>29.97</v>
      </c>
      <c r="G463" s="204"/>
      <c r="H463" s="192">
        <v>150</v>
      </c>
      <c r="I463" s="204"/>
      <c r="J463" s="193"/>
      <c r="K463" s="204"/>
      <c r="L463" s="204"/>
      <c r="M463" s="204"/>
      <c r="N463" s="204"/>
      <c r="O463" s="184">
        <f t="shared" si="14"/>
        <v>150</v>
      </c>
      <c r="P463" s="204"/>
      <c r="Q463" s="204"/>
      <c r="R463" s="190">
        <v>354.27</v>
      </c>
      <c r="S463" s="197">
        <v>18607.150000000001</v>
      </c>
      <c r="T463" s="204"/>
      <c r="U463" s="204"/>
      <c r="V463" s="166">
        <f t="shared" si="15"/>
        <v>0</v>
      </c>
      <c r="W463" s="204">
        <v>10.9</v>
      </c>
      <c r="X463" s="190">
        <v>12.05</v>
      </c>
      <c r="Y463" s="190"/>
      <c r="Z463" s="204">
        <v>36.14</v>
      </c>
      <c r="AA463" s="190">
        <v>9.18</v>
      </c>
      <c r="AB463" s="190"/>
      <c r="AC463" s="199" t="s">
        <v>662</v>
      </c>
    </row>
    <row r="464" spans="1:29" ht="18.75" hidden="1" thickBot="1" x14ac:dyDescent="0.3">
      <c r="A464" s="168">
        <v>461</v>
      </c>
      <c r="B464" s="203"/>
      <c r="C464" s="189" t="s">
        <v>685</v>
      </c>
      <c r="D464" s="204">
        <v>2383.48</v>
      </c>
      <c r="E464" s="204">
        <v>702.54</v>
      </c>
      <c r="F464" s="204">
        <v>120.58</v>
      </c>
      <c r="G464" s="204"/>
      <c r="H464" s="192">
        <v>150</v>
      </c>
      <c r="I464" s="204"/>
      <c r="J464" s="193"/>
      <c r="K464" s="204"/>
      <c r="L464" s="204"/>
      <c r="M464" s="204"/>
      <c r="N464" s="204"/>
      <c r="O464" s="184">
        <f t="shared" si="14"/>
        <v>150</v>
      </c>
      <c r="P464" s="204"/>
      <c r="Q464" s="204"/>
      <c r="R464" s="190">
        <v>753.95</v>
      </c>
      <c r="S464" s="197"/>
      <c r="T464" s="204"/>
      <c r="U464" s="204"/>
      <c r="V464" s="166">
        <f t="shared" si="15"/>
        <v>0</v>
      </c>
      <c r="W464" s="204">
        <v>22.15</v>
      </c>
      <c r="X464" s="190">
        <v>24.9</v>
      </c>
      <c r="Y464" s="190"/>
      <c r="Z464" s="204">
        <v>184.55</v>
      </c>
      <c r="AA464" s="190">
        <v>137.37</v>
      </c>
      <c r="AB464" s="190"/>
      <c r="AC464" s="199" t="s">
        <v>662</v>
      </c>
    </row>
    <row r="465" spans="1:29" ht="18.75" hidden="1" thickBot="1" x14ac:dyDescent="0.3">
      <c r="A465" s="168">
        <v>462</v>
      </c>
      <c r="B465" s="203"/>
      <c r="C465" s="189" t="s">
        <v>686</v>
      </c>
      <c r="D465" s="204">
        <v>1878.2</v>
      </c>
      <c r="E465" s="204">
        <v>471.73</v>
      </c>
      <c r="F465" s="204">
        <v>90.19</v>
      </c>
      <c r="G465" s="204"/>
      <c r="H465" s="192">
        <v>145</v>
      </c>
      <c r="I465" s="204"/>
      <c r="J465" s="193"/>
      <c r="K465" s="204"/>
      <c r="L465" s="204"/>
      <c r="M465" s="204"/>
      <c r="N465" s="204"/>
      <c r="O465" s="184">
        <f t="shared" si="14"/>
        <v>145</v>
      </c>
      <c r="P465" s="204"/>
      <c r="Q465" s="204"/>
      <c r="R465" s="190">
        <v>572.22</v>
      </c>
      <c r="S465" s="197">
        <v>29160.000000000004</v>
      </c>
      <c r="T465" s="204"/>
      <c r="U465" s="204"/>
      <c r="V465" s="166">
        <f t="shared" si="15"/>
        <v>0</v>
      </c>
      <c r="W465" s="204">
        <v>17</v>
      </c>
      <c r="X465" s="190">
        <v>18.5</v>
      </c>
      <c r="Y465" s="190"/>
      <c r="Z465" s="204">
        <v>116.34</v>
      </c>
      <c r="AA465" s="190">
        <v>26.26</v>
      </c>
      <c r="AB465" s="190"/>
      <c r="AC465" s="199" t="s">
        <v>662</v>
      </c>
    </row>
    <row r="466" spans="1:29" ht="18.75" hidden="1" thickBot="1" x14ac:dyDescent="0.3">
      <c r="A466" s="155">
        <v>463</v>
      </c>
      <c r="B466" s="210"/>
      <c r="C466" s="189" t="s">
        <v>687</v>
      </c>
      <c r="D466" s="204">
        <v>1698.25</v>
      </c>
      <c r="E466" s="204">
        <v>258.43</v>
      </c>
      <c r="F466" s="204">
        <v>75.87</v>
      </c>
      <c r="G466" s="204"/>
      <c r="H466" s="192">
        <v>150</v>
      </c>
      <c r="I466" s="204"/>
      <c r="J466" s="193"/>
      <c r="K466" s="204"/>
      <c r="L466" s="204">
        <v>15</v>
      </c>
      <c r="M466" s="204"/>
      <c r="N466" s="204"/>
      <c r="O466" s="184">
        <f t="shared" si="14"/>
        <v>165</v>
      </c>
      <c r="P466" s="204"/>
      <c r="Q466" s="204"/>
      <c r="R466" s="190">
        <v>471.19</v>
      </c>
      <c r="S466" s="197">
        <v>24731.609999999993</v>
      </c>
      <c r="T466" s="204"/>
      <c r="U466" s="204"/>
      <c r="V466" s="166">
        <f t="shared" si="15"/>
        <v>0</v>
      </c>
      <c r="W466" s="204">
        <v>14.45</v>
      </c>
      <c r="X466" s="190">
        <v>15.9</v>
      </c>
      <c r="Y466" s="190"/>
      <c r="Z466" s="204">
        <v>83.23</v>
      </c>
      <c r="AA466" s="190">
        <v>19.29</v>
      </c>
      <c r="AB466" s="190"/>
      <c r="AC466" s="199" t="s">
        <v>662</v>
      </c>
    </row>
    <row r="467" spans="1:29" ht="18.75" hidden="1" thickBot="1" x14ac:dyDescent="0.3">
      <c r="A467" s="168">
        <v>464</v>
      </c>
      <c r="B467" s="203"/>
      <c r="C467" s="189" t="s">
        <v>688</v>
      </c>
      <c r="D467" s="204">
        <v>1704.96</v>
      </c>
      <c r="E467" s="204">
        <v>258.79000000000002</v>
      </c>
      <c r="F467" s="204">
        <v>76.510000000000005</v>
      </c>
      <c r="G467" s="204"/>
      <c r="H467" s="192">
        <v>150</v>
      </c>
      <c r="I467" s="204"/>
      <c r="J467" s="193"/>
      <c r="K467" s="204"/>
      <c r="L467" s="204"/>
      <c r="M467" s="204"/>
      <c r="N467" s="204"/>
      <c r="O467" s="184">
        <f t="shared" si="14"/>
        <v>150</v>
      </c>
      <c r="P467" s="204"/>
      <c r="Q467" s="204"/>
      <c r="R467" s="190">
        <v>471.48</v>
      </c>
      <c r="S467" s="197"/>
      <c r="T467" s="204"/>
      <c r="U467" s="204"/>
      <c r="V467" s="166">
        <f t="shared" si="15"/>
        <v>0</v>
      </c>
      <c r="W467" s="204">
        <v>14.4</v>
      </c>
      <c r="X467" s="190"/>
      <c r="Y467" s="190"/>
      <c r="Z467" s="204">
        <v>82.51</v>
      </c>
      <c r="AA467" s="190"/>
      <c r="AB467" s="190"/>
      <c r="AC467" s="199" t="s">
        <v>662</v>
      </c>
    </row>
    <row r="468" spans="1:29" ht="18.75" hidden="1" thickBot="1" x14ac:dyDescent="0.3">
      <c r="A468" s="168">
        <v>465</v>
      </c>
      <c r="B468" s="203"/>
      <c r="C468" s="189" t="s">
        <v>689</v>
      </c>
      <c r="D468" s="204">
        <v>1923.4</v>
      </c>
      <c r="E468" s="204">
        <v>357.42</v>
      </c>
      <c r="F468" s="204">
        <v>89.32</v>
      </c>
      <c r="G468" s="204"/>
      <c r="H468" s="192">
        <v>150</v>
      </c>
      <c r="I468" s="204"/>
      <c r="J468" s="193"/>
      <c r="K468" s="204"/>
      <c r="L468" s="204"/>
      <c r="M468" s="204"/>
      <c r="N468" s="204"/>
      <c r="O468" s="184">
        <f t="shared" si="14"/>
        <v>150</v>
      </c>
      <c r="P468" s="204"/>
      <c r="Q468" s="204"/>
      <c r="R468" s="190">
        <v>552.28</v>
      </c>
      <c r="S468" s="197">
        <v>28480.2</v>
      </c>
      <c r="T468" s="204"/>
      <c r="U468" s="204"/>
      <c r="V468" s="166">
        <f t="shared" si="15"/>
        <v>0</v>
      </c>
      <c r="W468" s="204">
        <v>16.600000000000001</v>
      </c>
      <c r="X468" s="190">
        <v>18.2</v>
      </c>
      <c r="Y468" s="190"/>
      <c r="Z468" s="204">
        <v>111.71</v>
      </c>
      <c r="AA468" s="190">
        <v>25.4</v>
      </c>
      <c r="AB468" s="190"/>
      <c r="AC468" s="199" t="s">
        <v>662</v>
      </c>
    </row>
    <row r="469" spans="1:29" ht="18.75" hidden="1" thickBot="1" x14ac:dyDescent="0.3">
      <c r="A469" s="155">
        <v>466</v>
      </c>
      <c r="B469" s="210"/>
      <c r="C469" s="189" t="s">
        <v>690</v>
      </c>
      <c r="D469" s="204">
        <v>1448.3</v>
      </c>
      <c r="E469" s="204">
        <v>144.83000000000001</v>
      </c>
      <c r="F469" s="204">
        <v>41.29</v>
      </c>
      <c r="G469" s="204"/>
      <c r="H469" s="192">
        <v>150</v>
      </c>
      <c r="I469" s="204"/>
      <c r="J469" s="193"/>
      <c r="K469" s="204"/>
      <c r="L469" s="204"/>
      <c r="M469" s="204"/>
      <c r="N469" s="204"/>
      <c r="O469" s="184">
        <f t="shared" si="14"/>
        <v>150</v>
      </c>
      <c r="P469" s="204"/>
      <c r="Q469" s="204"/>
      <c r="R469" s="190">
        <v>381.74</v>
      </c>
      <c r="S469" s="197">
        <v>19973.870000000003</v>
      </c>
      <c r="T469" s="204"/>
      <c r="U469" s="204"/>
      <c r="V469" s="166">
        <f t="shared" si="15"/>
        <v>0</v>
      </c>
      <c r="W469" s="204">
        <v>11.65</v>
      </c>
      <c r="X469" s="190">
        <v>12.9</v>
      </c>
      <c r="Y469" s="190"/>
      <c r="Z469" s="204">
        <v>46.7</v>
      </c>
      <c r="AA469" s="190">
        <v>11.44</v>
      </c>
      <c r="AB469" s="190"/>
      <c r="AC469" s="199" t="s">
        <v>662</v>
      </c>
    </row>
    <row r="470" spans="1:29" ht="18.75" hidden="1" thickBot="1" x14ac:dyDescent="0.3">
      <c r="A470" s="168">
        <v>467</v>
      </c>
      <c r="B470" s="203"/>
      <c r="C470" s="189" t="s">
        <v>691</v>
      </c>
      <c r="D470" s="204">
        <v>1376.03</v>
      </c>
      <c r="E470" s="204">
        <v>110.91</v>
      </c>
      <c r="F470" s="204">
        <v>30.17</v>
      </c>
      <c r="G470" s="204"/>
      <c r="H470" s="192">
        <v>150</v>
      </c>
      <c r="I470" s="204"/>
      <c r="J470" s="193"/>
      <c r="K470" s="204"/>
      <c r="L470" s="204">
        <v>15</v>
      </c>
      <c r="M470" s="204"/>
      <c r="N470" s="204"/>
      <c r="O470" s="184">
        <f t="shared" si="14"/>
        <v>165</v>
      </c>
      <c r="P470" s="204"/>
      <c r="Q470" s="204"/>
      <c r="R470" s="190">
        <v>355.03</v>
      </c>
      <c r="S470" s="197">
        <v>19099.73</v>
      </c>
      <c r="T470" s="204"/>
      <c r="U470" s="204"/>
      <c r="V470" s="166">
        <f t="shared" si="15"/>
        <v>0</v>
      </c>
      <c r="W470" s="204">
        <v>11</v>
      </c>
      <c r="X470" s="190">
        <v>12.7</v>
      </c>
      <c r="Y470" s="190"/>
      <c r="Z470" s="204">
        <v>37.67</v>
      </c>
      <c r="AA470" s="190">
        <v>10.86</v>
      </c>
      <c r="AB470" s="190"/>
      <c r="AC470" s="199" t="s">
        <v>662</v>
      </c>
    </row>
    <row r="471" spans="1:29" ht="18.75" hidden="1" thickBot="1" x14ac:dyDescent="0.3">
      <c r="A471" s="168">
        <v>468</v>
      </c>
      <c r="B471" s="203"/>
      <c r="C471" s="189" t="s">
        <v>692</v>
      </c>
      <c r="D471" s="204">
        <v>1634.49</v>
      </c>
      <c r="E471" s="204">
        <v>229.16</v>
      </c>
      <c r="F471" s="204">
        <v>69.430000000000007</v>
      </c>
      <c r="G471" s="204"/>
      <c r="H471" s="192">
        <v>150</v>
      </c>
      <c r="I471" s="204"/>
      <c r="J471" s="193"/>
      <c r="K471" s="204"/>
      <c r="L471" s="204"/>
      <c r="M471" s="204"/>
      <c r="N471" s="204"/>
      <c r="O471" s="184">
        <f t="shared" si="14"/>
        <v>150</v>
      </c>
      <c r="P471" s="204"/>
      <c r="Q471" s="204"/>
      <c r="R471" s="190">
        <v>448.14</v>
      </c>
      <c r="S471" s="197"/>
      <c r="T471" s="204">
        <v>7.62</v>
      </c>
      <c r="U471" s="204"/>
      <c r="V471" s="166">
        <f t="shared" si="15"/>
        <v>7.62</v>
      </c>
      <c r="W471" s="204">
        <v>13.65</v>
      </c>
      <c r="X471" s="190"/>
      <c r="Y471" s="190"/>
      <c r="Z471" s="204">
        <v>71.739999999999995</v>
      </c>
      <c r="AA471" s="190"/>
      <c r="AB471" s="190"/>
      <c r="AC471" s="199" t="s">
        <v>662</v>
      </c>
    </row>
    <row r="472" spans="1:29" ht="18.75" hidden="1" thickBot="1" x14ac:dyDescent="0.3">
      <c r="A472" s="155">
        <v>469</v>
      </c>
      <c r="B472" s="210"/>
      <c r="C472" s="189" t="s">
        <v>693</v>
      </c>
      <c r="D472" s="204">
        <v>1517.22</v>
      </c>
      <c r="E472" s="204">
        <v>175.91</v>
      </c>
      <c r="F472" s="204">
        <v>51.62</v>
      </c>
      <c r="G472" s="204"/>
      <c r="H472" s="192">
        <v>150</v>
      </c>
      <c r="I472" s="204"/>
      <c r="J472" s="193"/>
      <c r="K472" s="204"/>
      <c r="L472" s="204"/>
      <c r="M472" s="204"/>
      <c r="N472" s="204"/>
      <c r="O472" s="184">
        <f t="shared" si="14"/>
        <v>150</v>
      </c>
      <c r="P472" s="204"/>
      <c r="Q472" s="204"/>
      <c r="R472" s="190">
        <v>406.22</v>
      </c>
      <c r="S472" s="197">
        <v>21245.48</v>
      </c>
      <c r="T472" s="204"/>
      <c r="U472" s="204"/>
      <c r="V472" s="166">
        <f t="shared" si="15"/>
        <v>0</v>
      </c>
      <c r="W472" s="204">
        <v>12.4</v>
      </c>
      <c r="X472" s="190">
        <v>13.7</v>
      </c>
      <c r="Y472" s="190"/>
      <c r="Z472" s="204">
        <v>56.45</v>
      </c>
      <c r="AA472" s="190">
        <v>13.54</v>
      </c>
      <c r="AB472" s="190"/>
      <c r="AC472" s="199" t="s">
        <v>662</v>
      </c>
    </row>
    <row r="473" spans="1:29" ht="18.75" hidden="1" thickBot="1" x14ac:dyDescent="0.3">
      <c r="A473" s="168">
        <v>470</v>
      </c>
      <c r="B473" s="203"/>
      <c r="C473" s="189" t="s">
        <v>694</v>
      </c>
      <c r="D473" s="204">
        <v>1852.35</v>
      </c>
      <c r="E473" s="204">
        <v>383.35</v>
      </c>
      <c r="F473" s="204">
        <v>85.51</v>
      </c>
      <c r="G473" s="204"/>
      <c r="H473" s="192">
        <v>100</v>
      </c>
      <c r="I473" s="204"/>
      <c r="J473" s="193"/>
      <c r="K473" s="204"/>
      <c r="L473" s="204">
        <v>15</v>
      </c>
      <c r="M473" s="204"/>
      <c r="N473" s="204"/>
      <c r="O473" s="184">
        <f t="shared" si="14"/>
        <v>115</v>
      </c>
      <c r="P473" s="204"/>
      <c r="Q473" s="204"/>
      <c r="R473" s="190">
        <v>541.20000000000005</v>
      </c>
      <c r="S473" s="197">
        <v>28913.78</v>
      </c>
      <c r="T473" s="204"/>
      <c r="U473" s="204"/>
      <c r="V473" s="166">
        <f t="shared" si="15"/>
        <v>0</v>
      </c>
      <c r="W473" s="204">
        <v>15.95</v>
      </c>
      <c r="X473" s="190">
        <v>18.2</v>
      </c>
      <c r="Y473" s="190"/>
      <c r="Z473" s="204">
        <v>103.62</v>
      </c>
      <c r="AA473" s="190">
        <v>25.45</v>
      </c>
      <c r="AB473" s="190"/>
      <c r="AC473" s="199" t="s">
        <v>662</v>
      </c>
    </row>
    <row r="474" spans="1:29" ht="18.75" hidden="1" thickBot="1" x14ac:dyDescent="0.3">
      <c r="A474" s="168">
        <v>471</v>
      </c>
      <c r="B474" s="203"/>
      <c r="C474" s="189" t="s">
        <v>695</v>
      </c>
      <c r="D474" s="204">
        <v>1822.35</v>
      </c>
      <c r="E474" s="204">
        <v>446.36</v>
      </c>
      <c r="F474" s="204">
        <v>85.84</v>
      </c>
      <c r="G474" s="204"/>
      <c r="H474" s="192">
        <v>150</v>
      </c>
      <c r="I474" s="204"/>
      <c r="J474" s="193"/>
      <c r="K474" s="204"/>
      <c r="L474" s="204"/>
      <c r="M474" s="204"/>
      <c r="N474" s="204"/>
      <c r="O474" s="184">
        <f t="shared" si="14"/>
        <v>150</v>
      </c>
      <c r="P474" s="204"/>
      <c r="Q474" s="204"/>
      <c r="R474" s="190">
        <v>552.25</v>
      </c>
      <c r="S474" s="197">
        <v>28546.839999999997</v>
      </c>
      <c r="T474" s="204"/>
      <c r="U474" s="204"/>
      <c r="V474" s="166">
        <f t="shared" si="15"/>
        <v>0</v>
      </c>
      <c r="W474" s="204">
        <v>16.45</v>
      </c>
      <c r="X474" s="190">
        <v>18</v>
      </c>
      <c r="Y474" s="190"/>
      <c r="Z474" s="204">
        <v>110.18</v>
      </c>
      <c r="AA474" s="190">
        <v>24.93</v>
      </c>
      <c r="AB474" s="190"/>
      <c r="AC474" s="199" t="s">
        <v>662</v>
      </c>
    </row>
    <row r="475" spans="1:29" ht="18.75" hidden="1" thickBot="1" x14ac:dyDescent="0.3">
      <c r="A475" s="155">
        <v>472</v>
      </c>
      <c r="B475" s="210"/>
      <c r="C475" s="189" t="s">
        <v>696</v>
      </c>
      <c r="D475" s="204">
        <v>1471.45</v>
      </c>
      <c r="E475" s="204">
        <v>137.53</v>
      </c>
      <c r="F475" s="204">
        <v>39.17</v>
      </c>
      <c r="G475" s="204"/>
      <c r="H475" s="192">
        <v>150</v>
      </c>
      <c r="I475" s="204"/>
      <c r="J475" s="193"/>
      <c r="K475" s="204"/>
      <c r="L475" s="204"/>
      <c r="M475" s="204"/>
      <c r="N475" s="204"/>
      <c r="O475" s="184">
        <f t="shared" si="14"/>
        <v>150</v>
      </c>
      <c r="P475" s="204"/>
      <c r="Q475" s="204"/>
      <c r="R475" s="190">
        <v>375.98</v>
      </c>
      <c r="S475" s="197">
        <v>20186.469999999998</v>
      </c>
      <c r="T475" s="204">
        <v>13.32</v>
      </c>
      <c r="U475" s="204"/>
      <c r="V475" s="166">
        <f t="shared" si="15"/>
        <v>13.32</v>
      </c>
      <c r="W475" s="204">
        <v>11.75</v>
      </c>
      <c r="X475" s="190">
        <v>12.95</v>
      </c>
      <c r="Y475" s="190"/>
      <c r="Z475" s="204">
        <v>46.62</v>
      </c>
      <c r="AA475" s="190">
        <v>11.48</v>
      </c>
      <c r="AB475" s="190"/>
      <c r="AC475" s="199" t="s">
        <v>662</v>
      </c>
    </row>
    <row r="476" spans="1:29" ht="18.75" hidden="1" thickBot="1" x14ac:dyDescent="0.3">
      <c r="A476" s="168">
        <v>473</v>
      </c>
      <c r="B476" s="203"/>
      <c r="C476" s="189" t="s">
        <v>697</v>
      </c>
      <c r="D476" s="204">
        <v>1344.08</v>
      </c>
      <c r="E476" s="204">
        <v>95.9</v>
      </c>
      <c r="F476" s="204">
        <v>25.28</v>
      </c>
      <c r="G476" s="204"/>
      <c r="H476" s="192">
        <v>150</v>
      </c>
      <c r="I476" s="204"/>
      <c r="J476" s="193"/>
      <c r="K476" s="204"/>
      <c r="L476" s="204"/>
      <c r="M476" s="204"/>
      <c r="N476" s="204"/>
      <c r="O476" s="184">
        <f t="shared" si="14"/>
        <v>150</v>
      </c>
      <c r="P476" s="204"/>
      <c r="Q476" s="204"/>
      <c r="R476" s="190">
        <v>343.22</v>
      </c>
      <c r="S476" s="197">
        <v>18776.320000000003</v>
      </c>
      <c r="T476" s="204"/>
      <c r="U476" s="204"/>
      <c r="V476" s="166">
        <f t="shared" si="15"/>
        <v>0</v>
      </c>
      <c r="W476" s="204">
        <v>10.55</v>
      </c>
      <c r="X476" s="190">
        <v>11.7</v>
      </c>
      <c r="Y476" s="190"/>
      <c r="Z476" s="204">
        <v>31.74</v>
      </c>
      <c r="AA476" s="190">
        <v>8.23</v>
      </c>
      <c r="AB476" s="190"/>
      <c r="AC476" s="199" t="s">
        <v>662</v>
      </c>
    </row>
    <row r="477" spans="1:29" ht="18.75" hidden="1" thickBot="1" x14ac:dyDescent="0.3">
      <c r="A477" s="168">
        <v>474</v>
      </c>
      <c r="B477" s="203"/>
      <c r="C477" s="189" t="s">
        <v>698</v>
      </c>
      <c r="D477" s="204">
        <v>1282.8599999999999</v>
      </c>
      <c r="E477" s="204"/>
      <c r="F477" s="204">
        <v>8.01</v>
      </c>
      <c r="G477" s="204"/>
      <c r="H477" s="192">
        <v>150</v>
      </c>
      <c r="I477" s="204"/>
      <c r="J477" s="193"/>
      <c r="K477" s="204"/>
      <c r="L477" s="204"/>
      <c r="M477" s="204"/>
      <c r="N477" s="204"/>
      <c r="O477" s="184">
        <f t="shared" si="14"/>
        <v>150</v>
      </c>
      <c r="P477" s="204"/>
      <c r="Q477" s="204"/>
      <c r="R477" s="190">
        <v>300.20999999999998</v>
      </c>
      <c r="S477" s="197">
        <v>15912.490000000002</v>
      </c>
      <c r="T477" s="204">
        <v>22.45</v>
      </c>
      <c r="U477" s="204"/>
      <c r="V477" s="166">
        <f t="shared" si="15"/>
        <v>22.45</v>
      </c>
      <c r="W477" s="204">
        <v>9.4</v>
      </c>
      <c r="X477" s="190">
        <v>10.3</v>
      </c>
      <c r="Y477" s="190"/>
      <c r="Z477" s="204">
        <v>14.1</v>
      </c>
      <c r="AA477" s="190">
        <v>4.58</v>
      </c>
      <c r="AB477" s="190"/>
      <c r="AC477" s="199" t="s">
        <v>662</v>
      </c>
    </row>
    <row r="478" spans="1:29" ht="18.75" hidden="1" thickBot="1" x14ac:dyDescent="0.3">
      <c r="A478" s="155">
        <v>475</v>
      </c>
      <c r="B478" s="210"/>
      <c r="C478" s="189" t="s">
        <v>699</v>
      </c>
      <c r="D478" s="204">
        <v>1465.3</v>
      </c>
      <c r="E478" s="204">
        <v>150.30000000000001</v>
      </c>
      <c r="F478" s="204">
        <v>43.55</v>
      </c>
      <c r="G478" s="204"/>
      <c r="H478" s="192">
        <v>145</v>
      </c>
      <c r="I478" s="204"/>
      <c r="J478" s="193"/>
      <c r="K478" s="204"/>
      <c r="L478" s="204"/>
      <c r="M478" s="204"/>
      <c r="N478" s="204"/>
      <c r="O478" s="184">
        <f t="shared" si="14"/>
        <v>145</v>
      </c>
      <c r="P478" s="204"/>
      <c r="Q478" s="204"/>
      <c r="R478" s="190">
        <v>387.61</v>
      </c>
      <c r="S478" s="197">
        <v>18244.109999999997</v>
      </c>
      <c r="T478" s="204"/>
      <c r="U478" s="204"/>
      <c r="V478" s="166">
        <f t="shared" si="15"/>
        <v>0</v>
      </c>
      <c r="W478" s="204">
        <v>11.8</v>
      </c>
      <c r="X478" s="190">
        <v>10.25</v>
      </c>
      <c r="Y478" s="190"/>
      <c r="Z478" s="204">
        <v>48.38</v>
      </c>
      <c r="AA478" s="190">
        <v>4.46</v>
      </c>
      <c r="AB478" s="190"/>
      <c r="AC478" s="199" t="s">
        <v>662</v>
      </c>
    </row>
    <row r="479" spans="1:29" ht="18.75" hidden="1" thickBot="1" x14ac:dyDescent="0.3">
      <c r="A479" s="168">
        <v>476</v>
      </c>
      <c r="B479" s="203"/>
      <c r="C479" s="189" t="s">
        <v>700</v>
      </c>
      <c r="D479" s="204">
        <v>1809.74</v>
      </c>
      <c r="E479" s="204">
        <v>309.24</v>
      </c>
      <c r="F479" s="204">
        <v>82.73</v>
      </c>
      <c r="G479" s="204"/>
      <c r="H479" s="192">
        <v>150</v>
      </c>
      <c r="I479" s="204"/>
      <c r="J479" s="193"/>
      <c r="K479" s="204"/>
      <c r="L479" s="204"/>
      <c r="M479" s="204"/>
      <c r="N479" s="204"/>
      <c r="O479" s="184">
        <f t="shared" ref="O479:O486" si="16">SUM(H479:N479)</f>
        <v>150</v>
      </c>
      <c r="P479" s="204"/>
      <c r="Q479" s="204"/>
      <c r="R479" s="190">
        <v>511.19</v>
      </c>
      <c r="S479" s="197">
        <v>26639.629999999997</v>
      </c>
      <c r="T479" s="204"/>
      <c r="U479" s="204"/>
      <c r="V479" s="166">
        <f t="shared" ref="V479:V486" si="17">T479+U479</f>
        <v>0</v>
      </c>
      <c r="W479" s="204">
        <v>15.45</v>
      </c>
      <c r="X479" s="190">
        <v>17</v>
      </c>
      <c r="Y479" s="190"/>
      <c r="Z479" s="204">
        <v>96.83</v>
      </c>
      <c r="AA479" s="190">
        <v>22.26</v>
      </c>
      <c r="AB479" s="190"/>
      <c r="AC479" s="199" t="s">
        <v>662</v>
      </c>
    </row>
    <row r="480" spans="1:29" ht="18.75" hidden="1" thickBot="1" x14ac:dyDescent="0.3">
      <c r="A480" s="168">
        <v>477</v>
      </c>
      <c r="B480" s="203"/>
      <c r="C480" s="189" t="s">
        <v>701</v>
      </c>
      <c r="D480" s="204">
        <v>1481.1</v>
      </c>
      <c r="E480" s="204">
        <v>159.55000000000001</v>
      </c>
      <c r="F480" s="204">
        <v>46.17</v>
      </c>
      <c r="G480" s="204"/>
      <c r="H480" s="192">
        <v>150</v>
      </c>
      <c r="I480" s="204"/>
      <c r="J480" s="193"/>
      <c r="K480" s="204"/>
      <c r="L480" s="204"/>
      <c r="M480" s="204"/>
      <c r="N480" s="204"/>
      <c r="O480" s="184">
        <f t="shared" si="16"/>
        <v>150</v>
      </c>
      <c r="P480" s="204"/>
      <c r="Q480" s="204"/>
      <c r="R480" s="190">
        <v>393.33</v>
      </c>
      <c r="S480" s="197">
        <v>20579.36</v>
      </c>
      <c r="T480" s="204">
        <v>6.78</v>
      </c>
      <c r="U480" s="204"/>
      <c r="V480" s="166">
        <f t="shared" si="17"/>
        <v>6.78</v>
      </c>
      <c r="W480" s="204">
        <v>12</v>
      </c>
      <c r="X480" s="190">
        <v>13.25</v>
      </c>
      <c r="Y480" s="190"/>
      <c r="Z480" s="204">
        <v>50.65</v>
      </c>
      <c r="AA480" s="190">
        <v>12.31</v>
      </c>
      <c r="AB480" s="190"/>
      <c r="AC480" s="199" t="s">
        <v>662</v>
      </c>
    </row>
    <row r="481" spans="1:29" ht="18.75" hidden="1" thickBot="1" x14ac:dyDescent="0.3">
      <c r="A481" s="155">
        <v>478</v>
      </c>
      <c r="B481" s="210"/>
      <c r="C481" s="189" t="s">
        <v>702</v>
      </c>
      <c r="D481" s="204">
        <v>1474.09</v>
      </c>
      <c r="E481" s="204">
        <v>138.80000000000001</v>
      </c>
      <c r="F481" s="204">
        <v>39.56</v>
      </c>
      <c r="G481" s="204"/>
      <c r="H481" s="192">
        <v>150</v>
      </c>
      <c r="I481" s="204"/>
      <c r="J481" s="193"/>
      <c r="K481" s="204"/>
      <c r="L481" s="204"/>
      <c r="M481" s="204"/>
      <c r="N481" s="204"/>
      <c r="O481" s="184">
        <f t="shared" si="16"/>
        <v>150</v>
      </c>
      <c r="P481" s="204"/>
      <c r="Q481" s="204"/>
      <c r="R481" s="190">
        <v>376.99</v>
      </c>
      <c r="S481" s="197">
        <v>20234.77</v>
      </c>
      <c r="T481" s="204"/>
      <c r="U481" s="204"/>
      <c r="V481" s="166">
        <f t="shared" si="17"/>
        <v>0</v>
      </c>
      <c r="W481" s="204">
        <v>11.8</v>
      </c>
      <c r="X481" s="190">
        <v>13.05</v>
      </c>
      <c r="Y481" s="190"/>
      <c r="Z481" s="204">
        <v>48.32</v>
      </c>
      <c r="AA481" s="190">
        <v>11.83</v>
      </c>
      <c r="AB481" s="190"/>
      <c r="AC481" s="199" t="s">
        <v>662</v>
      </c>
    </row>
    <row r="482" spans="1:29" ht="18.75" hidden="1" thickBot="1" x14ac:dyDescent="0.3">
      <c r="A482" s="168">
        <v>479</v>
      </c>
      <c r="B482" s="203"/>
      <c r="C482" s="189" t="s">
        <v>703</v>
      </c>
      <c r="D482" s="204">
        <v>1474.09</v>
      </c>
      <c r="E482" s="204">
        <v>138.80000000000001</v>
      </c>
      <c r="F482" s="204">
        <v>39.56</v>
      </c>
      <c r="G482" s="204"/>
      <c r="H482" s="192">
        <v>150</v>
      </c>
      <c r="I482" s="204"/>
      <c r="J482" s="193"/>
      <c r="K482" s="204"/>
      <c r="L482" s="204"/>
      <c r="M482" s="204"/>
      <c r="N482" s="204"/>
      <c r="O482" s="184">
        <f t="shared" si="16"/>
        <v>150</v>
      </c>
      <c r="P482" s="204"/>
      <c r="Q482" s="204"/>
      <c r="R482" s="190">
        <v>376.99</v>
      </c>
      <c r="S482" s="197">
        <v>20234.77</v>
      </c>
      <c r="T482" s="204"/>
      <c r="U482" s="204"/>
      <c r="V482" s="166">
        <f t="shared" si="17"/>
        <v>0</v>
      </c>
      <c r="W482" s="204">
        <v>11.8</v>
      </c>
      <c r="X482" s="190">
        <v>13.05</v>
      </c>
      <c r="Y482" s="190"/>
      <c r="Z482" s="204">
        <v>48.32</v>
      </c>
      <c r="AA482" s="190">
        <v>11.83</v>
      </c>
      <c r="AB482" s="190"/>
      <c r="AC482" s="199" t="s">
        <v>662</v>
      </c>
    </row>
    <row r="483" spans="1:29" ht="18.75" hidden="1" thickBot="1" x14ac:dyDescent="0.3">
      <c r="A483" s="168">
        <v>480</v>
      </c>
      <c r="B483" s="203"/>
      <c r="C483" s="189" t="s">
        <v>704</v>
      </c>
      <c r="D483" s="204">
        <v>1472.58</v>
      </c>
      <c r="E483" s="204">
        <v>138.04</v>
      </c>
      <c r="F483" s="204">
        <v>39.33</v>
      </c>
      <c r="G483" s="204"/>
      <c r="H483" s="192">
        <v>150</v>
      </c>
      <c r="I483" s="204"/>
      <c r="J483" s="193"/>
      <c r="K483" s="204"/>
      <c r="L483" s="204"/>
      <c r="M483" s="204"/>
      <c r="N483" s="204"/>
      <c r="O483" s="184">
        <f t="shared" si="16"/>
        <v>150</v>
      </c>
      <c r="P483" s="204"/>
      <c r="Q483" s="204"/>
      <c r="R483" s="190">
        <v>376.39</v>
      </c>
      <c r="S483" s="197">
        <v>20958.780000000002</v>
      </c>
      <c r="T483" s="204">
        <v>1.55</v>
      </c>
      <c r="U483" s="204"/>
      <c r="V483" s="166">
        <f t="shared" si="17"/>
        <v>1.55</v>
      </c>
      <c r="W483" s="204">
        <v>11.8</v>
      </c>
      <c r="X483" s="190">
        <v>13.05</v>
      </c>
      <c r="Y483" s="190"/>
      <c r="Z483" s="204">
        <v>47.95</v>
      </c>
      <c r="AA483" s="190">
        <v>11.75</v>
      </c>
      <c r="AB483" s="190"/>
      <c r="AC483" s="199" t="s">
        <v>662</v>
      </c>
    </row>
    <row r="484" spans="1:29" ht="18.75" hidden="1" thickBot="1" x14ac:dyDescent="0.3">
      <c r="A484" s="155">
        <v>481</v>
      </c>
      <c r="B484" s="210"/>
      <c r="C484" s="189" t="s">
        <v>705</v>
      </c>
      <c r="D484" s="204">
        <v>1398.15</v>
      </c>
      <c r="E484" s="204">
        <v>49.51</v>
      </c>
      <c r="F484" s="204">
        <v>25.11</v>
      </c>
      <c r="G484" s="204"/>
      <c r="H484" s="192">
        <v>150</v>
      </c>
      <c r="I484" s="204"/>
      <c r="J484" s="193"/>
      <c r="K484" s="204"/>
      <c r="L484" s="204">
        <v>15</v>
      </c>
      <c r="M484" s="204"/>
      <c r="N484" s="204"/>
      <c r="O484" s="184">
        <f t="shared" si="16"/>
        <v>165</v>
      </c>
      <c r="P484" s="204"/>
      <c r="Q484" s="204"/>
      <c r="R484" s="190">
        <v>342.11</v>
      </c>
      <c r="S484" s="197">
        <v>18352.07</v>
      </c>
      <c r="T484" s="204"/>
      <c r="U484" s="204"/>
      <c r="V484" s="166">
        <f t="shared" si="17"/>
        <v>0</v>
      </c>
      <c r="W484" s="204">
        <v>10.7</v>
      </c>
      <c r="X484" s="190">
        <v>11.9</v>
      </c>
      <c r="Y484" s="190"/>
      <c r="Z484" s="204">
        <v>33.76</v>
      </c>
      <c r="AA484" s="190">
        <v>8.76</v>
      </c>
      <c r="AB484" s="190"/>
      <c r="AC484" s="199" t="s">
        <v>662</v>
      </c>
    </row>
    <row r="485" spans="1:29" ht="18.75" hidden="1" thickBot="1" x14ac:dyDescent="0.3">
      <c r="A485" s="168">
        <v>482</v>
      </c>
      <c r="B485" s="203"/>
      <c r="C485" s="189" t="s">
        <v>706</v>
      </c>
      <c r="D485" s="204">
        <v>1377.94</v>
      </c>
      <c r="E485" s="204">
        <v>111.21</v>
      </c>
      <c r="F485" s="204">
        <v>30.4</v>
      </c>
      <c r="G485" s="204"/>
      <c r="H485" s="192">
        <v>150</v>
      </c>
      <c r="I485" s="204"/>
      <c r="J485" s="193"/>
      <c r="K485" s="204"/>
      <c r="L485" s="204"/>
      <c r="M485" s="204"/>
      <c r="N485" s="204"/>
      <c r="O485" s="184">
        <f t="shared" si="16"/>
        <v>150</v>
      </c>
      <c r="P485" s="204"/>
      <c r="Q485" s="204"/>
      <c r="R485" s="190">
        <v>355.27</v>
      </c>
      <c r="S485" s="197">
        <v>19130.209999999995</v>
      </c>
      <c r="T485" s="204"/>
      <c r="U485" s="204"/>
      <c r="V485" s="166">
        <f t="shared" si="17"/>
        <v>0</v>
      </c>
      <c r="W485" s="204">
        <v>10.9</v>
      </c>
      <c r="X485" s="190">
        <v>12.6</v>
      </c>
      <c r="Y485" s="190"/>
      <c r="Z485" s="204">
        <v>36.54</v>
      </c>
      <c r="AA485" s="190">
        <v>10.65</v>
      </c>
      <c r="AB485" s="190"/>
      <c r="AC485" s="199" t="s">
        <v>662</v>
      </c>
    </row>
    <row r="486" spans="1:29" hidden="1" x14ac:dyDescent="0.25">
      <c r="A486" s="232">
        <v>483</v>
      </c>
      <c r="B486" s="233"/>
      <c r="C486" s="212" t="s">
        <v>707</v>
      </c>
      <c r="D486" s="213">
        <v>1433.21</v>
      </c>
      <c r="E486" s="213">
        <v>136.41</v>
      </c>
      <c r="F486" s="213">
        <v>38.76</v>
      </c>
      <c r="G486" s="213"/>
      <c r="H486" s="215">
        <v>150</v>
      </c>
      <c r="I486" s="213"/>
      <c r="J486" s="216"/>
      <c r="K486" s="213"/>
      <c r="L486" s="213"/>
      <c r="M486" s="213"/>
      <c r="N486" s="213"/>
      <c r="O486" s="234">
        <f t="shared" si="16"/>
        <v>150</v>
      </c>
      <c r="P486" s="213"/>
      <c r="Q486" s="213"/>
      <c r="R486" s="221">
        <v>375.11</v>
      </c>
      <c r="S486" s="235">
        <v>20984.079999999998</v>
      </c>
      <c r="T486" s="213"/>
      <c r="U486" s="213"/>
      <c r="V486" s="236">
        <f t="shared" si="17"/>
        <v>0</v>
      </c>
      <c r="W486" s="213">
        <v>11.5</v>
      </c>
      <c r="X486" s="221">
        <v>13.25</v>
      </c>
      <c r="Y486" s="221"/>
      <c r="Z486" s="213">
        <v>44.4</v>
      </c>
      <c r="AA486" s="221">
        <v>12.4</v>
      </c>
      <c r="AB486" s="221"/>
      <c r="AC486" s="223" t="s">
        <v>662</v>
      </c>
    </row>
    <row r="487" spans="1:29" s="240" customFormat="1" x14ac:dyDescent="0.25">
      <c r="A487" s="139"/>
      <c r="B487" s="139"/>
      <c r="C487" s="237"/>
      <c r="D487" s="205"/>
      <c r="E487" s="205"/>
      <c r="F487" s="205"/>
      <c r="G487" s="238"/>
      <c r="H487" s="238"/>
      <c r="I487" s="205"/>
      <c r="J487" s="239"/>
      <c r="K487" s="205"/>
      <c r="L487" s="205"/>
      <c r="M487" s="205"/>
      <c r="N487" s="191"/>
      <c r="O487" s="191"/>
      <c r="P487" s="205"/>
      <c r="Q487" s="191"/>
      <c r="R487" s="205"/>
      <c r="S487" s="205"/>
      <c r="T487" s="191"/>
      <c r="U487" s="205"/>
      <c r="V487" s="205"/>
      <c r="W487" s="205"/>
      <c r="X487" s="205"/>
      <c r="Y487" s="205"/>
      <c r="Z487" s="191"/>
      <c r="AA487" s="205"/>
      <c r="AB487" s="205"/>
      <c r="AC487" s="199"/>
    </row>
    <row r="488" spans="1:29" s="240" customFormat="1" x14ac:dyDescent="0.25">
      <c r="A488" s="139"/>
      <c r="B488" s="139"/>
      <c r="C488" s="237"/>
      <c r="D488" s="205"/>
      <c r="E488" s="205"/>
      <c r="F488" s="205"/>
      <c r="G488" s="205"/>
      <c r="H488" s="238"/>
      <c r="I488" s="205"/>
      <c r="J488" s="239"/>
      <c r="K488" s="205"/>
      <c r="L488" s="205"/>
      <c r="M488" s="205"/>
      <c r="N488" s="205"/>
      <c r="O488" s="191"/>
      <c r="P488" s="205"/>
      <c r="Q488" s="205"/>
      <c r="R488" s="191"/>
      <c r="S488" s="205"/>
      <c r="T488" s="205"/>
      <c r="U488" s="205"/>
      <c r="V488" s="205"/>
      <c r="W488" s="191"/>
      <c r="X488" s="205"/>
      <c r="Y488" s="205"/>
      <c r="Z488" s="191"/>
      <c r="AA488" s="205"/>
      <c r="AB488" s="205"/>
      <c r="AC488" s="199"/>
    </row>
    <row r="489" spans="1:29" s="240" customFormat="1" x14ac:dyDescent="0.25">
      <c r="A489" s="139"/>
      <c r="B489" s="139"/>
      <c r="C489" s="237"/>
      <c r="D489" s="205"/>
      <c r="E489" s="205"/>
      <c r="F489" s="205"/>
      <c r="G489" s="205"/>
      <c r="H489" s="238"/>
      <c r="I489" s="205"/>
      <c r="J489" s="239"/>
      <c r="K489" s="205"/>
      <c r="L489" s="205"/>
      <c r="M489" s="205"/>
      <c r="N489" s="205"/>
      <c r="O489" s="191"/>
      <c r="P489" s="205"/>
      <c r="Q489" s="205"/>
      <c r="R489" s="191"/>
      <c r="S489" s="205"/>
      <c r="T489" s="205"/>
      <c r="U489" s="205"/>
      <c r="V489" s="205"/>
      <c r="W489" s="191"/>
      <c r="X489" s="205"/>
      <c r="Y489" s="205"/>
      <c r="Z489" s="191"/>
      <c r="AA489" s="205"/>
      <c r="AB489" s="205"/>
      <c r="AC489" s="199"/>
    </row>
    <row r="490" spans="1:29" s="240" customFormat="1" x14ac:dyDescent="0.25">
      <c r="A490" s="139"/>
      <c r="B490" s="139"/>
      <c r="C490" s="237"/>
      <c r="D490" s="205"/>
      <c r="E490" s="205"/>
      <c r="F490" s="205"/>
      <c r="G490" s="205"/>
      <c r="H490" s="238"/>
      <c r="I490" s="205"/>
      <c r="J490" s="239"/>
      <c r="K490" s="205"/>
      <c r="L490" s="205"/>
      <c r="M490" s="205"/>
      <c r="N490" s="205"/>
      <c r="O490" s="191"/>
      <c r="P490" s="205"/>
      <c r="Q490" s="205"/>
      <c r="R490" s="191"/>
      <c r="S490" s="205"/>
      <c r="T490" s="205"/>
      <c r="U490" s="205"/>
      <c r="V490" s="205"/>
      <c r="W490" s="191"/>
      <c r="X490" s="205"/>
      <c r="Y490" s="205"/>
      <c r="Z490" s="191"/>
      <c r="AA490" s="205"/>
      <c r="AB490" s="205"/>
      <c r="AC490" s="199"/>
    </row>
    <row r="491" spans="1:29" s="240" customFormat="1" x14ac:dyDescent="0.25">
      <c r="A491" s="139"/>
      <c r="B491" s="139"/>
      <c r="C491" s="237"/>
      <c r="D491" s="205"/>
      <c r="E491" s="205"/>
      <c r="F491" s="205"/>
      <c r="G491" s="205"/>
      <c r="H491" s="238"/>
      <c r="I491" s="205"/>
      <c r="J491" s="239"/>
      <c r="K491" s="205"/>
      <c r="L491" s="205"/>
      <c r="M491" s="205"/>
      <c r="N491" s="205"/>
      <c r="O491" s="191"/>
      <c r="P491" s="205"/>
      <c r="Q491" s="205"/>
      <c r="R491" s="191"/>
      <c r="S491" s="205"/>
      <c r="T491" s="205"/>
      <c r="U491" s="205"/>
      <c r="V491" s="205"/>
      <c r="W491" s="191"/>
      <c r="X491" s="205"/>
      <c r="Y491" s="205"/>
      <c r="Z491" s="191"/>
      <c r="AA491" s="205"/>
      <c r="AB491" s="205"/>
      <c r="AC491" s="199"/>
    </row>
    <row r="492" spans="1:29" s="240" customFormat="1" x14ac:dyDescent="0.25">
      <c r="A492" s="139"/>
      <c r="B492" s="139"/>
      <c r="C492" s="237"/>
      <c r="D492" s="205"/>
      <c r="E492" s="205"/>
      <c r="F492" s="205"/>
      <c r="G492" s="205"/>
      <c r="H492" s="238"/>
      <c r="I492" s="205"/>
      <c r="J492" s="239"/>
      <c r="K492" s="205"/>
      <c r="L492" s="205"/>
      <c r="M492" s="205"/>
      <c r="N492" s="205"/>
      <c r="O492" s="191"/>
      <c r="P492" s="205"/>
      <c r="Q492" s="205"/>
      <c r="R492" s="191"/>
      <c r="S492" s="205"/>
      <c r="T492" s="205"/>
      <c r="U492" s="205"/>
      <c r="V492" s="205"/>
      <c r="W492" s="191"/>
      <c r="X492" s="205"/>
      <c r="Y492" s="205"/>
      <c r="Z492" s="191"/>
      <c r="AA492" s="205"/>
      <c r="AB492" s="205"/>
      <c r="AC492" s="199"/>
    </row>
  </sheetData>
  <pageMargins left="0" right="0.15748031496062992" top="0.43307086614173229" bottom="0.23622047244094491" header="0.23622047244094491" footer="0.39370078740157483"/>
  <pageSetup paperSize="9" scale="90" fitToHeight="36" orientation="landscape" r:id="rId1"/>
  <headerFooter>
    <oddHeader>&amp;L&amp;"-,Bold"صفحة (&amp;P) من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"/>
  <sheetViews>
    <sheetView rightToLeft="1" workbookViewId="0">
      <selection activeCell="I4" sqref="I4"/>
    </sheetView>
  </sheetViews>
  <sheetFormatPr defaultRowHeight="14.25" x14ac:dyDescent="0.2"/>
  <cols>
    <col min="1" max="1" width="17" bestFit="1" customWidth="1"/>
    <col min="2" max="2" width="11.375" customWidth="1"/>
    <col min="3" max="3" width="21.375" customWidth="1"/>
  </cols>
  <sheetData>
    <row r="1" spans="1:38" ht="18.75" thickBot="1" x14ac:dyDescent="0.3">
      <c r="A1" s="291" t="s">
        <v>710</v>
      </c>
      <c r="B1" s="291"/>
      <c r="C1" s="362">
        <v>8</v>
      </c>
    </row>
    <row r="2" spans="1:38" s="282" customFormat="1" ht="64.5" customHeight="1" thickBot="1" x14ac:dyDescent="0.25">
      <c r="A2" s="270" t="s">
        <v>68</v>
      </c>
      <c r="B2" s="271" t="s">
        <v>81</v>
      </c>
      <c r="C2" s="272" t="s">
        <v>69</v>
      </c>
      <c r="D2" s="273" t="s">
        <v>95</v>
      </c>
      <c r="E2" s="273" t="s">
        <v>275</v>
      </c>
      <c r="F2" s="273" t="s">
        <v>276</v>
      </c>
      <c r="G2" s="273" t="s">
        <v>277</v>
      </c>
      <c r="H2" s="274" t="s">
        <v>99</v>
      </c>
      <c r="I2" s="273" t="s">
        <v>278</v>
      </c>
      <c r="J2" s="275" t="s">
        <v>279</v>
      </c>
      <c r="K2" s="273" t="s">
        <v>280</v>
      </c>
      <c r="L2" s="273" t="s">
        <v>100</v>
      </c>
      <c r="M2" s="276" t="s">
        <v>281</v>
      </c>
      <c r="N2" s="276" t="s">
        <v>282</v>
      </c>
      <c r="O2" s="277" t="s">
        <v>283</v>
      </c>
      <c r="P2" s="278" t="s">
        <v>284</v>
      </c>
      <c r="Q2" s="273"/>
      <c r="R2" s="279" t="s">
        <v>285</v>
      </c>
      <c r="S2" s="278" t="s">
        <v>286</v>
      </c>
      <c r="T2" s="278" t="s">
        <v>112</v>
      </c>
      <c r="U2" s="273" t="s">
        <v>114</v>
      </c>
      <c r="V2" s="273" t="s">
        <v>287</v>
      </c>
      <c r="W2" s="273" t="s">
        <v>288</v>
      </c>
      <c r="X2" s="279" t="s">
        <v>289</v>
      </c>
      <c r="Y2" s="279" t="s">
        <v>290</v>
      </c>
      <c r="Z2" s="273" t="s">
        <v>291</v>
      </c>
      <c r="AA2" s="279" t="s">
        <v>292</v>
      </c>
      <c r="AB2" s="279" t="s">
        <v>293</v>
      </c>
      <c r="AC2" s="280" t="s">
        <v>294</v>
      </c>
      <c r="AD2" s="281" t="s">
        <v>295</v>
      </c>
    </row>
    <row r="3" spans="1:38" ht="16.5" thickBot="1" x14ac:dyDescent="0.3">
      <c r="C3" s="361" t="str">
        <f>VLOOKUP($C$1,'تفصيلي المرتب يناير 2018'!$A$4:$BW$88,3,0)</f>
        <v>امل محمد عبد المجيد تمام</v>
      </c>
    </row>
    <row r="4" spans="1:38" ht="15" customHeight="1" thickBot="1" x14ac:dyDescent="0.25">
      <c r="A4" s="371">
        <v>1</v>
      </c>
      <c r="B4" s="372">
        <v>2</v>
      </c>
      <c r="C4" s="373">
        <v>3</v>
      </c>
    </row>
    <row r="5" spans="1:38" ht="14.25" customHeight="1" x14ac:dyDescent="0.2">
      <c r="A5" s="369" t="s">
        <v>68</v>
      </c>
      <c r="B5" s="370" t="s">
        <v>229</v>
      </c>
      <c r="C5" s="369" t="s">
        <v>708</v>
      </c>
      <c r="E5" s="374" t="s">
        <v>711</v>
      </c>
      <c r="F5" s="375"/>
      <c r="G5" s="376"/>
    </row>
    <row r="6" spans="1:38" ht="15" customHeight="1" thickBot="1" x14ac:dyDescent="0.25">
      <c r="A6" s="288"/>
      <c r="B6" s="290"/>
      <c r="C6" s="288"/>
      <c r="E6" s="377"/>
      <c r="F6" s="378"/>
      <c r="G6" s="379"/>
    </row>
    <row r="7" spans="1:38" ht="16.5" thickBot="1" x14ac:dyDescent="0.3">
      <c r="C7" s="360" t="str">
        <f>VLOOKUP($C$1,'تفصيلي المرتب يناير 2018'!$A$4:$BW$88,3,0)</f>
        <v>امل محمد عبد المجيد تمام</v>
      </c>
    </row>
    <row r="8" spans="1:38" s="368" customFormat="1" ht="15" thickBot="1" x14ac:dyDescent="0.25">
      <c r="A8" s="366">
        <v>4</v>
      </c>
      <c r="B8" s="367">
        <v>5</v>
      </c>
      <c r="C8" s="367">
        <v>6</v>
      </c>
      <c r="D8" s="367">
        <v>7</v>
      </c>
      <c r="E8" s="367">
        <v>8</v>
      </c>
      <c r="F8" s="367">
        <v>9</v>
      </c>
      <c r="G8" s="367">
        <v>10</v>
      </c>
      <c r="H8" s="367">
        <v>11</v>
      </c>
      <c r="I8" s="367">
        <v>12</v>
      </c>
      <c r="J8" s="367">
        <v>13</v>
      </c>
      <c r="K8" s="367">
        <v>14</v>
      </c>
      <c r="L8" s="367">
        <v>15</v>
      </c>
      <c r="M8" s="367">
        <v>16</v>
      </c>
      <c r="N8" s="367">
        <v>17</v>
      </c>
      <c r="O8" s="367">
        <v>18</v>
      </c>
      <c r="P8" s="367">
        <v>19</v>
      </c>
      <c r="Q8" s="367">
        <v>20</v>
      </c>
      <c r="R8" s="367">
        <v>21</v>
      </c>
      <c r="S8" s="367">
        <v>22</v>
      </c>
      <c r="T8" s="367">
        <v>23</v>
      </c>
      <c r="U8" s="367">
        <v>24</v>
      </c>
      <c r="V8" s="367">
        <v>25</v>
      </c>
      <c r="W8" s="367">
        <v>26</v>
      </c>
      <c r="X8" s="367">
        <v>27</v>
      </c>
      <c r="Y8" s="367">
        <v>28</v>
      </c>
      <c r="Z8" s="367">
        <v>29</v>
      </c>
    </row>
    <row r="9" spans="1:38" ht="15.75" x14ac:dyDescent="0.2">
      <c r="A9" s="363" t="s">
        <v>70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5"/>
    </row>
    <row r="10" spans="1:38" ht="78.75" x14ac:dyDescent="0.2">
      <c r="A10" s="248" t="s">
        <v>81</v>
      </c>
      <c r="B10" s="2" t="s">
        <v>82</v>
      </c>
      <c r="C10" s="1" t="s">
        <v>83</v>
      </c>
      <c r="D10" s="1" t="s">
        <v>84</v>
      </c>
      <c r="E10" s="1" t="s">
        <v>85</v>
      </c>
      <c r="F10" s="2" t="s">
        <v>86</v>
      </c>
      <c r="G10" s="1" t="s">
        <v>87</v>
      </c>
      <c r="H10" s="1" t="s">
        <v>88</v>
      </c>
      <c r="I10" s="1" t="s">
        <v>89</v>
      </c>
      <c r="J10" s="1" t="s">
        <v>90</v>
      </c>
      <c r="K10" s="1" t="s">
        <v>91</v>
      </c>
      <c r="L10" s="1" t="s">
        <v>92</v>
      </c>
      <c r="M10" s="2" t="s">
        <v>93</v>
      </c>
      <c r="N10" s="2" t="s">
        <v>94</v>
      </c>
      <c r="O10" s="2" t="s">
        <v>95</v>
      </c>
      <c r="P10" s="1" t="s">
        <v>96</v>
      </c>
      <c r="Q10" s="1" t="s">
        <v>97</v>
      </c>
      <c r="R10" s="1" t="s">
        <v>98</v>
      </c>
      <c r="S10" s="1" t="s">
        <v>99</v>
      </c>
      <c r="T10" s="1" t="s">
        <v>100</v>
      </c>
      <c r="U10" s="1" t="s">
        <v>101</v>
      </c>
      <c r="V10" s="1" t="s">
        <v>102</v>
      </c>
      <c r="W10" s="1" t="s">
        <v>103</v>
      </c>
      <c r="X10" s="1" t="s">
        <v>104</v>
      </c>
      <c r="Y10" s="1" t="s">
        <v>105</v>
      </c>
      <c r="Z10" s="2" t="s">
        <v>106</v>
      </c>
    </row>
    <row r="11" spans="1:38" ht="16.5" thickBot="1" x14ac:dyDescent="0.3">
      <c r="A11" s="359">
        <f>VLOOKUP($C$1,'تفصيلي المرتب يناير 2018'!$A$4:$BW$88,4,0)</f>
        <v>28510032502061</v>
      </c>
      <c r="B11" s="283">
        <f>VLOOKUP($C$1,'تفصيلي المرتب يناير 2018'!$A$4:$BW$88,5,0)</f>
        <v>263</v>
      </c>
      <c r="C11" s="283">
        <f>VLOOKUP($C$1,'تفصيلي المرتب يناير 2018'!$A$4:$BW$88,6,0)</f>
        <v>0</v>
      </c>
      <c r="D11" s="283">
        <f>VLOOKUP($C$1,'تفصيلي المرتب يناير 2018'!$A$4:$BW$88,7,0)</f>
        <v>0</v>
      </c>
      <c r="E11" s="283">
        <f>VLOOKUP($C$1,'تفصيلي المرتب يناير 2018'!$A$4:$BW$88,8,0)</f>
        <v>0</v>
      </c>
      <c r="F11" s="283">
        <f>VLOOKUP($C$1,'تفصيلي المرتب يناير 2018'!$A$4:$BW$88,9,0)</f>
        <v>340.59</v>
      </c>
      <c r="G11" s="283">
        <f>VLOOKUP($C$1,'تفصيلي المرتب يناير 2018'!$A$4:$BW$88,10,0)</f>
        <v>3.41</v>
      </c>
      <c r="H11" s="283">
        <f>VLOOKUP($C$1,'تفصيلي المرتب يناير 2018'!$A$4:$BW$88,11,0)</f>
        <v>6.81</v>
      </c>
      <c r="I11" s="283">
        <f>VLOOKUP($C$1,'تفصيلي المرتب يناير 2018'!$A$4:$BW$88,12,0)</f>
        <v>51.09</v>
      </c>
      <c r="J11" s="283">
        <f>VLOOKUP($C$1,'تفصيلي المرتب يناير 2018'!$A$4:$BW$88,13,0)</f>
        <v>10.220000000000001</v>
      </c>
      <c r="K11" s="283">
        <f>VLOOKUP($C$1,'تفصيلي المرتب يناير 2018'!$A$4:$BW$88,14,0)</f>
        <v>1109.45</v>
      </c>
      <c r="L11" s="283">
        <f>VLOOKUP($C$1,'تفصيلي المرتب يناير 2018'!$A$4:$BW$88,15,0)</f>
        <v>77.66</v>
      </c>
      <c r="M11" s="283">
        <f>VLOOKUP($C$1,'تفصيلي المرتب يناير 2018'!$A$4:$BW$88,16,0)</f>
        <v>77.66</v>
      </c>
      <c r="N11" s="283">
        <f>VLOOKUP($C$1,'تفصيلي المرتب يناير 2018'!$A$4:$BW$88,17,0)</f>
        <v>0</v>
      </c>
      <c r="O11" s="283">
        <f>VLOOKUP($C$1,'تفصيلي المرتب يناير 2018'!$A$4:$BW$88,18,0)</f>
        <v>1264.77</v>
      </c>
      <c r="P11" s="283">
        <f>VLOOKUP($C$1,'تفصيلي المرتب يناير 2018'!$A$4:$BW$88,19,0)</f>
        <v>0</v>
      </c>
      <c r="Q11" s="283">
        <f>VLOOKUP($C$1,'تفصيلي المرتب يناير 2018'!$A$4:$BW$88,20,0)</f>
        <v>0</v>
      </c>
      <c r="R11" s="283">
        <f>VLOOKUP($C$1,'تفصيلي المرتب يناير 2018'!$A$4:$BW$88,21,0)</f>
        <v>21</v>
      </c>
      <c r="S11" s="283">
        <f>VLOOKUP($C$1,'تفصيلي المرتب يناير 2018'!$A$4:$BW$88,22,0)</f>
        <v>95</v>
      </c>
      <c r="T11" s="283">
        <f>VLOOKUP($C$1,'تفصيلي المرتب يناير 2018'!$A$4:$BW$88,23,0)</f>
        <v>0</v>
      </c>
      <c r="U11" s="283">
        <f>VLOOKUP($C$1,'تفصيلي المرتب يناير 2018'!$A$4:$BW$88,24,0)</f>
        <v>0</v>
      </c>
      <c r="V11" s="283">
        <f>VLOOKUP($C$1,'تفصيلي المرتب يناير 2018'!$A$4:$BW$88,25,0)</f>
        <v>0</v>
      </c>
      <c r="W11" s="283">
        <f>VLOOKUP($C$1,'تفصيلي المرتب يناير 2018'!$A$4:$BW$88,26,0)</f>
        <v>0</v>
      </c>
      <c r="X11" s="283">
        <f>VLOOKUP($C$1,'تفصيلي المرتب يناير 2018'!$A$4:$BW$88,27,0)</f>
        <v>0</v>
      </c>
      <c r="Y11" s="283">
        <f>VLOOKUP($C$1,'تفصيلي المرتب يناير 2018'!$A$4:$BW$88,28,0)</f>
        <v>5.51</v>
      </c>
      <c r="Z11" s="283">
        <f>VLOOKUP($C$1,'تفصيلي المرتب يناير 2018'!$A$4:$BW$88,29,0)</f>
        <v>121.51</v>
      </c>
      <c r="AA11" s="283">
        <f>VLOOKUP($C$1,'تفصيلي المرتب يناير 2018'!$A$4:$BW$88,20,0)</f>
        <v>0</v>
      </c>
    </row>
    <row r="12" spans="1:38" ht="15" thickBot="1" x14ac:dyDescent="0.25">
      <c r="A12" s="371">
        <v>30</v>
      </c>
      <c r="B12" s="367">
        <v>31</v>
      </c>
      <c r="C12" s="367">
        <v>32</v>
      </c>
      <c r="D12" s="367">
        <v>33</v>
      </c>
      <c r="E12" s="367">
        <v>34</v>
      </c>
      <c r="F12" s="373">
        <v>35</v>
      </c>
    </row>
    <row r="13" spans="1:38" x14ac:dyDescent="0.2">
      <c r="A13" s="369" t="s">
        <v>71</v>
      </c>
      <c r="B13" s="369" t="s">
        <v>72</v>
      </c>
      <c r="C13" s="369" t="s">
        <v>73</v>
      </c>
      <c r="D13" s="369" t="s">
        <v>74</v>
      </c>
      <c r="E13" s="369" t="s">
        <v>75</v>
      </c>
      <c r="F13" s="369" t="s">
        <v>76</v>
      </c>
    </row>
    <row r="14" spans="1:38" x14ac:dyDescent="0.2">
      <c r="A14" s="288"/>
      <c r="B14" s="288"/>
      <c r="C14" s="288"/>
      <c r="D14" s="288"/>
      <c r="E14" s="288"/>
      <c r="F14" s="288"/>
    </row>
    <row r="15" spans="1:38" ht="16.5" thickBot="1" x14ac:dyDescent="0.3">
      <c r="A15" s="283">
        <f>VLOOKUP($C$1,'تفصيلي المرتب يناير 2018'!$A$4:$BW$88,30,0)</f>
        <v>950.69</v>
      </c>
      <c r="B15" s="283">
        <f>VLOOKUP($C$1,'تفصيلي المرتب يناير 2018'!$A$4:$BW$88,31,0)</f>
        <v>950.69</v>
      </c>
      <c r="C15" s="283">
        <f>VLOOKUP($C$1,'تفصيلي المرتب يناير 2018'!$A$4:$BW$88,32,0)</f>
        <v>9.51</v>
      </c>
      <c r="D15" s="283">
        <f>VLOOKUP($C$1,'تفصيلي المرتب يناير 2018'!$A$4:$BW$88,33,0)</f>
        <v>142.6</v>
      </c>
      <c r="E15" s="283">
        <f>VLOOKUP($C$1,'تفصيلي المرتب يناير 2018'!$A$4:$BW$88,34,0)</f>
        <v>28.52</v>
      </c>
      <c r="F15" s="283">
        <f>VLOOKUP($C$1,'تفصيلي المرتب يناير 2018'!$A$4:$BW$88,35,0)</f>
        <v>1638.44</v>
      </c>
    </row>
    <row r="16" spans="1:38" s="368" customFormat="1" ht="15" thickBot="1" x14ac:dyDescent="0.25">
      <c r="A16" s="371">
        <v>36</v>
      </c>
      <c r="B16" s="367">
        <v>37</v>
      </c>
      <c r="C16" s="367">
        <v>38</v>
      </c>
      <c r="D16" s="367">
        <v>39</v>
      </c>
      <c r="E16" s="367">
        <v>40</v>
      </c>
      <c r="F16" s="367">
        <v>41</v>
      </c>
      <c r="G16" s="367">
        <v>42</v>
      </c>
      <c r="H16" s="367">
        <v>43</v>
      </c>
      <c r="I16" s="367">
        <v>44</v>
      </c>
      <c r="J16" s="367">
        <v>45</v>
      </c>
      <c r="K16" s="367">
        <v>46</v>
      </c>
      <c r="L16" s="367">
        <v>47</v>
      </c>
      <c r="M16" s="367">
        <v>48</v>
      </c>
      <c r="N16" s="367">
        <v>49</v>
      </c>
      <c r="O16" s="367">
        <v>50</v>
      </c>
      <c r="P16" s="367">
        <v>51</v>
      </c>
      <c r="Q16" s="367">
        <v>52</v>
      </c>
      <c r="R16" s="367">
        <v>53</v>
      </c>
      <c r="S16" s="367">
        <v>54</v>
      </c>
      <c r="T16" s="367">
        <v>55</v>
      </c>
      <c r="U16" s="367">
        <v>56</v>
      </c>
      <c r="V16" s="367">
        <v>57</v>
      </c>
      <c r="W16" s="367">
        <v>58</v>
      </c>
      <c r="X16" s="367">
        <v>59</v>
      </c>
      <c r="Y16" s="367">
        <v>60</v>
      </c>
      <c r="Z16" s="367">
        <v>61</v>
      </c>
      <c r="AA16" s="367">
        <v>62</v>
      </c>
      <c r="AB16" s="367">
        <v>63</v>
      </c>
      <c r="AC16" s="367">
        <v>64</v>
      </c>
      <c r="AD16" s="367">
        <v>65</v>
      </c>
      <c r="AE16" s="367">
        <v>66</v>
      </c>
      <c r="AF16" s="367">
        <v>67</v>
      </c>
      <c r="AG16" s="367">
        <v>68</v>
      </c>
      <c r="AH16" s="367">
        <v>69</v>
      </c>
      <c r="AI16" s="367">
        <v>70</v>
      </c>
      <c r="AJ16" s="367">
        <v>71</v>
      </c>
      <c r="AK16" s="367">
        <v>72</v>
      </c>
      <c r="AL16" s="367">
        <v>73</v>
      </c>
    </row>
    <row r="17" spans="1:39" ht="15.75" x14ac:dyDescent="0.2">
      <c r="A17" s="363" t="s">
        <v>77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AL17" s="365"/>
    </row>
    <row r="18" spans="1:39" ht="78.75" x14ac:dyDescent="0.2">
      <c r="A18" s="1" t="s">
        <v>87</v>
      </c>
      <c r="B18" s="1" t="s">
        <v>88</v>
      </c>
      <c r="C18" s="1" t="s">
        <v>89</v>
      </c>
      <c r="D18" s="1" t="s">
        <v>90</v>
      </c>
      <c r="E18" s="1" t="s">
        <v>107</v>
      </c>
      <c r="F18" s="1" t="s">
        <v>108</v>
      </c>
      <c r="G18" s="1" t="s">
        <v>109</v>
      </c>
      <c r="H18" s="1" t="s">
        <v>110</v>
      </c>
      <c r="I18" s="1" t="s">
        <v>111</v>
      </c>
      <c r="J18" s="1" t="s">
        <v>73</v>
      </c>
      <c r="K18" s="1" t="s">
        <v>74</v>
      </c>
      <c r="L18" s="1" t="s">
        <v>75</v>
      </c>
      <c r="M18" s="1" t="s">
        <v>112</v>
      </c>
      <c r="N18" s="1" t="s">
        <v>113</v>
      </c>
      <c r="O18" s="1" t="s">
        <v>114</v>
      </c>
      <c r="P18" s="1" t="s">
        <v>115</v>
      </c>
      <c r="Q18" s="1" t="s">
        <v>116</v>
      </c>
      <c r="R18" s="1" t="s">
        <v>117</v>
      </c>
      <c r="S18" s="1" t="s">
        <v>118</v>
      </c>
      <c r="T18" s="1" t="s">
        <v>119</v>
      </c>
      <c r="U18" s="1" t="s">
        <v>120</v>
      </c>
      <c r="V18" s="1" t="s">
        <v>121</v>
      </c>
      <c r="W18" s="1" t="s">
        <v>122</v>
      </c>
      <c r="X18" s="1" t="s">
        <v>123</v>
      </c>
      <c r="Y18" s="1" t="s">
        <v>124</v>
      </c>
      <c r="Z18" s="1" t="s">
        <v>125</v>
      </c>
      <c r="AA18" s="1" t="s">
        <v>126</v>
      </c>
      <c r="AB18" s="1" t="s">
        <v>127</v>
      </c>
      <c r="AC18" s="1" t="s">
        <v>128</v>
      </c>
      <c r="AD18" s="1" t="s">
        <v>129</v>
      </c>
      <c r="AE18" s="1" t="s">
        <v>130</v>
      </c>
      <c r="AF18" s="1" t="s">
        <v>131</v>
      </c>
      <c r="AG18" s="1" t="s">
        <v>132</v>
      </c>
      <c r="AH18" s="1" t="s">
        <v>133</v>
      </c>
      <c r="AI18" s="1" t="s">
        <v>134</v>
      </c>
      <c r="AJ18" s="1" t="s">
        <v>135</v>
      </c>
      <c r="AK18" s="1" t="s">
        <v>37</v>
      </c>
      <c r="AL18" s="1" t="s">
        <v>136</v>
      </c>
    </row>
    <row r="19" spans="1:39" ht="16.5" thickBot="1" x14ac:dyDescent="0.3">
      <c r="A19" s="283">
        <f>VLOOKUP($C$1,'تفصيلي المرتب يناير 2018'!$A$4:$BW$88,36,0)</f>
        <v>3.41</v>
      </c>
      <c r="B19" s="283">
        <f>VLOOKUP($C$1,'تفصيلي المرتب يناير 2018'!$A$4:$BW$88,37,0)</f>
        <v>6.81</v>
      </c>
      <c r="C19" s="283">
        <f>VLOOKUP($C$1,'تفصيلي المرتب يناير 2018'!$A$4:$BW$88,38,0)</f>
        <v>51.09</v>
      </c>
      <c r="D19" s="283">
        <f>VLOOKUP($C$1,'تفصيلي المرتب يناير 2018'!$A$4:$BW$88,39,0)</f>
        <v>10.220000000000001</v>
      </c>
      <c r="E19" s="283">
        <f>VLOOKUP($C$1,'تفصيلي المرتب يناير 2018'!$A$4:$BW$88,40,0)</f>
        <v>34.06</v>
      </c>
      <c r="F19" s="283">
        <f>VLOOKUP($C$1,'تفصيلي المرتب يناير 2018'!$A$4:$BW$88,41,0)</f>
        <v>3.41</v>
      </c>
      <c r="G19" s="283">
        <f>VLOOKUP($C$1,'تفصيلي المرتب يناير 2018'!$A$4:$BW$88,42,0)</f>
        <v>10.220000000000001</v>
      </c>
      <c r="H19" s="283">
        <f>VLOOKUP($C$1,'تفصيلي المرتب يناير 2018'!$A$4:$BW$88,43,0)</f>
        <v>95.07</v>
      </c>
      <c r="I19" s="283">
        <f>VLOOKUP($C$1,'تفصيلي المرتب يناير 2018'!$A$4:$BW$88,44,0)</f>
        <v>9.51</v>
      </c>
      <c r="J19" s="283">
        <f>VLOOKUP($C$1,'تفصيلي المرتب يناير 2018'!$A$4:$BW$88,45,0)</f>
        <v>9.51</v>
      </c>
      <c r="K19" s="283">
        <f>VLOOKUP($C$1,'تفصيلي المرتب يناير 2018'!$A$4:$BW$88,46,0)</f>
        <v>142.6</v>
      </c>
      <c r="L19" s="283">
        <f>VLOOKUP($C$1,'تفصيلي المرتب يناير 2018'!$A$4:$BW$88,47,0)</f>
        <v>28.52</v>
      </c>
      <c r="M19" s="283">
        <f>VLOOKUP($C$1,'تفصيلي المرتب يناير 2018'!$A$4:$BW$88,48,0)</f>
        <v>0</v>
      </c>
      <c r="N19" s="283">
        <f>VLOOKUP($C$1,'تفصيلي المرتب يناير 2018'!$A$4:$BW$88,49,0)</f>
        <v>0</v>
      </c>
      <c r="O19" s="283">
        <f>VLOOKUP($C$1,'تفصيلي المرتب يناير 2018'!$A$4:$BW$88,50,0)</f>
        <v>0</v>
      </c>
      <c r="P19" s="283">
        <f>VLOOKUP($C$1,'تفصيلي المرتب يناير 2018'!$A$4:$BW$88,51,0)</f>
        <v>0</v>
      </c>
      <c r="Q19" s="283">
        <f>VLOOKUP($C$1,'تفصيلي المرتب يناير 2018'!$A$4:$BW$88,52,0)</f>
        <v>0</v>
      </c>
      <c r="R19" s="283">
        <f>VLOOKUP($C$1,'تفصيلي المرتب يناير 2018'!$A$4:$BW$88,53,0)</f>
        <v>0</v>
      </c>
      <c r="S19" s="283">
        <f>VLOOKUP($C$1,'تفصيلي المرتب يناير 2018'!$A$4:$BW$88,54,0)</f>
        <v>0</v>
      </c>
      <c r="T19" s="283">
        <f>VLOOKUP($C$1,'تفصيلي المرتب يناير 2018'!$A$4:$BW$88,55,0)</f>
        <v>0</v>
      </c>
      <c r="U19" s="283">
        <f>VLOOKUP($C$1,'تفصيلي المرتب يناير 2018'!$A$4:$BW$88,56,0)</f>
        <v>0</v>
      </c>
      <c r="V19" s="283">
        <f>VLOOKUP($C$1,'تفصيلي المرتب يناير 2018'!$A$4:$BW$88,57,0)</f>
        <v>0</v>
      </c>
      <c r="W19" s="283">
        <f>VLOOKUP($C$1,'تفصيلي المرتب يناير 2018'!$A$4:$BW$88,58,0)</f>
        <v>37.450000000000003</v>
      </c>
      <c r="X19" s="283">
        <f>VLOOKUP($C$1,'تفصيلي المرتب يناير 2018'!$A$4:$BW$88,59,0)</f>
        <v>285</v>
      </c>
      <c r="Y19" s="283">
        <f>VLOOKUP($C$1,'تفصيلي المرتب يناير 2018'!$A$4:$BW$88,60,0)</f>
        <v>0</v>
      </c>
      <c r="Z19" s="283">
        <f>VLOOKUP($C$1,'تفصيلي المرتب يناير 2018'!$A$4:$BW$88,61,0)</f>
        <v>0</v>
      </c>
      <c r="AA19" s="283">
        <f>VLOOKUP($C$1,'تفصيلي المرتب يناير 2018'!$A$4:$BW$88,62,0)</f>
        <v>0</v>
      </c>
      <c r="AB19" s="283">
        <f>VLOOKUP($C$1,'تفصيلي المرتب يناير 2018'!$A$4:$BW$88,63,0)</f>
        <v>0</v>
      </c>
      <c r="AC19" s="283">
        <f>VLOOKUP($C$1,'تفصيلي المرتب يناير 2018'!$A$4:$BW$88,64,0)</f>
        <v>0</v>
      </c>
      <c r="AD19" s="283">
        <f>VLOOKUP($C$1,'تفصيلي المرتب يناير 2018'!$A$4:$BW$88,65,0)</f>
        <v>0</v>
      </c>
      <c r="AE19" s="283">
        <f>VLOOKUP($C$1,'تفصيلي المرتب يناير 2018'!$A$4:$BW$88,66,0)</f>
        <v>0</v>
      </c>
      <c r="AF19" s="283">
        <f>VLOOKUP($C$1,'تفصيلي المرتب يناير 2018'!$A$4:$BW$88,67,0)</f>
        <v>0</v>
      </c>
      <c r="AG19" s="283">
        <f>VLOOKUP($C$1,'تفصيلي المرتب يناير 2018'!$A$4:$BW$88,68,0)</f>
        <v>0</v>
      </c>
      <c r="AH19" s="283">
        <f>VLOOKUP($C$1,'تفصيلي المرتب يناير 2018'!$A$4:$BW$88,69,0)</f>
        <v>0</v>
      </c>
      <c r="AI19" s="283">
        <f>VLOOKUP($C$1,'تفصيلي المرتب يناير 2018'!$A$4:$BW$88,70,0)</f>
        <v>0</v>
      </c>
      <c r="AJ19" s="283">
        <f>VLOOKUP($C$1,'تفصيلي المرتب يناير 2018'!$A$4:$BW$88,71,0)</f>
        <v>0</v>
      </c>
      <c r="AK19" s="283">
        <f>VLOOKUP($C$1,'تفصيلي المرتب يناير 2018'!$A$4:$BW$88,72,0)</f>
        <v>8.75</v>
      </c>
      <c r="AL19" s="283">
        <f>VLOOKUP($C$1,'تفصيلي المرتب يناير 2018'!$A$4:$BW$88,73,0)</f>
        <v>0.41</v>
      </c>
      <c r="AM19" s="283"/>
    </row>
    <row r="20" spans="1:39" ht="15" thickBot="1" x14ac:dyDescent="0.25">
      <c r="A20" s="371">
        <v>74</v>
      </c>
      <c r="B20" s="373">
        <v>75</v>
      </c>
    </row>
    <row r="21" spans="1:39" x14ac:dyDescent="0.2">
      <c r="A21" s="369" t="s">
        <v>78</v>
      </c>
      <c r="B21" s="369" t="s">
        <v>79</v>
      </c>
    </row>
    <row r="22" spans="1:39" x14ac:dyDescent="0.2">
      <c r="A22" s="288"/>
      <c r="B22" s="288"/>
    </row>
    <row r="23" spans="1:39" ht="15.75" x14ac:dyDescent="0.25">
      <c r="A23" s="283">
        <f>VLOOKUP($C$1,'تفصيلي المرتب يناير 2018'!$A$4:$BW$88,74,0)</f>
        <v>736.04</v>
      </c>
      <c r="B23" s="283">
        <f>VLOOKUP($C$1,'تفصيلي المرتب يناير 2018'!$A$4:$BW$88,75,0)</f>
        <v>902.4</v>
      </c>
    </row>
  </sheetData>
  <mergeCells count="15">
    <mergeCell ref="A1:B1"/>
    <mergeCell ref="A17:AL17"/>
    <mergeCell ref="A21:A22"/>
    <mergeCell ref="B21:B22"/>
    <mergeCell ref="E5:G6"/>
    <mergeCell ref="A13:A14"/>
    <mergeCell ref="B13:B14"/>
    <mergeCell ref="C13:C14"/>
    <mergeCell ref="D13:D14"/>
    <mergeCell ref="E13:E14"/>
    <mergeCell ref="F13:F14"/>
    <mergeCell ref="A5:A6"/>
    <mergeCell ref="B5:B6"/>
    <mergeCell ref="C5:C6"/>
    <mergeCell ref="A9:Z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7"/>
  <dimension ref="A1:G45"/>
  <sheetViews>
    <sheetView rightToLeft="1" workbookViewId="0">
      <selection activeCell="F4" sqref="F4"/>
    </sheetView>
  </sheetViews>
  <sheetFormatPr defaultRowHeight="12.75" x14ac:dyDescent="0.2"/>
  <cols>
    <col min="1" max="2" width="9" style="40"/>
    <col min="3" max="3" width="17.75" style="40" customWidth="1"/>
    <col min="4" max="4" width="12.375" style="40" customWidth="1"/>
    <col min="5" max="5" width="17.625" style="41" customWidth="1"/>
    <col min="6" max="6" width="25.5" style="41" customWidth="1"/>
    <col min="7" max="7" width="15.625" style="40" customWidth="1"/>
    <col min="8" max="16384" width="9" style="40"/>
  </cols>
  <sheetData>
    <row r="1" spans="1:7" ht="20.25" x14ac:dyDescent="0.3">
      <c r="A1" s="331" t="s">
        <v>709</v>
      </c>
      <c r="B1" s="332"/>
      <c r="C1" s="269">
        <v>20</v>
      </c>
      <c r="D1" s="259"/>
      <c r="E1" s="260"/>
      <c r="F1" s="327"/>
      <c r="G1" s="327"/>
    </row>
    <row r="2" spans="1:7" ht="15" customHeight="1" thickBot="1" x14ac:dyDescent="0.3">
      <c r="A2" s="268"/>
      <c r="B2" s="268"/>
      <c r="C2" s="268"/>
      <c r="D2" s="259"/>
      <c r="E2" s="261"/>
      <c r="F2" s="328"/>
      <c r="G2" s="327"/>
    </row>
    <row r="3" spans="1:7" ht="19.5" thickTop="1" thickBot="1" x14ac:dyDescent="0.3">
      <c r="A3" s="267" t="s">
        <v>0</v>
      </c>
      <c r="B3" s="333" t="str">
        <f>VLOOKUP($C$1,'تفصيلي المرتب يناير 2018'!A4:$BW$88,3,0)</f>
        <v>جرجس فيليب عزيز نخله</v>
      </c>
      <c r="C3" s="334"/>
      <c r="D3" s="335"/>
      <c r="E3" s="336" t="s">
        <v>2</v>
      </c>
      <c r="F3" s="337"/>
      <c r="G3" s="327"/>
    </row>
    <row r="4" spans="1:7" ht="19.5" thickTop="1" thickBot="1" x14ac:dyDescent="0.3">
      <c r="A4" s="338">
        <f>VLOOKUP($C$1,'تفصيلي المرتب يناير 2018'!A4:$BW$88,4,0)</f>
        <v>28511172500374</v>
      </c>
      <c r="B4" s="339"/>
      <c r="C4" s="340"/>
      <c r="D4" s="262">
        <f>C13</f>
        <v>2</v>
      </c>
      <c r="E4" s="42" t="s">
        <v>3</v>
      </c>
      <c r="F4" s="43" t="str">
        <f>IF(C13=9,"كبيربدرجة مدير عام",IF(C13=1,"الاولى",IF(C13=2,"الثانية",IF(C13=3,"الثالثة",IF(C13=4,"الرابعة",IF(C13=5,"الخامسة",IF(C13=6,"السادسة",IF(C13=10,"مدير عام تنفيذى","برجاء إدخال الدرجة المالية"))))))))</f>
        <v>الثانية</v>
      </c>
      <c r="G4" s="328"/>
    </row>
    <row r="5" spans="1:7" ht="21.75" thickTop="1" thickBot="1" x14ac:dyDescent="0.35">
      <c r="A5" s="341" t="s">
        <v>5</v>
      </c>
      <c r="B5" s="342"/>
      <c r="C5" s="343"/>
      <c r="D5" s="44"/>
      <c r="E5" s="45" t="s">
        <v>6</v>
      </c>
      <c r="F5" s="46" t="s">
        <v>7</v>
      </c>
      <c r="G5" s="47" t="s">
        <v>8</v>
      </c>
    </row>
    <row r="6" spans="1:7" ht="17.25" thickTop="1" thickBot="1" x14ac:dyDescent="0.25">
      <c r="A6" s="344" t="s">
        <v>9</v>
      </c>
      <c r="B6" s="48" t="s">
        <v>10</v>
      </c>
      <c r="C6" s="49">
        <f>IFERROR(VLOOKUP(#REF!,'[3]بيانات التسوية الضريبية'!$A$3:$AC$486,4,0),0)</f>
        <v>0</v>
      </c>
      <c r="D6" s="50">
        <v>6</v>
      </c>
      <c r="E6" s="51">
        <f>C6*D6</f>
        <v>0</v>
      </c>
      <c r="F6" s="52" t="s">
        <v>11</v>
      </c>
      <c r="G6" s="53">
        <v>1</v>
      </c>
    </row>
    <row r="7" spans="1:7" ht="16.5" thickBot="1" x14ac:dyDescent="0.3">
      <c r="A7" s="344"/>
      <c r="B7" s="54" t="s">
        <v>12</v>
      </c>
      <c r="C7" s="49">
        <f>IFERROR(VLOOKUP(#REF!,'[3]بيانات التسوية الضريبية'!$A$3:$AC$486,5,0),0)</f>
        <v>0</v>
      </c>
      <c r="D7" s="264">
        <f>D6</f>
        <v>6</v>
      </c>
      <c r="E7" s="51">
        <f>C7*D7</f>
        <v>0</v>
      </c>
      <c r="F7" s="52" t="s">
        <v>13</v>
      </c>
      <c r="G7" s="55">
        <v>2</v>
      </c>
    </row>
    <row r="8" spans="1:7" ht="16.5" thickBot="1" x14ac:dyDescent="0.25">
      <c r="A8" s="345"/>
      <c r="B8" s="56" t="s">
        <v>14</v>
      </c>
      <c r="C8" s="49">
        <f>IFERROR(VLOOKUP(#REF!,'[3]بيانات التسوية الضريبية'!$A$3:$AC$486,6,0),0)</f>
        <v>0</v>
      </c>
      <c r="D8" s="265">
        <f>D6</f>
        <v>6</v>
      </c>
      <c r="E8" s="51">
        <f>C8*D8</f>
        <v>0</v>
      </c>
      <c r="F8" s="52" t="s">
        <v>15</v>
      </c>
      <c r="G8" s="53">
        <v>3</v>
      </c>
    </row>
    <row r="9" spans="1:7" ht="15.75" x14ac:dyDescent="0.2">
      <c r="A9" s="346" t="s">
        <v>16</v>
      </c>
      <c r="B9" s="57" t="s">
        <v>10</v>
      </c>
      <c r="C9" s="58">
        <f>IF(C6&lt;=1857.14,C6*1.14,IF(C6&gt;1857.14,C6*1.07+130))</f>
        <v>0</v>
      </c>
      <c r="D9" s="50">
        <v>6</v>
      </c>
      <c r="E9" s="59">
        <f t="shared" ref="E9:E12" si="0">C9*D9</f>
        <v>0</v>
      </c>
      <c r="F9" s="52" t="s">
        <v>17</v>
      </c>
      <c r="G9" s="60">
        <v>4</v>
      </c>
    </row>
    <row r="10" spans="1:7" ht="15.75" x14ac:dyDescent="0.2">
      <c r="A10" s="347"/>
      <c r="B10" s="54" t="s">
        <v>12</v>
      </c>
      <c r="C10" s="61">
        <f>'[3]بيانات التسوية الضريبية'!K84221</f>
        <v>0</v>
      </c>
      <c r="D10" s="264">
        <f>D9</f>
        <v>6</v>
      </c>
      <c r="E10" s="59">
        <f t="shared" si="0"/>
        <v>0</v>
      </c>
      <c r="F10" s="52" t="s">
        <v>18</v>
      </c>
      <c r="G10" s="60">
        <v>5</v>
      </c>
    </row>
    <row r="11" spans="1:7" ht="16.5" thickBot="1" x14ac:dyDescent="0.25">
      <c r="A11" s="348"/>
      <c r="B11" s="56" t="s">
        <v>14</v>
      </c>
      <c r="C11" s="62">
        <f>C8</f>
        <v>0</v>
      </c>
      <c r="D11" s="266">
        <f>D10</f>
        <v>6</v>
      </c>
      <c r="E11" s="59">
        <f t="shared" si="0"/>
        <v>0</v>
      </c>
      <c r="F11" s="52" t="s">
        <v>19</v>
      </c>
      <c r="G11" s="60">
        <v>6</v>
      </c>
    </row>
    <row r="12" spans="1:7" ht="16.5" thickBot="1" x14ac:dyDescent="0.25">
      <c r="A12" s="63" t="s">
        <v>20</v>
      </c>
      <c r="B12" s="63" t="s">
        <v>20</v>
      </c>
      <c r="C12" s="49">
        <f>IFERROR(VLOOKUP(#REF!,'[3]بيانات التسوية الضريبية'!$A$3:$AC$486,15,0),0)</f>
        <v>0</v>
      </c>
      <c r="D12" s="64">
        <f>D9+D6</f>
        <v>12</v>
      </c>
      <c r="E12" s="59">
        <f t="shared" si="0"/>
        <v>0</v>
      </c>
      <c r="F12" s="52" t="s">
        <v>21</v>
      </c>
      <c r="G12" s="65">
        <v>9</v>
      </c>
    </row>
    <row r="13" spans="1:7" ht="18.75" thickBot="1" x14ac:dyDescent="0.25">
      <c r="A13" s="349" t="s">
        <v>22</v>
      </c>
      <c r="B13" s="350"/>
      <c r="C13" s="263">
        <v>2</v>
      </c>
      <c r="D13" s="66"/>
      <c r="E13" s="51">
        <f>IF(C13=9,C16*10%*D12,IF(C13=10,C16*0.3*D12,0))</f>
        <v>0</v>
      </c>
      <c r="F13" s="67" t="s">
        <v>23</v>
      </c>
      <c r="G13" s="68">
        <v>10</v>
      </c>
    </row>
    <row r="14" spans="1:7" ht="16.5" thickBot="1" x14ac:dyDescent="0.25">
      <c r="A14" s="351" t="s">
        <v>24</v>
      </c>
      <c r="B14" s="352"/>
      <c r="C14" s="49">
        <f>IFERROR(VLOOKUP(#REF!,'[3]بيانات التسوية الضريبية'!$A$3:$AC$486,16,0),0)</f>
        <v>0</v>
      </c>
      <c r="D14" s="69"/>
      <c r="E14" s="70">
        <f>C14+C15</f>
        <v>0</v>
      </c>
      <c r="F14" s="71" t="s">
        <v>25</v>
      </c>
      <c r="G14" s="72"/>
    </row>
    <row r="15" spans="1:7" ht="16.5" thickBot="1" x14ac:dyDescent="0.25">
      <c r="A15" s="353" t="s">
        <v>26</v>
      </c>
      <c r="B15" s="354"/>
      <c r="C15" s="49">
        <f>IFERROR(VLOOKUP(#REF!,'[3]بيانات التسوية الضريبية'!$A$3:$AC$486,17,0),0)</f>
        <v>0</v>
      </c>
      <c r="D15" s="73"/>
      <c r="E15" s="74">
        <f>SUM(E6:E14)</f>
        <v>0</v>
      </c>
      <c r="F15" s="75" t="s">
        <v>27</v>
      </c>
      <c r="G15" s="76"/>
    </row>
    <row r="16" spans="1:7" ht="16.5" thickBot="1" x14ac:dyDescent="0.25">
      <c r="A16" s="329" t="s">
        <v>28</v>
      </c>
      <c r="B16" s="330"/>
      <c r="C16" s="49">
        <f>IFERROR(VLOOKUP(#REF!,'[3]بيانات التسوية الضريبية'!$A$3:$AC$486,18,0),0)</f>
        <v>0</v>
      </c>
      <c r="D16" s="69" t="s">
        <v>29</v>
      </c>
      <c r="E16" s="77">
        <v>0</v>
      </c>
      <c r="F16" s="78" t="s">
        <v>30</v>
      </c>
      <c r="G16" s="76"/>
    </row>
    <row r="17" spans="1:7" ht="15.75" x14ac:dyDescent="0.2">
      <c r="A17" s="308" t="s">
        <v>31</v>
      </c>
      <c r="B17" s="309"/>
      <c r="C17" s="58">
        <f>C16*1.1881</f>
        <v>0</v>
      </c>
      <c r="D17" s="79">
        <f>(C17*D6*0.13)</f>
        <v>0</v>
      </c>
      <c r="E17" s="51">
        <f>-(7000*(D6+D9)/12)</f>
        <v>-7000</v>
      </c>
      <c r="F17" s="52" t="s">
        <v>32</v>
      </c>
      <c r="G17" s="76"/>
    </row>
    <row r="18" spans="1:7" ht="16.5" thickBot="1" x14ac:dyDescent="0.25">
      <c r="A18" s="308" t="s">
        <v>33</v>
      </c>
      <c r="B18" s="309"/>
      <c r="C18" s="58">
        <f>C17*1.09</f>
        <v>0</v>
      </c>
      <c r="D18" s="79">
        <f>(C18*D9*0.13)</f>
        <v>0</v>
      </c>
      <c r="E18" s="80"/>
      <c r="F18" s="52"/>
      <c r="G18" s="76"/>
    </row>
    <row r="19" spans="1:7" ht="16.5" thickBot="1" x14ac:dyDescent="0.25">
      <c r="A19" s="310" t="s">
        <v>34</v>
      </c>
      <c r="B19" s="311"/>
      <c r="C19" s="49">
        <f>IFERROR(VLOOKUP(#REF!,'[3]بيانات التسوية الضريبية'!$A$3:$AC$486,19,0),0)</f>
        <v>0</v>
      </c>
      <c r="D19" s="81">
        <f>(C19*0.1)</f>
        <v>0</v>
      </c>
      <c r="E19" s="80"/>
      <c r="F19" s="52"/>
      <c r="G19" s="76"/>
    </row>
    <row r="20" spans="1:7" ht="16.5" thickBot="1" x14ac:dyDescent="0.25">
      <c r="A20" s="312" t="s">
        <v>35</v>
      </c>
      <c r="B20" s="313"/>
      <c r="C20" s="49">
        <f>IFERROR(VLOOKUP(#REF!,'[3]بيانات التسوية الضريبية'!$A$3:$AC$486,22,0),0)</f>
        <v>0</v>
      </c>
      <c r="D20" s="82">
        <f>D12*C20</f>
        <v>0</v>
      </c>
      <c r="E20" s="51">
        <f>SUM(D17:D20)*-1</f>
        <v>0</v>
      </c>
      <c r="F20" s="52" t="s">
        <v>36</v>
      </c>
      <c r="G20" s="76"/>
    </row>
    <row r="21" spans="1:7" ht="16.5" thickBot="1" x14ac:dyDescent="0.25">
      <c r="A21" s="314" t="s">
        <v>37</v>
      </c>
      <c r="B21" s="315"/>
      <c r="C21" s="83"/>
      <c r="D21" s="73"/>
      <c r="E21" s="84">
        <f>SUM(E15:E20)</f>
        <v>-7000</v>
      </c>
      <c r="F21" s="52" t="s">
        <v>38</v>
      </c>
      <c r="G21" s="85">
        <f>E21*0.15</f>
        <v>-1050</v>
      </c>
    </row>
    <row r="22" spans="1:7" ht="16.5" thickBot="1" x14ac:dyDescent="0.25">
      <c r="A22" s="316" t="s">
        <v>39</v>
      </c>
      <c r="B22" s="86" t="s">
        <v>40</v>
      </c>
      <c r="C22" s="49">
        <f>IFERROR(VLOOKUP(#REF!,'[3]بيانات التسوية الضريبية'!$A$3:$AC$486,23,0),0)</f>
        <v>0</v>
      </c>
      <c r="D22" s="79">
        <f>C22*D6</f>
        <v>0</v>
      </c>
      <c r="E22" s="87"/>
      <c r="F22" s="52"/>
      <c r="G22" s="72"/>
    </row>
    <row r="23" spans="1:7" ht="16.5" thickBot="1" x14ac:dyDescent="0.25">
      <c r="A23" s="317"/>
      <c r="B23" s="88" t="s">
        <v>41</v>
      </c>
      <c r="C23" s="49">
        <f>IFERROR(VLOOKUP(#REF!,'[3]بيانات التسوية الضريبية'!$A$3:$AC$486,24,0),0)</f>
        <v>0</v>
      </c>
      <c r="D23" s="79">
        <f>C23*D9</f>
        <v>0</v>
      </c>
      <c r="E23" s="87"/>
      <c r="F23" s="52"/>
      <c r="G23" s="72"/>
    </row>
    <row r="24" spans="1:7" ht="16.5" thickBot="1" x14ac:dyDescent="0.25">
      <c r="A24" s="318" t="s">
        <v>42</v>
      </c>
      <c r="B24" s="319"/>
      <c r="C24" s="49">
        <f>IFERROR(VLOOKUP(#REF!,'[3]بيانات التسوية الضريبية'!$A$3:$AC$486,25,0),0)</f>
        <v>0</v>
      </c>
      <c r="D24" s="89">
        <f>C24</f>
        <v>0</v>
      </c>
      <c r="E24" s="51">
        <f>SUM(D22:D24)</f>
        <v>0</v>
      </c>
      <c r="F24" s="52" t="s">
        <v>43</v>
      </c>
      <c r="G24" s="90"/>
    </row>
    <row r="25" spans="1:7" ht="16.5" thickBot="1" x14ac:dyDescent="0.25">
      <c r="A25" s="320" t="s">
        <v>44</v>
      </c>
      <c r="B25" s="321"/>
      <c r="C25" s="49">
        <f>IFERROR(VLOOKUP(#REF!,'[3]بيانات التسوية الضريبية'!$A$3:$AC$486,31,0),0)</f>
        <v>0</v>
      </c>
      <c r="D25" s="91"/>
      <c r="E25" s="80"/>
      <c r="F25" s="67" t="s">
        <v>45</v>
      </c>
      <c r="G25" s="92"/>
    </row>
    <row r="26" spans="1:7" ht="16.5" thickBot="1" x14ac:dyDescent="0.25">
      <c r="A26" s="93" t="s">
        <v>46</v>
      </c>
      <c r="B26" s="322" t="s">
        <v>47</v>
      </c>
      <c r="C26" s="322"/>
      <c r="D26" s="322"/>
      <c r="E26" s="80"/>
      <c r="F26" s="75" t="s">
        <v>48</v>
      </c>
      <c r="G26" s="94">
        <f>C15</f>
        <v>0</v>
      </c>
    </row>
    <row r="27" spans="1:7" ht="16.5" thickBot="1" x14ac:dyDescent="0.25">
      <c r="A27" s="95"/>
      <c r="B27" s="96" t="s">
        <v>40</v>
      </c>
      <c r="C27" s="49">
        <f>IFERROR(VLOOKUP(#REF!,'[3]بيانات التسوية الضريبية'!$A$3:$AC$486,26,0),0)</f>
        <v>0</v>
      </c>
      <c r="D27" s="97">
        <f>(C27*D6)-(C27*A27)</f>
        <v>0</v>
      </c>
      <c r="E27" s="80"/>
      <c r="F27" s="52" t="s">
        <v>49</v>
      </c>
      <c r="G27" s="98">
        <f>C25*D12</f>
        <v>0</v>
      </c>
    </row>
    <row r="28" spans="1:7" ht="16.5" thickBot="1" x14ac:dyDescent="0.25">
      <c r="A28" s="99"/>
      <c r="B28" s="100" t="s">
        <v>41</v>
      </c>
      <c r="C28" s="49">
        <f>IFERROR(VLOOKUP(#REF!,'[3]بيانات التسوية الضريبية'!$A$3:$AC$486,27,0),0)</f>
        <v>0</v>
      </c>
      <c r="D28" s="97">
        <f>(C28*D9)-(C28*A28)</f>
        <v>0</v>
      </c>
      <c r="E28" s="101"/>
      <c r="F28" s="52" t="s">
        <v>50</v>
      </c>
      <c r="G28" s="102">
        <f>(C17*D6*0.01)+(C18*D9*0.01)+(C19*0.01)</f>
        <v>0</v>
      </c>
    </row>
    <row r="29" spans="1:7" ht="16.5" thickBot="1" x14ac:dyDescent="0.25">
      <c r="A29" s="323" t="s">
        <v>51</v>
      </c>
      <c r="B29" s="324"/>
      <c r="C29" s="103"/>
      <c r="D29" s="79">
        <f>C29</f>
        <v>0</v>
      </c>
      <c r="E29" s="70">
        <f>IF(G29&lt;G21,G29,IF(G21&lt;G29,G21))</f>
        <v>-1050</v>
      </c>
      <c r="F29" s="104" t="s">
        <v>52</v>
      </c>
      <c r="G29" s="105">
        <f>SUM(G26:G28)</f>
        <v>0</v>
      </c>
    </row>
    <row r="30" spans="1:7" ht="16.5" thickBot="1" x14ac:dyDescent="0.25">
      <c r="A30" s="325" t="s">
        <v>53</v>
      </c>
      <c r="B30" s="326"/>
      <c r="C30" s="49">
        <f>IFERROR(VLOOKUP(#REF!,'[3]بيانات التسوية الضريبية'!$A$3:$AC$486,28,0),0)</f>
        <v>0</v>
      </c>
      <c r="D30" s="89">
        <f>C30*1</f>
        <v>0</v>
      </c>
      <c r="E30" s="106"/>
      <c r="F30" s="42"/>
      <c r="G30" s="107"/>
    </row>
    <row r="31" spans="1:7" ht="16.5" thickBot="1" x14ac:dyDescent="0.25">
      <c r="A31" s="306" t="s">
        <v>54</v>
      </c>
      <c r="B31" s="307"/>
      <c r="C31" s="108"/>
      <c r="D31" s="109">
        <f>SUM(D27:D30)</f>
        <v>0</v>
      </c>
      <c r="E31" s="84">
        <f>ROUND(E21-E24-E29-C32,0)</f>
        <v>-5950</v>
      </c>
      <c r="F31" s="110" t="s">
        <v>55</v>
      </c>
      <c r="G31" s="111"/>
    </row>
    <row r="32" spans="1:7" ht="15.75" x14ac:dyDescent="0.2">
      <c r="A32" s="112"/>
      <c r="B32" s="113" t="s">
        <v>56</v>
      </c>
      <c r="C32" s="114">
        <v>0</v>
      </c>
      <c r="D32" s="115">
        <v>0</v>
      </c>
      <c r="E32" s="106">
        <v>7200</v>
      </c>
      <c r="F32" s="294" t="s">
        <v>57</v>
      </c>
      <c r="G32" s="295"/>
    </row>
    <row r="33" spans="1:7" ht="15.75" x14ac:dyDescent="0.2">
      <c r="A33" s="116"/>
      <c r="B33" s="113" t="s">
        <v>58</v>
      </c>
      <c r="C33" s="117"/>
      <c r="D33" s="118">
        <f>E33*0.1</f>
        <v>0</v>
      </c>
      <c r="E33" s="59">
        <f>IF(E31&lt;7200,0,IF(E31&lt;=30000,E31-7200,IF(E31&gt;30000,22800,)))</f>
        <v>0</v>
      </c>
      <c r="F33" s="296" t="s">
        <v>59</v>
      </c>
      <c r="G33" s="297"/>
    </row>
    <row r="34" spans="1:7" ht="15.75" x14ac:dyDescent="0.2">
      <c r="A34" s="116"/>
      <c r="B34" s="113" t="s">
        <v>60</v>
      </c>
      <c r="C34" s="117"/>
      <c r="D34" s="118">
        <f>E34*0.15</f>
        <v>0</v>
      </c>
      <c r="E34" s="51">
        <f>IF(E31&lt;=30000,0,IF(E31&lt;45000,E31-30000,IF(E31&gt;=45000,15000,)))</f>
        <v>0</v>
      </c>
      <c r="F34" s="298" t="s">
        <v>61</v>
      </c>
      <c r="G34" s="299"/>
    </row>
    <row r="35" spans="1:7" ht="16.5" thickBot="1" x14ac:dyDescent="0.25">
      <c r="A35" s="116"/>
      <c r="B35" s="113" t="s">
        <v>60</v>
      </c>
      <c r="C35" s="117"/>
      <c r="D35" s="119">
        <f>E35*0.2</f>
        <v>0</v>
      </c>
      <c r="E35" s="51">
        <f>IF(E31&gt;45000,E31-45000,IF(E31&lt;45000,0))</f>
        <v>0</v>
      </c>
      <c r="F35" s="300" t="s">
        <v>62</v>
      </c>
      <c r="G35" s="301"/>
    </row>
    <row r="36" spans="1:7" ht="16.5" thickBot="1" x14ac:dyDescent="0.25">
      <c r="A36" s="302" t="s">
        <v>63</v>
      </c>
      <c r="B36" s="303"/>
      <c r="C36" s="120"/>
      <c r="D36" s="121">
        <f>SUM(D33:D35)</f>
        <v>0</v>
      </c>
      <c r="E36" s="122">
        <v>0</v>
      </c>
      <c r="F36" s="42" t="s">
        <v>64</v>
      </c>
      <c r="G36" s="123"/>
    </row>
    <row r="37" spans="1:7" ht="19.5" thickTop="1" thickBot="1" x14ac:dyDescent="0.25">
      <c r="A37" s="304" t="s">
        <v>65</v>
      </c>
      <c r="B37" s="305"/>
      <c r="C37" s="124">
        <f>IF(E31&lt;30000,80%,IF(E31&lt;45000,40%,IF(E31&gt;45000,5%,0)))</f>
        <v>0.8</v>
      </c>
      <c r="D37" s="125">
        <f>D36*C37*50%</f>
        <v>0</v>
      </c>
      <c r="E37" s="126"/>
      <c r="F37" s="127"/>
      <c r="G37" s="123"/>
    </row>
    <row r="38" spans="1:7" ht="19.5" thickTop="1" thickBot="1" x14ac:dyDescent="0.25">
      <c r="A38" s="292" t="s">
        <v>66</v>
      </c>
      <c r="B38" s="293"/>
      <c r="C38" s="128">
        <f>IF(D38&lt;0,"عليه",IF(D38&gt;0,"له",))</f>
        <v>0</v>
      </c>
      <c r="D38" s="129">
        <f>D31-(D36-D37)</f>
        <v>0</v>
      </c>
      <c r="E38" s="130"/>
      <c r="F38" s="131"/>
      <c r="G38" s="132"/>
    </row>
    <row r="39" spans="1:7" ht="17.25" thickTop="1" thickBot="1" x14ac:dyDescent="0.25">
      <c r="A39" s="133" t="s">
        <v>67</v>
      </c>
      <c r="B39" s="134"/>
      <c r="C39" s="135"/>
      <c r="D39" s="136"/>
      <c r="E39" s="130"/>
      <c r="F39" s="137"/>
      <c r="G39" s="132"/>
    </row>
    <row r="40" spans="1:7" ht="13.5" thickTop="1" x14ac:dyDescent="0.2"/>
    <row r="41" spans="1:7" x14ac:dyDescent="0.2">
      <c r="C41" s="138">
        <f>IFERROR(VLOOKUP(#REF!,'[3]بيانات التسوية الضريبية'!$A$3:$AC$486,4,0),0)</f>
        <v>0</v>
      </c>
    </row>
    <row r="42" spans="1:7" x14ac:dyDescent="0.2">
      <c r="C42" s="138">
        <f>IFERROR(VLOOKUP(#REF!,'[3]بيانات التسوية الضريبية'!$A$3:$AC$486,5,0),0)</f>
        <v>0</v>
      </c>
    </row>
    <row r="43" spans="1:7" x14ac:dyDescent="0.2">
      <c r="C43" s="138">
        <f>IFERROR(VLOOKUP(#REF!,'[3]بيانات التسوية الضريبية'!$A$3:$AC$486,6,0),0)</f>
        <v>0</v>
      </c>
    </row>
    <row r="44" spans="1:7" x14ac:dyDescent="0.2">
      <c r="C44" s="138">
        <f>IF(C6&lt;=1857.14,C6*1.14,IF(C6&gt;1857.14,C6*1.07+130))</f>
        <v>0</v>
      </c>
    </row>
    <row r="45" spans="1:7" x14ac:dyDescent="0.2">
      <c r="C45" s="138">
        <f>'[3]بيانات التسوية الضريبية'!K84221</f>
        <v>0</v>
      </c>
    </row>
  </sheetData>
  <protectedRanges>
    <protectedRange sqref="C33:C39 C31 B27:B39 A3:A39 C3:C5 B4:B25 C9:C11 C17:C18 C21 C26 C29" name="نطاق1"/>
    <protectedRange sqref="C32" name="نطاق1_1"/>
    <protectedRange sqref="C13" name="نطاق1_2"/>
  </protectedRanges>
  <mergeCells count="32">
    <mergeCell ref="G1:G4"/>
    <mergeCell ref="A16:B16"/>
    <mergeCell ref="A1:B1"/>
    <mergeCell ref="F1:F2"/>
    <mergeCell ref="B3:D3"/>
    <mergeCell ref="E3:F3"/>
    <mergeCell ref="A4:C4"/>
    <mergeCell ref="A5:C5"/>
    <mergeCell ref="A6:A8"/>
    <mergeCell ref="A9:A11"/>
    <mergeCell ref="A13:B13"/>
    <mergeCell ref="A14:B14"/>
    <mergeCell ref="A15:B15"/>
    <mergeCell ref="A31:B31"/>
    <mergeCell ref="A17:B17"/>
    <mergeCell ref="A18:B18"/>
    <mergeCell ref="A19:B19"/>
    <mergeCell ref="A20:B20"/>
    <mergeCell ref="A21:B21"/>
    <mergeCell ref="A22:A23"/>
    <mergeCell ref="A24:B24"/>
    <mergeCell ref="A25:B25"/>
    <mergeCell ref="B26:D26"/>
    <mergeCell ref="A29:B29"/>
    <mergeCell ref="A30:B30"/>
    <mergeCell ref="A38:B38"/>
    <mergeCell ref="F32:G32"/>
    <mergeCell ref="F33:G33"/>
    <mergeCell ref="F34:G34"/>
    <mergeCell ref="F35:G35"/>
    <mergeCell ref="A36:B36"/>
    <mergeCell ref="A37:B37"/>
  </mergeCells>
  <conditionalFormatting sqref="F4">
    <cfRule type="cellIs" dxfId="0" priority="1" operator="equal">
      <formula>"برجاء إدخال الدرجة المالية"</formula>
    </cfRule>
  </conditionalFormatting>
  <dataValidations count="1">
    <dataValidation type="list" allowBlank="1" showInputMessage="1" showErrorMessage="1" sqref="C13">
      <formula1>$F$4:$F$11</formula1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Y104"/>
  <sheetViews>
    <sheetView rightToLeft="1" tabSelected="1" topLeftCell="A43" workbookViewId="0">
      <selection sqref="A1:D1"/>
    </sheetView>
  </sheetViews>
  <sheetFormatPr defaultRowHeight="75" customHeight="1" x14ac:dyDescent="0.2"/>
  <cols>
    <col min="1" max="1" width="6.125" style="3" customWidth="1"/>
    <col min="2" max="2" width="19" style="3" customWidth="1"/>
    <col min="3" max="3" width="14.375" style="39" customWidth="1"/>
    <col min="4" max="4" width="16.625" style="3" customWidth="1"/>
    <col min="5" max="5" width="12.875" style="3" customWidth="1"/>
    <col min="6" max="14" width="9" style="3"/>
    <col min="15" max="15" width="9" style="3" customWidth="1"/>
    <col min="16" max="23" width="9" style="3"/>
    <col min="24" max="24" width="9.625" style="3" customWidth="1"/>
    <col min="25" max="25" width="11.375" style="3" customWidth="1"/>
    <col min="26" max="16384" width="9" style="3"/>
  </cols>
  <sheetData>
    <row r="1" spans="1:25" ht="75" customHeight="1" x14ac:dyDescent="0.2">
      <c r="A1" s="355" t="s">
        <v>227</v>
      </c>
      <c r="B1" s="356"/>
      <c r="C1" s="356"/>
      <c r="D1" s="356"/>
    </row>
    <row r="2" spans="1:25" ht="75" customHeight="1" x14ac:dyDescent="0.2">
      <c r="A2" s="4" t="s">
        <v>68</v>
      </c>
      <c r="B2" s="4" t="s">
        <v>69</v>
      </c>
      <c r="C2" s="5" t="s">
        <v>228</v>
      </c>
      <c r="D2" s="4" t="s">
        <v>229</v>
      </c>
      <c r="E2" s="6" t="s">
        <v>230</v>
      </c>
      <c r="F2" s="6" t="s">
        <v>231</v>
      </c>
      <c r="G2" s="6" t="s">
        <v>232</v>
      </c>
      <c r="H2" s="6" t="s">
        <v>233</v>
      </c>
      <c r="I2" s="6" t="s">
        <v>234</v>
      </c>
      <c r="J2" s="6" t="s">
        <v>235</v>
      </c>
      <c r="K2" s="6" t="s">
        <v>236</v>
      </c>
      <c r="L2" s="6" t="s">
        <v>237</v>
      </c>
      <c r="M2" s="7" t="s">
        <v>238</v>
      </c>
      <c r="N2" s="7" t="s">
        <v>239</v>
      </c>
      <c r="O2" s="8" t="s">
        <v>240</v>
      </c>
      <c r="P2" s="9" t="s">
        <v>241</v>
      </c>
      <c r="Q2" s="9" t="s">
        <v>242</v>
      </c>
      <c r="R2" s="9" t="s">
        <v>243</v>
      </c>
      <c r="S2" s="9" t="s">
        <v>244</v>
      </c>
      <c r="T2" s="10" t="s">
        <v>245</v>
      </c>
      <c r="U2" s="10" t="s">
        <v>246</v>
      </c>
      <c r="V2" s="9" t="s">
        <v>247</v>
      </c>
      <c r="W2" s="9" t="s">
        <v>248</v>
      </c>
      <c r="X2" s="9" t="s">
        <v>249</v>
      </c>
      <c r="Y2" s="9" t="s">
        <v>250</v>
      </c>
    </row>
    <row r="3" spans="1:25" ht="75" customHeight="1" x14ac:dyDescent="0.2">
      <c r="A3" s="11">
        <v>1</v>
      </c>
      <c r="B3" s="12" t="s">
        <v>137</v>
      </c>
      <c r="C3" s="13">
        <v>28310092500254</v>
      </c>
      <c r="D3" s="14" t="s">
        <v>251</v>
      </c>
      <c r="E3" s="15">
        <v>22704464</v>
      </c>
      <c r="F3" s="16" t="s">
        <v>252</v>
      </c>
      <c r="G3" s="16" t="s">
        <v>253</v>
      </c>
      <c r="H3" s="15">
        <v>88</v>
      </c>
      <c r="I3" s="17">
        <v>41349</v>
      </c>
      <c r="J3" s="18">
        <v>335.41</v>
      </c>
      <c r="K3" s="18">
        <v>259</v>
      </c>
      <c r="L3" s="18">
        <v>61</v>
      </c>
      <c r="M3" s="19">
        <f>K3</f>
        <v>259</v>
      </c>
      <c r="N3" s="20">
        <v>205</v>
      </c>
      <c r="O3" s="20">
        <f t="shared" ref="O3:O34" si="0">M3*N3*3/100</f>
        <v>1592.85</v>
      </c>
      <c r="P3" s="21">
        <f t="shared" ref="P3:P34" si="1">K3*28*3/100</f>
        <v>217.56</v>
      </c>
      <c r="Q3" s="22">
        <f t="shared" ref="Q3:Q34" si="2">K3*46*3/100</f>
        <v>357.42</v>
      </c>
      <c r="R3" s="21">
        <f t="shared" ref="R3:R34" si="3">K3*23*3/100</f>
        <v>178.71</v>
      </c>
      <c r="S3" s="22">
        <f t="shared" ref="S3:S34" si="4">K3</f>
        <v>259</v>
      </c>
      <c r="T3" s="21">
        <f>4.8*205*3/100</f>
        <v>29.52</v>
      </c>
      <c r="U3" s="21"/>
      <c r="V3" s="21">
        <f t="shared" ref="V3:V34" si="5">K3*10*3/100</f>
        <v>77.7</v>
      </c>
      <c r="W3" s="22">
        <f>S3</f>
        <v>259</v>
      </c>
      <c r="X3" s="22">
        <f>W3</f>
        <v>259</v>
      </c>
      <c r="Y3" s="22">
        <f>X3</f>
        <v>259</v>
      </c>
    </row>
    <row r="4" spans="1:25" ht="75" customHeight="1" x14ac:dyDescent="0.2">
      <c r="A4" s="23">
        <v>2</v>
      </c>
      <c r="B4" s="24" t="s">
        <v>254</v>
      </c>
      <c r="C4" s="25">
        <v>29109012503131</v>
      </c>
      <c r="D4" s="26"/>
      <c r="E4" s="27"/>
      <c r="F4" s="27" t="s">
        <v>252</v>
      </c>
      <c r="G4" s="27" t="s">
        <v>255</v>
      </c>
      <c r="H4" s="28">
        <v>108</v>
      </c>
      <c r="I4" s="29">
        <v>41791</v>
      </c>
      <c r="J4" s="30">
        <v>323.76</v>
      </c>
      <c r="K4" s="30">
        <v>250</v>
      </c>
      <c r="L4" s="30">
        <v>52</v>
      </c>
      <c r="M4" s="19">
        <f t="shared" ref="M4:M67" si="6">K4</f>
        <v>250</v>
      </c>
      <c r="N4" s="20">
        <v>205</v>
      </c>
      <c r="O4" s="20">
        <f t="shared" si="0"/>
        <v>1537.5</v>
      </c>
      <c r="P4" s="21">
        <f t="shared" si="1"/>
        <v>210</v>
      </c>
      <c r="Q4" s="22">
        <f t="shared" si="2"/>
        <v>345</v>
      </c>
      <c r="R4" s="21">
        <f t="shared" si="3"/>
        <v>172.5</v>
      </c>
      <c r="S4" s="22">
        <f t="shared" si="4"/>
        <v>250</v>
      </c>
      <c r="T4" s="21">
        <f t="shared" ref="T4:T67" si="7">4.8*205*3/100</f>
        <v>29.52</v>
      </c>
      <c r="U4" s="21"/>
      <c r="V4" s="21">
        <f t="shared" si="5"/>
        <v>75</v>
      </c>
      <c r="W4" s="22">
        <f t="shared" ref="W4:W67" si="8">S4</f>
        <v>250</v>
      </c>
      <c r="X4" s="22">
        <f t="shared" ref="X4:Y67" si="9">W4</f>
        <v>250</v>
      </c>
      <c r="Y4" s="22">
        <f t="shared" si="9"/>
        <v>250</v>
      </c>
    </row>
    <row r="5" spans="1:25" ht="75" customHeight="1" x14ac:dyDescent="0.2">
      <c r="A5" s="11">
        <v>3</v>
      </c>
      <c r="B5" s="12" t="s">
        <v>138</v>
      </c>
      <c r="C5" s="13">
        <v>28301132500091</v>
      </c>
      <c r="D5" s="31"/>
      <c r="E5" s="16"/>
      <c r="F5" s="16" t="s">
        <v>4</v>
      </c>
      <c r="G5" s="16" t="s">
        <v>255</v>
      </c>
      <c r="H5" s="15">
        <v>5</v>
      </c>
      <c r="I5" s="17">
        <v>40792</v>
      </c>
      <c r="J5" s="18">
        <v>336.71</v>
      </c>
      <c r="K5" s="18">
        <v>260</v>
      </c>
      <c r="L5" s="18">
        <v>62</v>
      </c>
      <c r="M5" s="19">
        <f t="shared" si="6"/>
        <v>260</v>
      </c>
      <c r="N5" s="20">
        <v>205</v>
      </c>
      <c r="O5" s="20">
        <f t="shared" si="0"/>
        <v>1599</v>
      </c>
      <c r="P5" s="21">
        <f t="shared" si="1"/>
        <v>218.4</v>
      </c>
      <c r="Q5" s="22">
        <f t="shared" si="2"/>
        <v>358.8</v>
      </c>
      <c r="R5" s="21">
        <f t="shared" si="3"/>
        <v>179.4</v>
      </c>
      <c r="S5" s="22">
        <f t="shared" si="4"/>
        <v>260</v>
      </c>
      <c r="T5" s="21">
        <f t="shared" si="7"/>
        <v>29.52</v>
      </c>
      <c r="U5" s="21"/>
      <c r="V5" s="21">
        <f t="shared" si="5"/>
        <v>78</v>
      </c>
      <c r="W5" s="22">
        <f t="shared" si="8"/>
        <v>260</v>
      </c>
      <c r="X5" s="22">
        <f t="shared" si="9"/>
        <v>260</v>
      </c>
      <c r="Y5" s="22">
        <f t="shared" si="9"/>
        <v>260</v>
      </c>
    </row>
    <row r="6" spans="1:25" ht="75" customHeight="1" x14ac:dyDescent="0.2">
      <c r="A6" s="23">
        <v>4</v>
      </c>
      <c r="B6" s="32" t="s">
        <v>140</v>
      </c>
      <c r="C6" s="25">
        <v>28606128800361</v>
      </c>
      <c r="D6" s="33"/>
      <c r="E6" s="28">
        <v>61469510</v>
      </c>
      <c r="F6" s="27" t="s">
        <v>4</v>
      </c>
      <c r="G6" s="27" t="s">
        <v>255</v>
      </c>
      <c r="H6" s="28">
        <v>7</v>
      </c>
      <c r="I6" s="29">
        <v>40950</v>
      </c>
      <c r="J6" s="30">
        <v>344.48</v>
      </c>
      <c r="K6" s="30">
        <v>266</v>
      </c>
      <c r="L6" s="30">
        <v>68</v>
      </c>
      <c r="M6" s="19">
        <f t="shared" si="6"/>
        <v>266</v>
      </c>
      <c r="N6" s="20">
        <v>205</v>
      </c>
      <c r="O6" s="20">
        <f t="shared" si="0"/>
        <v>1635.9</v>
      </c>
      <c r="P6" s="21">
        <f t="shared" si="1"/>
        <v>223.44</v>
      </c>
      <c r="Q6" s="22">
        <f t="shared" si="2"/>
        <v>367.08</v>
      </c>
      <c r="R6" s="21">
        <f t="shared" si="3"/>
        <v>183.54</v>
      </c>
      <c r="S6" s="22">
        <f t="shared" si="4"/>
        <v>266</v>
      </c>
      <c r="T6" s="21">
        <f t="shared" si="7"/>
        <v>29.52</v>
      </c>
      <c r="U6" s="21"/>
      <c r="V6" s="21">
        <f t="shared" si="5"/>
        <v>79.8</v>
      </c>
      <c r="W6" s="22">
        <f t="shared" si="8"/>
        <v>266</v>
      </c>
      <c r="X6" s="22">
        <f t="shared" si="9"/>
        <v>266</v>
      </c>
      <c r="Y6" s="22">
        <f t="shared" si="9"/>
        <v>266</v>
      </c>
    </row>
    <row r="7" spans="1:25" ht="75" customHeight="1" x14ac:dyDescent="0.2">
      <c r="A7" s="11">
        <v>5</v>
      </c>
      <c r="B7" s="12" t="s">
        <v>141</v>
      </c>
      <c r="C7" s="13">
        <v>28312138800447</v>
      </c>
      <c r="D7" s="34"/>
      <c r="E7" s="15">
        <v>61782019</v>
      </c>
      <c r="F7" s="16" t="s">
        <v>4</v>
      </c>
      <c r="G7" s="16" t="s">
        <v>253</v>
      </c>
      <c r="H7" s="15">
        <v>8</v>
      </c>
      <c r="I7" s="17">
        <v>40792</v>
      </c>
      <c r="J7" s="18">
        <v>347.07</v>
      </c>
      <c r="K7" s="18">
        <v>268</v>
      </c>
      <c r="L7" s="18">
        <v>70</v>
      </c>
      <c r="M7" s="19">
        <f t="shared" si="6"/>
        <v>268</v>
      </c>
      <c r="N7" s="20">
        <v>205</v>
      </c>
      <c r="O7" s="20">
        <f t="shared" si="0"/>
        <v>1648.2</v>
      </c>
      <c r="P7" s="21">
        <f t="shared" si="1"/>
        <v>225.12</v>
      </c>
      <c r="Q7" s="22">
        <f t="shared" si="2"/>
        <v>369.84</v>
      </c>
      <c r="R7" s="21">
        <f t="shared" si="3"/>
        <v>184.92</v>
      </c>
      <c r="S7" s="22">
        <f t="shared" si="4"/>
        <v>268</v>
      </c>
      <c r="T7" s="21">
        <f t="shared" si="7"/>
        <v>29.52</v>
      </c>
      <c r="U7" s="21"/>
      <c r="V7" s="21">
        <f t="shared" si="5"/>
        <v>80.400000000000006</v>
      </c>
      <c r="W7" s="22">
        <f t="shared" si="8"/>
        <v>268</v>
      </c>
      <c r="X7" s="22">
        <f t="shared" si="9"/>
        <v>268</v>
      </c>
      <c r="Y7" s="22">
        <f t="shared" si="9"/>
        <v>268</v>
      </c>
    </row>
    <row r="8" spans="1:25" ht="75" customHeight="1" x14ac:dyDescent="0.2">
      <c r="A8" s="23">
        <v>6</v>
      </c>
      <c r="B8" s="32" t="s">
        <v>143</v>
      </c>
      <c r="C8" s="25">
        <v>28712162500142</v>
      </c>
      <c r="D8" s="33"/>
      <c r="E8" s="28">
        <v>54110337</v>
      </c>
      <c r="F8" s="27" t="s">
        <v>252</v>
      </c>
      <c r="G8" s="27" t="s">
        <v>253</v>
      </c>
      <c r="H8" s="28">
        <v>10</v>
      </c>
      <c r="I8" s="29">
        <v>41048</v>
      </c>
      <c r="J8" s="30">
        <v>336.71</v>
      </c>
      <c r="K8" s="30">
        <v>260</v>
      </c>
      <c r="L8" s="30">
        <v>62</v>
      </c>
      <c r="M8" s="19">
        <f t="shared" si="6"/>
        <v>260</v>
      </c>
      <c r="N8" s="20">
        <v>205</v>
      </c>
      <c r="O8" s="20">
        <f t="shared" si="0"/>
        <v>1599</v>
      </c>
      <c r="P8" s="21">
        <f t="shared" si="1"/>
        <v>218.4</v>
      </c>
      <c r="Q8" s="22">
        <f t="shared" si="2"/>
        <v>358.8</v>
      </c>
      <c r="R8" s="21">
        <f t="shared" si="3"/>
        <v>179.4</v>
      </c>
      <c r="S8" s="22">
        <f t="shared" si="4"/>
        <v>260</v>
      </c>
      <c r="T8" s="21">
        <f t="shared" si="7"/>
        <v>29.52</v>
      </c>
      <c r="U8" s="21"/>
      <c r="V8" s="21">
        <f t="shared" si="5"/>
        <v>78</v>
      </c>
      <c r="W8" s="22">
        <f t="shared" si="8"/>
        <v>260</v>
      </c>
      <c r="X8" s="22">
        <f t="shared" si="9"/>
        <v>260</v>
      </c>
      <c r="Y8" s="22">
        <f t="shared" si="9"/>
        <v>260</v>
      </c>
    </row>
    <row r="9" spans="1:25" ht="75" customHeight="1" x14ac:dyDescent="0.2">
      <c r="A9" s="11">
        <v>7</v>
      </c>
      <c r="B9" s="24" t="s">
        <v>256</v>
      </c>
      <c r="C9" s="13">
        <v>28803202503668</v>
      </c>
      <c r="D9" s="34"/>
      <c r="E9" s="15">
        <v>62487791</v>
      </c>
      <c r="F9" s="16" t="s">
        <v>252</v>
      </c>
      <c r="G9" s="16" t="s">
        <v>253</v>
      </c>
      <c r="H9" s="15">
        <v>110</v>
      </c>
      <c r="I9" s="17">
        <v>41048</v>
      </c>
      <c r="J9" s="18">
        <v>336.71</v>
      </c>
      <c r="K9" s="18">
        <v>260</v>
      </c>
      <c r="L9" s="18">
        <v>62</v>
      </c>
      <c r="M9" s="19">
        <f t="shared" si="6"/>
        <v>260</v>
      </c>
      <c r="N9" s="20">
        <v>205</v>
      </c>
      <c r="O9" s="20">
        <f t="shared" si="0"/>
        <v>1599</v>
      </c>
      <c r="P9" s="21">
        <f t="shared" si="1"/>
        <v>218.4</v>
      </c>
      <c r="Q9" s="22">
        <f t="shared" si="2"/>
        <v>358.8</v>
      </c>
      <c r="R9" s="21">
        <f t="shared" si="3"/>
        <v>179.4</v>
      </c>
      <c r="S9" s="22">
        <f t="shared" si="4"/>
        <v>260</v>
      </c>
      <c r="T9" s="21">
        <f t="shared" si="7"/>
        <v>29.52</v>
      </c>
      <c r="U9" s="21"/>
      <c r="V9" s="21">
        <f t="shared" si="5"/>
        <v>78</v>
      </c>
      <c r="W9" s="22">
        <f t="shared" si="8"/>
        <v>260</v>
      </c>
      <c r="X9" s="22">
        <f t="shared" si="9"/>
        <v>260</v>
      </c>
      <c r="Y9" s="22">
        <f t="shared" si="9"/>
        <v>260</v>
      </c>
    </row>
    <row r="10" spans="1:25" ht="75" customHeight="1" x14ac:dyDescent="0.2">
      <c r="A10" s="23">
        <v>8</v>
      </c>
      <c r="B10" s="32" t="s">
        <v>144</v>
      </c>
      <c r="C10" s="25">
        <v>28510032502061</v>
      </c>
      <c r="D10" s="33"/>
      <c r="E10" s="27"/>
      <c r="F10" s="27" t="s">
        <v>4</v>
      </c>
      <c r="G10" s="27" t="s">
        <v>253</v>
      </c>
      <c r="H10" s="28">
        <v>151</v>
      </c>
      <c r="I10" s="29">
        <v>40792</v>
      </c>
      <c r="J10" s="30">
        <v>340.59</v>
      </c>
      <c r="K10" s="30">
        <v>263</v>
      </c>
      <c r="L10" s="30">
        <v>65</v>
      </c>
      <c r="M10" s="19">
        <f t="shared" si="6"/>
        <v>263</v>
      </c>
      <c r="N10" s="20">
        <v>205</v>
      </c>
      <c r="O10" s="20">
        <f t="shared" si="0"/>
        <v>1617.45</v>
      </c>
      <c r="P10" s="21">
        <f t="shared" si="1"/>
        <v>220.92</v>
      </c>
      <c r="Q10" s="22">
        <f t="shared" si="2"/>
        <v>362.94</v>
      </c>
      <c r="R10" s="21">
        <f t="shared" si="3"/>
        <v>181.47</v>
      </c>
      <c r="S10" s="22">
        <f t="shared" si="4"/>
        <v>263</v>
      </c>
      <c r="T10" s="21">
        <f t="shared" si="7"/>
        <v>29.52</v>
      </c>
      <c r="U10" s="21"/>
      <c r="V10" s="21">
        <f t="shared" si="5"/>
        <v>78.900000000000006</v>
      </c>
      <c r="W10" s="22">
        <f t="shared" si="8"/>
        <v>263</v>
      </c>
      <c r="X10" s="22">
        <f t="shared" si="9"/>
        <v>263</v>
      </c>
      <c r="Y10" s="22">
        <f t="shared" si="9"/>
        <v>263</v>
      </c>
    </row>
    <row r="11" spans="1:25" ht="75" customHeight="1" x14ac:dyDescent="0.2">
      <c r="A11" s="11">
        <v>9</v>
      </c>
      <c r="B11" s="24" t="s">
        <v>145</v>
      </c>
      <c r="C11" s="13">
        <v>28806242500229</v>
      </c>
      <c r="D11" s="34"/>
      <c r="E11" s="16"/>
      <c r="F11" s="16" t="s">
        <v>252</v>
      </c>
      <c r="G11" s="16" t="s">
        <v>253</v>
      </c>
      <c r="H11" s="15">
        <v>87</v>
      </c>
      <c r="I11" s="17">
        <v>41047</v>
      </c>
      <c r="J11" s="18">
        <v>336.71</v>
      </c>
      <c r="K11" s="18">
        <v>260</v>
      </c>
      <c r="L11" s="18">
        <v>62</v>
      </c>
      <c r="M11" s="19">
        <f t="shared" si="6"/>
        <v>260</v>
      </c>
      <c r="N11" s="20">
        <v>205</v>
      </c>
      <c r="O11" s="20">
        <f t="shared" si="0"/>
        <v>1599</v>
      </c>
      <c r="P11" s="21">
        <f t="shared" si="1"/>
        <v>218.4</v>
      </c>
      <c r="Q11" s="22">
        <f t="shared" si="2"/>
        <v>358.8</v>
      </c>
      <c r="R11" s="21">
        <f t="shared" si="3"/>
        <v>179.4</v>
      </c>
      <c r="S11" s="22">
        <f t="shared" si="4"/>
        <v>260</v>
      </c>
      <c r="T11" s="21">
        <f t="shared" si="7"/>
        <v>29.52</v>
      </c>
      <c r="U11" s="21"/>
      <c r="V11" s="21">
        <f t="shared" si="5"/>
        <v>78</v>
      </c>
      <c r="W11" s="22">
        <f t="shared" si="8"/>
        <v>260</v>
      </c>
      <c r="X11" s="22">
        <f t="shared" si="9"/>
        <v>260</v>
      </c>
      <c r="Y11" s="22">
        <f t="shared" si="9"/>
        <v>260</v>
      </c>
    </row>
    <row r="12" spans="1:25" ht="75" customHeight="1" x14ac:dyDescent="0.2">
      <c r="A12" s="23">
        <v>10</v>
      </c>
      <c r="B12" s="24" t="s">
        <v>257</v>
      </c>
      <c r="C12" s="25">
        <v>28207272500907</v>
      </c>
      <c r="D12" s="33"/>
      <c r="E12" s="27"/>
      <c r="F12" s="27" t="s">
        <v>252</v>
      </c>
      <c r="G12" s="27" t="s">
        <v>253</v>
      </c>
      <c r="H12" s="28">
        <v>14</v>
      </c>
      <c r="I12" s="29">
        <v>40936</v>
      </c>
      <c r="J12" s="30">
        <v>328.94</v>
      </c>
      <c r="K12" s="30">
        <v>254</v>
      </c>
      <c r="L12" s="30">
        <v>56</v>
      </c>
      <c r="M12" s="19">
        <f t="shared" si="6"/>
        <v>254</v>
      </c>
      <c r="N12" s="20">
        <v>205</v>
      </c>
      <c r="O12" s="20">
        <f t="shared" si="0"/>
        <v>1562.1</v>
      </c>
      <c r="P12" s="21">
        <f t="shared" si="1"/>
        <v>213.36</v>
      </c>
      <c r="Q12" s="22">
        <f t="shared" si="2"/>
        <v>350.52</v>
      </c>
      <c r="R12" s="21">
        <f t="shared" si="3"/>
        <v>175.26</v>
      </c>
      <c r="S12" s="22">
        <f t="shared" si="4"/>
        <v>254</v>
      </c>
      <c r="T12" s="21">
        <f t="shared" si="7"/>
        <v>29.52</v>
      </c>
      <c r="U12" s="21"/>
      <c r="V12" s="21">
        <f t="shared" si="5"/>
        <v>76.2</v>
      </c>
      <c r="W12" s="22">
        <f t="shared" si="8"/>
        <v>254</v>
      </c>
      <c r="X12" s="22">
        <f t="shared" si="9"/>
        <v>254</v>
      </c>
      <c r="Y12" s="22">
        <f t="shared" si="9"/>
        <v>254</v>
      </c>
    </row>
    <row r="13" spans="1:25" ht="75" customHeight="1" x14ac:dyDescent="0.2">
      <c r="A13" s="11">
        <v>11</v>
      </c>
      <c r="B13" s="12" t="s">
        <v>146</v>
      </c>
      <c r="C13" s="13">
        <v>28504252500204</v>
      </c>
      <c r="D13" s="34"/>
      <c r="E13" s="15">
        <v>25997708</v>
      </c>
      <c r="F13" s="16" t="s">
        <v>252</v>
      </c>
      <c r="G13" s="16" t="s">
        <v>255</v>
      </c>
      <c r="H13" s="15">
        <v>16</v>
      </c>
      <c r="I13" s="17">
        <v>40792</v>
      </c>
      <c r="J13" s="18">
        <v>301.08999999999997</v>
      </c>
      <c r="K13" s="18">
        <v>232.5</v>
      </c>
      <c r="L13" s="18">
        <v>62</v>
      </c>
      <c r="M13" s="19">
        <f t="shared" si="6"/>
        <v>232.5</v>
      </c>
      <c r="N13" s="20">
        <v>205</v>
      </c>
      <c r="O13" s="20">
        <f t="shared" si="0"/>
        <v>1429.875</v>
      </c>
      <c r="P13" s="21">
        <f t="shared" si="1"/>
        <v>195.3</v>
      </c>
      <c r="Q13" s="22">
        <f t="shared" si="2"/>
        <v>320.85000000000002</v>
      </c>
      <c r="R13" s="21">
        <f t="shared" si="3"/>
        <v>160.42500000000001</v>
      </c>
      <c r="S13" s="22">
        <f t="shared" si="4"/>
        <v>232.5</v>
      </c>
      <c r="T13" s="21">
        <f t="shared" si="7"/>
        <v>29.52</v>
      </c>
      <c r="U13" s="21"/>
      <c r="V13" s="21">
        <f t="shared" si="5"/>
        <v>69.75</v>
      </c>
      <c r="W13" s="22">
        <f t="shared" si="8"/>
        <v>232.5</v>
      </c>
      <c r="X13" s="22">
        <f t="shared" si="9"/>
        <v>232.5</v>
      </c>
      <c r="Y13" s="22">
        <f t="shared" si="9"/>
        <v>232.5</v>
      </c>
    </row>
    <row r="14" spans="1:25" ht="75" customHeight="1" x14ac:dyDescent="0.2">
      <c r="A14" s="23">
        <v>12</v>
      </c>
      <c r="B14" s="32" t="s">
        <v>147</v>
      </c>
      <c r="C14" s="25">
        <v>28604152500066</v>
      </c>
      <c r="D14" s="33"/>
      <c r="E14" s="27"/>
      <c r="F14" s="27" t="s">
        <v>252</v>
      </c>
      <c r="G14" s="27" t="s">
        <v>253</v>
      </c>
      <c r="H14" s="28">
        <v>14</v>
      </c>
      <c r="I14" s="29">
        <v>40950</v>
      </c>
      <c r="J14" s="30">
        <v>336.71</v>
      </c>
      <c r="K14" s="30">
        <v>260</v>
      </c>
      <c r="L14" s="30">
        <v>62</v>
      </c>
      <c r="M14" s="19">
        <f t="shared" si="6"/>
        <v>260</v>
      </c>
      <c r="N14" s="20">
        <v>205</v>
      </c>
      <c r="O14" s="20">
        <f t="shared" si="0"/>
        <v>1599</v>
      </c>
      <c r="P14" s="21">
        <f t="shared" si="1"/>
        <v>218.4</v>
      </c>
      <c r="Q14" s="22">
        <f t="shared" si="2"/>
        <v>358.8</v>
      </c>
      <c r="R14" s="21">
        <f t="shared" si="3"/>
        <v>179.4</v>
      </c>
      <c r="S14" s="22">
        <f t="shared" si="4"/>
        <v>260</v>
      </c>
      <c r="T14" s="21">
        <f t="shared" si="7"/>
        <v>29.52</v>
      </c>
      <c r="U14" s="21"/>
      <c r="V14" s="21">
        <f t="shared" si="5"/>
        <v>78</v>
      </c>
      <c r="W14" s="22">
        <f t="shared" si="8"/>
        <v>260</v>
      </c>
      <c r="X14" s="22">
        <f t="shared" si="9"/>
        <v>260</v>
      </c>
      <c r="Y14" s="22">
        <f t="shared" si="9"/>
        <v>260</v>
      </c>
    </row>
    <row r="15" spans="1:25" ht="75" customHeight="1" x14ac:dyDescent="0.2">
      <c r="A15" s="11">
        <v>13</v>
      </c>
      <c r="B15" s="12" t="s">
        <v>148</v>
      </c>
      <c r="C15" s="13">
        <v>28109162500128</v>
      </c>
      <c r="D15" s="34"/>
      <c r="E15" s="15">
        <v>2965912</v>
      </c>
      <c r="F15" s="16" t="s">
        <v>4</v>
      </c>
      <c r="G15" s="16" t="s">
        <v>253</v>
      </c>
      <c r="H15" s="15">
        <v>15</v>
      </c>
      <c r="I15" s="17">
        <v>40792</v>
      </c>
      <c r="J15" s="18">
        <v>354.84</v>
      </c>
      <c r="K15" s="18">
        <v>274</v>
      </c>
      <c r="L15" s="18">
        <v>76</v>
      </c>
      <c r="M15" s="19">
        <f t="shared" si="6"/>
        <v>274</v>
      </c>
      <c r="N15" s="20">
        <v>205</v>
      </c>
      <c r="O15" s="20">
        <f t="shared" si="0"/>
        <v>1685.1</v>
      </c>
      <c r="P15" s="21">
        <f t="shared" si="1"/>
        <v>230.16</v>
      </c>
      <c r="Q15" s="22">
        <f t="shared" si="2"/>
        <v>378.12</v>
      </c>
      <c r="R15" s="21">
        <f t="shared" si="3"/>
        <v>189.06</v>
      </c>
      <c r="S15" s="22">
        <f t="shared" si="4"/>
        <v>274</v>
      </c>
      <c r="T15" s="21">
        <f t="shared" si="7"/>
        <v>29.52</v>
      </c>
      <c r="U15" s="21"/>
      <c r="V15" s="21">
        <f t="shared" si="5"/>
        <v>82.2</v>
      </c>
      <c r="W15" s="22">
        <f t="shared" si="8"/>
        <v>274</v>
      </c>
      <c r="X15" s="22">
        <f t="shared" si="9"/>
        <v>274</v>
      </c>
      <c r="Y15" s="22">
        <f t="shared" si="9"/>
        <v>274</v>
      </c>
    </row>
    <row r="16" spans="1:25" ht="75" customHeight="1" x14ac:dyDescent="0.2">
      <c r="A16" s="23">
        <v>14</v>
      </c>
      <c r="B16" s="32" t="s">
        <v>149</v>
      </c>
      <c r="C16" s="25">
        <v>27108062500783</v>
      </c>
      <c r="D16" s="33"/>
      <c r="E16" s="28">
        <v>11841848</v>
      </c>
      <c r="F16" s="27" t="s">
        <v>4</v>
      </c>
      <c r="G16" s="27" t="s">
        <v>258</v>
      </c>
      <c r="H16" s="28">
        <v>93</v>
      </c>
      <c r="I16" s="29">
        <v>35196</v>
      </c>
      <c r="J16" s="30">
        <v>586.1</v>
      </c>
      <c r="K16" s="30">
        <v>452.58</v>
      </c>
      <c r="L16" s="30">
        <v>127</v>
      </c>
      <c r="M16" s="19">
        <f t="shared" si="6"/>
        <v>452.58</v>
      </c>
      <c r="N16" s="20">
        <v>205</v>
      </c>
      <c r="O16" s="20">
        <f t="shared" si="0"/>
        <v>2783.3669999999997</v>
      </c>
      <c r="P16" s="21">
        <f t="shared" si="1"/>
        <v>380.16720000000004</v>
      </c>
      <c r="Q16" s="22">
        <f t="shared" si="2"/>
        <v>624.56039999999996</v>
      </c>
      <c r="R16" s="21">
        <f t="shared" si="3"/>
        <v>312.28019999999998</v>
      </c>
      <c r="S16" s="22">
        <f t="shared" si="4"/>
        <v>452.58</v>
      </c>
      <c r="T16" s="21">
        <f t="shared" si="7"/>
        <v>29.52</v>
      </c>
      <c r="U16" s="21"/>
      <c r="V16" s="21">
        <f t="shared" si="5"/>
        <v>135.774</v>
      </c>
      <c r="W16" s="22">
        <f t="shared" si="8"/>
        <v>452.58</v>
      </c>
      <c r="X16" s="22">
        <f t="shared" si="9"/>
        <v>452.58</v>
      </c>
      <c r="Y16" s="22">
        <f t="shared" si="9"/>
        <v>452.58</v>
      </c>
    </row>
    <row r="17" spans="1:25" ht="75" customHeight="1" x14ac:dyDescent="0.2">
      <c r="A17" s="11">
        <v>15</v>
      </c>
      <c r="B17" s="12" t="s">
        <v>150</v>
      </c>
      <c r="C17" s="13">
        <v>27412022500064</v>
      </c>
      <c r="D17" s="34"/>
      <c r="E17" s="16"/>
      <c r="F17" s="16" t="s">
        <v>4</v>
      </c>
      <c r="G17" s="16" t="s">
        <v>253</v>
      </c>
      <c r="H17" s="15">
        <v>17</v>
      </c>
      <c r="I17" s="17">
        <v>40792</v>
      </c>
      <c r="J17" s="18">
        <v>366.49</v>
      </c>
      <c r="K17" s="18">
        <v>283</v>
      </c>
      <c r="L17" s="18">
        <v>85</v>
      </c>
      <c r="M17" s="19">
        <f t="shared" si="6"/>
        <v>283</v>
      </c>
      <c r="N17" s="20">
        <v>205</v>
      </c>
      <c r="O17" s="20">
        <f t="shared" si="0"/>
        <v>1740.45</v>
      </c>
      <c r="P17" s="21">
        <f t="shared" si="1"/>
        <v>237.72</v>
      </c>
      <c r="Q17" s="22">
        <f t="shared" si="2"/>
        <v>390.54</v>
      </c>
      <c r="R17" s="21">
        <f t="shared" si="3"/>
        <v>195.27</v>
      </c>
      <c r="S17" s="22">
        <f t="shared" si="4"/>
        <v>283</v>
      </c>
      <c r="T17" s="21">
        <f t="shared" si="7"/>
        <v>29.52</v>
      </c>
      <c r="U17" s="21"/>
      <c r="V17" s="21">
        <f t="shared" si="5"/>
        <v>84.9</v>
      </c>
      <c r="W17" s="22">
        <f t="shared" si="8"/>
        <v>283</v>
      </c>
      <c r="X17" s="22">
        <f t="shared" si="9"/>
        <v>283</v>
      </c>
      <c r="Y17" s="22">
        <f t="shared" si="9"/>
        <v>283</v>
      </c>
    </row>
    <row r="18" spans="1:25" ht="75" customHeight="1" x14ac:dyDescent="0.2">
      <c r="A18" s="23">
        <v>16</v>
      </c>
      <c r="B18" s="32" t="s">
        <v>151</v>
      </c>
      <c r="C18" s="25">
        <v>27811202502229</v>
      </c>
      <c r="D18" s="33"/>
      <c r="E18" s="28">
        <v>15479909</v>
      </c>
      <c r="F18" s="27" t="s">
        <v>4</v>
      </c>
      <c r="G18" s="27" t="s">
        <v>253</v>
      </c>
      <c r="H18" s="28">
        <v>18</v>
      </c>
      <c r="I18" s="29">
        <v>40792</v>
      </c>
      <c r="J18" s="30">
        <v>350.95</v>
      </c>
      <c r="K18" s="30">
        <v>271</v>
      </c>
      <c r="L18" s="30">
        <v>73</v>
      </c>
      <c r="M18" s="19">
        <f t="shared" si="6"/>
        <v>271</v>
      </c>
      <c r="N18" s="20">
        <v>205</v>
      </c>
      <c r="O18" s="20">
        <f t="shared" si="0"/>
        <v>1666.65</v>
      </c>
      <c r="P18" s="21">
        <f t="shared" si="1"/>
        <v>227.64</v>
      </c>
      <c r="Q18" s="22">
        <f t="shared" si="2"/>
        <v>373.98</v>
      </c>
      <c r="R18" s="21">
        <f t="shared" si="3"/>
        <v>186.99</v>
      </c>
      <c r="S18" s="22">
        <f t="shared" si="4"/>
        <v>271</v>
      </c>
      <c r="T18" s="21">
        <f t="shared" si="7"/>
        <v>29.52</v>
      </c>
      <c r="U18" s="21"/>
      <c r="V18" s="21">
        <f t="shared" si="5"/>
        <v>81.3</v>
      </c>
      <c r="W18" s="22">
        <f t="shared" si="8"/>
        <v>271</v>
      </c>
      <c r="X18" s="22">
        <f t="shared" si="9"/>
        <v>271</v>
      </c>
      <c r="Y18" s="22">
        <f t="shared" si="9"/>
        <v>271</v>
      </c>
    </row>
    <row r="19" spans="1:25" ht="75" customHeight="1" x14ac:dyDescent="0.2">
      <c r="A19" s="11">
        <v>17</v>
      </c>
      <c r="B19" s="24" t="s">
        <v>259</v>
      </c>
      <c r="C19" s="13">
        <v>28703152500285</v>
      </c>
      <c r="D19" s="34"/>
      <c r="E19" s="15">
        <v>60087040</v>
      </c>
      <c r="F19" s="16" t="s">
        <v>252</v>
      </c>
      <c r="G19" s="16" t="s">
        <v>253</v>
      </c>
      <c r="H19" s="15">
        <v>19</v>
      </c>
      <c r="I19" s="17">
        <v>41048</v>
      </c>
      <c r="J19" s="18">
        <v>336.71</v>
      </c>
      <c r="K19" s="18">
        <v>260</v>
      </c>
      <c r="L19" s="18">
        <v>62</v>
      </c>
      <c r="M19" s="19">
        <f t="shared" si="6"/>
        <v>260</v>
      </c>
      <c r="N19" s="20">
        <v>205</v>
      </c>
      <c r="O19" s="20">
        <f t="shared" si="0"/>
        <v>1599</v>
      </c>
      <c r="P19" s="21">
        <f t="shared" si="1"/>
        <v>218.4</v>
      </c>
      <c r="Q19" s="22">
        <f t="shared" si="2"/>
        <v>358.8</v>
      </c>
      <c r="R19" s="21">
        <f t="shared" si="3"/>
        <v>179.4</v>
      </c>
      <c r="S19" s="22">
        <f t="shared" si="4"/>
        <v>260</v>
      </c>
      <c r="T19" s="21">
        <f t="shared" si="7"/>
        <v>29.52</v>
      </c>
      <c r="U19" s="21"/>
      <c r="V19" s="21">
        <f t="shared" si="5"/>
        <v>78</v>
      </c>
      <c r="W19" s="22">
        <f t="shared" si="8"/>
        <v>260</v>
      </c>
      <c r="X19" s="22">
        <f t="shared" si="9"/>
        <v>260</v>
      </c>
      <c r="Y19" s="22">
        <f t="shared" si="9"/>
        <v>260</v>
      </c>
    </row>
    <row r="20" spans="1:25" ht="75" customHeight="1" x14ac:dyDescent="0.2">
      <c r="A20" s="23">
        <v>18</v>
      </c>
      <c r="B20" s="24" t="s">
        <v>260</v>
      </c>
      <c r="C20" s="25">
        <v>28405132500181</v>
      </c>
      <c r="D20" s="33"/>
      <c r="E20" s="27"/>
      <c r="F20" s="27" t="s">
        <v>252</v>
      </c>
      <c r="G20" s="27" t="s">
        <v>253</v>
      </c>
      <c r="H20" s="28">
        <v>20</v>
      </c>
      <c r="I20" s="29">
        <v>40792</v>
      </c>
      <c r="J20" s="30">
        <v>340.59</v>
      </c>
      <c r="K20" s="30">
        <v>263</v>
      </c>
      <c r="L20" s="30">
        <v>65</v>
      </c>
      <c r="M20" s="19">
        <f t="shared" si="6"/>
        <v>263</v>
      </c>
      <c r="N20" s="20">
        <v>205</v>
      </c>
      <c r="O20" s="20">
        <f t="shared" si="0"/>
        <v>1617.45</v>
      </c>
      <c r="P20" s="21">
        <f t="shared" si="1"/>
        <v>220.92</v>
      </c>
      <c r="Q20" s="22">
        <f t="shared" si="2"/>
        <v>362.94</v>
      </c>
      <c r="R20" s="21">
        <f t="shared" si="3"/>
        <v>181.47</v>
      </c>
      <c r="S20" s="22">
        <f t="shared" si="4"/>
        <v>263</v>
      </c>
      <c r="T20" s="21">
        <f t="shared" si="7"/>
        <v>29.52</v>
      </c>
      <c r="U20" s="21"/>
      <c r="V20" s="21">
        <f t="shared" si="5"/>
        <v>78.900000000000006</v>
      </c>
      <c r="W20" s="22">
        <f t="shared" si="8"/>
        <v>263</v>
      </c>
      <c r="X20" s="22">
        <f t="shared" si="9"/>
        <v>263</v>
      </c>
      <c r="Y20" s="22">
        <f t="shared" si="9"/>
        <v>263</v>
      </c>
    </row>
    <row r="21" spans="1:25" ht="75" customHeight="1" x14ac:dyDescent="0.2">
      <c r="A21" s="11">
        <v>19</v>
      </c>
      <c r="B21" s="12" t="s">
        <v>152</v>
      </c>
      <c r="C21" s="13">
        <v>28009172501861</v>
      </c>
      <c r="D21" s="34"/>
      <c r="E21" s="16"/>
      <c r="F21" s="16" t="s">
        <v>4</v>
      </c>
      <c r="G21" s="16" t="s">
        <v>255</v>
      </c>
      <c r="H21" s="15">
        <v>92</v>
      </c>
      <c r="I21" s="17">
        <v>40792</v>
      </c>
      <c r="J21" s="18">
        <v>360.02</v>
      </c>
      <c r="K21" s="18">
        <v>278</v>
      </c>
      <c r="L21" s="18">
        <v>80</v>
      </c>
      <c r="M21" s="19">
        <f t="shared" si="6"/>
        <v>278</v>
      </c>
      <c r="N21" s="20">
        <v>205</v>
      </c>
      <c r="O21" s="20">
        <f t="shared" si="0"/>
        <v>1709.7</v>
      </c>
      <c r="P21" s="21">
        <f t="shared" si="1"/>
        <v>233.52</v>
      </c>
      <c r="Q21" s="22">
        <f t="shared" si="2"/>
        <v>383.64</v>
      </c>
      <c r="R21" s="21">
        <f t="shared" si="3"/>
        <v>191.82</v>
      </c>
      <c r="S21" s="22">
        <f t="shared" si="4"/>
        <v>278</v>
      </c>
      <c r="T21" s="21">
        <f t="shared" si="7"/>
        <v>29.52</v>
      </c>
      <c r="U21" s="21"/>
      <c r="V21" s="21">
        <f t="shared" si="5"/>
        <v>83.4</v>
      </c>
      <c r="W21" s="22">
        <f t="shared" si="8"/>
        <v>278</v>
      </c>
      <c r="X21" s="22">
        <f t="shared" si="9"/>
        <v>278</v>
      </c>
      <c r="Y21" s="22">
        <f t="shared" si="9"/>
        <v>278</v>
      </c>
    </row>
    <row r="22" spans="1:25" ht="75" customHeight="1" x14ac:dyDescent="0.2">
      <c r="A22" s="23">
        <v>20</v>
      </c>
      <c r="B22" s="32" t="s">
        <v>153</v>
      </c>
      <c r="C22" s="25">
        <v>28401292500181</v>
      </c>
      <c r="D22" s="33"/>
      <c r="E22" s="28">
        <v>216997434</v>
      </c>
      <c r="F22" s="27" t="s">
        <v>4</v>
      </c>
      <c r="G22" s="27" t="s">
        <v>253</v>
      </c>
      <c r="H22" s="28">
        <v>21</v>
      </c>
      <c r="I22" s="29">
        <v>40792</v>
      </c>
      <c r="J22" s="30">
        <v>341.89</v>
      </c>
      <c r="K22" s="30">
        <v>264</v>
      </c>
      <c r="L22" s="30">
        <v>66</v>
      </c>
      <c r="M22" s="19">
        <f t="shared" si="6"/>
        <v>264</v>
      </c>
      <c r="N22" s="20">
        <v>205</v>
      </c>
      <c r="O22" s="20">
        <f t="shared" si="0"/>
        <v>1623.6</v>
      </c>
      <c r="P22" s="21">
        <f t="shared" si="1"/>
        <v>221.76</v>
      </c>
      <c r="Q22" s="22">
        <f t="shared" si="2"/>
        <v>364.32</v>
      </c>
      <c r="R22" s="21">
        <f t="shared" si="3"/>
        <v>182.16</v>
      </c>
      <c r="S22" s="22">
        <f t="shared" si="4"/>
        <v>264</v>
      </c>
      <c r="T22" s="21">
        <f t="shared" si="7"/>
        <v>29.52</v>
      </c>
      <c r="U22" s="21"/>
      <c r="V22" s="21">
        <f t="shared" si="5"/>
        <v>79.2</v>
      </c>
      <c r="W22" s="22">
        <f t="shared" si="8"/>
        <v>264</v>
      </c>
      <c r="X22" s="22">
        <f t="shared" si="9"/>
        <v>264</v>
      </c>
      <c r="Y22" s="22">
        <f t="shared" si="9"/>
        <v>264</v>
      </c>
    </row>
    <row r="23" spans="1:25" ht="75" customHeight="1" x14ac:dyDescent="0.2">
      <c r="A23" s="11">
        <v>21</v>
      </c>
      <c r="B23" s="12" t="s">
        <v>154</v>
      </c>
      <c r="C23" s="13">
        <v>28302182500226</v>
      </c>
      <c r="D23" s="34"/>
      <c r="E23" s="16"/>
      <c r="F23" s="16" t="s">
        <v>4</v>
      </c>
      <c r="G23" s="16" t="s">
        <v>255</v>
      </c>
      <c r="H23" s="15">
        <v>107</v>
      </c>
      <c r="I23" s="17">
        <v>40792</v>
      </c>
      <c r="J23" s="18">
        <v>354.84</v>
      </c>
      <c r="K23" s="18">
        <v>274</v>
      </c>
      <c r="L23" s="18">
        <v>76</v>
      </c>
      <c r="M23" s="19">
        <f t="shared" si="6"/>
        <v>274</v>
      </c>
      <c r="N23" s="20">
        <v>205</v>
      </c>
      <c r="O23" s="20">
        <f t="shared" si="0"/>
        <v>1685.1</v>
      </c>
      <c r="P23" s="21">
        <f t="shared" si="1"/>
        <v>230.16</v>
      </c>
      <c r="Q23" s="22">
        <f t="shared" si="2"/>
        <v>378.12</v>
      </c>
      <c r="R23" s="21">
        <f t="shared" si="3"/>
        <v>189.06</v>
      </c>
      <c r="S23" s="22">
        <f t="shared" si="4"/>
        <v>274</v>
      </c>
      <c r="T23" s="21">
        <f t="shared" si="7"/>
        <v>29.52</v>
      </c>
      <c r="U23" s="21"/>
      <c r="V23" s="21">
        <f t="shared" si="5"/>
        <v>82.2</v>
      </c>
      <c r="W23" s="22">
        <f t="shared" si="8"/>
        <v>274</v>
      </c>
      <c r="X23" s="22">
        <f t="shared" si="9"/>
        <v>274</v>
      </c>
      <c r="Y23" s="22">
        <f t="shared" si="9"/>
        <v>274</v>
      </c>
    </row>
    <row r="24" spans="1:25" ht="75" customHeight="1" x14ac:dyDescent="0.2">
      <c r="A24" s="23">
        <v>22</v>
      </c>
      <c r="B24" s="32" t="s">
        <v>155</v>
      </c>
      <c r="C24" s="25">
        <v>28009152500311</v>
      </c>
      <c r="D24" s="33"/>
      <c r="E24" s="28">
        <v>15459840</v>
      </c>
      <c r="F24" s="27" t="s">
        <v>4</v>
      </c>
      <c r="G24" s="27" t="s">
        <v>261</v>
      </c>
      <c r="H24" s="28">
        <v>22</v>
      </c>
      <c r="I24" s="29">
        <v>40792</v>
      </c>
      <c r="J24" s="30">
        <v>349.66</v>
      </c>
      <c r="K24" s="30">
        <v>270</v>
      </c>
      <c r="L24" s="30">
        <v>72</v>
      </c>
      <c r="M24" s="19">
        <f t="shared" si="6"/>
        <v>270</v>
      </c>
      <c r="N24" s="20">
        <v>205</v>
      </c>
      <c r="O24" s="20">
        <f t="shared" si="0"/>
        <v>1660.5</v>
      </c>
      <c r="P24" s="21">
        <f t="shared" si="1"/>
        <v>226.8</v>
      </c>
      <c r="Q24" s="22">
        <f t="shared" si="2"/>
        <v>372.6</v>
      </c>
      <c r="R24" s="21">
        <f t="shared" si="3"/>
        <v>186.3</v>
      </c>
      <c r="S24" s="22">
        <f t="shared" si="4"/>
        <v>270</v>
      </c>
      <c r="T24" s="21">
        <f t="shared" si="7"/>
        <v>29.52</v>
      </c>
      <c r="U24" s="21"/>
      <c r="V24" s="21">
        <f t="shared" si="5"/>
        <v>81</v>
      </c>
      <c r="W24" s="22">
        <f t="shared" si="8"/>
        <v>270</v>
      </c>
      <c r="X24" s="22">
        <f t="shared" si="9"/>
        <v>270</v>
      </c>
      <c r="Y24" s="22">
        <f t="shared" si="9"/>
        <v>270</v>
      </c>
    </row>
    <row r="25" spans="1:25" ht="75" customHeight="1" x14ac:dyDescent="0.2">
      <c r="A25" s="11">
        <v>23</v>
      </c>
      <c r="B25" s="12" t="s">
        <v>156</v>
      </c>
      <c r="C25" s="13">
        <v>28511172500374</v>
      </c>
      <c r="D25" s="34"/>
      <c r="E25" s="15">
        <v>60238698</v>
      </c>
      <c r="F25" s="16" t="s">
        <v>4</v>
      </c>
      <c r="G25" s="16" t="s">
        <v>255</v>
      </c>
      <c r="H25" s="15">
        <v>23</v>
      </c>
      <c r="I25" s="17">
        <v>40792</v>
      </c>
      <c r="J25" s="18">
        <v>340.59</v>
      </c>
      <c r="K25" s="18">
        <v>263</v>
      </c>
      <c r="L25" s="18">
        <v>65</v>
      </c>
      <c r="M25" s="19">
        <f t="shared" si="6"/>
        <v>263</v>
      </c>
      <c r="N25" s="20">
        <v>205</v>
      </c>
      <c r="O25" s="20">
        <f t="shared" si="0"/>
        <v>1617.45</v>
      </c>
      <c r="P25" s="21">
        <f t="shared" si="1"/>
        <v>220.92</v>
      </c>
      <c r="Q25" s="22">
        <f t="shared" si="2"/>
        <v>362.94</v>
      </c>
      <c r="R25" s="21">
        <f t="shared" si="3"/>
        <v>181.47</v>
      </c>
      <c r="S25" s="22">
        <f t="shared" si="4"/>
        <v>263</v>
      </c>
      <c r="T25" s="21">
        <f t="shared" si="7"/>
        <v>29.52</v>
      </c>
      <c r="U25" s="21"/>
      <c r="V25" s="21">
        <f t="shared" si="5"/>
        <v>78.900000000000006</v>
      </c>
      <c r="W25" s="22">
        <f t="shared" si="8"/>
        <v>263</v>
      </c>
      <c r="X25" s="22">
        <f t="shared" si="9"/>
        <v>263</v>
      </c>
      <c r="Y25" s="22">
        <f t="shared" si="9"/>
        <v>263</v>
      </c>
    </row>
    <row r="26" spans="1:25" ht="75" customHeight="1" x14ac:dyDescent="0.2">
      <c r="A26" s="23">
        <v>24</v>
      </c>
      <c r="B26" s="24" t="s">
        <v>262</v>
      </c>
      <c r="C26" s="25">
        <v>27209212500222</v>
      </c>
      <c r="D26" s="33"/>
      <c r="E26" s="28">
        <v>7505718</v>
      </c>
      <c r="F26" s="27" t="s">
        <v>4</v>
      </c>
      <c r="G26" s="27" t="s">
        <v>253</v>
      </c>
      <c r="H26" s="28">
        <v>89</v>
      </c>
      <c r="I26" s="29">
        <v>34113</v>
      </c>
      <c r="J26" s="30">
        <v>685.26</v>
      </c>
      <c r="K26" s="30">
        <v>529.15</v>
      </c>
      <c r="L26" s="30">
        <v>154</v>
      </c>
      <c r="M26" s="19">
        <f t="shared" si="6"/>
        <v>529.15</v>
      </c>
      <c r="N26" s="20">
        <v>205</v>
      </c>
      <c r="O26" s="20">
        <f t="shared" si="0"/>
        <v>3254.2725</v>
      </c>
      <c r="P26" s="21">
        <f t="shared" si="1"/>
        <v>444.48599999999999</v>
      </c>
      <c r="Q26" s="22">
        <f t="shared" si="2"/>
        <v>730.22699999999998</v>
      </c>
      <c r="R26" s="21">
        <f t="shared" si="3"/>
        <v>365.11349999999999</v>
      </c>
      <c r="S26" s="22">
        <f t="shared" si="4"/>
        <v>529.15</v>
      </c>
      <c r="T26" s="21">
        <f t="shared" si="7"/>
        <v>29.52</v>
      </c>
      <c r="U26" s="21"/>
      <c r="V26" s="21">
        <f t="shared" si="5"/>
        <v>158.745</v>
      </c>
      <c r="W26" s="22">
        <f t="shared" si="8"/>
        <v>529.15</v>
      </c>
      <c r="X26" s="22">
        <f t="shared" si="9"/>
        <v>529.15</v>
      </c>
      <c r="Y26" s="22">
        <f t="shared" si="9"/>
        <v>529.15</v>
      </c>
    </row>
    <row r="27" spans="1:25" ht="75" customHeight="1" x14ac:dyDescent="0.2">
      <c r="A27" s="11">
        <v>25</v>
      </c>
      <c r="B27" s="12" t="s">
        <v>263</v>
      </c>
      <c r="C27" s="13">
        <v>28606012505753</v>
      </c>
      <c r="D27" s="34"/>
      <c r="E27" s="15">
        <v>15467903</v>
      </c>
      <c r="F27" s="16" t="s">
        <v>252</v>
      </c>
      <c r="G27" s="16" t="s">
        <v>255</v>
      </c>
      <c r="H27" s="15">
        <v>24</v>
      </c>
      <c r="I27" s="17">
        <v>41048</v>
      </c>
      <c r="J27" s="18">
        <v>336.71</v>
      </c>
      <c r="K27" s="18">
        <v>260</v>
      </c>
      <c r="L27" s="18">
        <v>62</v>
      </c>
      <c r="M27" s="19">
        <f t="shared" si="6"/>
        <v>260</v>
      </c>
      <c r="N27" s="20">
        <v>205</v>
      </c>
      <c r="O27" s="20">
        <f t="shared" si="0"/>
        <v>1599</v>
      </c>
      <c r="P27" s="21">
        <f t="shared" si="1"/>
        <v>218.4</v>
      </c>
      <c r="Q27" s="22">
        <f t="shared" si="2"/>
        <v>358.8</v>
      </c>
      <c r="R27" s="21">
        <f t="shared" si="3"/>
        <v>179.4</v>
      </c>
      <c r="S27" s="22">
        <f t="shared" si="4"/>
        <v>260</v>
      </c>
      <c r="T27" s="21">
        <f t="shared" si="7"/>
        <v>29.52</v>
      </c>
      <c r="U27" s="21"/>
      <c r="V27" s="21">
        <f t="shared" si="5"/>
        <v>78</v>
      </c>
      <c r="W27" s="22">
        <f t="shared" si="8"/>
        <v>260</v>
      </c>
      <c r="X27" s="22">
        <f t="shared" si="9"/>
        <v>260</v>
      </c>
      <c r="Y27" s="22">
        <f t="shared" si="9"/>
        <v>260</v>
      </c>
    </row>
    <row r="28" spans="1:25" ht="75" customHeight="1" x14ac:dyDescent="0.2">
      <c r="A28" s="23">
        <v>26</v>
      </c>
      <c r="B28" s="32" t="s">
        <v>157</v>
      </c>
      <c r="C28" s="25">
        <v>28710202500351</v>
      </c>
      <c r="D28" s="33"/>
      <c r="E28" s="28">
        <v>13008595</v>
      </c>
      <c r="F28" s="27" t="s">
        <v>252</v>
      </c>
      <c r="G28" s="27" t="s">
        <v>255</v>
      </c>
      <c r="H28" s="28">
        <v>25</v>
      </c>
      <c r="I28" s="29">
        <v>41048</v>
      </c>
      <c r="J28" s="30">
        <v>340.59</v>
      </c>
      <c r="K28" s="30">
        <v>263</v>
      </c>
      <c r="L28" s="30">
        <v>65</v>
      </c>
      <c r="M28" s="19">
        <f t="shared" si="6"/>
        <v>263</v>
      </c>
      <c r="N28" s="20">
        <v>205</v>
      </c>
      <c r="O28" s="20">
        <f t="shared" si="0"/>
        <v>1617.45</v>
      </c>
      <c r="P28" s="21">
        <f t="shared" si="1"/>
        <v>220.92</v>
      </c>
      <c r="Q28" s="22">
        <f t="shared" si="2"/>
        <v>362.94</v>
      </c>
      <c r="R28" s="21">
        <f t="shared" si="3"/>
        <v>181.47</v>
      </c>
      <c r="S28" s="22">
        <f t="shared" si="4"/>
        <v>263</v>
      </c>
      <c r="T28" s="21">
        <f t="shared" si="7"/>
        <v>29.52</v>
      </c>
      <c r="U28" s="21"/>
      <c r="V28" s="21">
        <f t="shared" si="5"/>
        <v>78.900000000000006</v>
      </c>
      <c r="W28" s="22">
        <f t="shared" si="8"/>
        <v>263</v>
      </c>
      <c r="X28" s="22">
        <f t="shared" si="9"/>
        <v>263</v>
      </c>
      <c r="Y28" s="22">
        <f t="shared" si="9"/>
        <v>263</v>
      </c>
    </row>
    <row r="29" spans="1:25" ht="75" customHeight="1" x14ac:dyDescent="0.2">
      <c r="A29" s="11">
        <v>27</v>
      </c>
      <c r="B29" s="24" t="s">
        <v>264</v>
      </c>
      <c r="C29" s="13">
        <v>27712172500287</v>
      </c>
      <c r="D29" s="34"/>
      <c r="E29" s="15">
        <v>14447385</v>
      </c>
      <c r="F29" s="16" t="s">
        <v>252</v>
      </c>
      <c r="G29" s="16" t="s">
        <v>253</v>
      </c>
      <c r="H29" s="15">
        <v>26</v>
      </c>
      <c r="I29" s="17">
        <v>40939</v>
      </c>
      <c r="J29" s="18">
        <v>340.59</v>
      </c>
      <c r="K29" s="18">
        <v>263</v>
      </c>
      <c r="L29" s="18">
        <v>65</v>
      </c>
      <c r="M29" s="19">
        <f t="shared" si="6"/>
        <v>263</v>
      </c>
      <c r="N29" s="20">
        <v>205</v>
      </c>
      <c r="O29" s="20">
        <f t="shared" si="0"/>
        <v>1617.45</v>
      </c>
      <c r="P29" s="21">
        <f t="shared" si="1"/>
        <v>220.92</v>
      </c>
      <c r="Q29" s="22">
        <f t="shared" si="2"/>
        <v>362.94</v>
      </c>
      <c r="R29" s="21">
        <f t="shared" si="3"/>
        <v>181.47</v>
      </c>
      <c r="S29" s="22">
        <f t="shared" si="4"/>
        <v>263</v>
      </c>
      <c r="T29" s="21">
        <f t="shared" si="7"/>
        <v>29.52</v>
      </c>
      <c r="U29" s="21"/>
      <c r="V29" s="21">
        <f t="shared" si="5"/>
        <v>78.900000000000006</v>
      </c>
      <c r="W29" s="22">
        <f t="shared" si="8"/>
        <v>263</v>
      </c>
      <c r="X29" s="22">
        <f t="shared" si="9"/>
        <v>263</v>
      </c>
      <c r="Y29" s="22">
        <f t="shared" si="9"/>
        <v>263</v>
      </c>
    </row>
    <row r="30" spans="1:25" ht="75" customHeight="1" x14ac:dyDescent="0.2">
      <c r="A30" s="23">
        <v>28</v>
      </c>
      <c r="B30" s="32" t="s">
        <v>158</v>
      </c>
      <c r="C30" s="25">
        <v>28102032500229</v>
      </c>
      <c r="D30" s="33"/>
      <c r="E30" s="28">
        <v>18217477</v>
      </c>
      <c r="F30" s="27" t="s">
        <v>4</v>
      </c>
      <c r="G30" s="27" t="s">
        <v>253</v>
      </c>
      <c r="H30" s="28">
        <v>27</v>
      </c>
      <c r="I30" s="29">
        <v>40792</v>
      </c>
      <c r="J30" s="30">
        <v>360.02</v>
      </c>
      <c r="K30" s="30">
        <v>278</v>
      </c>
      <c r="L30" s="30">
        <v>80</v>
      </c>
      <c r="M30" s="19">
        <f t="shared" si="6"/>
        <v>278</v>
      </c>
      <c r="N30" s="20">
        <v>205</v>
      </c>
      <c r="O30" s="20">
        <f t="shared" si="0"/>
        <v>1709.7</v>
      </c>
      <c r="P30" s="21">
        <f t="shared" si="1"/>
        <v>233.52</v>
      </c>
      <c r="Q30" s="22">
        <f t="shared" si="2"/>
        <v>383.64</v>
      </c>
      <c r="R30" s="21">
        <f t="shared" si="3"/>
        <v>191.82</v>
      </c>
      <c r="S30" s="22">
        <f t="shared" si="4"/>
        <v>278</v>
      </c>
      <c r="T30" s="21">
        <f t="shared" si="7"/>
        <v>29.52</v>
      </c>
      <c r="U30" s="21"/>
      <c r="V30" s="21">
        <f t="shared" si="5"/>
        <v>83.4</v>
      </c>
      <c r="W30" s="22">
        <f t="shared" si="8"/>
        <v>278</v>
      </c>
      <c r="X30" s="22">
        <f t="shared" si="9"/>
        <v>278</v>
      </c>
      <c r="Y30" s="22">
        <f t="shared" si="9"/>
        <v>278</v>
      </c>
    </row>
    <row r="31" spans="1:25" ht="75" customHeight="1" x14ac:dyDescent="0.2">
      <c r="A31" s="11">
        <v>29</v>
      </c>
      <c r="B31" s="12" t="s">
        <v>159</v>
      </c>
      <c r="C31" s="13">
        <v>29208022500243</v>
      </c>
      <c r="D31" s="34"/>
      <c r="E31" s="16"/>
      <c r="F31" s="16" t="s">
        <v>252</v>
      </c>
      <c r="G31" s="16" t="s">
        <v>255</v>
      </c>
      <c r="H31" s="15">
        <v>152</v>
      </c>
      <c r="I31" s="17">
        <v>42161</v>
      </c>
      <c r="J31" s="18">
        <v>318.58</v>
      </c>
      <c r="K31" s="18">
        <v>246</v>
      </c>
      <c r="L31" s="18">
        <v>48</v>
      </c>
      <c r="M31" s="19">
        <f t="shared" si="6"/>
        <v>246</v>
      </c>
      <c r="N31" s="20">
        <v>205</v>
      </c>
      <c r="O31" s="20">
        <f t="shared" si="0"/>
        <v>1512.9</v>
      </c>
      <c r="P31" s="21">
        <f t="shared" si="1"/>
        <v>206.64</v>
      </c>
      <c r="Q31" s="22">
        <f t="shared" si="2"/>
        <v>339.48</v>
      </c>
      <c r="R31" s="21">
        <f t="shared" si="3"/>
        <v>169.74</v>
      </c>
      <c r="S31" s="22">
        <f t="shared" si="4"/>
        <v>246</v>
      </c>
      <c r="T31" s="21">
        <f t="shared" si="7"/>
        <v>29.52</v>
      </c>
      <c r="U31" s="21"/>
      <c r="V31" s="21">
        <f t="shared" si="5"/>
        <v>73.8</v>
      </c>
      <c r="W31" s="22">
        <f t="shared" si="8"/>
        <v>246</v>
      </c>
      <c r="X31" s="22">
        <f t="shared" si="9"/>
        <v>246</v>
      </c>
      <c r="Y31" s="22">
        <f t="shared" si="9"/>
        <v>246</v>
      </c>
    </row>
    <row r="32" spans="1:25" ht="75" customHeight="1" x14ac:dyDescent="0.2">
      <c r="A32" s="23">
        <v>30</v>
      </c>
      <c r="B32" s="32" t="s">
        <v>160</v>
      </c>
      <c r="C32" s="25">
        <v>28606212500276</v>
      </c>
      <c r="D32" s="33"/>
      <c r="E32" s="28">
        <v>6954182</v>
      </c>
      <c r="F32" s="27" t="s">
        <v>252</v>
      </c>
      <c r="G32" s="27" t="s">
        <v>253</v>
      </c>
      <c r="H32" s="28">
        <v>28</v>
      </c>
      <c r="I32" s="29">
        <v>40950</v>
      </c>
      <c r="J32" s="30">
        <v>340.59</v>
      </c>
      <c r="K32" s="30">
        <v>263</v>
      </c>
      <c r="L32" s="30">
        <v>65</v>
      </c>
      <c r="M32" s="19">
        <f t="shared" si="6"/>
        <v>263</v>
      </c>
      <c r="N32" s="20">
        <v>205</v>
      </c>
      <c r="O32" s="20">
        <f t="shared" si="0"/>
        <v>1617.45</v>
      </c>
      <c r="P32" s="21">
        <f t="shared" si="1"/>
        <v>220.92</v>
      </c>
      <c r="Q32" s="22">
        <f t="shared" si="2"/>
        <v>362.94</v>
      </c>
      <c r="R32" s="21">
        <f t="shared" si="3"/>
        <v>181.47</v>
      </c>
      <c r="S32" s="22">
        <f t="shared" si="4"/>
        <v>263</v>
      </c>
      <c r="T32" s="21">
        <f t="shared" si="7"/>
        <v>29.52</v>
      </c>
      <c r="U32" s="21"/>
      <c r="V32" s="21">
        <f t="shared" si="5"/>
        <v>78.900000000000006</v>
      </c>
      <c r="W32" s="22">
        <f t="shared" si="8"/>
        <v>263</v>
      </c>
      <c r="X32" s="22">
        <f t="shared" si="9"/>
        <v>263</v>
      </c>
      <c r="Y32" s="22">
        <f t="shared" si="9"/>
        <v>263</v>
      </c>
    </row>
    <row r="33" spans="1:25" ht="75" customHeight="1" x14ac:dyDescent="0.2">
      <c r="A33" s="11">
        <v>31</v>
      </c>
      <c r="B33" s="24" t="s">
        <v>223</v>
      </c>
      <c r="C33" s="13">
        <v>28211082500321</v>
      </c>
      <c r="D33" s="34"/>
      <c r="E33" s="15">
        <v>474038968</v>
      </c>
      <c r="F33" s="16" t="s">
        <v>252</v>
      </c>
      <c r="G33" s="16" t="s">
        <v>253</v>
      </c>
      <c r="H33" s="15">
        <v>153</v>
      </c>
      <c r="I33" s="17">
        <v>42147</v>
      </c>
      <c r="J33" s="18">
        <v>326.35000000000002</v>
      </c>
      <c r="K33" s="18">
        <v>252</v>
      </c>
      <c r="L33" s="18">
        <v>54</v>
      </c>
      <c r="M33" s="19">
        <f t="shared" si="6"/>
        <v>252</v>
      </c>
      <c r="N33" s="20">
        <v>205</v>
      </c>
      <c r="O33" s="20">
        <f t="shared" si="0"/>
        <v>1549.8</v>
      </c>
      <c r="P33" s="21">
        <f t="shared" si="1"/>
        <v>211.68</v>
      </c>
      <c r="Q33" s="22">
        <f t="shared" si="2"/>
        <v>347.76</v>
      </c>
      <c r="R33" s="21">
        <f t="shared" si="3"/>
        <v>173.88</v>
      </c>
      <c r="S33" s="22">
        <f t="shared" si="4"/>
        <v>252</v>
      </c>
      <c r="T33" s="21">
        <f t="shared" si="7"/>
        <v>29.52</v>
      </c>
      <c r="U33" s="21"/>
      <c r="V33" s="21">
        <f t="shared" si="5"/>
        <v>75.599999999999994</v>
      </c>
      <c r="W33" s="22">
        <f t="shared" si="8"/>
        <v>252</v>
      </c>
      <c r="X33" s="22">
        <f t="shared" si="9"/>
        <v>252</v>
      </c>
      <c r="Y33" s="22">
        <f t="shared" si="9"/>
        <v>252</v>
      </c>
    </row>
    <row r="34" spans="1:25" ht="75" customHeight="1" x14ac:dyDescent="0.2">
      <c r="A34" s="23">
        <v>32</v>
      </c>
      <c r="B34" s="32" t="s">
        <v>161</v>
      </c>
      <c r="C34" s="25">
        <v>27808192500183</v>
      </c>
      <c r="D34" s="33"/>
      <c r="E34" s="27"/>
      <c r="F34" s="27" t="s">
        <v>4</v>
      </c>
      <c r="G34" s="27" t="s">
        <v>253</v>
      </c>
      <c r="H34" s="28">
        <v>29</v>
      </c>
      <c r="I34" s="29">
        <v>40792</v>
      </c>
      <c r="J34" s="30">
        <v>360.02</v>
      </c>
      <c r="K34" s="30">
        <v>278</v>
      </c>
      <c r="L34" s="30">
        <v>80</v>
      </c>
      <c r="M34" s="19">
        <f t="shared" si="6"/>
        <v>278</v>
      </c>
      <c r="N34" s="20">
        <v>205</v>
      </c>
      <c r="O34" s="20">
        <f t="shared" si="0"/>
        <v>1709.7</v>
      </c>
      <c r="P34" s="21">
        <f t="shared" si="1"/>
        <v>233.52</v>
      </c>
      <c r="Q34" s="22">
        <f t="shared" si="2"/>
        <v>383.64</v>
      </c>
      <c r="R34" s="21">
        <f t="shared" si="3"/>
        <v>191.82</v>
      </c>
      <c r="S34" s="22">
        <f t="shared" si="4"/>
        <v>278</v>
      </c>
      <c r="T34" s="21">
        <f t="shared" si="7"/>
        <v>29.52</v>
      </c>
      <c r="U34" s="21"/>
      <c r="V34" s="21">
        <f t="shared" si="5"/>
        <v>83.4</v>
      </c>
      <c r="W34" s="22">
        <f t="shared" si="8"/>
        <v>278</v>
      </c>
      <c r="X34" s="22">
        <f t="shared" si="9"/>
        <v>278</v>
      </c>
      <c r="Y34" s="22">
        <f t="shared" si="9"/>
        <v>278</v>
      </c>
    </row>
    <row r="35" spans="1:25" ht="75" customHeight="1" x14ac:dyDescent="0.2">
      <c r="A35" s="11">
        <v>33</v>
      </c>
      <c r="B35" s="12" t="s">
        <v>162</v>
      </c>
      <c r="C35" s="13">
        <v>28110182500181</v>
      </c>
      <c r="D35" s="34"/>
      <c r="E35" s="15">
        <v>12575678</v>
      </c>
      <c r="F35" s="16" t="s">
        <v>252</v>
      </c>
      <c r="G35" s="16" t="s">
        <v>255</v>
      </c>
      <c r="H35" s="15">
        <v>30</v>
      </c>
      <c r="I35" s="17">
        <v>41048</v>
      </c>
      <c r="J35" s="18">
        <v>340.59</v>
      </c>
      <c r="K35" s="18">
        <v>263</v>
      </c>
      <c r="L35" s="18">
        <v>65</v>
      </c>
      <c r="M35" s="19">
        <f t="shared" si="6"/>
        <v>263</v>
      </c>
      <c r="N35" s="20">
        <v>205</v>
      </c>
      <c r="O35" s="20">
        <f t="shared" ref="O35:O66" si="10">M35*N35*3/100</f>
        <v>1617.45</v>
      </c>
      <c r="P35" s="21">
        <f t="shared" ref="P35:P66" si="11">K35*28*3/100</f>
        <v>220.92</v>
      </c>
      <c r="Q35" s="22">
        <f t="shared" ref="Q35:Q66" si="12">K35*46*3/100</f>
        <v>362.94</v>
      </c>
      <c r="R35" s="21">
        <f t="shared" ref="R35:R66" si="13">K35*23*3/100</f>
        <v>181.47</v>
      </c>
      <c r="S35" s="22">
        <f t="shared" ref="S35:S66" si="14">K35</f>
        <v>263</v>
      </c>
      <c r="T35" s="21">
        <f t="shared" si="7"/>
        <v>29.52</v>
      </c>
      <c r="U35" s="21"/>
      <c r="V35" s="21">
        <f t="shared" ref="V35:V66" si="15">K35*10*3/100</f>
        <v>78.900000000000006</v>
      </c>
      <c r="W35" s="22">
        <f t="shared" si="8"/>
        <v>263</v>
      </c>
      <c r="X35" s="22">
        <f t="shared" si="9"/>
        <v>263</v>
      </c>
      <c r="Y35" s="22">
        <f t="shared" si="9"/>
        <v>263</v>
      </c>
    </row>
    <row r="36" spans="1:25" ht="75" customHeight="1" x14ac:dyDescent="0.2">
      <c r="A36" s="23">
        <v>34</v>
      </c>
      <c r="B36" s="32" t="s">
        <v>163</v>
      </c>
      <c r="C36" s="25">
        <v>28209102500301</v>
      </c>
      <c r="D36" s="33"/>
      <c r="E36" s="28">
        <v>61750434</v>
      </c>
      <c r="F36" s="27" t="s">
        <v>4</v>
      </c>
      <c r="G36" s="27" t="s">
        <v>253</v>
      </c>
      <c r="H36" s="28">
        <v>31</v>
      </c>
      <c r="I36" s="29">
        <v>40792</v>
      </c>
      <c r="J36" s="30">
        <v>345.77</v>
      </c>
      <c r="K36" s="30">
        <v>267</v>
      </c>
      <c r="L36" s="30">
        <v>69</v>
      </c>
      <c r="M36" s="19">
        <f t="shared" si="6"/>
        <v>267</v>
      </c>
      <c r="N36" s="20">
        <v>205</v>
      </c>
      <c r="O36" s="20">
        <f t="shared" si="10"/>
        <v>1642.05</v>
      </c>
      <c r="P36" s="21">
        <f t="shared" si="11"/>
        <v>224.28</v>
      </c>
      <c r="Q36" s="22">
        <f t="shared" si="12"/>
        <v>368.46</v>
      </c>
      <c r="R36" s="21">
        <f t="shared" si="13"/>
        <v>184.23</v>
      </c>
      <c r="S36" s="22">
        <f t="shared" si="14"/>
        <v>267</v>
      </c>
      <c r="T36" s="21">
        <f t="shared" si="7"/>
        <v>29.52</v>
      </c>
      <c r="U36" s="21"/>
      <c r="V36" s="21">
        <f t="shared" si="15"/>
        <v>80.099999999999994</v>
      </c>
      <c r="W36" s="22">
        <f t="shared" si="8"/>
        <v>267</v>
      </c>
      <c r="X36" s="22">
        <f t="shared" si="9"/>
        <v>267</v>
      </c>
      <c r="Y36" s="22">
        <f t="shared" si="9"/>
        <v>267</v>
      </c>
    </row>
    <row r="37" spans="1:25" ht="75" customHeight="1" x14ac:dyDescent="0.2">
      <c r="A37" s="11">
        <v>35</v>
      </c>
      <c r="B37" s="12" t="s">
        <v>164</v>
      </c>
      <c r="C37" s="13">
        <v>28412312500207</v>
      </c>
      <c r="D37" s="34"/>
      <c r="E37" s="15">
        <v>9177751</v>
      </c>
      <c r="F37" s="16" t="s">
        <v>4</v>
      </c>
      <c r="G37" s="16" t="s">
        <v>253</v>
      </c>
      <c r="H37" s="15">
        <v>32</v>
      </c>
      <c r="I37" s="17">
        <v>40792</v>
      </c>
      <c r="J37" s="18">
        <v>349.66</v>
      </c>
      <c r="K37" s="18">
        <v>270</v>
      </c>
      <c r="L37" s="18">
        <v>72</v>
      </c>
      <c r="M37" s="19">
        <f t="shared" si="6"/>
        <v>270</v>
      </c>
      <c r="N37" s="20">
        <v>205</v>
      </c>
      <c r="O37" s="20">
        <f t="shared" si="10"/>
        <v>1660.5</v>
      </c>
      <c r="P37" s="21">
        <f t="shared" si="11"/>
        <v>226.8</v>
      </c>
      <c r="Q37" s="22">
        <f t="shared" si="12"/>
        <v>372.6</v>
      </c>
      <c r="R37" s="21">
        <f t="shared" si="13"/>
        <v>186.3</v>
      </c>
      <c r="S37" s="22">
        <f t="shared" si="14"/>
        <v>270</v>
      </c>
      <c r="T37" s="21">
        <f t="shared" si="7"/>
        <v>29.52</v>
      </c>
      <c r="U37" s="21"/>
      <c r="V37" s="21">
        <f t="shared" si="15"/>
        <v>81</v>
      </c>
      <c r="W37" s="22">
        <f t="shared" si="8"/>
        <v>270</v>
      </c>
      <c r="X37" s="22">
        <f t="shared" si="9"/>
        <v>270</v>
      </c>
      <c r="Y37" s="22">
        <f t="shared" si="9"/>
        <v>270</v>
      </c>
    </row>
    <row r="38" spans="1:25" ht="75" customHeight="1" x14ac:dyDescent="0.2">
      <c r="A38" s="23">
        <v>36</v>
      </c>
      <c r="B38" s="32" t="s">
        <v>165</v>
      </c>
      <c r="C38" s="25">
        <v>28110092500107</v>
      </c>
      <c r="D38" s="33"/>
      <c r="E38" s="28">
        <v>57977436</v>
      </c>
      <c r="F38" s="27" t="s">
        <v>252</v>
      </c>
      <c r="G38" s="27" t="s">
        <v>253</v>
      </c>
      <c r="H38" s="28">
        <v>33</v>
      </c>
      <c r="I38" s="29">
        <v>40792</v>
      </c>
      <c r="J38" s="30">
        <v>340.59</v>
      </c>
      <c r="K38" s="30">
        <v>263</v>
      </c>
      <c r="L38" s="30">
        <v>65</v>
      </c>
      <c r="M38" s="19">
        <f t="shared" si="6"/>
        <v>263</v>
      </c>
      <c r="N38" s="20">
        <v>205</v>
      </c>
      <c r="O38" s="20">
        <f t="shared" si="10"/>
        <v>1617.45</v>
      </c>
      <c r="P38" s="21">
        <f t="shared" si="11"/>
        <v>220.92</v>
      </c>
      <c r="Q38" s="22">
        <f t="shared" si="12"/>
        <v>362.94</v>
      </c>
      <c r="R38" s="21">
        <f t="shared" si="13"/>
        <v>181.47</v>
      </c>
      <c r="S38" s="22">
        <f t="shared" si="14"/>
        <v>263</v>
      </c>
      <c r="T38" s="21">
        <f t="shared" si="7"/>
        <v>29.52</v>
      </c>
      <c r="U38" s="21"/>
      <c r="V38" s="21">
        <f t="shared" si="15"/>
        <v>78.900000000000006</v>
      </c>
      <c r="W38" s="22">
        <f t="shared" si="8"/>
        <v>263</v>
      </c>
      <c r="X38" s="22">
        <f t="shared" si="9"/>
        <v>263</v>
      </c>
      <c r="Y38" s="22">
        <f t="shared" si="9"/>
        <v>263</v>
      </c>
    </row>
    <row r="39" spans="1:25" ht="75" customHeight="1" x14ac:dyDescent="0.2">
      <c r="A39" s="11">
        <v>37</v>
      </c>
      <c r="B39" s="12" t="s">
        <v>166</v>
      </c>
      <c r="C39" s="13">
        <v>28303132500264</v>
      </c>
      <c r="D39" s="34"/>
      <c r="E39" s="15">
        <v>23694376</v>
      </c>
      <c r="F39" s="16" t="s">
        <v>252</v>
      </c>
      <c r="G39" s="16" t="s">
        <v>253</v>
      </c>
      <c r="H39" s="15">
        <v>154</v>
      </c>
      <c r="I39" s="17">
        <v>40950</v>
      </c>
      <c r="J39" s="18">
        <v>336.71</v>
      </c>
      <c r="K39" s="18">
        <v>260</v>
      </c>
      <c r="L39" s="18">
        <v>62</v>
      </c>
      <c r="M39" s="19">
        <f t="shared" si="6"/>
        <v>260</v>
      </c>
      <c r="N39" s="20">
        <v>205</v>
      </c>
      <c r="O39" s="20">
        <f t="shared" si="10"/>
        <v>1599</v>
      </c>
      <c r="P39" s="21">
        <f t="shared" si="11"/>
        <v>218.4</v>
      </c>
      <c r="Q39" s="22">
        <f t="shared" si="12"/>
        <v>358.8</v>
      </c>
      <c r="R39" s="21">
        <f t="shared" si="13"/>
        <v>179.4</v>
      </c>
      <c r="S39" s="22">
        <f t="shared" si="14"/>
        <v>260</v>
      </c>
      <c r="T39" s="21">
        <f t="shared" si="7"/>
        <v>29.52</v>
      </c>
      <c r="U39" s="21"/>
      <c r="V39" s="21">
        <f t="shared" si="15"/>
        <v>78</v>
      </c>
      <c r="W39" s="22">
        <f t="shared" si="8"/>
        <v>260</v>
      </c>
      <c r="X39" s="22">
        <f t="shared" si="9"/>
        <v>260</v>
      </c>
      <c r="Y39" s="22">
        <f t="shared" si="9"/>
        <v>260</v>
      </c>
    </row>
    <row r="40" spans="1:25" ht="75" customHeight="1" x14ac:dyDescent="0.2">
      <c r="A40" s="23">
        <v>38</v>
      </c>
      <c r="B40" s="32" t="s">
        <v>167</v>
      </c>
      <c r="C40" s="25">
        <v>28309012505066</v>
      </c>
      <c r="D40" s="33"/>
      <c r="E40" s="28">
        <v>22862886</v>
      </c>
      <c r="F40" s="27" t="s">
        <v>252</v>
      </c>
      <c r="G40" s="27" t="s">
        <v>253</v>
      </c>
      <c r="H40" s="28">
        <v>34</v>
      </c>
      <c r="I40" s="29">
        <v>41087</v>
      </c>
      <c r="J40" s="30">
        <v>341.89</v>
      </c>
      <c r="K40" s="30">
        <v>264</v>
      </c>
      <c r="L40" s="30">
        <v>66</v>
      </c>
      <c r="M40" s="19">
        <f t="shared" si="6"/>
        <v>264</v>
      </c>
      <c r="N40" s="20">
        <v>205</v>
      </c>
      <c r="O40" s="20">
        <f t="shared" si="10"/>
        <v>1623.6</v>
      </c>
      <c r="P40" s="21">
        <f t="shared" si="11"/>
        <v>221.76</v>
      </c>
      <c r="Q40" s="22">
        <f t="shared" si="12"/>
        <v>364.32</v>
      </c>
      <c r="R40" s="21">
        <f t="shared" si="13"/>
        <v>182.16</v>
      </c>
      <c r="S40" s="22">
        <f t="shared" si="14"/>
        <v>264</v>
      </c>
      <c r="T40" s="21">
        <f t="shared" si="7"/>
        <v>29.52</v>
      </c>
      <c r="U40" s="21"/>
      <c r="V40" s="21">
        <f t="shared" si="15"/>
        <v>79.2</v>
      </c>
      <c r="W40" s="22">
        <f t="shared" si="8"/>
        <v>264</v>
      </c>
      <c r="X40" s="22">
        <f t="shared" si="9"/>
        <v>264</v>
      </c>
      <c r="Y40" s="22">
        <f t="shared" si="9"/>
        <v>264</v>
      </c>
    </row>
    <row r="41" spans="1:25" ht="75" customHeight="1" x14ac:dyDescent="0.2">
      <c r="A41" s="11">
        <v>39</v>
      </c>
      <c r="B41" s="12" t="s">
        <v>224</v>
      </c>
      <c r="C41" s="13">
        <v>28208012502643</v>
      </c>
      <c r="D41" s="34"/>
      <c r="E41" s="15">
        <v>29354568</v>
      </c>
      <c r="F41" s="16" t="s">
        <v>252</v>
      </c>
      <c r="G41" s="16" t="s">
        <v>253</v>
      </c>
      <c r="H41" s="15">
        <v>35</v>
      </c>
      <c r="I41" s="17">
        <v>41048</v>
      </c>
      <c r="J41" s="18">
        <v>336.71</v>
      </c>
      <c r="K41" s="18">
        <v>260</v>
      </c>
      <c r="L41" s="18">
        <v>62</v>
      </c>
      <c r="M41" s="19">
        <f t="shared" si="6"/>
        <v>260</v>
      </c>
      <c r="N41" s="20">
        <v>205</v>
      </c>
      <c r="O41" s="20">
        <f t="shared" si="10"/>
        <v>1599</v>
      </c>
      <c r="P41" s="21">
        <f t="shared" si="11"/>
        <v>218.4</v>
      </c>
      <c r="Q41" s="22">
        <f t="shared" si="12"/>
        <v>358.8</v>
      </c>
      <c r="R41" s="21">
        <f t="shared" si="13"/>
        <v>179.4</v>
      </c>
      <c r="S41" s="22">
        <f t="shared" si="14"/>
        <v>260</v>
      </c>
      <c r="T41" s="21">
        <f t="shared" si="7"/>
        <v>29.52</v>
      </c>
      <c r="U41" s="21"/>
      <c r="V41" s="21">
        <f t="shared" si="15"/>
        <v>78</v>
      </c>
      <c r="W41" s="22">
        <f t="shared" si="8"/>
        <v>260</v>
      </c>
      <c r="X41" s="22">
        <f t="shared" si="9"/>
        <v>260</v>
      </c>
      <c r="Y41" s="22">
        <f t="shared" si="9"/>
        <v>260</v>
      </c>
    </row>
    <row r="42" spans="1:25" ht="75" customHeight="1" x14ac:dyDescent="0.2">
      <c r="A42" s="23">
        <v>40</v>
      </c>
      <c r="B42" s="32" t="s">
        <v>168</v>
      </c>
      <c r="C42" s="25">
        <v>26804232500107</v>
      </c>
      <c r="D42" s="33"/>
      <c r="E42" s="28">
        <v>197097941</v>
      </c>
      <c r="F42" s="27" t="s">
        <v>265</v>
      </c>
      <c r="G42" s="27" t="s">
        <v>253</v>
      </c>
      <c r="H42" s="28">
        <v>1</v>
      </c>
      <c r="I42" s="29">
        <v>36346</v>
      </c>
      <c r="J42" s="30">
        <v>599.57000000000005</v>
      </c>
      <c r="K42" s="30">
        <v>462.98</v>
      </c>
      <c r="L42" s="30">
        <v>134</v>
      </c>
      <c r="M42" s="19">
        <f t="shared" si="6"/>
        <v>462.98</v>
      </c>
      <c r="N42" s="20">
        <v>205</v>
      </c>
      <c r="O42" s="20">
        <f t="shared" si="10"/>
        <v>2847.3270000000002</v>
      </c>
      <c r="P42" s="21">
        <f t="shared" si="11"/>
        <v>388.90319999999997</v>
      </c>
      <c r="Q42" s="22">
        <f t="shared" si="12"/>
        <v>638.91240000000005</v>
      </c>
      <c r="R42" s="21">
        <f t="shared" si="13"/>
        <v>319.45620000000002</v>
      </c>
      <c r="S42" s="22">
        <f t="shared" si="14"/>
        <v>462.98</v>
      </c>
      <c r="T42" s="21">
        <f t="shared" si="7"/>
        <v>29.52</v>
      </c>
      <c r="U42" s="21"/>
      <c r="V42" s="21">
        <f t="shared" si="15"/>
        <v>138.89400000000001</v>
      </c>
      <c r="W42" s="22">
        <f t="shared" si="8"/>
        <v>462.98</v>
      </c>
      <c r="X42" s="22">
        <f t="shared" si="9"/>
        <v>462.98</v>
      </c>
      <c r="Y42" s="22">
        <f t="shared" si="9"/>
        <v>462.98</v>
      </c>
    </row>
    <row r="43" spans="1:25" ht="75" customHeight="1" x14ac:dyDescent="0.2">
      <c r="A43" s="11">
        <v>41</v>
      </c>
      <c r="B43" s="24" t="s">
        <v>266</v>
      </c>
      <c r="C43" s="13">
        <v>27308132500521</v>
      </c>
      <c r="D43" s="34"/>
      <c r="E43" s="15">
        <v>22396331</v>
      </c>
      <c r="F43" s="16" t="s">
        <v>4</v>
      </c>
      <c r="G43" s="16" t="s">
        <v>253</v>
      </c>
      <c r="H43" s="15">
        <v>36</v>
      </c>
      <c r="I43" s="17">
        <v>40792</v>
      </c>
      <c r="J43" s="18">
        <v>345.77</v>
      </c>
      <c r="K43" s="18">
        <v>267</v>
      </c>
      <c r="L43" s="18">
        <v>69</v>
      </c>
      <c r="M43" s="19">
        <f t="shared" si="6"/>
        <v>267</v>
      </c>
      <c r="N43" s="20">
        <v>205</v>
      </c>
      <c r="O43" s="20">
        <f t="shared" si="10"/>
        <v>1642.05</v>
      </c>
      <c r="P43" s="21">
        <f t="shared" si="11"/>
        <v>224.28</v>
      </c>
      <c r="Q43" s="22">
        <f t="shared" si="12"/>
        <v>368.46</v>
      </c>
      <c r="R43" s="21">
        <f t="shared" si="13"/>
        <v>184.23</v>
      </c>
      <c r="S43" s="22">
        <f t="shared" si="14"/>
        <v>267</v>
      </c>
      <c r="T43" s="21">
        <f t="shared" si="7"/>
        <v>29.52</v>
      </c>
      <c r="U43" s="21"/>
      <c r="V43" s="21">
        <f t="shared" si="15"/>
        <v>80.099999999999994</v>
      </c>
      <c r="W43" s="22">
        <f t="shared" si="8"/>
        <v>267</v>
      </c>
      <c r="X43" s="22">
        <f t="shared" si="9"/>
        <v>267</v>
      </c>
      <c r="Y43" s="22">
        <f t="shared" si="9"/>
        <v>267</v>
      </c>
    </row>
    <row r="44" spans="1:25" ht="75" customHeight="1" x14ac:dyDescent="0.2">
      <c r="A44" s="23">
        <v>42</v>
      </c>
      <c r="B44" s="24" t="s">
        <v>267</v>
      </c>
      <c r="C44" s="25">
        <v>28605272500341</v>
      </c>
      <c r="D44" s="33"/>
      <c r="E44" s="28">
        <v>7208467</v>
      </c>
      <c r="F44" s="27" t="s">
        <v>252</v>
      </c>
      <c r="G44" s="27" t="s">
        <v>253</v>
      </c>
      <c r="H44" s="28">
        <v>95</v>
      </c>
      <c r="I44" s="29">
        <v>41665</v>
      </c>
      <c r="J44" s="30">
        <v>330.23</v>
      </c>
      <c r="K44" s="30">
        <v>255</v>
      </c>
      <c r="L44" s="30">
        <v>57</v>
      </c>
      <c r="M44" s="19">
        <f t="shared" si="6"/>
        <v>255</v>
      </c>
      <c r="N44" s="20">
        <v>205</v>
      </c>
      <c r="O44" s="20">
        <f t="shared" si="10"/>
        <v>1568.25</v>
      </c>
      <c r="P44" s="21">
        <f t="shared" si="11"/>
        <v>214.2</v>
      </c>
      <c r="Q44" s="22">
        <f t="shared" si="12"/>
        <v>351.9</v>
      </c>
      <c r="R44" s="21">
        <f t="shared" si="13"/>
        <v>175.95</v>
      </c>
      <c r="S44" s="22">
        <f t="shared" si="14"/>
        <v>255</v>
      </c>
      <c r="T44" s="21">
        <f t="shared" si="7"/>
        <v>29.52</v>
      </c>
      <c r="U44" s="21"/>
      <c r="V44" s="21">
        <f t="shared" si="15"/>
        <v>76.5</v>
      </c>
      <c r="W44" s="22">
        <f t="shared" si="8"/>
        <v>255</v>
      </c>
      <c r="X44" s="22">
        <f t="shared" si="9"/>
        <v>255</v>
      </c>
      <c r="Y44" s="22">
        <f t="shared" si="9"/>
        <v>255</v>
      </c>
    </row>
    <row r="45" spans="1:25" ht="75" customHeight="1" x14ac:dyDescent="0.2">
      <c r="A45" s="11">
        <v>43</v>
      </c>
      <c r="B45" s="24" t="s">
        <v>169</v>
      </c>
      <c r="C45" s="13">
        <v>28807202501628</v>
      </c>
      <c r="D45" s="34"/>
      <c r="E45" s="16"/>
      <c r="F45" s="16" t="s">
        <v>252</v>
      </c>
      <c r="G45" s="16" t="s">
        <v>253</v>
      </c>
      <c r="H45" s="15">
        <v>25</v>
      </c>
      <c r="I45" s="17">
        <v>40936</v>
      </c>
      <c r="J45" s="18">
        <v>328.94</v>
      </c>
      <c r="K45" s="18">
        <v>254</v>
      </c>
      <c r="L45" s="18">
        <v>56</v>
      </c>
      <c r="M45" s="19">
        <f t="shared" si="6"/>
        <v>254</v>
      </c>
      <c r="N45" s="20">
        <v>205</v>
      </c>
      <c r="O45" s="20">
        <f t="shared" si="10"/>
        <v>1562.1</v>
      </c>
      <c r="P45" s="21">
        <f t="shared" si="11"/>
        <v>213.36</v>
      </c>
      <c r="Q45" s="22">
        <f t="shared" si="12"/>
        <v>350.52</v>
      </c>
      <c r="R45" s="21">
        <f t="shared" si="13"/>
        <v>175.26</v>
      </c>
      <c r="S45" s="22">
        <f t="shared" si="14"/>
        <v>254</v>
      </c>
      <c r="T45" s="21">
        <f t="shared" si="7"/>
        <v>29.52</v>
      </c>
      <c r="U45" s="21"/>
      <c r="V45" s="21">
        <f t="shared" si="15"/>
        <v>76.2</v>
      </c>
      <c r="W45" s="22">
        <f t="shared" si="8"/>
        <v>254</v>
      </c>
      <c r="X45" s="22">
        <f t="shared" si="9"/>
        <v>254</v>
      </c>
      <c r="Y45" s="22">
        <f t="shared" si="9"/>
        <v>254</v>
      </c>
    </row>
    <row r="46" spans="1:25" ht="75" customHeight="1" x14ac:dyDescent="0.2">
      <c r="A46" s="23">
        <v>44</v>
      </c>
      <c r="B46" s="32" t="s">
        <v>170</v>
      </c>
      <c r="C46" s="25">
        <v>28008042500107</v>
      </c>
      <c r="D46" s="33"/>
      <c r="E46" s="27"/>
      <c r="F46" s="27" t="s">
        <v>252</v>
      </c>
      <c r="G46" s="27" t="s">
        <v>255</v>
      </c>
      <c r="H46" s="28">
        <v>39</v>
      </c>
      <c r="I46" s="29">
        <v>40950</v>
      </c>
      <c r="J46" s="30">
        <v>340.59</v>
      </c>
      <c r="K46" s="30">
        <v>263</v>
      </c>
      <c r="L46" s="30">
        <v>65</v>
      </c>
      <c r="M46" s="19">
        <f t="shared" si="6"/>
        <v>263</v>
      </c>
      <c r="N46" s="20">
        <v>205</v>
      </c>
      <c r="O46" s="20">
        <f t="shared" si="10"/>
        <v>1617.45</v>
      </c>
      <c r="P46" s="21">
        <f t="shared" si="11"/>
        <v>220.92</v>
      </c>
      <c r="Q46" s="22">
        <f t="shared" si="12"/>
        <v>362.94</v>
      </c>
      <c r="R46" s="21">
        <f t="shared" si="13"/>
        <v>181.47</v>
      </c>
      <c r="S46" s="22">
        <f t="shared" si="14"/>
        <v>263</v>
      </c>
      <c r="T46" s="21">
        <f t="shared" si="7"/>
        <v>29.52</v>
      </c>
      <c r="U46" s="21"/>
      <c r="V46" s="21">
        <f t="shared" si="15"/>
        <v>78.900000000000006</v>
      </c>
      <c r="W46" s="22">
        <f t="shared" si="8"/>
        <v>263</v>
      </c>
      <c r="X46" s="22">
        <f t="shared" si="9"/>
        <v>263</v>
      </c>
      <c r="Y46" s="22">
        <f t="shared" si="9"/>
        <v>263</v>
      </c>
    </row>
    <row r="47" spans="1:25" ht="75" customHeight="1" x14ac:dyDescent="0.2">
      <c r="A47" s="11">
        <v>45</v>
      </c>
      <c r="B47" s="12" t="s">
        <v>171</v>
      </c>
      <c r="C47" s="13">
        <v>28308012503041</v>
      </c>
      <c r="D47" s="34"/>
      <c r="E47" s="15">
        <v>248784</v>
      </c>
      <c r="F47" s="16" t="s">
        <v>4</v>
      </c>
      <c r="G47" s="16" t="s">
        <v>253</v>
      </c>
      <c r="H47" s="15">
        <v>41</v>
      </c>
      <c r="I47" s="17">
        <v>40792</v>
      </c>
      <c r="J47" s="18">
        <v>349.66</v>
      </c>
      <c r="K47" s="18">
        <v>270</v>
      </c>
      <c r="L47" s="18">
        <v>72</v>
      </c>
      <c r="M47" s="19">
        <f t="shared" si="6"/>
        <v>270</v>
      </c>
      <c r="N47" s="20">
        <v>205</v>
      </c>
      <c r="O47" s="20">
        <f t="shared" si="10"/>
        <v>1660.5</v>
      </c>
      <c r="P47" s="21">
        <f t="shared" si="11"/>
        <v>226.8</v>
      </c>
      <c r="Q47" s="22">
        <f t="shared" si="12"/>
        <v>372.6</v>
      </c>
      <c r="R47" s="21">
        <f t="shared" si="13"/>
        <v>186.3</v>
      </c>
      <c r="S47" s="22">
        <f t="shared" si="14"/>
        <v>270</v>
      </c>
      <c r="T47" s="21">
        <f t="shared" si="7"/>
        <v>29.52</v>
      </c>
      <c r="U47" s="21"/>
      <c r="V47" s="21">
        <f t="shared" si="15"/>
        <v>81</v>
      </c>
      <c r="W47" s="22">
        <f t="shared" si="8"/>
        <v>270</v>
      </c>
      <c r="X47" s="22">
        <f t="shared" si="9"/>
        <v>270</v>
      </c>
      <c r="Y47" s="22">
        <f t="shared" si="9"/>
        <v>270</v>
      </c>
    </row>
    <row r="48" spans="1:25" ht="75" customHeight="1" x14ac:dyDescent="0.2">
      <c r="A48" s="23">
        <v>46</v>
      </c>
      <c r="B48" s="32" t="s">
        <v>172</v>
      </c>
      <c r="C48" s="25">
        <v>28402062500227</v>
      </c>
      <c r="D48" s="33"/>
      <c r="E48" s="28">
        <v>21894173</v>
      </c>
      <c r="F48" s="27" t="s">
        <v>4</v>
      </c>
      <c r="G48" s="27" t="s">
        <v>253</v>
      </c>
      <c r="H48" s="28">
        <v>42</v>
      </c>
      <c r="I48" s="29">
        <v>40792</v>
      </c>
      <c r="J48" s="30">
        <v>350.95</v>
      </c>
      <c r="K48" s="30">
        <v>271</v>
      </c>
      <c r="L48" s="30">
        <v>73</v>
      </c>
      <c r="M48" s="19">
        <f t="shared" si="6"/>
        <v>271</v>
      </c>
      <c r="N48" s="20">
        <v>205</v>
      </c>
      <c r="O48" s="20">
        <f t="shared" si="10"/>
        <v>1666.65</v>
      </c>
      <c r="P48" s="21">
        <f t="shared" si="11"/>
        <v>227.64</v>
      </c>
      <c r="Q48" s="22">
        <f t="shared" si="12"/>
        <v>373.98</v>
      </c>
      <c r="R48" s="21">
        <f t="shared" si="13"/>
        <v>186.99</v>
      </c>
      <c r="S48" s="22">
        <f t="shared" si="14"/>
        <v>271</v>
      </c>
      <c r="T48" s="21">
        <f t="shared" si="7"/>
        <v>29.52</v>
      </c>
      <c r="U48" s="21"/>
      <c r="V48" s="21">
        <f t="shared" si="15"/>
        <v>81.3</v>
      </c>
      <c r="W48" s="22">
        <f t="shared" si="8"/>
        <v>271</v>
      </c>
      <c r="X48" s="22">
        <f t="shared" si="9"/>
        <v>271</v>
      </c>
      <c r="Y48" s="22">
        <f t="shared" si="9"/>
        <v>271</v>
      </c>
    </row>
    <row r="49" spans="1:25" ht="75" customHeight="1" x14ac:dyDescent="0.2">
      <c r="A49" s="11">
        <v>47</v>
      </c>
      <c r="B49" s="12" t="s">
        <v>173</v>
      </c>
      <c r="C49" s="13">
        <v>28311190104789</v>
      </c>
      <c r="D49" s="34"/>
      <c r="E49" s="16"/>
      <c r="F49" s="16" t="s">
        <v>252</v>
      </c>
      <c r="G49" s="16" t="s">
        <v>253</v>
      </c>
      <c r="H49" s="15">
        <v>94</v>
      </c>
      <c r="I49" s="17">
        <v>42348</v>
      </c>
      <c r="J49" s="18">
        <v>62.16</v>
      </c>
      <c r="K49" s="18">
        <v>48</v>
      </c>
      <c r="L49" s="18">
        <v>48</v>
      </c>
      <c r="M49" s="19">
        <f t="shared" si="6"/>
        <v>48</v>
      </c>
      <c r="N49" s="20">
        <v>205</v>
      </c>
      <c r="O49" s="20">
        <f t="shared" si="10"/>
        <v>295.2</v>
      </c>
      <c r="P49" s="21">
        <f t="shared" si="11"/>
        <v>40.32</v>
      </c>
      <c r="Q49" s="22">
        <f t="shared" si="12"/>
        <v>66.239999999999995</v>
      </c>
      <c r="R49" s="21">
        <f t="shared" si="13"/>
        <v>33.119999999999997</v>
      </c>
      <c r="S49" s="22">
        <f t="shared" si="14"/>
        <v>48</v>
      </c>
      <c r="T49" s="21">
        <f t="shared" si="7"/>
        <v>29.52</v>
      </c>
      <c r="U49" s="21"/>
      <c r="V49" s="21">
        <f t="shared" si="15"/>
        <v>14.4</v>
      </c>
      <c r="W49" s="22">
        <f t="shared" si="8"/>
        <v>48</v>
      </c>
      <c r="X49" s="22">
        <f t="shared" si="9"/>
        <v>48</v>
      </c>
      <c r="Y49" s="22">
        <f t="shared" si="9"/>
        <v>48</v>
      </c>
    </row>
    <row r="50" spans="1:25" ht="75" customHeight="1" x14ac:dyDescent="0.2">
      <c r="A50" s="23">
        <v>48</v>
      </c>
      <c r="B50" s="32" t="s">
        <v>268</v>
      </c>
      <c r="C50" s="25">
        <v>29005272502634</v>
      </c>
      <c r="D50" s="33"/>
      <c r="E50" s="27"/>
      <c r="F50" s="27" t="s">
        <v>252</v>
      </c>
      <c r="G50" s="27" t="s">
        <v>255</v>
      </c>
      <c r="H50" s="28">
        <v>109</v>
      </c>
      <c r="I50" s="29">
        <v>41793</v>
      </c>
      <c r="J50" s="30">
        <v>323.76</v>
      </c>
      <c r="K50" s="30">
        <v>250</v>
      </c>
      <c r="L50" s="30">
        <v>52</v>
      </c>
      <c r="M50" s="19">
        <f t="shared" si="6"/>
        <v>250</v>
      </c>
      <c r="N50" s="20">
        <v>205</v>
      </c>
      <c r="O50" s="20">
        <f t="shared" si="10"/>
        <v>1537.5</v>
      </c>
      <c r="P50" s="21">
        <f t="shared" si="11"/>
        <v>210</v>
      </c>
      <c r="Q50" s="22">
        <f t="shared" si="12"/>
        <v>345</v>
      </c>
      <c r="R50" s="21">
        <f t="shared" si="13"/>
        <v>172.5</v>
      </c>
      <c r="S50" s="22">
        <f t="shared" si="14"/>
        <v>250</v>
      </c>
      <c r="T50" s="21">
        <f t="shared" si="7"/>
        <v>29.52</v>
      </c>
      <c r="U50" s="21"/>
      <c r="V50" s="21">
        <f t="shared" si="15"/>
        <v>75</v>
      </c>
      <c r="W50" s="22">
        <f t="shared" si="8"/>
        <v>250</v>
      </c>
      <c r="X50" s="22">
        <f t="shared" si="9"/>
        <v>250</v>
      </c>
      <c r="Y50" s="22">
        <f t="shared" si="9"/>
        <v>250</v>
      </c>
    </row>
    <row r="51" spans="1:25" ht="75" customHeight="1" x14ac:dyDescent="0.2">
      <c r="A51" s="11">
        <v>49</v>
      </c>
      <c r="B51" s="12" t="s">
        <v>1</v>
      </c>
      <c r="C51" s="13">
        <v>27706242500131</v>
      </c>
      <c r="D51" s="34"/>
      <c r="E51" s="15">
        <v>48264471</v>
      </c>
      <c r="F51" s="16" t="s">
        <v>252</v>
      </c>
      <c r="G51" s="16" t="s">
        <v>258</v>
      </c>
      <c r="H51" s="15">
        <v>99</v>
      </c>
      <c r="I51" s="17">
        <v>41665</v>
      </c>
      <c r="J51" s="18">
        <v>334.12</v>
      </c>
      <c r="K51" s="18">
        <v>258</v>
      </c>
      <c r="L51" s="18">
        <v>60</v>
      </c>
      <c r="M51" s="19">
        <f t="shared" si="6"/>
        <v>258</v>
      </c>
      <c r="N51" s="20">
        <v>205</v>
      </c>
      <c r="O51" s="20">
        <f t="shared" si="10"/>
        <v>1586.7</v>
      </c>
      <c r="P51" s="21">
        <f t="shared" si="11"/>
        <v>216.72</v>
      </c>
      <c r="Q51" s="22">
        <f t="shared" si="12"/>
        <v>356.04</v>
      </c>
      <c r="R51" s="21">
        <f t="shared" si="13"/>
        <v>178.02</v>
      </c>
      <c r="S51" s="22">
        <f t="shared" si="14"/>
        <v>258</v>
      </c>
      <c r="T51" s="21">
        <f t="shared" si="7"/>
        <v>29.52</v>
      </c>
      <c r="U51" s="21"/>
      <c r="V51" s="21">
        <f t="shared" si="15"/>
        <v>77.400000000000006</v>
      </c>
      <c r="W51" s="22">
        <f t="shared" si="8"/>
        <v>258</v>
      </c>
      <c r="X51" s="22">
        <f t="shared" si="9"/>
        <v>258</v>
      </c>
      <c r="Y51" s="22">
        <f t="shared" si="9"/>
        <v>258</v>
      </c>
    </row>
    <row r="52" spans="1:25" ht="75" customHeight="1" x14ac:dyDescent="0.2">
      <c r="A52" s="23">
        <v>50</v>
      </c>
      <c r="B52" s="24" t="s">
        <v>269</v>
      </c>
      <c r="C52" s="25">
        <v>28209198800408</v>
      </c>
      <c r="D52" s="33"/>
      <c r="E52" s="28">
        <v>16556821</v>
      </c>
      <c r="F52" s="27" t="s">
        <v>4</v>
      </c>
      <c r="G52" s="27" t="s">
        <v>253</v>
      </c>
      <c r="H52" s="28">
        <v>44</v>
      </c>
      <c r="I52" s="29">
        <v>40792</v>
      </c>
      <c r="J52" s="30">
        <v>349.66</v>
      </c>
      <c r="K52" s="30">
        <v>270</v>
      </c>
      <c r="L52" s="30">
        <v>72</v>
      </c>
      <c r="M52" s="19">
        <f t="shared" si="6"/>
        <v>270</v>
      </c>
      <c r="N52" s="20">
        <v>205</v>
      </c>
      <c r="O52" s="20">
        <f t="shared" si="10"/>
        <v>1660.5</v>
      </c>
      <c r="P52" s="21">
        <f t="shared" si="11"/>
        <v>226.8</v>
      </c>
      <c r="Q52" s="22">
        <f t="shared" si="12"/>
        <v>372.6</v>
      </c>
      <c r="R52" s="21">
        <f t="shared" si="13"/>
        <v>186.3</v>
      </c>
      <c r="S52" s="22">
        <f t="shared" si="14"/>
        <v>270</v>
      </c>
      <c r="T52" s="21">
        <f t="shared" si="7"/>
        <v>29.52</v>
      </c>
      <c r="U52" s="21"/>
      <c r="V52" s="21">
        <f t="shared" si="15"/>
        <v>81</v>
      </c>
      <c r="W52" s="22">
        <f t="shared" si="8"/>
        <v>270</v>
      </c>
      <c r="X52" s="22">
        <f t="shared" si="9"/>
        <v>270</v>
      </c>
      <c r="Y52" s="22">
        <f t="shared" si="9"/>
        <v>270</v>
      </c>
    </row>
    <row r="53" spans="1:25" ht="75" customHeight="1" x14ac:dyDescent="0.2">
      <c r="A53" s="11">
        <v>51</v>
      </c>
      <c r="B53" s="12" t="s">
        <v>175</v>
      </c>
      <c r="C53" s="13">
        <v>28410222500183</v>
      </c>
      <c r="D53" s="34"/>
      <c r="E53" s="15">
        <v>24917845</v>
      </c>
      <c r="F53" s="16" t="s">
        <v>4</v>
      </c>
      <c r="G53" s="16" t="s">
        <v>253</v>
      </c>
      <c r="H53" s="15">
        <v>45</v>
      </c>
      <c r="I53" s="17">
        <v>40792</v>
      </c>
      <c r="J53" s="18">
        <v>340.59</v>
      </c>
      <c r="K53" s="18">
        <v>263</v>
      </c>
      <c r="L53" s="18">
        <v>65</v>
      </c>
      <c r="M53" s="19">
        <f t="shared" si="6"/>
        <v>263</v>
      </c>
      <c r="N53" s="20">
        <v>205</v>
      </c>
      <c r="O53" s="20">
        <f t="shared" si="10"/>
        <v>1617.45</v>
      </c>
      <c r="P53" s="21">
        <f t="shared" si="11"/>
        <v>220.92</v>
      </c>
      <c r="Q53" s="22">
        <f t="shared" si="12"/>
        <v>362.94</v>
      </c>
      <c r="R53" s="21">
        <f t="shared" si="13"/>
        <v>181.47</v>
      </c>
      <c r="S53" s="22">
        <f t="shared" si="14"/>
        <v>263</v>
      </c>
      <c r="T53" s="21">
        <f t="shared" si="7"/>
        <v>29.52</v>
      </c>
      <c r="U53" s="21"/>
      <c r="V53" s="21">
        <f t="shared" si="15"/>
        <v>78.900000000000006</v>
      </c>
      <c r="W53" s="22">
        <f t="shared" si="8"/>
        <v>263</v>
      </c>
      <c r="X53" s="22">
        <f t="shared" si="9"/>
        <v>263</v>
      </c>
      <c r="Y53" s="22">
        <f t="shared" si="9"/>
        <v>263</v>
      </c>
    </row>
    <row r="54" spans="1:25" ht="75" customHeight="1" x14ac:dyDescent="0.2">
      <c r="A54" s="23">
        <v>52</v>
      </c>
      <c r="B54" s="32" t="s">
        <v>176</v>
      </c>
      <c r="C54" s="25">
        <v>28607031900244</v>
      </c>
      <c r="D54" s="33"/>
      <c r="E54" s="28">
        <v>6218778</v>
      </c>
      <c r="F54" s="27" t="s">
        <v>252</v>
      </c>
      <c r="G54" s="27" t="s">
        <v>253</v>
      </c>
      <c r="H54" s="28">
        <v>46</v>
      </c>
      <c r="I54" s="29">
        <v>41048</v>
      </c>
      <c r="J54" s="30">
        <v>332.82</v>
      </c>
      <c r="K54" s="30">
        <v>257</v>
      </c>
      <c r="L54" s="30">
        <v>59</v>
      </c>
      <c r="M54" s="19">
        <f t="shared" si="6"/>
        <v>257</v>
      </c>
      <c r="N54" s="20">
        <v>205</v>
      </c>
      <c r="O54" s="20">
        <f t="shared" si="10"/>
        <v>1580.55</v>
      </c>
      <c r="P54" s="21">
        <f t="shared" si="11"/>
        <v>215.88</v>
      </c>
      <c r="Q54" s="22">
        <f t="shared" si="12"/>
        <v>354.66</v>
      </c>
      <c r="R54" s="21">
        <f t="shared" si="13"/>
        <v>177.33</v>
      </c>
      <c r="S54" s="22">
        <f t="shared" si="14"/>
        <v>257</v>
      </c>
      <c r="T54" s="21">
        <f t="shared" si="7"/>
        <v>29.52</v>
      </c>
      <c r="U54" s="21"/>
      <c r="V54" s="21">
        <f t="shared" si="15"/>
        <v>77.099999999999994</v>
      </c>
      <c r="W54" s="22">
        <f t="shared" si="8"/>
        <v>257</v>
      </c>
      <c r="X54" s="22">
        <f t="shared" si="9"/>
        <v>257</v>
      </c>
      <c r="Y54" s="22">
        <f t="shared" si="9"/>
        <v>257</v>
      </c>
    </row>
    <row r="55" spans="1:25" ht="75" customHeight="1" x14ac:dyDescent="0.2">
      <c r="A55" s="11">
        <v>53</v>
      </c>
      <c r="B55" s="12" t="s">
        <v>177</v>
      </c>
      <c r="C55" s="13">
        <v>26712062501837</v>
      </c>
      <c r="D55" s="34"/>
      <c r="E55" s="16"/>
      <c r="F55" s="16" t="s">
        <v>252</v>
      </c>
      <c r="G55" s="16" t="s">
        <v>258</v>
      </c>
      <c r="H55" s="15">
        <v>48</v>
      </c>
      <c r="I55" s="17">
        <v>40792</v>
      </c>
      <c r="J55" s="18">
        <v>332.82</v>
      </c>
      <c r="K55" s="18">
        <v>257</v>
      </c>
      <c r="L55" s="18">
        <v>59</v>
      </c>
      <c r="M55" s="19">
        <f t="shared" si="6"/>
        <v>257</v>
      </c>
      <c r="N55" s="20">
        <v>205</v>
      </c>
      <c r="O55" s="20">
        <f t="shared" si="10"/>
        <v>1580.55</v>
      </c>
      <c r="P55" s="21">
        <f t="shared" si="11"/>
        <v>215.88</v>
      </c>
      <c r="Q55" s="22">
        <f t="shared" si="12"/>
        <v>354.66</v>
      </c>
      <c r="R55" s="21">
        <f t="shared" si="13"/>
        <v>177.33</v>
      </c>
      <c r="S55" s="22">
        <f t="shared" si="14"/>
        <v>257</v>
      </c>
      <c r="T55" s="21">
        <f t="shared" si="7"/>
        <v>29.52</v>
      </c>
      <c r="U55" s="21"/>
      <c r="V55" s="21">
        <f t="shared" si="15"/>
        <v>77.099999999999994</v>
      </c>
      <c r="W55" s="22">
        <f t="shared" si="8"/>
        <v>257</v>
      </c>
      <c r="X55" s="22">
        <f t="shared" si="9"/>
        <v>257</v>
      </c>
      <c r="Y55" s="22">
        <f t="shared" si="9"/>
        <v>257</v>
      </c>
    </row>
    <row r="56" spans="1:25" ht="75" customHeight="1" x14ac:dyDescent="0.2">
      <c r="A56" s="23">
        <v>54</v>
      </c>
      <c r="B56" s="32" t="s">
        <v>178</v>
      </c>
      <c r="C56" s="25">
        <v>28707062500061</v>
      </c>
      <c r="D56" s="33"/>
      <c r="E56" s="27"/>
      <c r="F56" s="27" t="s">
        <v>252</v>
      </c>
      <c r="G56" s="27" t="s">
        <v>255</v>
      </c>
      <c r="H56" s="28">
        <v>48</v>
      </c>
      <c r="I56" s="29">
        <v>40936</v>
      </c>
      <c r="J56" s="30">
        <v>328.94</v>
      </c>
      <c r="K56" s="30">
        <v>254</v>
      </c>
      <c r="L56" s="30">
        <v>56</v>
      </c>
      <c r="M56" s="19">
        <f t="shared" si="6"/>
        <v>254</v>
      </c>
      <c r="N56" s="20">
        <v>205</v>
      </c>
      <c r="O56" s="20">
        <f t="shared" si="10"/>
        <v>1562.1</v>
      </c>
      <c r="P56" s="21">
        <f t="shared" si="11"/>
        <v>213.36</v>
      </c>
      <c r="Q56" s="22">
        <f t="shared" si="12"/>
        <v>350.52</v>
      </c>
      <c r="R56" s="21">
        <f t="shared" si="13"/>
        <v>175.26</v>
      </c>
      <c r="S56" s="22">
        <f t="shared" si="14"/>
        <v>254</v>
      </c>
      <c r="T56" s="21">
        <f t="shared" si="7"/>
        <v>29.52</v>
      </c>
      <c r="U56" s="21"/>
      <c r="V56" s="21">
        <f t="shared" si="15"/>
        <v>76.2</v>
      </c>
      <c r="W56" s="22">
        <f t="shared" si="8"/>
        <v>254</v>
      </c>
      <c r="X56" s="22">
        <f t="shared" si="9"/>
        <v>254</v>
      </c>
      <c r="Y56" s="22">
        <f t="shared" si="9"/>
        <v>254</v>
      </c>
    </row>
    <row r="57" spans="1:25" ht="75" customHeight="1" x14ac:dyDescent="0.2">
      <c r="A57" s="11">
        <v>55</v>
      </c>
      <c r="B57" s="12" t="s">
        <v>179</v>
      </c>
      <c r="C57" s="13">
        <v>26106032500111</v>
      </c>
      <c r="D57" s="34"/>
      <c r="E57" s="15">
        <v>19672079</v>
      </c>
      <c r="F57" s="16" t="s">
        <v>4</v>
      </c>
      <c r="G57" s="16" t="s">
        <v>258</v>
      </c>
      <c r="H57" s="15">
        <v>4</v>
      </c>
      <c r="I57" s="17">
        <v>40792</v>
      </c>
      <c r="J57" s="18">
        <v>372.97</v>
      </c>
      <c r="K57" s="18">
        <v>288</v>
      </c>
      <c r="L57" s="18">
        <v>90</v>
      </c>
      <c r="M57" s="19">
        <f t="shared" si="6"/>
        <v>288</v>
      </c>
      <c r="N57" s="20">
        <v>205</v>
      </c>
      <c r="O57" s="20">
        <f t="shared" si="10"/>
        <v>1771.2</v>
      </c>
      <c r="P57" s="21">
        <f t="shared" si="11"/>
        <v>241.92</v>
      </c>
      <c r="Q57" s="22">
        <f t="shared" si="12"/>
        <v>397.44</v>
      </c>
      <c r="R57" s="21">
        <f t="shared" si="13"/>
        <v>198.72</v>
      </c>
      <c r="S57" s="22">
        <f t="shared" si="14"/>
        <v>288</v>
      </c>
      <c r="T57" s="21">
        <f t="shared" si="7"/>
        <v>29.52</v>
      </c>
      <c r="U57" s="21"/>
      <c r="V57" s="21">
        <f t="shared" si="15"/>
        <v>86.4</v>
      </c>
      <c r="W57" s="22">
        <f t="shared" si="8"/>
        <v>288</v>
      </c>
      <c r="X57" s="22">
        <f t="shared" si="9"/>
        <v>288</v>
      </c>
      <c r="Y57" s="22">
        <f t="shared" si="9"/>
        <v>288</v>
      </c>
    </row>
    <row r="58" spans="1:25" ht="75" customHeight="1" x14ac:dyDescent="0.2">
      <c r="A58" s="23">
        <v>56</v>
      </c>
      <c r="B58" s="32" t="s">
        <v>180</v>
      </c>
      <c r="C58" s="25">
        <v>27203062500221</v>
      </c>
      <c r="D58" s="33"/>
      <c r="E58" s="27"/>
      <c r="F58" s="27" t="s">
        <v>4</v>
      </c>
      <c r="G58" s="27" t="s">
        <v>255</v>
      </c>
      <c r="H58" s="28">
        <v>86</v>
      </c>
      <c r="I58" s="29">
        <v>40792</v>
      </c>
      <c r="J58" s="30">
        <v>354.84</v>
      </c>
      <c r="K58" s="30">
        <v>274</v>
      </c>
      <c r="L58" s="30">
        <v>76</v>
      </c>
      <c r="M58" s="19">
        <f t="shared" si="6"/>
        <v>274</v>
      </c>
      <c r="N58" s="20">
        <v>205</v>
      </c>
      <c r="O58" s="20">
        <f t="shared" si="10"/>
        <v>1685.1</v>
      </c>
      <c r="P58" s="21">
        <f t="shared" si="11"/>
        <v>230.16</v>
      </c>
      <c r="Q58" s="22">
        <f t="shared" si="12"/>
        <v>378.12</v>
      </c>
      <c r="R58" s="21">
        <f t="shared" si="13"/>
        <v>189.06</v>
      </c>
      <c r="S58" s="22">
        <f t="shared" si="14"/>
        <v>274</v>
      </c>
      <c r="T58" s="21">
        <f t="shared" si="7"/>
        <v>29.52</v>
      </c>
      <c r="U58" s="21"/>
      <c r="V58" s="21">
        <f t="shared" si="15"/>
        <v>82.2</v>
      </c>
      <c r="W58" s="22">
        <f t="shared" si="8"/>
        <v>274</v>
      </c>
      <c r="X58" s="22">
        <f t="shared" si="9"/>
        <v>274</v>
      </c>
      <c r="Y58" s="22">
        <f t="shared" si="9"/>
        <v>274</v>
      </c>
    </row>
    <row r="59" spans="1:25" ht="75" customHeight="1" x14ac:dyDescent="0.2">
      <c r="A59" s="11">
        <v>57</v>
      </c>
      <c r="B59" s="12" t="s">
        <v>181</v>
      </c>
      <c r="C59" s="13">
        <v>28505012500157</v>
      </c>
      <c r="D59" s="34"/>
      <c r="E59" s="16"/>
      <c r="F59" s="16" t="s">
        <v>4</v>
      </c>
      <c r="G59" s="16" t="s">
        <v>261</v>
      </c>
      <c r="H59" s="15">
        <v>49</v>
      </c>
      <c r="I59" s="17">
        <v>40792</v>
      </c>
      <c r="J59" s="18">
        <v>360.02</v>
      </c>
      <c r="K59" s="18">
        <v>278</v>
      </c>
      <c r="L59" s="18">
        <v>80</v>
      </c>
      <c r="M59" s="19">
        <f t="shared" si="6"/>
        <v>278</v>
      </c>
      <c r="N59" s="20">
        <v>205</v>
      </c>
      <c r="O59" s="20">
        <f t="shared" si="10"/>
        <v>1709.7</v>
      </c>
      <c r="P59" s="21">
        <f t="shared" si="11"/>
        <v>233.52</v>
      </c>
      <c r="Q59" s="22">
        <f t="shared" si="12"/>
        <v>383.64</v>
      </c>
      <c r="R59" s="21">
        <f t="shared" si="13"/>
        <v>191.82</v>
      </c>
      <c r="S59" s="22">
        <f t="shared" si="14"/>
        <v>278</v>
      </c>
      <c r="T59" s="21">
        <f t="shared" si="7"/>
        <v>29.52</v>
      </c>
      <c r="U59" s="21"/>
      <c r="V59" s="21">
        <f t="shared" si="15"/>
        <v>83.4</v>
      </c>
      <c r="W59" s="22">
        <f t="shared" si="8"/>
        <v>278</v>
      </c>
      <c r="X59" s="22">
        <f t="shared" si="9"/>
        <v>278</v>
      </c>
      <c r="Y59" s="22">
        <f t="shared" si="9"/>
        <v>278</v>
      </c>
    </row>
    <row r="60" spans="1:25" ht="75" customHeight="1" x14ac:dyDescent="0.2">
      <c r="A60" s="23">
        <v>58</v>
      </c>
      <c r="B60" s="32" t="s">
        <v>182</v>
      </c>
      <c r="C60" s="25">
        <v>28206262500473</v>
      </c>
      <c r="D60" s="33"/>
      <c r="E60" s="28">
        <v>31705379</v>
      </c>
      <c r="F60" s="27" t="s">
        <v>4</v>
      </c>
      <c r="G60" s="27" t="s">
        <v>261</v>
      </c>
      <c r="H60" s="28">
        <v>50</v>
      </c>
      <c r="I60" s="29">
        <v>40792</v>
      </c>
      <c r="J60" s="30">
        <v>354.84</v>
      </c>
      <c r="K60" s="30">
        <v>274</v>
      </c>
      <c r="L60" s="30">
        <v>76</v>
      </c>
      <c r="M60" s="19">
        <f t="shared" si="6"/>
        <v>274</v>
      </c>
      <c r="N60" s="20">
        <v>205</v>
      </c>
      <c r="O60" s="20">
        <f t="shared" si="10"/>
        <v>1685.1</v>
      </c>
      <c r="P60" s="21">
        <f t="shared" si="11"/>
        <v>230.16</v>
      </c>
      <c r="Q60" s="22">
        <f t="shared" si="12"/>
        <v>378.12</v>
      </c>
      <c r="R60" s="21">
        <f t="shared" si="13"/>
        <v>189.06</v>
      </c>
      <c r="S60" s="22">
        <f t="shared" si="14"/>
        <v>274</v>
      </c>
      <c r="T60" s="21">
        <f t="shared" si="7"/>
        <v>29.52</v>
      </c>
      <c r="U60" s="21"/>
      <c r="V60" s="21">
        <f t="shared" si="15"/>
        <v>82.2</v>
      </c>
      <c r="W60" s="22">
        <f t="shared" si="8"/>
        <v>274</v>
      </c>
      <c r="X60" s="22">
        <f t="shared" si="9"/>
        <v>274</v>
      </c>
      <c r="Y60" s="22">
        <f t="shared" si="9"/>
        <v>274</v>
      </c>
    </row>
    <row r="61" spans="1:25" ht="75" customHeight="1" x14ac:dyDescent="0.2">
      <c r="A61" s="11">
        <v>59</v>
      </c>
      <c r="B61" s="12" t="s">
        <v>183</v>
      </c>
      <c r="C61" s="13">
        <v>28307182502212</v>
      </c>
      <c r="D61" s="34"/>
      <c r="E61" s="15">
        <v>56652376</v>
      </c>
      <c r="F61" s="16" t="s">
        <v>252</v>
      </c>
      <c r="G61" s="16" t="s">
        <v>253</v>
      </c>
      <c r="H61" s="15">
        <v>51</v>
      </c>
      <c r="I61" s="17">
        <v>41087</v>
      </c>
      <c r="J61" s="18">
        <v>336.71</v>
      </c>
      <c r="K61" s="18">
        <v>260</v>
      </c>
      <c r="L61" s="18">
        <v>62</v>
      </c>
      <c r="M61" s="19">
        <f t="shared" si="6"/>
        <v>260</v>
      </c>
      <c r="N61" s="20">
        <v>205</v>
      </c>
      <c r="O61" s="20">
        <f t="shared" si="10"/>
        <v>1599</v>
      </c>
      <c r="P61" s="21">
        <f t="shared" si="11"/>
        <v>218.4</v>
      </c>
      <c r="Q61" s="22">
        <f t="shared" si="12"/>
        <v>358.8</v>
      </c>
      <c r="R61" s="21">
        <f t="shared" si="13"/>
        <v>179.4</v>
      </c>
      <c r="S61" s="22">
        <f t="shared" si="14"/>
        <v>260</v>
      </c>
      <c r="T61" s="21">
        <f t="shared" si="7"/>
        <v>29.52</v>
      </c>
      <c r="U61" s="21"/>
      <c r="V61" s="21">
        <f t="shared" si="15"/>
        <v>78</v>
      </c>
      <c r="W61" s="22">
        <f t="shared" si="8"/>
        <v>260</v>
      </c>
      <c r="X61" s="22">
        <f t="shared" si="9"/>
        <v>260</v>
      </c>
      <c r="Y61" s="22">
        <f t="shared" si="9"/>
        <v>260</v>
      </c>
    </row>
    <row r="62" spans="1:25" ht="75" customHeight="1" x14ac:dyDescent="0.2">
      <c r="A62" s="23">
        <v>60</v>
      </c>
      <c r="B62" s="32" t="s">
        <v>184</v>
      </c>
      <c r="C62" s="25">
        <v>28507012500494</v>
      </c>
      <c r="D62" s="33"/>
      <c r="E62" s="28">
        <v>27392104</v>
      </c>
      <c r="F62" s="27" t="s">
        <v>252</v>
      </c>
      <c r="G62" s="27" t="s">
        <v>253</v>
      </c>
      <c r="H62" s="28">
        <v>52</v>
      </c>
      <c r="I62" s="29">
        <v>41048</v>
      </c>
      <c r="J62" s="30">
        <v>332.82</v>
      </c>
      <c r="K62" s="30">
        <v>257</v>
      </c>
      <c r="L62" s="30">
        <v>59</v>
      </c>
      <c r="M62" s="19">
        <f t="shared" si="6"/>
        <v>257</v>
      </c>
      <c r="N62" s="20">
        <v>205</v>
      </c>
      <c r="O62" s="20">
        <f t="shared" si="10"/>
        <v>1580.55</v>
      </c>
      <c r="P62" s="21">
        <f t="shared" si="11"/>
        <v>215.88</v>
      </c>
      <c r="Q62" s="22">
        <f t="shared" si="12"/>
        <v>354.66</v>
      </c>
      <c r="R62" s="21">
        <f t="shared" si="13"/>
        <v>177.33</v>
      </c>
      <c r="S62" s="22">
        <f t="shared" si="14"/>
        <v>257</v>
      </c>
      <c r="T62" s="21">
        <f t="shared" si="7"/>
        <v>29.52</v>
      </c>
      <c r="U62" s="21"/>
      <c r="V62" s="21">
        <f t="shared" si="15"/>
        <v>77.099999999999994</v>
      </c>
      <c r="W62" s="22">
        <f t="shared" si="8"/>
        <v>257</v>
      </c>
      <c r="X62" s="22">
        <f t="shared" si="9"/>
        <v>257</v>
      </c>
      <c r="Y62" s="22">
        <f t="shared" si="9"/>
        <v>257</v>
      </c>
    </row>
    <row r="63" spans="1:25" ht="75" customHeight="1" x14ac:dyDescent="0.2">
      <c r="A63" s="11">
        <v>61</v>
      </c>
      <c r="B63" s="12" t="s">
        <v>185</v>
      </c>
      <c r="C63" s="13">
        <v>28112020101791</v>
      </c>
      <c r="D63" s="34"/>
      <c r="E63" s="16"/>
      <c r="F63" s="16" t="s">
        <v>252</v>
      </c>
      <c r="G63" s="16" t="s">
        <v>255</v>
      </c>
      <c r="H63" s="15">
        <v>100</v>
      </c>
      <c r="I63" s="17">
        <v>41665</v>
      </c>
      <c r="J63" s="18">
        <v>330.23</v>
      </c>
      <c r="K63" s="18">
        <v>255</v>
      </c>
      <c r="L63" s="18">
        <v>57</v>
      </c>
      <c r="M63" s="19">
        <f t="shared" si="6"/>
        <v>255</v>
      </c>
      <c r="N63" s="20">
        <v>205</v>
      </c>
      <c r="O63" s="20">
        <f t="shared" si="10"/>
        <v>1568.25</v>
      </c>
      <c r="P63" s="21">
        <f t="shared" si="11"/>
        <v>214.2</v>
      </c>
      <c r="Q63" s="22">
        <f t="shared" si="12"/>
        <v>351.9</v>
      </c>
      <c r="R63" s="21">
        <f t="shared" si="13"/>
        <v>175.95</v>
      </c>
      <c r="S63" s="22">
        <f t="shared" si="14"/>
        <v>255</v>
      </c>
      <c r="T63" s="21">
        <f t="shared" si="7"/>
        <v>29.52</v>
      </c>
      <c r="U63" s="21"/>
      <c r="V63" s="21">
        <f t="shared" si="15"/>
        <v>76.5</v>
      </c>
      <c r="W63" s="22">
        <f t="shared" si="8"/>
        <v>255</v>
      </c>
      <c r="X63" s="22">
        <f t="shared" si="9"/>
        <v>255</v>
      </c>
      <c r="Y63" s="22">
        <f t="shared" si="9"/>
        <v>255</v>
      </c>
    </row>
    <row r="64" spans="1:25" ht="75" customHeight="1" x14ac:dyDescent="0.2">
      <c r="A64" s="23">
        <v>62</v>
      </c>
      <c r="B64" s="32" t="s">
        <v>186</v>
      </c>
      <c r="C64" s="25">
        <v>27912222500339</v>
      </c>
      <c r="D64" s="33"/>
      <c r="E64" s="28">
        <v>14068118</v>
      </c>
      <c r="F64" s="27" t="s">
        <v>4</v>
      </c>
      <c r="G64" s="27" t="s">
        <v>258</v>
      </c>
      <c r="H64" s="28">
        <v>53</v>
      </c>
      <c r="I64" s="29">
        <v>40792</v>
      </c>
      <c r="J64" s="30">
        <v>367.79</v>
      </c>
      <c r="K64" s="30">
        <v>284</v>
      </c>
      <c r="L64" s="30">
        <v>86</v>
      </c>
      <c r="M64" s="19">
        <f t="shared" si="6"/>
        <v>284</v>
      </c>
      <c r="N64" s="20">
        <v>205</v>
      </c>
      <c r="O64" s="20">
        <f t="shared" si="10"/>
        <v>1746.6</v>
      </c>
      <c r="P64" s="21">
        <f t="shared" si="11"/>
        <v>238.56</v>
      </c>
      <c r="Q64" s="22">
        <f t="shared" si="12"/>
        <v>391.92</v>
      </c>
      <c r="R64" s="21">
        <f t="shared" si="13"/>
        <v>195.96</v>
      </c>
      <c r="S64" s="22">
        <f t="shared" si="14"/>
        <v>284</v>
      </c>
      <c r="T64" s="21">
        <f t="shared" si="7"/>
        <v>29.52</v>
      </c>
      <c r="U64" s="21"/>
      <c r="V64" s="21">
        <f t="shared" si="15"/>
        <v>85.2</v>
      </c>
      <c r="W64" s="22">
        <f t="shared" si="8"/>
        <v>284</v>
      </c>
      <c r="X64" s="22">
        <f t="shared" si="9"/>
        <v>284</v>
      </c>
      <c r="Y64" s="22">
        <f t="shared" si="9"/>
        <v>284</v>
      </c>
    </row>
    <row r="65" spans="1:25" ht="75" customHeight="1" x14ac:dyDescent="0.2">
      <c r="A65" s="11">
        <v>63</v>
      </c>
      <c r="B65" s="12" t="s">
        <v>187</v>
      </c>
      <c r="C65" s="13">
        <v>28109012500413</v>
      </c>
      <c r="D65" s="34"/>
      <c r="E65" s="15">
        <v>61765978</v>
      </c>
      <c r="F65" s="16" t="s">
        <v>252</v>
      </c>
      <c r="G65" s="16" t="s">
        <v>253</v>
      </c>
      <c r="H65" s="15">
        <v>54</v>
      </c>
      <c r="I65" s="17">
        <v>40792</v>
      </c>
      <c r="J65" s="18">
        <v>341.89</v>
      </c>
      <c r="K65" s="18">
        <v>264</v>
      </c>
      <c r="L65" s="18">
        <v>66</v>
      </c>
      <c r="M65" s="19">
        <f t="shared" si="6"/>
        <v>264</v>
      </c>
      <c r="N65" s="20">
        <v>205</v>
      </c>
      <c r="O65" s="20">
        <f t="shared" si="10"/>
        <v>1623.6</v>
      </c>
      <c r="P65" s="21">
        <f t="shared" si="11"/>
        <v>221.76</v>
      </c>
      <c r="Q65" s="22">
        <f t="shared" si="12"/>
        <v>364.32</v>
      </c>
      <c r="R65" s="21">
        <f t="shared" si="13"/>
        <v>182.16</v>
      </c>
      <c r="S65" s="22">
        <f t="shared" si="14"/>
        <v>264</v>
      </c>
      <c r="T65" s="21">
        <f t="shared" si="7"/>
        <v>29.52</v>
      </c>
      <c r="U65" s="21"/>
      <c r="V65" s="21">
        <f t="shared" si="15"/>
        <v>79.2</v>
      </c>
      <c r="W65" s="22">
        <f t="shared" si="8"/>
        <v>264</v>
      </c>
      <c r="X65" s="22">
        <f t="shared" si="9"/>
        <v>264</v>
      </c>
      <c r="Y65" s="22">
        <f t="shared" si="9"/>
        <v>264</v>
      </c>
    </row>
    <row r="66" spans="1:25" ht="75" customHeight="1" x14ac:dyDescent="0.2">
      <c r="A66" s="23">
        <v>64</v>
      </c>
      <c r="B66" s="24" t="s">
        <v>270</v>
      </c>
      <c r="C66" s="25">
        <v>29108012506494</v>
      </c>
      <c r="D66" s="33"/>
      <c r="E66" s="27"/>
      <c r="F66" s="27" t="s">
        <v>252</v>
      </c>
      <c r="G66" s="27" t="s">
        <v>255</v>
      </c>
      <c r="H66" s="28">
        <v>100</v>
      </c>
      <c r="I66" s="29">
        <v>41822</v>
      </c>
      <c r="J66" s="30">
        <v>318.58</v>
      </c>
      <c r="K66" s="30">
        <v>246</v>
      </c>
      <c r="L66" s="30">
        <v>48</v>
      </c>
      <c r="M66" s="19">
        <f t="shared" si="6"/>
        <v>246</v>
      </c>
      <c r="N66" s="20">
        <v>205</v>
      </c>
      <c r="O66" s="20">
        <f t="shared" si="10"/>
        <v>1512.9</v>
      </c>
      <c r="P66" s="21">
        <f t="shared" si="11"/>
        <v>206.64</v>
      </c>
      <c r="Q66" s="22">
        <f t="shared" si="12"/>
        <v>339.48</v>
      </c>
      <c r="R66" s="21">
        <f t="shared" si="13"/>
        <v>169.74</v>
      </c>
      <c r="S66" s="22">
        <f t="shared" si="14"/>
        <v>246</v>
      </c>
      <c r="T66" s="21">
        <f t="shared" si="7"/>
        <v>29.52</v>
      </c>
      <c r="U66" s="21"/>
      <c r="V66" s="21">
        <f t="shared" si="15"/>
        <v>73.8</v>
      </c>
      <c r="W66" s="22">
        <f t="shared" si="8"/>
        <v>246</v>
      </c>
      <c r="X66" s="22">
        <f t="shared" si="9"/>
        <v>246</v>
      </c>
      <c r="Y66" s="22">
        <f t="shared" si="9"/>
        <v>246</v>
      </c>
    </row>
    <row r="67" spans="1:25" ht="75" customHeight="1" x14ac:dyDescent="0.2">
      <c r="A67" s="11">
        <v>65</v>
      </c>
      <c r="B67" s="12" t="s">
        <v>188</v>
      </c>
      <c r="C67" s="13">
        <v>27909242500041</v>
      </c>
      <c r="D67" s="34"/>
      <c r="E67" s="15">
        <v>16224784</v>
      </c>
      <c r="F67" s="16" t="s">
        <v>4</v>
      </c>
      <c r="G67" s="16" t="s">
        <v>253</v>
      </c>
      <c r="H67" s="15">
        <v>55</v>
      </c>
      <c r="I67" s="17">
        <v>40792</v>
      </c>
      <c r="J67" s="18">
        <v>349.66</v>
      </c>
      <c r="K67" s="18">
        <v>270</v>
      </c>
      <c r="L67" s="18">
        <v>72</v>
      </c>
      <c r="M67" s="19">
        <f t="shared" si="6"/>
        <v>270</v>
      </c>
      <c r="N67" s="20">
        <v>205</v>
      </c>
      <c r="O67" s="20">
        <f t="shared" ref="O67:O98" si="16">M67*N67*3/100</f>
        <v>1660.5</v>
      </c>
      <c r="P67" s="21">
        <f t="shared" ref="P67:P98" si="17">K67*28*3/100</f>
        <v>226.8</v>
      </c>
      <c r="Q67" s="22">
        <f t="shared" ref="Q67:Q98" si="18">K67*46*3/100</f>
        <v>372.6</v>
      </c>
      <c r="R67" s="21">
        <f t="shared" ref="R67:R98" si="19">K67*23*3/100</f>
        <v>186.3</v>
      </c>
      <c r="S67" s="22">
        <f t="shared" ref="S67:S98" si="20">K67</f>
        <v>270</v>
      </c>
      <c r="T67" s="21">
        <f t="shared" si="7"/>
        <v>29.52</v>
      </c>
      <c r="U67" s="21"/>
      <c r="V67" s="21">
        <f t="shared" ref="V67:V98" si="21">K67*10*3/100</f>
        <v>81</v>
      </c>
      <c r="W67" s="22">
        <f t="shared" si="8"/>
        <v>270</v>
      </c>
      <c r="X67" s="22">
        <f t="shared" si="9"/>
        <v>270</v>
      </c>
      <c r="Y67" s="22">
        <f t="shared" si="9"/>
        <v>270</v>
      </c>
    </row>
    <row r="68" spans="1:25" ht="75" customHeight="1" x14ac:dyDescent="0.2">
      <c r="A68" s="23">
        <v>66</v>
      </c>
      <c r="B68" s="32" t="s">
        <v>189</v>
      </c>
      <c r="C68" s="25">
        <v>28004262500242</v>
      </c>
      <c r="D68" s="33"/>
      <c r="E68" s="28">
        <v>14001468</v>
      </c>
      <c r="F68" s="27" t="s">
        <v>4</v>
      </c>
      <c r="G68" s="27" t="s">
        <v>253</v>
      </c>
      <c r="H68" s="28">
        <v>57</v>
      </c>
      <c r="I68" s="29">
        <v>40792</v>
      </c>
      <c r="J68" s="30">
        <v>354.84</v>
      </c>
      <c r="K68" s="30">
        <v>274</v>
      </c>
      <c r="L68" s="30">
        <v>76</v>
      </c>
      <c r="M68" s="19">
        <f t="shared" ref="M68:M104" si="22">K68</f>
        <v>274</v>
      </c>
      <c r="N68" s="20">
        <v>205</v>
      </c>
      <c r="O68" s="20">
        <f t="shared" si="16"/>
        <v>1685.1</v>
      </c>
      <c r="P68" s="21">
        <f t="shared" si="17"/>
        <v>230.16</v>
      </c>
      <c r="Q68" s="22">
        <f t="shared" si="18"/>
        <v>378.12</v>
      </c>
      <c r="R68" s="21">
        <f t="shared" si="19"/>
        <v>189.06</v>
      </c>
      <c r="S68" s="22">
        <f t="shared" si="20"/>
        <v>274</v>
      </c>
      <c r="T68" s="21">
        <f t="shared" ref="T68:T104" si="23">4.8*205*3/100</f>
        <v>29.52</v>
      </c>
      <c r="U68" s="21"/>
      <c r="V68" s="21">
        <f t="shared" si="21"/>
        <v>82.2</v>
      </c>
      <c r="W68" s="22">
        <f t="shared" ref="W68:W104" si="24">S68</f>
        <v>274</v>
      </c>
      <c r="X68" s="22">
        <f t="shared" ref="X68:Y104" si="25">W68</f>
        <v>274</v>
      </c>
      <c r="Y68" s="22">
        <f t="shared" si="25"/>
        <v>274</v>
      </c>
    </row>
    <row r="69" spans="1:25" ht="75" customHeight="1" x14ac:dyDescent="0.2">
      <c r="A69" s="11">
        <v>67</v>
      </c>
      <c r="B69" s="24" t="s">
        <v>271</v>
      </c>
      <c r="C69" s="13">
        <v>29204082502185</v>
      </c>
      <c r="D69" s="34"/>
      <c r="E69" s="16"/>
      <c r="F69" s="16" t="s">
        <v>252</v>
      </c>
      <c r="G69" s="16" t="s">
        <v>255</v>
      </c>
      <c r="H69" s="15">
        <v>155</v>
      </c>
      <c r="I69" s="17">
        <v>42179</v>
      </c>
      <c r="J69" s="18">
        <v>318.58</v>
      </c>
      <c r="K69" s="18">
        <v>246</v>
      </c>
      <c r="L69" s="18">
        <v>48</v>
      </c>
      <c r="M69" s="19">
        <f t="shared" si="22"/>
        <v>246</v>
      </c>
      <c r="N69" s="20">
        <v>205</v>
      </c>
      <c r="O69" s="20">
        <f t="shared" si="16"/>
        <v>1512.9</v>
      </c>
      <c r="P69" s="21">
        <f t="shared" si="17"/>
        <v>206.64</v>
      </c>
      <c r="Q69" s="22">
        <f t="shared" si="18"/>
        <v>339.48</v>
      </c>
      <c r="R69" s="21">
        <f t="shared" si="19"/>
        <v>169.74</v>
      </c>
      <c r="S69" s="22">
        <f t="shared" si="20"/>
        <v>246</v>
      </c>
      <c r="T69" s="21">
        <f t="shared" si="23"/>
        <v>29.52</v>
      </c>
      <c r="U69" s="21"/>
      <c r="V69" s="21">
        <f t="shared" si="21"/>
        <v>73.8</v>
      </c>
      <c r="W69" s="22">
        <f t="shared" si="24"/>
        <v>246</v>
      </c>
      <c r="X69" s="22">
        <f t="shared" si="25"/>
        <v>246</v>
      </c>
      <c r="Y69" s="22">
        <f t="shared" si="25"/>
        <v>246</v>
      </c>
    </row>
    <row r="70" spans="1:25" ht="75" customHeight="1" x14ac:dyDescent="0.2">
      <c r="A70" s="23">
        <v>68</v>
      </c>
      <c r="B70" s="32" t="s">
        <v>190</v>
      </c>
      <c r="C70" s="25">
        <v>28603178800223</v>
      </c>
      <c r="D70" s="33"/>
      <c r="E70" s="28">
        <v>61651752</v>
      </c>
      <c r="F70" s="27" t="s">
        <v>4</v>
      </c>
      <c r="G70" s="27" t="s">
        <v>253</v>
      </c>
      <c r="H70" s="28">
        <v>58</v>
      </c>
      <c r="I70" s="29">
        <v>40792</v>
      </c>
      <c r="J70" s="30">
        <v>344.48</v>
      </c>
      <c r="K70" s="30">
        <v>266</v>
      </c>
      <c r="L70" s="30">
        <v>68</v>
      </c>
      <c r="M70" s="19">
        <f t="shared" si="22"/>
        <v>266</v>
      </c>
      <c r="N70" s="20">
        <v>205</v>
      </c>
      <c r="O70" s="20">
        <f t="shared" si="16"/>
        <v>1635.9</v>
      </c>
      <c r="P70" s="21">
        <f t="shared" si="17"/>
        <v>223.44</v>
      </c>
      <c r="Q70" s="22">
        <f t="shared" si="18"/>
        <v>367.08</v>
      </c>
      <c r="R70" s="21">
        <f t="shared" si="19"/>
        <v>183.54</v>
      </c>
      <c r="S70" s="22">
        <f t="shared" si="20"/>
        <v>266</v>
      </c>
      <c r="T70" s="21">
        <f t="shared" si="23"/>
        <v>29.52</v>
      </c>
      <c r="U70" s="21"/>
      <c r="V70" s="21">
        <f t="shared" si="21"/>
        <v>79.8</v>
      </c>
      <c r="W70" s="22">
        <f t="shared" si="24"/>
        <v>266</v>
      </c>
      <c r="X70" s="22">
        <f t="shared" si="25"/>
        <v>266</v>
      </c>
      <c r="Y70" s="22">
        <f t="shared" si="25"/>
        <v>266</v>
      </c>
    </row>
    <row r="71" spans="1:25" ht="75" customHeight="1" x14ac:dyDescent="0.2">
      <c r="A71" s="11">
        <v>69</v>
      </c>
      <c r="B71" s="12" t="s">
        <v>191</v>
      </c>
      <c r="C71" s="13">
        <v>28612082503685</v>
      </c>
      <c r="D71" s="34"/>
      <c r="E71" s="15">
        <v>1537699</v>
      </c>
      <c r="F71" s="16" t="s">
        <v>252</v>
      </c>
      <c r="G71" s="16" t="s">
        <v>253</v>
      </c>
      <c r="H71" s="15">
        <v>59</v>
      </c>
      <c r="I71" s="17">
        <v>41087</v>
      </c>
      <c r="J71" s="18">
        <v>336.71</v>
      </c>
      <c r="K71" s="18">
        <v>260</v>
      </c>
      <c r="L71" s="18">
        <v>62</v>
      </c>
      <c r="M71" s="19">
        <f t="shared" si="22"/>
        <v>260</v>
      </c>
      <c r="N71" s="20">
        <v>205</v>
      </c>
      <c r="O71" s="20">
        <f t="shared" si="16"/>
        <v>1599</v>
      </c>
      <c r="P71" s="21">
        <f t="shared" si="17"/>
        <v>218.4</v>
      </c>
      <c r="Q71" s="22">
        <f t="shared" si="18"/>
        <v>358.8</v>
      </c>
      <c r="R71" s="21">
        <f t="shared" si="19"/>
        <v>179.4</v>
      </c>
      <c r="S71" s="22">
        <f t="shared" si="20"/>
        <v>260</v>
      </c>
      <c r="T71" s="21">
        <f t="shared" si="23"/>
        <v>29.52</v>
      </c>
      <c r="U71" s="21"/>
      <c r="V71" s="21">
        <f t="shared" si="21"/>
        <v>78</v>
      </c>
      <c r="W71" s="22">
        <f t="shared" si="24"/>
        <v>260</v>
      </c>
      <c r="X71" s="22">
        <f t="shared" si="25"/>
        <v>260</v>
      </c>
      <c r="Y71" s="22">
        <f t="shared" si="25"/>
        <v>260</v>
      </c>
    </row>
    <row r="72" spans="1:25" ht="75" customHeight="1" x14ac:dyDescent="0.2">
      <c r="A72" s="23">
        <v>70</v>
      </c>
      <c r="B72" s="32" t="s">
        <v>192</v>
      </c>
      <c r="C72" s="25">
        <v>28508292500032</v>
      </c>
      <c r="D72" s="33"/>
      <c r="E72" s="28">
        <v>22336849</v>
      </c>
      <c r="F72" s="27" t="s">
        <v>252</v>
      </c>
      <c r="G72" s="27" t="s">
        <v>255</v>
      </c>
      <c r="H72" s="28">
        <v>102</v>
      </c>
      <c r="I72" s="29">
        <v>41665</v>
      </c>
      <c r="J72" s="30">
        <v>326.35000000000002</v>
      </c>
      <c r="K72" s="30">
        <v>252</v>
      </c>
      <c r="L72" s="30">
        <v>54</v>
      </c>
      <c r="M72" s="19">
        <f t="shared" si="22"/>
        <v>252</v>
      </c>
      <c r="N72" s="20">
        <v>205</v>
      </c>
      <c r="O72" s="20">
        <f t="shared" si="16"/>
        <v>1549.8</v>
      </c>
      <c r="P72" s="21">
        <f t="shared" si="17"/>
        <v>211.68</v>
      </c>
      <c r="Q72" s="22">
        <f t="shared" si="18"/>
        <v>347.76</v>
      </c>
      <c r="R72" s="21">
        <f t="shared" si="19"/>
        <v>173.88</v>
      </c>
      <c r="S72" s="22">
        <f t="shared" si="20"/>
        <v>252</v>
      </c>
      <c r="T72" s="21">
        <f t="shared" si="23"/>
        <v>29.52</v>
      </c>
      <c r="U72" s="21"/>
      <c r="V72" s="21">
        <f t="shared" si="21"/>
        <v>75.599999999999994</v>
      </c>
      <c r="W72" s="22">
        <f t="shared" si="24"/>
        <v>252</v>
      </c>
      <c r="X72" s="22">
        <f t="shared" si="25"/>
        <v>252</v>
      </c>
      <c r="Y72" s="22">
        <f t="shared" si="25"/>
        <v>252</v>
      </c>
    </row>
    <row r="73" spans="1:25" ht="75" customHeight="1" x14ac:dyDescent="0.2">
      <c r="A73" s="11">
        <v>71</v>
      </c>
      <c r="B73" s="12" t="s">
        <v>193</v>
      </c>
      <c r="C73" s="13">
        <v>28109172500291</v>
      </c>
      <c r="D73" s="34"/>
      <c r="E73" s="15">
        <v>59567856</v>
      </c>
      <c r="F73" s="16" t="s">
        <v>252</v>
      </c>
      <c r="G73" s="16" t="s">
        <v>253</v>
      </c>
      <c r="H73" s="15">
        <v>60</v>
      </c>
      <c r="I73" s="17">
        <v>41048</v>
      </c>
      <c r="J73" s="18">
        <v>336.71</v>
      </c>
      <c r="K73" s="18">
        <v>260</v>
      </c>
      <c r="L73" s="18">
        <v>62</v>
      </c>
      <c r="M73" s="19">
        <f t="shared" si="22"/>
        <v>260</v>
      </c>
      <c r="N73" s="20">
        <v>205</v>
      </c>
      <c r="O73" s="20">
        <f t="shared" si="16"/>
        <v>1599</v>
      </c>
      <c r="P73" s="21">
        <f t="shared" si="17"/>
        <v>218.4</v>
      </c>
      <c r="Q73" s="22">
        <f t="shared" si="18"/>
        <v>358.8</v>
      </c>
      <c r="R73" s="21">
        <f t="shared" si="19"/>
        <v>179.4</v>
      </c>
      <c r="S73" s="22">
        <f t="shared" si="20"/>
        <v>260</v>
      </c>
      <c r="T73" s="21">
        <f t="shared" si="23"/>
        <v>29.52</v>
      </c>
      <c r="U73" s="21"/>
      <c r="V73" s="21">
        <f t="shared" si="21"/>
        <v>78</v>
      </c>
      <c r="W73" s="22">
        <f t="shared" si="24"/>
        <v>260</v>
      </c>
      <c r="X73" s="22">
        <f t="shared" si="25"/>
        <v>260</v>
      </c>
      <c r="Y73" s="22">
        <f t="shared" si="25"/>
        <v>260</v>
      </c>
    </row>
    <row r="74" spans="1:25" ht="75" customHeight="1" x14ac:dyDescent="0.2">
      <c r="A74" s="23">
        <v>72</v>
      </c>
      <c r="B74" s="32" t="s">
        <v>194</v>
      </c>
      <c r="C74" s="25">
        <v>28801012517392</v>
      </c>
      <c r="D74" s="33"/>
      <c r="E74" s="27"/>
      <c r="F74" s="27" t="s">
        <v>252</v>
      </c>
      <c r="G74" s="27" t="s">
        <v>255</v>
      </c>
      <c r="H74" s="28">
        <v>62</v>
      </c>
      <c r="I74" s="29">
        <v>40953</v>
      </c>
      <c r="J74" s="30">
        <v>328.94</v>
      </c>
      <c r="K74" s="30">
        <v>254</v>
      </c>
      <c r="L74" s="30">
        <v>56</v>
      </c>
      <c r="M74" s="19">
        <f t="shared" si="22"/>
        <v>254</v>
      </c>
      <c r="N74" s="20">
        <v>205</v>
      </c>
      <c r="O74" s="20">
        <f t="shared" si="16"/>
        <v>1562.1</v>
      </c>
      <c r="P74" s="21">
        <f t="shared" si="17"/>
        <v>213.36</v>
      </c>
      <c r="Q74" s="22">
        <f t="shared" si="18"/>
        <v>350.52</v>
      </c>
      <c r="R74" s="21">
        <f t="shared" si="19"/>
        <v>175.26</v>
      </c>
      <c r="S74" s="22">
        <f t="shared" si="20"/>
        <v>254</v>
      </c>
      <c r="T74" s="21">
        <f t="shared" si="23"/>
        <v>29.52</v>
      </c>
      <c r="U74" s="21"/>
      <c r="V74" s="21">
        <f t="shared" si="21"/>
        <v>76.2</v>
      </c>
      <c r="W74" s="22">
        <f t="shared" si="24"/>
        <v>254</v>
      </c>
      <c r="X74" s="22">
        <f t="shared" si="25"/>
        <v>254</v>
      </c>
      <c r="Y74" s="22">
        <f t="shared" si="25"/>
        <v>254</v>
      </c>
    </row>
    <row r="75" spans="1:25" ht="75" customHeight="1" x14ac:dyDescent="0.2">
      <c r="A75" s="11">
        <v>73</v>
      </c>
      <c r="B75" s="12" t="s">
        <v>195</v>
      </c>
      <c r="C75" s="13">
        <v>28301222500171</v>
      </c>
      <c r="D75" s="34"/>
      <c r="E75" s="15">
        <v>228405590</v>
      </c>
      <c r="F75" s="16" t="s">
        <v>252</v>
      </c>
      <c r="G75" s="16" t="s">
        <v>261</v>
      </c>
      <c r="H75" s="15">
        <v>64</v>
      </c>
      <c r="I75" s="17">
        <v>40950</v>
      </c>
      <c r="J75" s="18">
        <v>336.71</v>
      </c>
      <c r="K75" s="18">
        <v>260</v>
      </c>
      <c r="L75" s="18">
        <v>62</v>
      </c>
      <c r="M75" s="19">
        <f t="shared" si="22"/>
        <v>260</v>
      </c>
      <c r="N75" s="20">
        <v>205</v>
      </c>
      <c r="O75" s="20">
        <f t="shared" si="16"/>
        <v>1599</v>
      </c>
      <c r="P75" s="21">
        <f t="shared" si="17"/>
        <v>218.4</v>
      </c>
      <c r="Q75" s="22">
        <f t="shared" si="18"/>
        <v>358.8</v>
      </c>
      <c r="R75" s="21">
        <f t="shared" si="19"/>
        <v>179.4</v>
      </c>
      <c r="S75" s="22">
        <f t="shared" si="20"/>
        <v>260</v>
      </c>
      <c r="T75" s="21">
        <f t="shared" si="23"/>
        <v>29.52</v>
      </c>
      <c r="U75" s="21"/>
      <c r="V75" s="21">
        <f t="shared" si="21"/>
        <v>78</v>
      </c>
      <c r="W75" s="22">
        <f t="shared" si="24"/>
        <v>260</v>
      </c>
      <c r="X75" s="22">
        <f t="shared" si="25"/>
        <v>260</v>
      </c>
      <c r="Y75" s="22">
        <f t="shared" si="25"/>
        <v>260</v>
      </c>
    </row>
    <row r="76" spans="1:25" ht="75" customHeight="1" x14ac:dyDescent="0.2">
      <c r="A76" s="23">
        <v>74</v>
      </c>
      <c r="B76" s="32" t="s">
        <v>196</v>
      </c>
      <c r="C76" s="25">
        <v>28309102500411</v>
      </c>
      <c r="D76" s="33"/>
      <c r="E76" s="28">
        <v>21524755</v>
      </c>
      <c r="F76" s="27" t="s">
        <v>252</v>
      </c>
      <c r="G76" s="27" t="s">
        <v>253</v>
      </c>
      <c r="H76" s="28">
        <v>156</v>
      </c>
      <c r="I76" s="29">
        <v>42147</v>
      </c>
      <c r="J76" s="30">
        <v>330.23</v>
      </c>
      <c r="K76" s="30">
        <v>255</v>
      </c>
      <c r="L76" s="30">
        <v>57</v>
      </c>
      <c r="M76" s="19">
        <f t="shared" si="22"/>
        <v>255</v>
      </c>
      <c r="N76" s="20">
        <v>205</v>
      </c>
      <c r="O76" s="20">
        <f t="shared" si="16"/>
        <v>1568.25</v>
      </c>
      <c r="P76" s="21">
        <f t="shared" si="17"/>
        <v>214.2</v>
      </c>
      <c r="Q76" s="22">
        <f t="shared" si="18"/>
        <v>351.9</v>
      </c>
      <c r="R76" s="21">
        <f t="shared" si="19"/>
        <v>175.95</v>
      </c>
      <c r="S76" s="22">
        <f t="shared" si="20"/>
        <v>255</v>
      </c>
      <c r="T76" s="21">
        <f t="shared" si="23"/>
        <v>29.52</v>
      </c>
      <c r="U76" s="21"/>
      <c r="V76" s="21">
        <f t="shared" si="21"/>
        <v>76.5</v>
      </c>
      <c r="W76" s="22">
        <f t="shared" si="24"/>
        <v>255</v>
      </c>
      <c r="X76" s="22">
        <f t="shared" si="25"/>
        <v>255</v>
      </c>
      <c r="Y76" s="22">
        <f t="shared" si="25"/>
        <v>255</v>
      </c>
    </row>
    <row r="77" spans="1:25" ht="75" customHeight="1" x14ac:dyDescent="0.2">
      <c r="A77" s="11">
        <v>75</v>
      </c>
      <c r="B77" s="12" t="s">
        <v>197</v>
      </c>
      <c r="C77" s="13">
        <v>28409242500254</v>
      </c>
      <c r="D77" s="34"/>
      <c r="E77" s="15">
        <v>22572369</v>
      </c>
      <c r="F77" s="16" t="s">
        <v>252</v>
      </c>
      <c r="G77" s="16" t="s">
        <v>255</v>
      </c>
      <c r="H77" s="15">
        <v>65</v>
      </c>
      <c r="I77" s="17">
        <v>41048</v>
      </c>
      <c r="J77" s="18">
        <v>336.71</v>
      </c>
      <c r="K77" s="18">
        <v>260</v>
      </c>
      <c r="L77" s="18">
        <v>62</v>
      </c>
      <c r="M77" s="19">
        <f t="shared" si="22"/>
        <v>260</v>
      </c>
      <c r="N77" s="20">
        <v>205</v>
      </c>
      <c r="O77" s="20">
        <f t="shared" si="16"/>
        <v>1599</v>
      </c>
      <c r="P77" s="21">
        <f t="shared" si="17"/>
        <v>218.4</v>
      </c>
      <c r="Q77" s="22">
        <f t="shared" si="18"/>
        <v>358.8</v>
      </c>
      <c r="R77" s="21">
        <f t="shared" si="19"/>
        <v>179.4</v>
      </c>
      <c r="S77" s="22">
        <f t="shared" si="20"/>
        <v>260</v>
      </c>
      <c r="T77" s="21">
        <f t="shared" si="23"/>
        <v>29.52</v>
      </c>
      <c r="U77" s="21"/>
      <c r="V77" s="21">
        <f t="shared" si="21"/>
        <v>78</v>
      </c>
      <c r="W77" s="22">
        <f t="shared" si="24"/>
        <v>260</v>
      </c>
      <c r="X77" s="22">
        <f t="shared" si="25"/>
        <v>260</v>
      </c>
      <c r="Y77" s="22">
        <f t="shared" si="25"/>
        <v>260</v>
      </c>
    </row>
    <row r="78" spans="1:25" ht="75" customHeight="1" x14ac:dyDescent="0.2">
      <c r="A78" s="23">
        <v>76</v>
      </c>
      <c r="B78" s="32" t="s">
        <v>199</v>
      </c>
      <c r="C78" s="25">
        <v>28602042500319</v>
      </c>
      <c r="D78" s="33"/>
      <c r="E78" s="27"/>
      <c r="F78" s="27" t="s">
        <v>252</v>
      </c>
      <c r="G78" s="27" t="s">
        <v>255</v>
      </c>
      <c r="H78" s="28">
        <v>104</v>
      </c>
      <c r="I78" s="29">
        <v>41665</v>
      </c>
      <c r="J78" s="30">
        <v>331.53</v>
      </c>
      <c r="K78" s="30">
        <v>256</v>
      </c>
      <c r="L78" s="30">
        <v>58</v>
      </c>
      <c r="M78" s="19">
        <f t="shared" si="22"/>
        <v>256</v>
      </c>
      <c r="N78" s="20">
        <v>205</v>
      </c>
      <c r="O78" s="20">
        <f t="shared" si="16"/>
        <v>1574.4</v>
      </c>
      <c r="P78" s="21">
        <f t="shared" si="17"/>
        <v>215.04</v>
      </c>
      <c r="Q78" s="22">
        <f t="shared" si="18"/>
        <v>353.28</v>
      </c>
      <c r="R78" s="21">
        <f t="shared" si="19"/>
        <v>176.64</v>
      </c>
      <c r="S78" s="22">
        <f t="shared" si="20"/>
        <v>256</v>
      </c>
      <c r="T78" s="21">
        <f t="shared" si="23"/>
        <v>29.52</v>
      </c>
      <c r="U78" s="21"/>
      <c r="V78" s="21">
        <f t="shared" si="21"/>
        <v>76.8</v>
      </c>
      <c r="W78" s="22">
        <f t="shared" si="24"/>
        <v>256</v>
      </c>
      <c r="X78" s="22">
        <f t="shared" si="25"/>
        <v>256</v>
      </c>
      <c r="Y78" s="22">
        <f t="shared" si="25"/>
        <v>256</v>
      </c>
    </row>
    <row r="79" spans="1:25" ht="75" customHeight="1" x14ac:dyDescent="0.2">
      <c r="A79" s="11">
        <v>77</v>
      </c>
      <c r="B79" s="12" t="s">
        <v>200</v>
      </c>
      <c r="C79" s="13">
        <v>27804112500107</v>
      </c>
      <c r="D79" s="34"/>
      <c r="E79" s="15">
        <v>15375444</v>
      </c>
      <c r="F79" s="16" t="s">
        <v>4</v>
      </c>
      <c r="G79" s="16" t="s">
        <v>253</v>
      </c>
      <c r="H79" s="15">
        <v>90</v>
      </c>
      <c r="I79" s="17">
        <v>35252</v>
      </c>
      <c r="J79" s="18">
        <v>543.23</v>
      </c>
      <c r="K79" s="18">
        <v>419.47</v>
      </c>
      <c r="L79" s="18">
        <v>118</v>
      </c>
      <c r="M79" s="19">
        <f t="shared" si="22"/>
        <v>419.47</v>
      </c>
      <c r="N79" s="20">
        <v>205</v>
      </c>
      <c r="O79" s="20">
        <f t="shared" si="16"/>
        <v>2579.7405000000003</v>
      </c>
      <c r="P79" s="21">
        <f t="shared" si="17"/>
        <v>352.35479999999995</v>
      </c>
      <c r="Q79" s="22">
        <f t="shared" si="18"/>
        <v>578.86860000000013</v>
      </c>
      <c r="R79" s="21">
        <f t="shared" si="19"/>
        <v>289.43430000000006</v>
      </c>
      <c r="S79" s="22">
        <f t="shared" si="20"/>
        <v>419.47</v>
      </c>
      <c r="T79" s="21">
        <f t="shared" si="23"/>
        <v>29.52</v>
      </c>
      <c r="U79" s="21"/>
      <c r="V79" s="21">
        <f t="shared" si="21"/>
        <v>125.84100000000002</v>
      </c>
      <c r="W79" s="22">
        <f t="shared" si="24"/>
        <v>419.47</v>
      </c>
      <c r="X79" s="22">
        <f t="shared" si="25"/>
        <v>419.47</v>
      </c>
      <c r="Y79" s="22">
        <f t="shared" si="25"/>
        <v>419.47</v>
      </c>
    </row>
    <row r="80" spans="1:25" ht="75" customHeight="1" x14ac:dyDescent="0.2">
      <c r="A80" s="23">
        <v>78</v>
      </c>
      <c r="B80" s="32" t="s">
        <v>201</v>
      </c>
      <c r="C80" s="25">
        <v>28607162500063</v>
      </c>
      <c r="D80" s="33"/>
      <c r="E80" s="28">
        <v>7735353</v>
      </c>
      <c r="F80" s="27" t="s">
        <v>252</v>
      </c>
      <c r="G80" s="27" t="s">
        <v>253</v>
      </c>
      <c r="H80" s="28">
        <v>66</v>
      </c>
      <c r="I80" s="29">
        <v>41048</v>
      </c>
      <c r="J80" s="30">
        <v>336.71</v>
      </c>
      <c r="K80" s="30">
        <v>260</v>
      </c>
      <c r="L80" s="30">
        <v>62</v>
      </c>
      <c r="M80" s="19">
        <f t="shared" si="22"/>
        <v>260</v>
      </c>
      <c r="N80" s="20">
        <v>205</v>
      </c>
      <c r="O80" s="20">
        <f t="shared" si="16"/>
        <v>1599</v>
      </c>
      <c r="P80" s="21">
        <f t="shared" si="17"/>
        <v>218.4</v>
      </c>
      <c r="Q80" s="22">
        <f t="shared" si="18"/>
        <v>358.8</v>
      </c>
      <c r="R80" s="21">
        <f t="shared" si="19"/>
        <v>179.4</v>
      </c>
      <c r="S80" s="22">
        <f t="shared" si="20"/>
        <v>260</v>
      </c>
      <c r="T80" s="21">
        <f t="shared" si="23"/>
        <v>29.52</v>
      </c>
      <c r="U80" s="21"/>
      <c r="V80" s="21">
        <f t="shared" si="21"/>
        <v>78</v>
      </c>
      <c r="W80" s="22">
        <f t="shared" si="24"/>
        <v>260</v>
      </c>
      <c r="X80" s="22">
        <f t="shared" si="25"/>
        <v>260</v>
      </c>
      <c r="Y80" s="22">
        <f t="shared" si="25"/>
        <v>260</v>
      </c>
    </row>
    <row r="81" spans="1:25" ht="75" customHeight="1" x14ac:dyDescent="0.2">
      <c r="A81" s="11">
        <v>79</v>
      </c>
      <c r="B81" s="12" t="s">
        <v>202</v>
      </c>
      <c r="C81" s="13">
        <v>28501142500382</v>
      </c>
      <c r="D81" s="34"/>
      <c r="E81" s="15">
        <v>17986771</v>
      </c>
      <c r="F81" s="16" t="s">
        <v>252</v>
      </c>
      <c r="G81" s="16" t="s">
        <v>253</v>
      </c>
      <c r="H81" s="15">
        <v>67</v>
      </c>
      <c r="I81" s="17">
        <v>40792</v>
      </c>
      <c r="J81" s="18">
        <v>336.71</v>
      </c>
      <c r="K81" s="18">
        <v>260</v>
      </c>
      <c r="L81" s="18">
        <v>62</v>
      </c>
      <c r="M81" s="19">
        <f t="shared" si="22"/>
        <v>260</v>
      </c>
      <c r="N81" s="20">
        <v>205</v>
      </c>
      <c r="O81" s="20">
        <f t="shared" si="16"/>
        <v>1599</v>
      </c>
      <c r="P81" s="21">
        <f t="shared" si="17"/>
        <v>218.4</v>
      </c>
      <c r="Q81" s="22">
        <f t="shared" si="18"/>
        <v>358.8</v>
      </c>
      <c r="R81" s="21">
        <f t="shared" si="19"/>
        <v>179.4</v>
      </c>
      <c r="S81" s="22">
        <f t="shared" si="20"/>
        <v>260</v>
      </c>
      <c r="T81" s="21">
        <f t="shared" si="23"/>
        <v>29.52</v>
      </c>
      <c r="U81" s="21"/>
      <c r="V81" s="21">
        <f t="shared" si="21"/>
        <v>78</v>
      </c>
      <c r="W81" s="22">
        <f t="shared" si="24"/>
        <v>260</v>
      </c>
      <c r="X81" s="22">
        <f t="shared" si="25"/>
        <v>260</v>
      </c>
      <c r="Y81" s="22">
        <f t="shared" si="25"/>
        <v>260</v>
      </c>
    </row>
    <row r="82" spans="1:25" ht="75" customHeight="1" x14ac:dyDescent="0.2">
      <c r="A82" s="23">
        <v>80</v>
      </c>
      <c r="B82" s="32" t="s">
        <v>203</v>
      </c>
      <c r="C82" s="25">
        <v>28201032504214</v>
      </c>
      <c r="D82" s="33"/>
      <c r="E82" s="28">
        <v>48970548</v>
      </c>
      <c r="F82" s="27" t="s">
        <v>4</v>
      </c>
      <c r="G82" s="27" t="s">
        <v>253</v>
      </c>
      <c r="H82" s="28">
        <v>68</v>
      </c>
      <c r="I82" s="29">
        <v>40792</v>
      </c>
      <c r="J82" s="30">
        <v>354.84</v>
      </c>
      <c r="K82" s="30">
        <v>274</v>
      </c>
      <c r="L82" s="30">
        <v>76</v>
      </c>
      <c r="M82" s="19">
        <f t="shared" si="22"/>
        <v>274</v>
      </c>
      <c r="N82" s="20">
        <v>205</v>
      </c>
      <c r="O82" s="20">
        <f t="shared" si="16"/>
        <v>1685.1</v>
      </c>
      <c r="P82" s="21">
        <f t="shared" si="17"/>
        <v>230.16</v>
      </c>
      <c r="Q82" s="22">
        <f t="shared" si="18"/>
        <v>378.12</v>
      </c>
      <c r="R82" s="21">
        <f t="shared" si="19"/>
        <v>189.06</v>
      </c>
      <c r="S82" s="22">
        <f t="shared" si="20"/>
        <v>274</v>
      </c>
      <c r="T82" s="21">
        <f t="shared" si="23"/>
        <v>29.52</v>
      </c>
      <c r="U82" s="21"/>
      <c r="V82" s="21">
        <f t="shared" si="21"/>
        <v>82.2</v>
      </c>
      <c r="W82" s="22">
        <f t="shared" si="24"/>
        <v>274</v>
      </c>
      <c r="X82" s="22">
        <f t="shared" si="25"/>
        <v>274</v>
      </c>
      <c r="Y82" s="22">
        <f t="shared" si="25"/>
        <v>274</v>
      </c>
    </row>
    <row r="83" spans="1:25" ht="75" customHeight="1" x14ac:dyDescent="0.2">
      <c r="A83" s="11">
        <v>81</v>
      </c>
      <c r="B83" s="12" t="s">
        <v>204</v>
      </c>
      <c r="C83" s="13">
        <v>28403242500051</v>
      </c>
      <c r="D83" s="34"/>
      <c r="E83" s="15">
        <v>19247231</v>
      </c>
      <c r="F83" s="16" t="s">
        <v>252</v>
      </c>
      <c r="G83" s="16" t="s">
        <v>255</v>
      </c>
      <c r="H83" s="15">
        <v>69</v>
      </c>
      <c r="I83" s="17">
        <v>41048</v>
      </c>
      <c r="J83" s="18">
        <v>340.59</v>
      </c>
      <c r="K83" s="18">
        <v>263</v>
      </c>
      <c r="L83" s="18">
        <v>65</v>
      </c>
      <c r="M83" s="19">
        <f t="shared" si="22"/>
        <v>263</v>
      </c>
      <c r="N83" s="20">
        <v>205</v>
      </c>
      <c r="O83" s="20">
        <f t="shared" si="16"/>
        <v>1617.45</v>
      </c>
      <c r="P83" s="21">
        <f t="shared" si="17"/>
        <v>220.92</v>
      </c>
      <c r="Q83" s="22">
        <f t="shared" si="18"/>
        <v>362.94</v>
      </c>
      <c r="R83" s="21">
        <f t="shared" si="19"/>
        <v>181.47</v>
      </c>
      <c r="S83" s="22">
        <f t="shared" si="20"/>
        <v>263</v>
      </c>
      <c r="T83" s="21">
        <f t="shared" si="23"/>
        <v>29.52</v>
      </c>
      <c r="U83" s="21"/>
      <c r="V83" s="21">
        <f t="shared" si="21"/>
        <v>78.900000000000006</v>
      </c>
      <c r="W83" s="22">
        <f t="shared" si="24"/>
        <v>263</v>
      </c>
      <c r="X83" s="22">
        <f t="shared" si="25"/>
        <v>263</v>
      </c>
      <c r="Y83" s="22">
        <f t="shared" si="25"/>
        <v>263</v>
      </c>
    </row>
    <row r="84" spans="1:25" ht="75" customHeight="1" x14ac:dyDescent="0.2">
      <c r="A84" s="23">
        <v>82</v>
      </c>
      <c r="B84" s="32" t="s">
        <v>205</v>
      </c>
      <c r="C84" s="25">
        <v>27807022501821</v>
      </c>
      <c r="D84" s="33"/>
      <c r="E84" s="27"/>
      <c r="F84" s="27" t="s">
        <v>4</v>
      </c>
      <c r="G84" s="27" t="s">
        <v>253</v>
      </c>
      <c r="H84" s="28">
        <v>159</v>
      </c>
      <c r="I84" s="29">
        <v>40792</v>
      </c>
      <c r="J84" s="30">
        <v>362.61</v>
      </c>
      <c r="K84" s="30">
        <v>280</v>
      </c>
      <c r="L84" s="30">
        <v>82</v>
      </c>
      <c r="M84" s="19">
        <f t="shared" si="22"/>
        <v>280</v>
      </c>
      <c r="N84" s="20">
        <v>205</v>
      </c>
      <c r="O84" s="20">
        <f t="shared" si="16"/>
        <v>1722</v>
      </c>
      <c r="P84" s="21">
        <f t="shared" si="17"/>
        <v>235.2</v>
      </c>
      <c r="Q84" s="22">
        <f t="shared" si="18"/>
        <v>386.4</v>
      </c>
      <c r="R84" s="21">
        <f t="shared" si="19"/>
        <v>193.2</v>
      </c>
      <c r="S84" s="22">
        <f t="shared" si="20"/>
        <v>280</v>
      </c>
      <c r="T84" s="21">
        <f t="shared" si="23"/>
        <v>29.52</v>
      </c>
      <c r="U84" s="21"/>
      <c r="V84" s="21">
        <f t="shared" si="21"/>
        <v>84</v>
      </c>
      <c r="W84" s="22">
        <f t="shared" si="24"/>
        <v>280</v>
      </c>
      <c r="X84" s="22">
        <f t="shared" si="25"/>
        <v>280</v>
      </c>
      <c r="Y84" s="22">
        <f t="shared" si="25"/>
        <v>280</v>
      </c>
    </row>
    <row r="85" spans="1:25" ht="75" customHeight="1" x14ac:dyDescent="0.2">
      <c r="A85" s="11">
        <v>83</v>
      </c>
      <c r="B85" s="12" t="s">
        <v>206</v>
      </c>
      <c r="C85" s="13">
        <v>28409202500227</v>
      </c>
      <c r="D85" s="34"/>
      <c r="E85" s="15">
        <v>24358969</v>
      </c>
      <c r="F85" s="16" t="s">
        <v>252</v>
      </c>
      <c r="G85" s="16" t="s">
        <v>253</v>
      </c>
      <c r="H85" s="15">
        <v>71</v>
      </c>
      <c r="I85" s="17">
        <v>41048</v>
      </c>
      <c r="J85" s="18">
        <v>336.71</v>
      </c>
      <c r="K85" s="18">
        <v>260</v>
      </c>
      <c r="L85" s="18">
        <v>62</v>
      </c>
      <c r="M85" s="19">
        <f t="shared" si="22"/>
        <v>260</v>
      </c>
      <c r="N85" s="20">
        <v>205</v>
      </c>
      <c r="O85" s="20">
        <f t="shared" si="16"/>
        <v>1599</v>
      </c>
      <c r="P85" s="21">
        <f t="shared" si="17"/>
        <v>218.4</v>
      </c>
      <c r="Q85" s="22">
        <f t="shared" si="18"/>
        <v>358.8</v>
      </c>
      <c r="R85" s="21">
        <f t="shared" si="19"/>
        <v>179.4</v>
      </c>
      <c r="S85" s="22">
        <f t="shared" si="20"/>
        <v>260</v>
      </c>
      <c r="T85" s="21">
        <f t="shared" si="23"/>
        <v>29.52</v>
      </c>
      <c r="U85" s="21"/>
      <c r="V85" s="21">
        <f t="shared" si="21"/>
        <v>78</v>
      </c>
      <c r="W85" s="22">
        <f t="shared" si="24"/>
        <v>260</v>
      </c>
      <c r="X85" s="22">
        <f t="shared" si="25"/>
        <v>260</v>
      </c>
      <c r="Y85" s="22">
        <f t="shared" si="25"/>
        <v>260</v>
      </c>
    </row>
    <row r="86" spans="1:25" ht="75" customHeight="1" x14ac:dyDescent="0.2">
      <c r="A86" s="23">
        <v>84</v>
      </c>
      <c r="B86" s="32" t="s">
        <v>207</v>
      </c>
      <c r="C86" s="25">
        <v>28003102503168</v>
      </c>
      <c r="D86" s="33"/>
      <c r="E86" s="27"/>
      <c r="F86" s="27" t="s">
        <v>252</v>
      </c>
      <c r="G86" s="27" t="s">
        <v>253</v>
      </c>
      <c r="H86" s="28">
        <v>160</v>
      </c>
      <c r="I86" s="29">
        <v>41665</v>
      </c>
      <c r="J86" s="30">
        <v>330.23</v>
      </c>
      <c r="K86" s="30">
        <v>255</v>
      </c>
      <c r="L86" s="30">
        <v>57</v>
      </c>
      <c r="M86" s="19">
        <f t="shared" si="22"/>
        <v>255</v>
      </c>
      <c r="N86" s="20">
        <v>205</v>
      </c>
      <c r="O86" s="20">
        <f t="shared" si="16"/>
        <v>1568.25</v>
      </c>
      <c r="P86" s="21">
        <f t="shared" si="17"/>
        <v>214.2</v>
      </c>
      <c r="Q86" s="22">
        <f t="shared" si="18"/>
        <v>351.9</v>
      </c>
      <c r="R86" s="21">
        <f t="shared" si="19"/>
        <v>175.95</v>
      </c>
      <c r="S86" s="22">
        <f t="shared" si="20"/>
        <v>255</v>
      </c>
      <c r="T86" s="21">
        <f t="shared" si="23"/>
        <v>29.52</v>
      </c>
      <c r="U86" s="21"/>
      <c r="V86" s="21">
        <f t="shared" si="21"/>
        <v>76.5</v>
      </c>
      <c r="W86" s="22">
        <f t="shared" si="24"/>
        <v>255</v>
      </c>
      <c r="X86" s="22">
        <f t="shared" si="25"/>
        <v>255</v>
      </c>
      <c r="Y86" s="22">
        <f t="shared" si="25"/>
        <v>255</v>
      </c>
    </row>
    <row r="87" spans="1:25" ht="75" customHeight="1" x14ac:dyDescent="0.2">
      <c r="A87" s="11">
        <v>85</v>
      </c>
      <c r="B87" s="12" t="s">
        <v>208</v>
      </c>
      <c r="C87" s="13">
        <v>27806222500083</v>
      </c>
      <c r="D87" s="34"/>
      <c r="E87" s="15">
        <v>15375476</v>
      </c>
      <c r="F87" s="16" t="s">
        <v>4</v>
      </c>
      <c r="G87" s="16" t="s">
        <v>255</v>
      </c>
      <c r="H87" s="15">
        <v>2</v>
      </c>
      <c r="I87" s="17">
        <v>40792</v>
      </c>
      <c r="J87" s="18">
        <v>366.49</v>
      </c>
      <c r="K87" s="18">
        <v>283</v>
      </c>
      <c r="L87" s="18">
        <v>85</v>
      </c>
      <c r="M87" s="19">
        <f t="shared" si="22"/>
        <v>283</v>
      </c>
      <c r="N87" s="20">
        <v>205</v>
      </c>
      <c r="O87" s="20">
        <f t="shared" si="16"/>
        <v>1740.45</v>
      </c>
      <c r="P87" s="21">
        <f t="shared" si="17"/>
        <v>237.72</v>
      </c>
      <c r="Q87" s="22">
        <f t="shared" si="18"/>
        <v>390.54</v>
      </c>
      <c r="R87" s="21">
        <f t="shared" si="19"/>
        <v>195.27</v>
      </c>
      <c r="S87" s="22">
        <f t="shared" si="20"/>
        <v>283</v>
      </c>
      <c r="T87" s="21">
        <f t="shared" si="23"/>
        <v>29.52</v>
      </c>
      <c r="U87" s="21"/>
      <c r="V87" s="21">
        <f t="shared" si="21"/>
        <v>84.9</v>
      </c>
      <c r="W87" s="22">
        <f t="shared" si="24"/>
        <v>283</v>
      </c>
      <c r="X87" s="22">
        <f t="shared" si="25"/>
        <v>283</v>
      </c>
      <c r="Y87" s="22">
        <f t="shared" si="25"/>
        <v>283</v>
      </c>
    </row>
    <row r="88" spans="1:25" ht="75" customHeight="1" x14ac:dyDescent="0.2">
      <c r="A88" s="23">
        <v>86</v>
      </c>
      <c r="B88" s="32" t="s">
        <v>209</v>
      </c>
      <c r="C88" s="25">
        <v>27512112500165</v>
      </c>
      <c r="D88" s="33"/>
      <c r="E88" s="28">
        <v>15375946</v>
      </c>
      <c r="F88" s="27" t="s">
        <v>4</v>
      </c>
      <c r="G88" s="27" t="s">
        <v>253</v>
      </c>
      <c r="H88" s="28">
        <v>3</v>
      </c>
      <c r="I88" s="29">
        <v>40792</v>
      </c>
      <c r="J88" s="30">
        <v>372.97</v>
      </c>
      <c r="K88" s="30">
        <v>288</v>
      </c>
      <c r="L88" s="30">
        <v>90</v>
      </c>
      <c r="M88" s="19">
        <f t="shared" si="22"/>
        <v>288</v>
      </c>
      <c r="N88" s="20">
        <v>205</v>
      </c>
      <c r="O88" s="20">
        <f t="shared" si="16"/>
        <v>1771.2</v>
      </c>
      <c r="P88" s="21">
        <f t="shared" si="17"/>
        <v>241.92</v>
      </c>
      <c r="Q88" s="22">
        <f t="shared" si="18"/>
        <v>397.44</v>
      </c>
      <c r="R88" s="21">
        <f t="shared" si="19"/>
        <v>198.72</v>
      </c>
      <c r="S88" s="22">
        <f t="shared" si="20"/>
        <v>288</v>
      </c>
      <c r="T88" s="21">
        <f t="shared" si="23"/>
        <v>29.52</v>
      </c>
      <c r="U88" s="21"/>
      <c r="V88" s="21">
        <f t="shared" si="21"/>
        <v>86.4</v>
      </c>
      <c r="W88" s="22">
        <f t="shared" si="24"/>
        <v>288</v>
      </c>
      <c r="X88" s="22">
        <f t="shared" si="25"/>
        <v>288</v>
      </c>
      <c r="Y88" s="22">
        <f t="shared" si="25"/>
        <v>288</v>
      </c>
    </row>
    <row r="89" spans="1:25" ht="75" customHeight="1" x14ac:dyDescent="0.2">
      <c r="A89" s="11">
        <v>87</v>
      </c>
      <c r="B89" s="12" t="s">
        <v>210</v>
      </c>
      <c r="C89" s="13">
        <v>28108052500126</v>
      </c>
      <c r="D89" s="34"/>
      <c r="E89" s="15">
        <v>61755564</v>
      </c>
      <c r="F89" s="16" t="s">
        <v>4</v>
      </c>
      <c r="G89" s="16" t="s">
        <v>253</v>
      </c>
      <c r="H89" s="15">
        <v>72</v>
      </c>
      <c r="I89" s="17">
        <v>40792</v>
      </c>
      <c r="J89" s="18">
        <v>356.13</v>
      </c>
      <c r="K89" s="18">
        <v>275</v>
      </c>
      <c r="L89" s="18">
        <v>77</v>
      </c>
      <c r="M89" s="19">
        <f t="shared" si="22"/>
        <v>275</v>
      </c>
      <c r="N89" s="20">
        <v>205</v>
      </c>
      <c r="O89" s="20">
        <f t="shared" si="16"/>
        <v>1691.25</v>
      </c>
      <c r="P89" s="21">
        <f t="shared" si="17"/>
        <v>231</v>
      </c>
      <c r="Q89" s="22">
        <f t="shared" si="18"/>
        <v>379.5</v>
      </c>
      <c r="R89" s="21">
        <f t="shared" si="19"/>
        <v>189.75</v>
      </c>
      <c r="S89" s="22">
        <f t="shared" si="20"/>
        <v>275</v>
      </c>
      <c r="T89" s="21">
        <f t="shared" si="23"/>
        <v>29.52</v>
      </c>
      <c r="U89" s="21"/>
      <c r="V89" s="21">
        <f t="shared" si="21"/>
        <v>82.5</v>
      </c>
      <c r="W89" s="22">
        <f t="shared" si="24"/>
        <v>275</v>
      </c>
      <c r="X89" s="22">
        <f t="shared" si="25"/>
        <v>275</v>
      </c>
      <c r="Y89" s="22">
        <f t="shared" si="25"/>
        <v>275</v>
      </c>
    </row>
    <row r="90" spans="1:25" ht="75" customHeight="1" x14ac:dyDescent="0.2">
      <c r="A90" s="23">
        <v>88</v>
      </c>
      <c r="B90" s="32" t="s">
        <v>211</v>
      </c>
      <c r="C90" s="25">
        <v>26701012500404</v>
      </c>
      <c r="D90" s="33"/>
      <c r="E90" s="28">
        <v>28735618</v>
      </c>
      <c r="F90" s="27" t="s">
        <v>4</v>
      </c>
      <c r="G90" s="27" t="s">
        <v>255</v>
      </c>
      <c r="H90" s="28">
        <v>73</v>
      </c>
      <c r="I90" s="29">
        <v>40792</v>
      </c>
      <c r="J90" s="30">
        <v>360.02</v>
      </c>
      <c r="K90" s="30">
        <v>278</v>
      </c>
      <c r="L90" s="30">
        <v>80</v>
      </c>
      <c r="M90" s="19">
        <f t="shared" si="22"/>
        <v>278</v>
      </c>
      <c r="N90" s="20">
        <v>205</v>
      </c>
      <c r="O90" s="20">
        <f t="shared" si="16"/>
        <v>1709.7</v>
      </c>
      <c r="P90" s="21">
        <f t="shared" si="17"/>
        <v>233.52</v>
      </c>
      <c r="Q90" s="22">
        <f t="shared" si="18"/>
        <v>383.64</v>
      </c>
      <c r="R90" s="21">
        <f t="shared" si="19"/>
        <v>191.82</v>
      </c>
      <c r="S90" s="22">
        <f t="shared" si="20"/>
        <v>278</v>
      </c>
      <c r="T90" s="21">
        <f t="shared" si="23"/>
        <v>29.52</v>
      </c>
      <c r="U90" s="21"/>
      <c r="V90" s="21">
        <f t="shared" si="21"/>
        <v>83.4</v>
      </c>
      <c r="W90" s="22">
        <f t="shared" si="24"/>
        <v>278</v>
      </c>
      <c r="X90" s="22">
        <f t="shared" si="25"/>
        <v>278</v>
      </c>
      <c r="Y90" s="22">
        <f t="shared" si="25"/>
        <v>278</v>
      </c>
    </row>
    <row r="91" spans="1:25" ht="75" customHeight="1" x14ac:dyDescent="0.2">
      <c r="A91" s="11">
        <v>89</v>
      </c>
      <c r="B91" s="24" t="s">
        <v>225</v>
      </c>
      <c r="C91" s="13">
        <v>28703012500285</v>
      </c>
      <c r="D91" s="34"/>
      <c r="E91" s="15">
        <v>21744079</v>
      </c>
      <c r="F91" s="16" t="s">
        <v>252</v>
      </c>
      <c r="G91" s="16" t="s">
        <v>253</v>
      </c>
      <c r="H91" s="15">
        <v>80</v>
      </c>
      <c r="I91" s="17">
        <v>41665</v>
      </c>
      <c r="J91" s="18">
        <v>330.23</v>
      </c>
      <c r="K91" s="18">
        <v>255</v>
      </c>
      <c r="L91" s="18">
        <v>57</v>
      </c>
      <c r="M91" s="19">
        <f t="shared" si="22"/>
        <v>255</v>
      </c>
      <c r="N91" s="20">
        <v>205</v>
      </c>
      <c r="O91" s="20">
        <f t="shared" si="16"/>
        <v>1568.25</v>
      </c>
      <c r="P91" s="21">
        <f t="shared" si="17"/>
        <v>214.2</v>
      </c>
      <c r="Q91" s="22">
        <f t="shared" si="18"/>
        <v>351.9</v>
      </c>
      <c r="R91" s="21">
        <f t="shared" si="19"/>
        <v>175.95</v>
      </c>
      <c r="S91" s="22">
        <f t="shared" si="20"/>
        <v>255</v>
      </c>
      <c r="T91" s="21">
        <f t="shared" si="23"/>
        <v>29.52</v>
      </c>
      <c r="U91" s="21"/>
      <c r="V91" s="21">
        <f t="shared" si="21"/>
        <v>76.5</v>
      </c>
      <c r="W91" s="22">
        <f t="shared" si="24"/>
        <v>255</v>
      </c>
      <c r="X91" s="22">
        <f t="shared" si="25"/>
        <v>255</v>
      </c>
      <c r="Y91" s="22">
        <f t="shared" si="25"/>
        <v>255</v>
      </c>
    </row>
    <row r="92" spans="1:25" ht="75" customHeight="1" x14ac:dyDescent="0.2">
      <c r="A92" s="23">
        <v>90</v>
      </c>
      <c r="B92" s="24" t="s">
        <v>272</v>
      </c>
      <c r="C92" s="25">
        <v>28802112500663</v>
      </c>
      <c r="D92" s="33"/>
      <c r="E92" s="27"/>
      <c r="F92" s="27" t="s">
        <v>252</v>
      </c>
      <c r="G92" s="27" t="s">
        <v>253</v>
      </c>
      <c r="H92" s="28">
        <v>74</v>
      </c>
      <c r="I92" s="29">
        <v>40936</v>
      </c>
      <c r="J92" s="30">
        <v>328.94</v>
      </c>
      <c r="K92" s="30">
        <v>254</v>
      </c>
      <c r="L92" s="30">
        <v>56</v>
      </c>
      <c r="M92" s="19">
        <f t="shared" si="22"/>
        <v>254</v>
      </c>
      <c r="N92" s="20">
        <v>205</v>
      </c>
      <c r="O92" s="20">
        <f t="shared" si="16"/>
        <v>1562.1</v>
      </c>
      <c r="P92" s="21">
        <f t="shared" si="17"/>
        <v>213.36</v>
      </c>
      <c r="Q92" s="22">
        <f t="shared" si="18"/>
        <v>350.52</v>
      </c>
      <c r="R92" s="21">
        <f t="shared" si="19"/>
        <v>175.26</v>
      </c>
      <c r="S92" s="22">
        <f t="shared" si="20"/>
        <v>254</v>
      </c>
      <c r="T92" s="21">
        <f t="shared" si="23"/>
        <v>29.52</v>
      </c>
      <c r="U92" s="21"/>
      <c r="V92" s="21">
        <f t="shared" si="21"/>
        <v>76.2</v>
      </c>
      <c r="W92" s="22">
        <f t="shared" si="24"/>
        <v>254</v>
      </c>
      <c r="X92" s="22">
        <f t="shared" si="25"/>
        <v>254</v>
      </c>
      <c r="Y92" s="22">
        <f t="shared" si="25"/>
        <v>254</v>
      </c>
    </row>
    <row r="93" spans="1:25" ht="75" customHeight="1" x14ac:dyDescent="0.2">
      <c r="A93" s="11">
        <v>91</v>
      </c>
      <c r="B93" s="12" t="s">
        <v>212</v>
      </c>
      <c r="C93" s="13">
        <v>28409082500082</v>
      </c>
      <c r="D93" s="34"/>
      <c r="E93" s="15">
        <v>21379440</v>
      </c>
      <c r="F93" s="16" t="s">
        <v>4</v>
      </c>
      <c r="G93" s="16" t="s">
        <v>253</v>
      </c>
      <c r="H93" s="15">
        <v>75</v>
      </c>
      <c r="I93" s="17">
        <v>40792</v>
      </c>
      <c r="J93" s="18">
        <v>354.84</v>
      </c>
      <c r="K93" s="18">
        <v>274</v>
      </c>
      <c r="L93" s="18">
        <v>76</v>
      </c>
      <c r="M93" s="19">
        <f t="shared" si="22"/>
        <v>274</v>
      </c>
      <c r="N93" s="20">
        <v>205</v>
      </c>
      <c r="O93" s="20">
        <f t="shared" si="16"/>
        <v>1685.1</v>
      </c>
      <c r="P93" s="21">
        <f t="shared" si="17"/>
        <v>230.16</v>
      </c>
      <c r="Q93" s="22">
        <f t="shared" si="18"/>
        <v>378.12</v>
      </c>
      <c r="R93" s="21">
        <f t="shared" si="19"/>
        <v>189.06</v>
      </c>
      <c r="S93" s="22">
        <f t="shared" si="20"/>
        <v>274</v>
      </c>
      <c r="T93" s="21">
        <f t="shared" si="23"/>
        <v>29.52</v>
      </c>
      <c r="U93" s="21"/>
      <c r="V93" s="21">
        <f t="shared" si="21"/>
        <v>82.2</v>
      </c>
      <c r="W93" s="22">
        <f t="shared" si="24"/>
        <v>274</v>
      </c>
      <c r="X93" s="22">
        <f t="shared" si="25"/>
        <v>274</v>
      </c>
      <c r="Y93" s="22">
        <f t="shared" si="25"/>
        <v>274</v>
      </c>
    </row>
    <row r="94" spans="1:25" ht="75" customHeight="1" x14ac:dyDescent="0.2">
      <c r="A94" s="23">
        <v>92</v>
      </c>
      <c r="B94" s="32" t="s">
        <v>213</v>
      </c>
      <c r="C94" s="25">
        <v>28310112500426</v>
      </c>
      <c r="D94" s="33"/>
      <c r="E94" s="27"/>
      <c r="F94" s="27" t="s">
        <v>252</v>
      </c>
      <c r="G94" s="27" t="s">
        <v>255</v>
      </c>
      <c r="H94" s="28">
        <v>161</v>
      </c>
      <c r="I94" s="29">
        <v>42143</v>
      </c>
      <c r="J94" s="30">
        <v>322.45999999999998</v>
      </c>
      <c r="K94" s="30">
        <v>249</v>
      </c>
      <c r="L94" s="30">
        <v>51</v>
      </c>
      <c r="M94" s="19">
        <f t="shared" si="22"/>
        <v>249</v>
      </c>
      <c r="N94" s="20">
        <v>205</v>
      </c>
      <c r="O94" s="20">
        <f t="shared" si="16"/>
        <v>1531.35</v>
      </c>
      <c r="P94" s="21">
        <f t="shared" si="17"/>
        <v>209.16</v>
      </c>
      <c r="Q94" s="22">
        <f t="shared" si="18"/>
        <v>343.62</v>
      </c>
      <c r="R94" s="21">
        <f t="shared" si="19"/>
        <v>171.81</v>
      </c>
      <c r="S94" s="22">
        <f t="shared" si="20"/>
        <v>249</v>
      </c>
      <c r="T94" s="21">
        <f t="shared" si="23"/>
        <v>29.52</v>
      </c>
      <c r="U94" s="21"/>
      <c r="V94" s="21">
        <f t="shared" si="21"/>
        <v>74.7</v>
      </c>
      <c r="W94" s="22">
        <f t="shared" si="24"/>
        <v>249</v>
      </c>
      <c r="X94" s="22">
        <f t="shared" si="25"/>
        <v>249</v>
      </c>
      <c r="Y94" s="22">
        <f t="shared" si="25"/>
        <v>249</v>
      </c>
    </row>
    <row r="95" spans="1:25" ht="75" customHeight="1" x14ac:dyDescent="0.2">
      <c r="A95" s="11">
        <v>93</v>
      </c>
      <c r="B95" s="12" t="s">
        <v>214</v>
      </c>
      <c r="C95" s="13">
        <v>28712152500268</v>
      </c>
      <c r="D95" s="34"/>
      <c r="E95" s="16"/>
      <c r="F95" s="16" t="s">
        <v>252</v>
      </c>
      <c r="G95" s="16" t="s">
        <v>255</v>
      </c>
      <c r="H95" s="15">
        <v>162</v>
      </c>
      <c r="I95" s="17">
        <v>42147</v>
      </c>
      <c r="J95" s="18">
        <v>330.23</v>
      </c>
      <c r="K95" s="18">
        <v>255</v>
      </c>
      <c r="L95" s="18">
        <v>57</v>
      </c>
      <c r="M95" s="19">
        <f t="shared" si="22"/>
        <v>255</v>
      </c>
      <c r="N95" s="20">
        <v>205</v>
      </c>
      <c r="O95" s="20">
        <f t="shared" si="16"/>
        <v>1568.25</v>
      </c>
      <c r="P95" s="21">
        <f t="shared" si="17"/>
        <v>214.2</v>
      </c>
      <c r="Q95" s="22">
        <f t="shared" si="18"/>
        <v>351.9</v>
      </c>
      <c r="R95" s="21">
        <f t="shared" si="19"/>
        <v>175.95</v>
      </c>
      <c r="S95" s="22">
        <f t="shared" si="20"/>
        <v>255</v>
      </c>
      <c r="T95" s="21">
        <f t="shared" si="23"/>
        <v>29.52</v>
      </c>
      <c r="U95" s="21"/>
      <c r="V95" s="21">
        <f t="shared" si="21"/>
        <v>76.5</v>
      </c>
      <c r="W95" s="22">
        <f t="shared" si="24"/>
        <v>255</v>
      </c>
      <c r="X95" s="22">
        <f t="shared" si="25"/>
        <v>255</v>
      </c>
      <c r="Y95" s="22">
        <f t="shared" si="25"/>
        <v>255</v>
      </c>
    </row>
    <row r="96" spans="1:25" ht="75" customHeight="1" x14ac:dyDescent="0.2">
      <c r="A96" s="23">
        <v>94</v>
      </c>
      <c r="B96" s="32" t="s">
        <v>215</v>
      </c>
      <c r="C96" s="25">
        <v>28708232500181</v>
      </c>
      <c r="D96" s="33"/>
      <c r="E96" s="27"/>
      <c r="F96" s="27" t="s">
        <v>252</v>
      </c>
      <c r="G96" s="27" t="s">
        <v>255</v>
      </c>
      <c r="H96" s="28">
        <v>106</v>
      </c>
      <c r="I96" s="29">
        <v>41665</v>
      </c>
      <c r="J96" s="30">
        <v>330.23</v>
      </c>
      <c r="K96" s="30">
        <v>255</v>
      </c>
      <c r="L96" s="30">
        <v>57</v>
      </c>
      <c r="M96" s="19">
        <f t="shared" si="22"/>
        <v>255</v>
      </c>
      <c r="N96" s="20">
        <v>205</v>
      </c>
      <c r="O96" s="20">
        <f t="shared" si="16"/>
        <v>1568.25</v>
      </c>
      <c r="P96" s="21">
        <f t="shared" si="17"/>
        <v>214.2</v>
      </c>
      <c r="Q96" s="22">
        <f t="shared" si="18"/>
        <v>351.9</v>
      </c>
      <c r="R96" s="21">
        <f t="shared" si="19"/>
        <v>175.95</v>
      </c>
      <c r="S96" s="22">
        <f t="shared" si="20"/>
        <v>255</v>
      </c>
      <c r="T96" s="21">
        <f t="shared" si="23"/>
        <v>29.52</v>
      </c>
      <c r="U96" s="21"/>
      <c r="V96" s="21">
        <f t="shared" si="21"/>
        <v>76.5</v>
      </c>
      <c r="W96" s="22">
        <f t="shared" si="24"/>
        <v>255</v>
      </c>
      <c r="X96" s="22">
        <f t="shared" si="25"/>
        <v>255</v>
      </c>
      <c r="Y96" s="22">
        <f t="shared" si="25"/>
        <v>255</v>
      </c>
    </row>
    <row r="97" spans="1:25" ht="75" customHeight="1" x14ac:dyDescent="0.2">
      <c r="A97" s="11">
        <v>95</v>
      </c>
      <c r="B97" s="12" t="s">
        <v>216</v>
      </c>
      <c r="C97" s="13">
        <v>28309202500125</v>
      </c>
      <c r="D97" s="34"/>
      <c r="E97" s="15">
        <v>19339258</v>
      </c>
      <c r="F97" s="16" t="s">
        <v>4</v>
      </c>
      <c r="G97" s="16" t="s">
        <v>253</v>
      </c>
      <c r="H97" s="15">
        <v>76</v>
      </c>
      <c r="I97" s="17">
        <v>40792</v>
      </c>
      <c r="J97" s="18">
        <v>356.13</v>
      </c>
      <c r="K97" s="18">
        <v>275</v>
      </c>
      <c r="L97" s="18">
        <v>77</v>
      </c>
      <c r="M97" s="19">
        <f t="shared" si="22"/>
        <v>275</v>
      </c>
      <c r="N97" s="20">
        <v>205</v>
      </c>
      <c r="O97" s="20">
        <f t="shared" si="16"/>
        <v>1691.25</v>
      </c>
      <c r="P97" s="21">
        <f t="shared" si="17"/>
        <v>231</v>
      </c>
      <c r="Q97" s="22">
        <f t="shared" si="18"/>
        <v>379.5</v>
      </c>
      <c r="R97" s="21">
        <f t="shared" si="19"/>
        <v>189.75</v>
      </c>
      <c r="S97" s="22">
        <f t="shared" si="20"/>
        <v>275</v>
      </c>
      <c r="T97" s="21">
        <f t="shared" si="23"/>
        <v>29.52</v>
      </c>
      <c r="U97" s="21"/>
      <c r="V97" s="21">
        <f t="shared" si="21"/>
        <v>82.5</v>
      </c>
      <c r="W97" s="22">
        <f t="shared" si="24"/>
        <v>275</v>
      </c>
      <c r="X97" s="22">
        <f t="shared" si="25"/>
        <v>275</v>
      </c>
      <c r="Y97" s="22">
        <f t="shared" si="25"/>
        <v>275</v>
      </c>
    </row>
    <row r="98" spans="1:25" ht="75" customHeight="1" x14ac:dyDescent="0.2">
      <c r="A98" s="23">
        <v>96</v>
      </c>
      <c r="B98" s="32" t="s">
        <v>217</v>
      </c>
      <c r="C98" s="25">
        <v>28204210100288</v>
      </c>
      <c r="D98" s="33"/>
      <c r="E98" s="28">
        <v>29366491</v>
      </c>
      <c r="F98" s="27" t="s">
        <v>252</v>
      </c>
      <c r="G98" s="27" t="s">
        <v>253</v>
      </c>
      <c r="H98" s="28">
        <v>77</v>
      </c>
      <c r="I98" s="29">
        <v>41048</v>
      </c>
      <c r="J98" s="30">
        <v>340.59</v>
      </c>
      <c r="K98" s="30">
        <v>263</v>
      </c>
      <c r="L98" s="30">
        <v>65</v>
      </c>
      <c r="M98" s="19">
        <f t="shared" si="22"/>
        <v>263</v>
      </c>
      <c r="N98" s="20">
        <v>205</v>
      </c>
      <c r="O98" s="20">
        <f t="shared" si="16"/>
        <v>1617.45</v>
      </c>
      <c r="P98" s="21">
        <f t="shared" si="17"/>
        <v>220.92</v>
      </c>
      <c r="Q98" s="22">
        <f t="shared" si="18"/>
        <v>362.94</v>
      </c>
      <c r="R98" s="21">
        <f t="shared" si="19"/>
        <v>181.47</v>
      </c>
      <c r="S98" s="22">
        <f t="shared" si="20"/>
        <v>263</v>
      </c>
      <c r="T98" s="21">
        <f t="shared" si="23"/>
        <v>29.52</v>
      </c>
      <c r="U98" s="21"/>
      <c r="V98" s="21">
        <f t="shared" si="21"/>
        <v>78.900000000000006</v>
      </c>
      <c r="W98" s="22">
        <f t="shared" si="24"/>
        <v>263</v>
      </c>
      <c r="X98" s="22">
        <f t="shared" si="25"/>
        <v>263</v>
      </c>
      <c r="Y98" s="22">
        <f t="shared" si="25"/>
        <v>263</v>
      </c>
    </row>
    <row r="99" spans="1:25" ht="75" customHeight="1" x14ac:dyDescent="0.2">
      <c r="A99" s="11">
        <v>97</v>
      </c>
      <c r="B99" s="12" t="s">
        <v>218</v>
      </c>
      <c r="C99" s="13">
        <v>28707172500121</v>
      </c>
      <c r="D99" s="34"/>
      <c r="E99" s="15">
        <v>61794042</v>
      </c>
      <c r="F99" s="16" t="s">
        <v>252</v>
      </c>
      <c r="G99" s="16" t="s">
        <v>253</v>
      </c>
      <c r="H99" s="15">
        <v>78</v>
      </c>
      <c r="I99" s="17">
        <v>40792</v>
      </c>
      <c r="J99" s="18">
        <v>336.71</v>
      </c>
      <c r="K99" s="18">
        <v>260</v>
      </c>
      <c r="L99" s="18">
        <v>62</v>
      </c>
      <c r="M99" s="19">
        <f t="shared" si="22"/>
        <v>260</v>
      </c>
      <c r="N99" s="20">
        <v>205</v>
      </c>
      <c r="O99" s="20">
        <f t="shared" ref="O99:O104" si="26">M99*N99*3/100</f>
        <v>1599</v>
      </c>
      <c r="P99" s="21">
        <f t="shared" ref="P99:P104" si="27">K99*28*3/100</f>
        <v>218.4</v>
      </c>
      <c r="Q99" s="22">
        <f t="shared" ref="Q99:Q104" si="28">K99*46*3/100</f>
        <v>358.8</v>
      </c>
      <c r="R99" s="21">
        <f t="shared" ref="R99:R104" si="29">K99*23*3/100</f>
        <v>179.4</v>
      </c>
      <c r="S99" s="22">
        <f t="shared" ref="S99:S104" si="30">K99</f>
        <v>260</v>
      </c>
      <c r="T99" s="21">
        <f t="shared" si="23"/>
        <v>29.52</v>
      </c>
      <c r="U99" s="21"/>
      <c r="V99" s="21">
        <f t="shared" ref="V99:V104" si="31">K99*10*3/100</f>
        <v>78</v>
      </c>
      <c r="W99" s="22">
        <f t="shared" si="24"/>
        <v>260</v>
      </c>
      <c r="X99" s="22">
        <f t="shared" si="25"/>
        <v>260</v>
      </c>
      <c r="Y99" s="22">
        <f t="shared" si="25"/>
        <v>260</v>
      </c>
    </row>
    <row r="100" spans="1:25" ht="75" customHeight="1" x14ac:dyDescent="0.2">
      <c r="A100" s="23">
        <v>98</v>
      </c>
      <c r="B100" s="32" t="s">
        <v>273</v>
      </c>
      <c r="C100" s="25">
        <v>28610012513826</v>
      </c>
      <c r="D100" s="33"/>
      <c r="E100" s="27"/>
      <c r="F100" s="27" t="s">
        <v>252</v>
      </c>
      <c r="G100" s="27" t="s">
        <v>253</v>
      </c>
      <c r="H100" s="28">
        <v>79</v>
      </c>
      <c r="I100" s="29">
        <v>40792</v>
      </c>
      <c r="J100" s="30">
        <v>336.71</v>
      </c>
      <c r="K100" s="30">
        <v>260</v>
      </c>
      <c r="L100" s="30">
        <v>62</v>
      </c>
      <c r="M100" s="19">
        <f t="shared" si="22"/>
        <v>260</v>
      </c>
      <c r="N100" s="20">
        <v>205</v>
      </c>
      <c r="O100" s="20">
        <f t="shared" si="26"/>
        <v>1599</v>
      </c>
      <c r="P100" s="21">
        <f t="shared" si="27"/>
        <v>218.4</v>
      </c>
      <c r="Q100" s="22">
        <f t="shared" si="28"/>
        <v>358.8</v>
      </c>
      <c r="R100" s="21">
        <f t="shared" si="29"/>
        <v>179.4</v>
      </c>
      <c r="S100" s="22">
        <f t="shared" si="30"/>
        <v>260</v>
      </c>
      <c r="T100" s="21">
        <f t="shared" si="23"/>
        <v>29.52</v>
      </c>
      <c r="U100" s="21"/>
      <c r="V100" s="21">
        <f t="shared" si="31"/>
        <v>78</v>
      </c>
      <c r="W100" s="22">
        <f t="shared" si="24"/>
        <v>260</v>
      </c>
      <c r="X100" s="22">
        <f t="shared" si="25"/>
        <v>260</v>
      </c>
      <c r="Y100" s="22">
        <f t="shared" si="25"/>
        <v>260</v>
      </c>
    </row>
    <row r="101" spans="1:25" ht="75" customHeight="1" x14ac:dyDescent="0.2">
      <c r="A101" s="11">
        <v>99</v>
      </c>
      <c r="B101" s="24" t="s">
        <v>274</v>
      </c>
      <c r="C101" s="13">
        <v>28112032500062</v>
      </c>
      <c r="D101" s="34"/>
      <c r="E101" s="15">
        <v>52993529</v>
      </c>
      <c r="F101" s="16" t="s">
        <v>4</v>
      </c>
      <c r="G101" s="16" t="s">
        <v>253</v>
      </c>
      <c r="H101" s="15">
        <v>80</v>
      </c>
      <c r="I101" s="17">
        <v>40792</v>
      </c>
      <c r="J101" s="18">
        <v>362.61</v>
      </c>
      <c r="K101" s="18">
        <v>280</v>
      </c>
      <c r="L101" s="18">
        <v>82</v>
      </c>
      <c r="M101" s="19">
        <f t="shared" si="22"/>
        <v>280</v>
      </c>
      <c r="N101" s="20">
        <v>205</v>
      </c>
      <c r="O101" s="20">
        <f t="shared" si="26"/>
        <v>1722</v>
      </c>
      <c r="P101" s="21">
        <f t="shared" si="27"/>
        <v>235.2</v>
      </c>
      <c r="Q101" s="22">
        <f t="shared" si="28"/>
        <v>386.4</v>
      </c>
      <c r="R101" s="21">
        <f t="shared" si="29"/>
        <v>193.2</v>
      </c>
      <c r="S101" s="22">
        <f t="shared" si="30"/>
        <v>280</v>
      </c>
      <c r="T101" s="21">
        <f t="shared" si="23"/>
        <v>29.52</v>
      </c>
      <c r="U101" s="21"/>
      <c r="V101" s="21">
        <f t="shared" si="31"/>
        <v>84</v>
      </c>
      <c r="W101" s="22">
        <f t="shared" si="24"/>
        <v>280</v>
      </c>
      <c r="X101" s="22">
        <f t="shared" si="25"/>
        <v>280</v>
      </c>
      <c r="Y101" s="22">
        <f t="shared" si="25"/>
        <v>280</v>
      </c>
    </row>
    <row r="102" spans="1:25" ht="75" customHeight="1" x14ac:dyDescent="0.2">
      <c r="A102" s="23">
        <v>100</v>
      </c>
      <c r="B102" s="32" t="s">
        <v>226</v>
      </c>
      <c r="C102" s="25">
        <v>28611122500122</v>
      </c>
      <c r="D102" s="33"/>
      <c r="E102" s="28">
        <v>5937034</v>
      </c>
      <c r="F102" s="27" t="s">
        <v>252</v>
      </c>
      <c r="G102" s="27" t="s">
        <v>253</v>
      </c>
      <c r="H102" s="28">
        <v>84</v>
      </c>
      <c r="I102" s="29">
        <v>41086</v>
      </c>
      <c r="J102" s="30">
        <v>341.89</v>
      </c>
      <c r="K102" s="30">
        <v>264</v>
      </c>
      <c r="L102" s="30">
        <v>66</v>
      </c>
      <c r="M102" s="19">
        <f t="shared" si="22"/>
        <v>264</v>
      </c>
      <c r="N102" s="20">
        <v>205</v>
      </c>
      <c r="O102" s="20">
        <f t="shared" si="26"/>
        <v>1623.6</v>
      </c>
      <c r="P102" s="21">
        <f t="shared" si="27"/>
        <v>221.76</v>
      </c>
      <c r="Q102" s="22">
        <f t="shared" si="28"/>
        <v>364.32</v>
      </c>
      <c r="R102" s="21">
        <f t="shared" si="29"/>
        <v>182.16</v>
      </c>
      <c r="S102" s="22">
        <f t="shared" si="30"/>
        <v>264</v>
      </c>
      <c r="T102" s="21">
        <f t="shared" si="23"/>
        <v>29.52</v>
      </c>
      <c r="U102" s="21"/>
      <c r="V102" s="21">
        <f t="shared" si="31"/>
        <v>79.2</v>
      </c>
      <c r="W102" s="22">
        <f t="shared" si="24"/>
        <v>264</v>
      </c>
      <c r="X102" s="22">
        <f t="shared" si="25"/>
        <v>264</v>
      </c>
      <c r="Y102" s="22">
        <f t="shared" si="25"/>
        <v>264</v>
      </c>
    </row>
    <row r="103" spans="1:25" ht="75" customHeight="1" x14ac:dyDescent="0.2">
      <c r="A103" s="11">
        <v>101</v>
      </c>
      <c r="B103" s="12" t="s">
        <v>219</v>
      </c>
      <c r="C103" s="13">
        <v>28703202500168</v>
      </c>
      <c r="D103" s="34"/>
      <c r="E103" s="15">
        <v>61120239</v>
      </c>
      <c r="F103" s="16" t="s">
        <v>252</v>
      </c>
      <c r="G103" s="16" t="s">
        <v>253</v>
      </c>
      <c r="H103" s="15">
        <v>82</v>
      </c>
      <c r="I103" s="17">
        <v>40950</v>
      </c>
      <c r="J103" s="18">
        <v>336.71</v>
      </c>
      <c r="K103" s="18">
        <v>260</v>
      </c>
      <c r="L103" s="18">
        <v>62</v>
      </c>
      <c r="M103" s="19">
        <f t="shared" si="22"/>
        <v>260</v>
      </c>
      <c r="N103" s="20">
        <v>205</v>
      </c>
      <c r="O103" s="20">
        <f t="shared" si="26"/>
        <v>1599</v>
      </c>
      <c r="P103" s="21">
        <f t="shared" si="27"/>
        <v>218.4</v>
      </c>
      <c r="Q103" s="22">
        <f t="shared" si="28"/>
        <v>358.8</v>
      </c>
      <c r="R103" s="21">
        <f t="shared" si="29"/>
        <v>179.4</v>
      </c>
      <c r="S103" s="22">
        <f t="shared" si="30"/>
        <v>260</v>
      </c>
      <c r="T103" s="21">
        <f t="shared" si="23"/>
        <v>29.52</v>
      </c>
      <c r="U103" s="21"/>
      <c r="V103" s="21">
        <f t="shared" si="31"/>
        <v>78</v>
      </c>
      <c r="W103" s="22">
        <f t="shared" si="24"/>
        <v>260</v>
      </c>
      <c r="X103" s="22">
        <f t="shared" si="25"/>
        <v>260</v>
      </c>
      <c r="Y103" s="22">
        <f t="shared" si="25"/>
        <v>260</v>
      </c>
    </row>
    <row r="104" spans="1:25" ht="75" customHeight="1" x14ac:dyDescent="0.2">
      <c r="A104" s="23">
        <v>102</v>
      </c>
      <c r="B104" s="32" t="s">
        <v>220</v>
      </c>
      <c r="C104" s="25">
        <v>28607202503745</v>
      </c>
      <c r="D104" s="33"/>
      <c r="E104" s="35">
        <v>7736283</v>
      </c>
      <c r="F104" s="36" t="s">
        <v>252</v>
      </c>
      <c r="G104" s="36" t="s">
        <v>253</v>
      </c>
      <c r="H104" s="35">
        <v>85</v>
      </c>
      <c r="I104" s="37">
        <v>40950</v>
      </c>
      <c r="J104" s="38">
        <v>336.71</v>
      </c>
      <c r="K104" s="38">
        <v>260</v>
      </c>
      <c r="L104" s="38">
        <v>62</v>
      </c>
      <c r="M104" s="19">
        <f t="shared" si="22"/>
        <v>260</v>
      </c>
      <c r="N104" s="20">
        <v>205</v>
      </c>
      <c r="O104" s="20">
        <f t="shared" si="26"/>
        <v>1599</v>
      </c>
      <c r="P104" s="21">
        <f t="shared" si="27"/>
        <v>218.4</v>
      </c>
      <c r="Q104" s="22">
        <f t="shared" si="28"/>
        <v>358.8</v>
      </c>
      <c r="R104" s="21">
        <f t="shared" si="29"/>
        <v>179.4</v>
      </c>
      <c r="S104" s="22">
        <f t="shared" si="30"/>
        <v>260</v>
      </c>
      <c r="T104" s="21">
        <f t="shared" si="23"/>
        <v>29.52</v>
      </c>
      <c r="U104" s="21"/>
      <c r="V104" s="21">
        <f t="shared" si="31"/>
        <v>78</v>
      </c>
      <c r="W104" s="22">
        <f t="shared" si="24"/>
        <v>260</v>
      </c>
      <c r="X104" s="22">
        <f t="shared" si="25"/>
        <v>260</v>
      </c>
      <c r="Y104" s="22">
        <f t="shared" si="25"/>
        <v>260</v>
      </c>
    </row>
  </sheetData>
  <mergeCells count="1">
    <mergeCell ref="A1:D1"/>
  </mergeCells>
  <hyperlinks>
    <hyperlink ref="D3" r:id="rId1"/>
  </hyperlinks>
  <pageMargins left="0.7" right="0.7" top="0.75" bottom="0.75" header="0.3" footer="0.3"/>
  <pageSetup paperSize="9" orientation="portrait" verticalDpi="0" r:id="rId2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/>
  <dimension ref="A1:BW102"/>
  <sheetViews>
    <sheetView rightToLeft="1" workbookViewId="0">
      <selection activeCell="F63" sqref="F63"/>
    </sheetView>
  </sheetViews>
  <sheetFormatPr defaultRowHeight="80.099999999999994" customHeight="1" x14ac:dyDescent="0.2"/>
  <cols>
    <col min="1" max="1" width="9" style="249"/>
    <col min="2" max="2" width="16.625" style="3" customWidth="1"/>
    <col min="3" max="3" width="25.875" style="249" customWidth="1"/>
    <col min="4" max="4" width="17.625" style="258" customWidth="1"/>
    <col min="5" max="73" width="9" style="249"/>
    <col min="74" max="74" width="10.75" style="249" customWidth="1"/>
    <col min="75" max="16384" width="9" style="249"/>
  </cols>
  <sheetData>
    <row r="1" spans="1:75" ht="24.75" customHeight="1" x14ac:dyDescent="0.2">
      <c r="A1" s="249">
        <v>1</v>
      </c>
      <c r="B1" s="3">
        <v>2</v>
      </c>
      <c r="C1" s="249">
        <v>3</v>
      </c>
      <c r="D1" s="258">
        <v>4</v>
      </c>
      <c r="E1" s="249">
        <v>5</v>
      </c>
      <c r="F1" s="249">
        <v>6</v>
      </c>
      <c r="G1" s="249">
        <v>7</v>
      </c>
      <c r="H1" s="249">
        <v>8</v>
      </c>
      <c r="I1" s="249">
        <v>9</v>
      </c>
      <c r="J1" s="249">
        <v>10</v>
      </c>
      <c r="K1" s="249">
        <v>11</v>
      </c>
      <c r="L1" s="249">
        <v>12</v>
      </c>
      <c r="M1" s="249">
        <v>13</v>
      </c>
      <c r="N1" s="249">
        <v>14</v>
      </c>
      <c r="O1" s="249">
        <v>15</v>
      </c>
      <c r="P1" s="249">
        <v>16</v>
      </c>
      <c r="Q1" s="249">
        <v>17</v>
      </c>
      <c r="R1" s="249">
        <v>18</v>
      </c>
      <c r="S1" s="249">
        <v>19</v>
      </c>
      <c r="T1" s="249">
        <v>20</v>
      </c>
      <c r="U1" s="249">
        <v>21</v>
      </c>
      <c r="V1" s="249">
        <v>22</v>
      </c>
      <c r="W1" s="249">
        <v>23</v>
      </c>
      <c r="X1" s="249">
        <v>24</v>
      </c>
      <c r="Y1" s="249">
        <v>25</v>
      </c>
      <c r="Z1" s="249">
        <v>26</v>
      </c>
      <c r="AA1" s="249">
        <v>27</v>
      </c>
      <c r="AB1" s="249">
        <v>28</v>
      </c>
      <c r="AC1" s="249">
        <v>29</v>
      </c>
      <c r="AD1" s="249">
        <v>30</v>
      </c>
      <c r="AE1" s="249">
        <v>31</v>
      </c>
      <c r="AF1" s="249">
        <v>32</v>
      </c>
      <c r="AG1" s="249">
        <v>33</v>
      </c>
      <c r="AH1" s="249">
        <v>34</v>
      </c>
      <c r="AI1" s="249">
        <v>35</v>
      </c>
      <c r="AJ1" s="249">
        <v>36</v>
      </c>
      <c r="AK1" s="249">
        <v>37</v>
      </c>
      <c r="AL1" s="249">
        <v>38</v>
      </c>
      <c r="AM1" s="249">
        <v>39</v>
      </c>
      <c r="AN1" s="249">
        <v>40</v>
      </c>
      <c r="AO1" s="249">
        <v>41</v>
      </c>
      <c r="AP1" s="249">
        <v>42</v>
      </c>
      <c r="AQ1" s="249">
        <v>43</v>
      </c>
      <c r="AR1" s="249">
        <v>44</v>
      </c>
      <c r="AS1" s="249">
        <v>45</v>
      </c>
      <c r="AT1" s="249">
        <v>46</v>
      </c>
      <c r="AU1" s="249">
        <v>47</v>
      </c>
      <c r="AV1" s="249">
        <v>48</v>
      </c>
      <c r="AW1" s="249">
        <v>49</v>
      </c>
      <c r="AX1" s="249">
        <v>50</v>
      </c>
      <c r="AY1" s="249">
        <v>51</v>
      </c>
      <c r="AZ1" s="249">
        <v>52</v>
      </c>
      <c r="BA1" s="249">
        <v>53</v>
      </c>
      <c r="BB1" s="249">
        <v>54</v>
      </c>
      <c r="BC1" s="249">
        <v>55</v>
      </c>
      <c r="BD1" s="249">
        <v>56</v>
      </c>
      <c r="BE1" s="249">
        <v>57</v>
      </c>
      <c r="BF1" s="249">
        <v>58</v>
      </c>
      <c r="BG1" s="249">
        <v>59</v>
      </c>
      <c r="BH1" s="249">
        <v>60</v>
      </c>
      <c r="BI1" s="249">
        <v>61</v>
      </c>
      <c r="BJ1" s="249">
        <v>62</v>
      </c>
      <c r="BK1" s="249">
        <v>63</v>
      </c>
      <c r="BL1" s="249">
        <v>64</v>
      </c>
      <c r="BM1" s="249">
        <v>65</v>
      </c>
      <c r="BN1" s="249">
        <v>66</v>
      </c>
      <c r="BO1" s="249">
        <v>67</v>
      </c>
      <c r="BP1" s="249">
        <v>68</v>
      </c>
      <c r="BQ1" s="249">
        <v>69</v>
      </c>
      <c r="BR1" s="249">
        <v>70</v>
      </c>
      <c r="BS1" s="249">
        <v>71</v>
      </c>
      <c r="BT1" s="249">
        <v>72</v>
      </c>
      <c r="BU1" s="249">
        <v>73</v>
      </c>
      <c r="BV1" s="249">
        <v>74</v>
      </c>
      <c r="BW1" s="249">
        <v>75</v>
      </c>
    </row>
    <row r="2" spans="1:75" ht="79.5" customHeight="1" x14ac:dyDescent="0.2">
      <c r="A2" s="287" t="s">
        <v>68</v>
      </c>
      <c r="B2" s="289" t="s">
        <v>229</v>
      </c>
      <c r="C2" s="287" t="s">
        <v>708</v>
      </c>
      <c r="D2" s="284" t="s">
        <v>70</v>
      </c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6"/>
      <c r="AD2" s="287" t="s">
        <v>71</v>
      </c>
      <c r="AE2" s="287" t="s">
        <v>72</v>
      </c>
      <c r="AF2" s="287" t="s">
        <v>73</v>
      </c>
      <c r="AG2" s="287" t="s">
        <v>74</v>
      </c>
      <c r="AH2" s="287" t="s">
        <v>75</v>
      </c>
      <c r="AI2" s="287" t="s">
        <v>76</v>
      </c>
      <c r="AJ2" s="284" t="s">
        <v>77</v>
      </c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F2" s="285"/>
      <c r="BG2" s="285"/>
      <c r="BH2" s="285"/>
      <c r="BI2" s="285"/>
      <c r="BJ2" s="285"/>
      <c r="BK2" s="285"/>
      <c r="BL2" s="285"/>
      <c r="BM2" s="285"/>
      <c r="BN2" s="285"/>
      <c r="BO2" s="285"/>
      <c r="BP2" s="285"/>
      <c r="BQ2" s="285"/>
      <c r="BR2" s="285"/>
      <c r="BS2" s="285"/>
      <c r="BT2" s="285"/>
      <c r="BU2" s="286"/>
      <c r="BV2" s="287" t="s">
        <v>78</v>
      </c>
      <c r="BW2" s="287" t="s">
        <v>79</v>
      </c>
    </row>
    <row r="3" spans="1:75" ht="79.5" customHeight="1" x14ac:dyDescent="0.2">
      <c r="A3" s="288"/>
      <c r="B3" s="290"/>
      <c r="C3" s="288"/>
      <c r="D3" s="248" t="s">
        <v>81</v>
      </c>
      <c r="E3" s="2" t="s">
        <v>82</v>
      </c>
      <c r="F3" s="1" t="s">
        <v>83</v>
      </c>
      <c r="G3" s="1" t="s">
        <v>84</v>
      </c>
      <c r="H3" s="1" t="s">
        <v>85</v>
      </c>
      <c r="I3" s="2" t="s">
        <v>86</v>
      </c>
      <c r="J3" s="1" t="s">
        <v>87</v>
      </c>
      <c r="K3" s="1" t="s">
        <v>88</v>
      </c>
      <c r="L3" s="1" t="s">
        <v>89</v>
      </c>
      <c r="M3" s="1" t="s">
        <v>90</v>
      </c>
      <c r="N3" s="1" t="s">
        <v>91</v>
      </c>
      <c r="O3" s="1" t="s">
        <v>92</v>
      </c>
      <c r="P3" s="2" t="s">
        <v>93</v>
      </c>
      <c r="Q3" s="2" t="s">
        <v>94</v>
      </c>
      <c r="R3" s="2" t="s">
        <v>95</v>
      </c>
      <c r="S3" s="1" t="s">
        <v>96</v>
      </c>
      <c r="T3" s="1" t="s">
        <v>97</v>
      </c>
      <c r="U3" s="1" t="s">
        <v>98</v>
      </c>
      <c r="V3" s="1" t="s">
        <v>99</v>
      </c>
      <c r="W3" s="1" t="s">
        <v>100</v>
      </c>
      <c r="X3" s="1" t="s">
        <v>101</v>
      </c>
      <c r="Y3" s="1" t="s">
        <v>102</v>
      </c>
      <c r="Z3" s="1" t="s">
        <v>103</v>
      </c>
      <c r="AA3" s="1" t="s">
        <v>104</v>
      </c>
      <c r="AB3" s="1" t="s">
        <v>105</v>
      </c>
      <c r="AC3" s="2" t="s">
        <v>106</v>
      </c>
      <c r="AD3" s="288"/>
      <c r="AE3" s="288"/>
      <c r="AF3" s="288"/>
      <c r="AG3" s="288"/>
      <c r="AH3" s="288"/>
      <c r="AI3" s="288"/>
      <c r="AJ3" s="1" t="s">
        <v>87</v>
      </c>
      <c r="AK3" s="1" t="s">
        <v>88</v>
      </c>
      <c r="AL3" s="1" t="s">
        <v>89</v>
      </c>
      <c r="AM3" s="1" t="s">
        <v>90</v>
      </c>
      <c r="AN3" s="1" t="s">
        <v>107</v>
      </c>
      <c r="AO3" s="1" t="s">
        <v>108</v>
      </c>
      <c r="AP3" s="1" t="s">
        <v>109</v>
      </c>
      <c r="AQ3" s="1" t="s">
        <v>110</v>
      </c>
      <c r="AR3" s="1" t="s">
        <v>111</v>
      </c>
      <c r="AS3" s="1" t="s">
        <v>73</v>
      </c>
      <c r="AT3" s="1" t="s">
        <v>74</v>
      </c>
      <c r="AU3" s="1" t="s">
        <v>75</v>
      </c>
      <c r="AV3" s="1" t="s">
        <v>112</v>
      </c>
      <c r="AW3" s="1" t="s">
        <v>113</v>
      </c>
      <c r="AX3" s="1" t="s">
        <v>114</v>
      </c>
      <c r="AY3" s="1" t="s">
        <v>115</v>
      </c>
      <c r="AZ3" s="1" t="s">
        <v>116</v>
      </c>
      <c r="BA3" s="1" t="s">
        <v>117</v>
      </c>
      <c r="BB3" s="1" t="s">
        <v>118</v>
      </c>
      <c r="BC3" s="1" t="s">
        <v>119</v>
      </c>
      <c r="BD3" s="1" t="s">
        <v>120</v>
      </c>
      <c r="BE3" s="1" t="s">
        <v>121</v>
      </c>
      <c r="BF3" s="1" t="s">
        <v>122</v>
      </c>
      <c r="BG3" s="1" t="s">
        <v>123</v>
      </c>
      <c r="BH3" s="1" t="s">
        <v>124</v>
      </c>
      <c r="BI3" s="1" t="s">
        <v>125</v>
      </c>
      <c r="BJ3" s="1" t="s">
        <v>126</v>
      </c>
      <c r="BK3" s="1" t="s">
        <v>127</v>
      </c>
      <c r="BL3" s="1" t="s">
        <v>128</v>
      </c>
      <c r="BM3" s="1" t="s">
        <v>129</v>
      </c>
      <c r="BN3" s="1" t="s">
        <v>130</v>
      </c>
      <c r="BO3" s="1" t="s">
        <v>131</v>
      </c>
      <c r="BP3" s="1" t="s">
        <v>132</v>
      </c>
      <c r="BQ3" s="1" t="s">
        <v>133</v>
      </c>
      <c r="BR3" s="1" t="s">
        <v>134</v>
      </c>
      <c r="BS3" s="1" t="s">
        <v>135</v>
      </c>
      <c r="BT3" s="1" t="s">
        <v>37</v>
      </c>
      <c r="BU3" s="1" t="s">
        <v>136</v>
      </c>
      <c r="BV3" s="288"/>
      <c r="BW3" s="288"/>
    </row>
    <row r="4" spans="1:75" ht="80.099999999999994" customHeight="1" x14ac:dyDescent="0.2">
      <c r="A4" s="250">
        <v>1</v>
      </c>
      <c r="B4" s="26"/>
      <c r="C4" s="251" t="s">
        <v>137</v>
      </c>
      <c r="D4" s="252">
        <v>28310092500254</v>
      </c>
      <c r="E4" s="253">
        <v>259</v>
      </c>
      <c r="F4" s="251"/>
      <c r="G4" s="251"/>
      <c r="H4" s="251"/>
      <c r="I4" s="253">
        <v>335.41</v>
      </c>
      <c r="J4" s="253">
        <v>3.35</v>
      </c>
      <c r="K4" s="253">
        <v>6.71</v>
      </c>
      <c r="L4" s="253">
        <v>50.31</v>
      </c>
      <c r="M4" s="253">
        <v>10.06</v>
      </c>
      <c r="N4" s="253">
        <v>691.74</v>
      </c>
      <c r="O4" s="253">
        <v>48.43</v>
      </c>
      <c r="P4" s="253">
        <v>48.43</v>
      </c>
      <c r="Q4" s="251"/>
      <c r="R4" s="253">
        <v>788.6</v>
      </c>
      <c r="S4" s="251"/>
      <c r="T4" s="251"/>
      <c r="U4" s="253">
        <v>9.36</v>
      </c>
      <c r="V4" s="253">
        <v>145</v>
      </c>
      <c r="W4" s="251"/>
      <c r="X4" s="251"/>
      <c r="Y4" s="251"/>
      <c r="Z4" s="251"/>
      <c r="AA4" s="251"/>
      <c r="AB4" s="253">
        <v>3.41</v>
      </c>
      <c r="AC4" s="253">
        <v>157.77000000000001</v>
      </c>
      <c r="AD4" s="253">
        <v>897.45</v>
      </c>
      <c r="AE4" s="253">
        <v>897.45</v>
      </c>
      <c r="AF4" s="253">
        <v>8.9700000000000006</v>
      </c>
      <c r="AG4" s="253">
        <v>134.62</v>
      </c>
      <c r="AH4" s="253">
        <v>26.92</v>
      </c>
      <c r="AI4" s="253">
        <v>1187.31</v>
      </c>
      <c r="AJ4" s="253">
        <v>3.35</v>
      </c>
      <c r="AK4" s="253">
        <v>6.71</v>
      </c>
      <c r="AL4" s="253">
        <v>50.31</v>
      </c>
      <c r="AM4" s="253">
        <v>10.06</v>
      </c>
      <c r="AN4" s="253">
        <v>33.54</v>
      </c>
      <c r="AO4" s="253">
        <v>3.35</v>
      </c>
      <c r="AP4" s="253">
        <v>10.06</v>
      </c>
      <c r="AQ4" s="253">
        <v>89.75</v>
      </c>
      <c r="AR4" s="253">
        <v>8.9700000000000006</v>
      </c>
      <c r="AS4" s="253">
        <v>8.9700000000000006</v>
      </c>
      <c r="AT4" s="253">
        <v>134.62</v>
      </c>
      <c r="AU4" s="253">
        <v>26.92</v>
      </c>
      <c r="AV4" s="251"/>
      <c r="AW4" s="251"/>
      <c r="AX4" s="251"/>
      <c r="AY4" s="253">
        <v>116.7</v>
      </c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3">
        <v>5.2</v>
      </c>
      <c r="BU4" s="251"/>
      <c r="BV4" s="253">
        <v>508.51</v>
      </c>
      <c r="BW4" s="253">
        <v>678.8</v>
      </c>
    </row>
    <row r="5" spans="1:75" ht="80.099999999999994" customHeight="1" x14ac:dyDescent="0.2">
      <c r="A5" s="250">
        <v>2</v>
      </c>
      <c r="B5" s="31"/>
      <c r="C5" s="251" t="s">
        <v>138</v>
      </c>
      <c r="D5" s="252">
        <v>28301132500091</v>
      </c>
      <c r="E5" s="253">
        <v>260</v>
      </c>
      <c r="F5" s="253">
        <v>219.37</v>
      </c>
      <c r="G5" s="251"/>
      <c r="H5" s="251"/>
      <c r="I5" s="253">
        <v>336.71</v>
      </c>
      <c r="J5" s="253">
        <v>3.37</v>
      </c>
      <c r="K5" s="253">
        <v>6.73</v>
      </c>
      <c r="L5" s="253">
        <v>50.51</v>
      </c>
      <c r="M5" s="253">
        <v>10.1</v>
      </c>
      <c r="N5" s="253">
        <v>1096.17</v>
      </c>
      <c r="O5" s="253">
        <v>76.73</v>
      </c>
      <c r="P5" s="253">
        <v>76.73</v>
      </c>
      <c r="Q5" s="251"/>
      <c r="R5" s="253">
        <v>1249.6300000000001</v>
      </c>
      <c r="S5" s="251"/>
      <c r="T5" s="251"/>
      <c r="U5" s="253">
        <v>14.4</v>
      </c>
      <c r="V5" s="253">
        <v>50</v>
      </c>
      <c r="W5" s="251"/>
      <c r="X5" s="251"/>
      <c r="Y5" s="251"/>
      <c r="Z5" s="251"/>
      <c r="AA5" s="251"/>
      <c r="AB5" s="253">
        <v>5.47</v>
      </c>
      <c r="AC5" s="253">
        <v>289.24</v>
      </c>
      <c r="AD5" s="253">
        <v>1152.1600000000001</v>
      </c>
      <c r="AE5" s="253">
        <v>1152.1600000000001</v>
      </c>
      <c r="AF5" s="253">
        <v>11.52</v>
      </c>
      <c r="AG5" s="253">
        <v>172.82</v>
      </c>
      <c r="AH5" s="253">
        <v>34.56</v>
      </c>
      <c r="AI5" s="253">
        <v>1828.48</v>
      </c>
      <c r="AJ5" s="253">
        <v>3.37</v>
      </c>
      <c r="AK5" s="253">
        <v>6.73</v>
      </c>
      <c r="AL5" s="253">
        <v>50.51</v>
      </c>
      <c r="AM5" s="253">
        <v>10.1</v>
      </c>
      <c r="AN5" s="253">
        <v>33.67</v>
      </c>
      <c r="AO5" s="253">
        <v>3.37</v>
      </c>
      <c r="AP5" s="253">
        <v>10.1</v>
      </c>
      <c r="AQ5" s="253">
        <v>115.22</v>
      </c>
      <c r="AR5" s="253">
        <v>11.52</v>
      </c>
      <c r="AS5" s="253">
        <v>11.52</v>
      </c>
      <c r="AT5" s="253">
        <v>172.82</v>
      </c>
      <c r="AU5" s="253">
        <v>34.56</v>
      </c>
      <c r="AV5" s="253">
        <v>5.26</v>
      </c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3">
        <v>0.04</v>
      </c>
      <c r="BT5" s="253">
        <v>9.75</v>
      </c>
      <c r="BU5" s="253">
        <v>3.04</v>
      </c>
      <c r="BV5" s="253">
        <v>481.58</v>
      </c>
      <c r="BW5" s="253">
        <v>1346.9</v>
      </c>
    </row>
    <row r="6" spans="1:75" ht="80.099999999999994" customHeight="1" x14ac:dyDescent="0.2">
      <c r="A6" s="250">
        <v>3</v>
      </c>
      <c r="B6" s="33"/>
      <c r="C6" s="251" t="s">
        <v>139</v>
      </c>
      <c r="D6" s="252">
        <v>27511172502659</v>
      </c>
      <c r="E6" s="253">
        <v>276</v>
      </c>
      <c r="F6" s="251"/>
      <c r="G6" s="251"/>
      <c r="H6" s="251"/>
      <c r="I6" s="253">
        <v>357.43</v>
      </c>
      <c r="J6" s="253">
        <v>3.57</v>
      </c>
      <c r="K6" s="253">
        <v>7.15</v>
      </c>
      <c r="L6" s="253">
        <v>53.61</v>
      </c>
      <c r="M6" s="253">
        <v>10.72</v>
      </c>
      <c r="N6" s="253">
        <v>1145.97</v>
      </c>
      <c r="O6" s="253">
        <v>80.22</v>
      </c>
      <c r="P6" s="253">
        <v>80.22</v>
      </c>
      <c r="Q6" s="251"/>
      <c r="R6" s="253">
        <v>1306.4100000000001</v>
      </c>
      <c r="S6" s="251"/>
      <c r="T6" s="251"/>
      <c r="U6" s="253">
        <v>21</v>
      </c>
      <c r="V6" s="253">
        <v>140</v>
      </c>
      <c r="W6" s="251"/>
      <c r="X6" s="251"/>
      <c r="Y6" s="251"/>
      <c r="Z6" s="251"/>
      <c r="AA6" s="253">
        <v>0.3</v>
      </c>
      <c r="AB6" s="253">
        <v>5.6</v>
      </c>
      <c r="AC6" s="253">
        <v>166.9</v>
      </c>
      <c r="AD6" s="253">
        <v>975.88</v>
      </c>
      <c r="AE6" s="253">
        <v>975.88</v>
      </c>
      <c r="AF6" s="253">
        <v>9.76</v>
      </c>
      <c r="AG6" s="253">
        <v>146.38</v>
      </c>
      <c r="AH6" s="253">
        <v>29.28</v>
      </c>
      <c r="AI6" s="253">
        <v>1733.78</v>
      </c>
      <c r="AJ6" s="253">
        <v>3.57</v>
      </c>
      <c r="AK6" s="253">
        <v>7.15</v>
      </c>
      <c r="AL6" s="253">
        <v>53.61</v>
      </c>
      <c r="AM6" s="253">
        <v>10.72</v>
      </c>
      <c r="AN6" s="253">
        <v>35.74</v>
      </c>
      <c r="AO6" s="253">
        <v>3.57</v>
      </c>
      <c r="AP6" s="253">
        <v>10.72</v>
      </c>
      <c r="AQ6" s="253">
        <v>97.59</v>
      </c>
      <c r="AR6" s="253">
        <v>9.76</v>
      </c>
      <c r="AS6" s="253">
        <v>9.76</v>
      </c>
      <c r="AT6" s="253">
        <v>146.38</v>
      </c>
      <c r="AU6" s="253">
        <v>29.28</v>
      </c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3">
        <v>0.04</v>
      </c>
      <c r="BT6" s="253">
        <v>9.35</v>
      </c>
      <c r="BU6" s="253">
        <v>2.04</v>
      </c>
      <c r="BV6" s="253">
        <v>429.28</v>
      </c>
      <c r="BW6" s="253">
        <v>1304.5</v>
      </c>
    </row>
    <row r="7" spans="1:75" ht="80.099999999999994" customHeight="1" x14ac:dyDescent="0.2">
      <c r="A7" s="250">
        <v>4</v>
      </c>
      <c r="B7" s="34"/>
      <c r="C7" s="251" t="s">
        <v>140</v>
      </c>
      <c r="D7" s="252">
        <v>28606128800361</v>
      </c>
      <c r="E7" s="253">
        <v>266</v>
      </c>
      <c r="F7" s="251"/>
      <c r="G7" s="253">
        <v>97</v>
      </c>
      <c r="H7" s="251"/>
      <c r="I7" s="253">
        <v>344.48</v>
      </c>
      <c r="J7" s="253">
        <v>3.44</v>
      </c>
      <c r="K7" s="253">
        <v>6.89</v>
      </c>
      <c r="L7" s="253">
        <v>51.67</v>
      </c>
      <c r="M7" s="253">
        <v>10.33</v>
      </c>
      <c r="N7" s="253">
        <v>1117.3699999999999</v>
      </c>
      <c r="O7" s="253">
        <v>78.22</v>
      </c>
      <c r="P7" s="253">
        <v>78.22</v>
      </c>
      <c r="Q7" s="251"/>
      <c r="R7" s="253">
        <v>1273.81</v>
      </c>
      <c r="S7" s="251"/>
      <c r="T7" s="251"/>
      <c r="U7" s="253">
        <v>21</v>
      </c>
      <c r="V7" s="253">
        <v>50</v>
      </c>
      <c r="W7" s="251"/>
      <c r="X7" s="251"/>
      <c r="Y7" s="251"/>
      <c r="Z7" s="251"/>
      <c r="AA7" s="251"/>
      <c r="AB7" s="253">
        <v>5.54</v>
      </c>
      <c r="AC7" s="253">
        <v>173.54</v>
      </c>
      <c r="AD7" s="253">
        <v>1052.8699999999999</v>
      </c>
      <c r="AE7" s="253">
        <v>1052.8699999999999</v>
      </c>
      <c r="AF7" s="253">
        <v>10.53</v>
      </c>
      <c r="AG7" s="253">
        <v>157.93</v>
      </c>
      <c r="AH7" s="253">
        <v>31.59</v>
      </c>
      <c r="AI7" s="253">
        <v>1719.73</v>
      </c>
      <c r="AJ7" s="253">
        <v>3.44</v>
      </c>
      <c r="AK7" s="253">
        <v>6.89</v>
      </c>
      <c r="AL7" s="253">
        <v>51.67</v>
      </c>
      <c r="AM7" s="253">
        <v>10.33</v>
      </c>
      <c r="AN7" s="253">
        <v>34.450000000000003</v>
      </c>
      <c r="AO7" s="253">
        <v>3.44</v>
      </c>
      <c r="AP7" s="253">
        <v>10.33</v>
      </c>
      <c r="AQ7" s="253">
        <v>105.29</v>
      </c>
      <c r="AR7" s="253">
        <v>10.53</v>
      </c>
      <c r="AS7" s="253">
        <v>10.53</v>
      </c>
      <c r="AT7" s="253">
        <v>157.93</v>
      </c>
      <c r="AU7" s="253">
        <v>31.59</v>
      </c>
      <c r="AV7" s="251"/>
      <c r="AW7" s="251"/>
      <c r="AX7" s="251"/>
      <c r="AY7" s="251"/>
      <c r="AZ7" s="253">
        <v>35</v>
      </c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3">
        <v>0.01</v>
      </c>
      <c r="BT7" s="253">
        <v>8.85</v>
      </c>
      <c r="BU7" s="253">
        <v>0.7</v>
      </c>
      <c r="BV7" s="253">
        <v>480.98</v>
      </c>
      <c r="BW7" s="253">
        <v>1238.75</v>
      </c>
    </row>
    <row r="8" spans="1:75" ht="80.099999999999994" customHeight="1" x14ac:dyDescent="0.2">
      <c r="A8" s="250">
        <v>5</v>
      </c>
      <c r="B8" s="33"/>
      <c r="C8" s="251" t="s">
        <v>141</v>
      </c>
      <c r="D8" s="252">
        <v>28312138800447</v>
      </c>
      <c r="E8" s="253">
        <v>268</v>
      </c>
      <c r="F8" s="251"/>
      <c r="G8" s="251"/>
      <c r="H8" s="251"/>
      <c r="I8" s="253">
        <v>347.07</v>
      </c>
      <c r="J8" s="253">
        <v>3.47</v>
      </c>
      <c r="K8" s="253">
        <v>6.94</v>
      </c>
      <c r="L8" s="253">
        <v>52.06</v>
      </c>
      <c r="M8" s="253">
        <v>10.41</v>
      </c>
      <c r="N8" s="253">
        <v>1144.27</v>
      </c>
      <c r="O8" s="253">
        <v>80.099999999999994</v>
      </c>
      <c r="P8" s="253">
        <v>80.099999999999994</v>
      </c>
      <c r="Q8" s="251"/>
      <c r="R8" s="253">
        <v>1304.47</v>
      </c>
      <c r="S8" s="251"/>
      <c r="T8" s="251"/>
      <c r="U8" s="253">
        <v>21</v>
      </c>
      <c r="V8" s="253">
        <v>50</v>
      </c>
      <c r="W8" s="253">
        <v>19.2</v>
      </c>
      <c r="X8" s="251"/>
      <c r="Y8" s="251"/>
      <c r="Z8" s="251"/>
      <c r="AA8" s="251"/>
      <c r="AB8" s="253">
        <v>5.68</v>
      </c>
      <c r="AC8" s="253">
        <v>95.88</v>
      </c>
      <c r="AD8" s="253">
        <v>1003.28</v>
      </c>
      <c r="AE8" s="253">
        <v>1003.28</v>
      </c>
      <c r="AF8" s="253">
        <v>10.029999999999999</v>
      </c>
      <c r="AG8" s="253">
        <v>150.49</v>
      </c>
      <c r="AH8" s="253">
        <v>30.1</v>
      </c>
      <c r="AI8" s="253">
        <v>1663.85</v>
      </c>
      <c r="AJ8" s="253">
        <v>3.47</v>
      </c>
      <c r="AK8" s="253">
        <v>6.94</v>
      </c>
      <c r="AL8" s="253">
        <v>52.06</v>
      </c>
      <c r="AM8" s="253">
        <v>10.41</v>
      </c>
      <c r="AN8" s="253">
        <v>34.71</v>
      </c>
      <c r="AO8" s="253">
        <v>3.47</v>
      </c>
      <c r="AP8" s="253">
        <v>10.41</v>
      </c>
      <c r="AQ8" s="253">
        <v>100.33</v>
      </c>
      <c r="AR8" s="253">
        <v>10.029999999999999</v>
      </c>
      <c r="AS8" s="253">
        <v>10.029999999999999</v>
      </c>
      <c r="AT8" s="253">
        <v>150.49</v>
      </c>
      <c r="AU8" s="253">
        <v>30.1</v>
      </c>
      <c r="AV8" s="253">
        <v>2.44</v>
      </c>
      <c r="AW8" s="251"/>
      <c r="AX8" s="251"/>
      <c r="AY8" s="251"/>
      <c r="AZ8" s="253">
        <v>35</v>
      </c>
      <c r="BA8" s="253">
        <v>1</v>
      </c>
      <c r="BB8" s="251"/>
      <c r="BC8" s="251"/>
      <c r="BD8" s="251"/>
      <c r="BE8" s="251"/>
      <c r="BF8" s="251"/>
      <c r="BG8" s="251"/>
      <c r="BH8" s="251"/>
      <c r="BI8" s="251"/>
      <c r="BJ8" s="251"/>
      <c r="BK8" s="251"/>
      <c r="BL8" s="251"/>
      <c r="BM8" s="251"/>
      <c r="BN8" s="251"/>
      <c r="BO8" s="251"/>
      <c r="BP8" s="251"/>
      <c r="BQ8" s="251"/>
      <c r="BR8" s="251"/>
      <c r="BS8" s="253">
        <v>0.01</v>
      </c>
      <c r="BT8" s="253">
        <v>8.5</v>
      </c>
      <c r="BU8" s="251"/>
      <c r="BV8" s="253">
        <v>469.4</v>
      </c>
      <c r="BW8" s="253">
        <v>1194.45</v>
      </c>
    </row>
    <row r="9" spans="1:75" ht="80.099999999999994" customHeight="1" x14ac:dyDescent="0.2">
      <c r="A9" s="250">
        <v>6</v>
      </c>
      <c r="B9" s="34"/>
      <c r="C9" s="251" t="s">
        <v>142</v>
      </c>
      <c r="D9" s="252">
        <v>28611162500168</v>
      </c>
      <c r="E9" s="253">
        <v>263</v>
      </c>
      <c r="F9" s="251"/>
      <c r="G9" s="251"/>
      <c r="H9" s="251"/>
      <c r="I9" s="253">
        <v>340.59</v>
      </c>
      <c r="J9" s="253">
        <v>3.41</v>
      </c>
      <c r="K9" s="253">
        <v>6.81</v>
      </c>
      <c r="L9" s="253">
        <v>51.09</v>
      </c>
      <c r="M9" s="253">
        <v>10.220000000000001</v>
      </c>
      <c r="N9" s="253">
        <v>1104.0999999999999</v>
      </c>
      <c r="O9" s="253">
        <v>77.290000000000006</v>
      </c>
      <c r="P9" s="253">
        <v>77.290000000000006</v>
      </c>
      <c r="Q9" s="251"/>
      <c r="R9" s="253">
        <v>1258.68</v>
      </c>
      <c r="S9" s="251"/>
      <c r="T9" s="251"/>
      <c r="U9" s="253">
        <v>14.4</v>
      </c>
      <c r="V9" s="253">
        <v>50</v>
      </c>
      <c r="W9" s="251"/>
      <c r="X9" s="251"/>
      <c r="Y9" s="251"/>
      <c r="Z9" s="251"/>
      <c r="AA9" s="251"/>
      <c r="AB9" s="253">
        <v>5.51</v>
      </c>
      <c r="AC9" s="253">
        <v>69.91</v>
      </c>
      <c r="AD9" s="253">
        <v>938</v>
      </c>
      <c r="AE9" s="253">
        <v>938</v>
      </c>
      <c r="AF9" s="253">
        <v>9.3800000000000008</v>
      </c>
      <c r="AG9" s="253">
        <v>140.69999999999999</v>
      </c>
      <c r="AH9" s="253">
        <v>28.14</v>
      </c>
      <c r="AI9" s="253">
        <v>1578.34</v>
      </c>
      <c r="AJ9" s="253">
        <v>3.41</v>
      </c>
      <c r="AK9" s="253">
        <v>6.81</v>
      </c>
      <c r="AL9" s="253">
        <v>51.09</v>
      </c>
      <c r="AM9" s="253">
        <v>10.220000000000001</v>
      </c>
      <c r="AN9" s="253">
        <v>34.06</v>
      </c>
      <c r="AO9" s="253">
        <v>3.41</v>
      </c>
      <c r="AP9" s="253">
        <v>10.220000000000001</v>
      </c>
      <c r="AQ9" s="253">
        <v>93.8</v>
      </c>
      <c r="AR9" s="253">
        <v>9.3800000000000008</v>
      </c>
      <c r="AS9" s="253">
        <v>9.3800000000000008</v>
      </c>
      <c r="AT9" s="253">
        <v>140.69999999999999</v>
      </c>
      <c r="AU9" s="253">
        <v>28.14</v>
      </c>
      <c r="AV9" s="251"/>
      <c r="AW9" s="251"/>
      <c r="AX9" s="251"/>
      <c r="AY9" s="251"/>
      <c r="AZ9" s="251"/>
      <c r="BA9" s="253">
        <v>1</v>
      </c>
      <c r="BB9" s="253">
        <v>2</v>
      </c>
      <c r="BC9" s="253">
        <v>2</v>
      </c>
      <c r="BD9" s="251"/>
      <c r="BE9" s="251"/>
      <c r="BF9" s="251"/>
      <c r="BG9" s="251"/>
      <c r="BH9" s="251"/>
      <c r="BI9" s="251"/>
      <c r="BJ9" s="251"/>
      <c r="BK9" s="251"/>
      <c r="BL9" s="251"/>
      <c r="BM9" s="251"/>
      <c r="BN9" s="251"/>
      <c r="BO9" s="251"/>
      <c r="BP9" s="251"/>
      <c r="BQ9" s="251"/>
      <c r="BR9" s="251"/>
      <c r="BS9" s="253">
        <v>0.02</v>
      </c>
      <c r="BT9" s="253">
        <v>8.35</v>
      </c>
      <c r="BU9" s="251"/>
      <c r="BV9" s="253">
        <v>413.99</v>
      </c>
      <c r="BW9" s="253">
        <v>1164.3499999999999</v>
      </c>
    </row>
    <row r="10" spans="1:75" ht="80.099999999999994" customHeight="1" x14ac:dyDescent="0.2">
      <c r="A10" s="250">
        <v>7</v>
      </c>
      <c r="B10" s="33"/>
      <c r="C10" s="251" t="s">
        <v>143</v>
      </c>
      <c r="D10" s="252">
        <v>28712162500142</v>
      </c>
      <c r="E10" s="253">
        <v>260</v>
      </c>
      <c r="F10" s="251"/>
      <c r="G10" s="251"/>
      <c r="H10" s="251"/>
      <c r="I10" s="253">
        <v>336.71</v>
      </c>
      <c r="J10" s="253">
        <v>3.37</v>
      </c>
      <c r="K10" s="253">
        <v>6.73</v>
      </c>
      <c r="L10" s="253">
        <v>50.51</v>
      </c>
      <c r="M10" s="253">
        <v>10.1</v>
      </c>
      <c r="N10" s="253">
        <v>1096.17</v>
      </c>
      <c r="O10" s="253">
        <v>76.73</v>
      </c>
      <c r="P10" s="253">
        <v>76.73</v>
      </c>
      <c r="Q10" s="251"/>
      <c r="R10" s="253">
        <v>1249.6300000000001</v>
      </c>
      <c r="S10" s="251"/>
      <c r="T10" s="251"/>
      <c r="U10" s="253">
        <v>14.4</v>
      </c>
      <c r="V10" s="253">
        <v>50</v>
      </c>
      <c r="W10" s="251"/>
      <c r="X10" s="251"/>
      <c r="Y10" s="251"/>
      <c r="Z10" s="251"/>
      <c r="AA10" s="251"/>
      <c r="AB10" s="253">
        <v>5.47</v>
      </c>
      <c r="AC10" s="253">
        <v>69.87</v>
      </c>
      <c r="AD10" s="253">
        <v>932.79</v>
      </c>
      <c r="AE10" s="253">
        <v>932.79</v>
      </c>
      <c r="AF10" s="253">
        <v>9.33</v>
      </c>
      <c r="AG10" s="253">
        <v>139.91999999999999</v>
      </c>
      <c r="AH10" s="253">
        <v>27.98</v>
      </c>
      <c r="AI10" s="253">
        <v>1567.44</v>
      </c>
      <c r="AJ10" s="253">
        <v>3.37</v>
      </c>
      <c r="AK10" s="253">
        <v>6.73</v>
      </c>
      <c r="AL10" s="253">
        <v>50.51</v>
      </c>
      <c r="AM10" s="253">
        <v>10.1</v>
      </c>
      <c r="AN10" s="253">
        <v>33.67</v>
      </c>
      <c r="AO10" s="253">
        <v>3.37</v>
      </c>
      <c r="AP10" s="253">
        <v>10.1</v>
      </c>
      <c r="AQ10" s="253">
        <v>93.28</v>
      </c>
      <c r="AR10" s="253">
        <v>9.33</v>
      </c>
      <c r="AS10" s="253">
        <v>9.33</v>
      </c>
      <c r="AT10" s="253">
        <v>139.91999999999999</v>
      </c>
      <c r="AU10" s="253">
        <v>27.98</v>
      </c>
      <c r="AV10" s="251"/>
      <c r="AW10" s="251"/>
      <c r="AX10" s="251"/>
      <c r="AY10" s="251"/>
      <c r="AZ10" s="251"/>
      <c r="BA10" s="251"/>
      <c r="BB10" s="251"/>
      <c r="BC10" s="251"/>
      <c r="BD10" s="253">
        <v>2</v>
      </c>
      <c r="BE10" s="253">
        <v>1</v>
      </c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1"/>
      <c r="BS10" s="251"/>
      <c r="BT10" s="253">
        <v>8.3000000000000007</v>
      </c>
      <c r="BU10" s="251"/>
      <c r="BV10" s="253">
        <v>408.99</v>
      </c>
      <c r="BW10" s="253">
        <v>1158.45</v>
      </c>
    </row>
    <row r="11" spans="1:75" ht="80.099999999999994" customHeight="1" x14ac:dyDescent="0.2">
      <c r="A11" s="250">
        <v>8</v>
      </c>
      <c r="B11" s="34"/>
      <c r="C11" s="251" t="s">
        <v>144</v>
      </c>
      <c r="D11" s="252">
        <v>28510032502061</v>
      </c>
      <c r="E11" s="253">
        <v>263</v>
      </c>
      <c r="F11" s="251"/>
      <c r="G11" s="251"/>
      <c r="H11" s="251"/>
      <c r="I11" s="253">
        <v>340.59</v>
      </c>
      <c r="J11" s="253">
        <v>3.41</v>
      </c>
      <c r="K11" s="253">
        <v>6.81</v>
      </c>
      <c r="L11" s="253">
        <v>51.09</v>
      </c>
      <c r="M11" s="253">
        <v>10.220000000000001</v>
      </c>
      <c r="N11" s="253">
        <v>1109.45</v>
      </c>
      <c r="O11" s="253">
        <v>77.66</v>
      </c>
      <c r="P11" s="253">
        <v>77.66</v>
      </c>
      <c r="Q11" s="251"/>
      <c r="R11" s="253">
        <v>1264.77</v>
      </c>
      <c r="S11" s="251"/>
      <c r="T11" s="251"/>
      <c r="U11" s="253">
        <v>21</v>
      </c>
      <c r="V11" s="253">
        <v>95</v>
      </c>
      <c r="W11" s="251"/>
      <c r="X11" s="251"/>
      <c r="Y11" s="251"/>
      <c r="Z11" s="251"/>
      <c r="AA11" s="251"/>
      <c r="AB11" s="253">
        <v>5.51</v>
      </c>
      <c r="AC11" s="253">
        <v>121.51</v>
      </c>
      <c r="AD11" s="253">
        <v>950.69</v>
      </c>
      <c r="AE11" s="253">
        <v>950.69</v>
      </c>
      <c r="AF11" s="253">
        <v>9.51</v>
      </c>
      <c r="AG11" s="253">
        <v>142.6</v>
      </c>
      <c r="AH11" s="253">
        <v>28.52</v>
      </c>
      <c r="AI11" s="253">
        <v>1638.44</v>
      </c>
      <c r="AJ11" s="253">
        <v>3.41</v>
      </c>
      <c r="AK11" s="253">
        <v>6.81</v>
      </c>
      <c r="AL11" s="253">
        <v>51.09</v>
      </c>
      <c r="AM11" s="253">
        <v>10.220000000000001</v>
      </c>
      <c r="AN11" s="253">
        <v>34.06</v>
      </c>
      <c r="AO11" s="253">
        <v>3.41</v>
      </c>
      <c r="AP11" s="253">
        <v>10.220000000000001</v>
      </c>
      <c r="AQ11" s="253">
        <v>95.07</v>
      </c>
      <c r="AR11" s="253">
        <v>9.51</v>
      </c>
      <c r="AS11" s="253">
        <v>9.51</v>
      </c>
      <c r="AT11" s="253">
        <v>142.6</v>
      </c>
      <c r="AU11" s="253">
        <v>28.52</v>
      </c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3">
        <v>37.450000000000003</v>
      </c>
      <c r="BG11" s="253">
        <v>285</v>
      </c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3">
        <v>8.75</v>
      </c>
      <c r="BU11" s="253">
        <v>0.41</v>
      </c>
      <c r="BV11" s="253">
        <v>736.04</v>
      </c>
      <c r="BW11" s="253">
        <v>902.4</v>
      </c>
    </row>
    <row r="12" spans="1:75" ht="80.099999999999994" customHeight="1" x14ac:dyDescent="0.2">
      <c r="A12" s="250">
        <v>9</v>
      </c>
      <c r="B12" s="33"/>
      <c r="C12" s="251" t="s">
        <v>145</v>
      </c>
      <c r="D12" s="252">
        <v>28806242500229</v>
      </c>
      <c r="E12" s="253">
        <v>260</v>
      </c>
      <c r="F12" s="251"/>
      <c r="G12" s="251"/>
      <c r="H12" s="251"/>
      <c r="I12" s="253">
        <v>336.71</v>
      </c>
      <c r="J12" s="253">
        <v>3.37</v>
      </c>
      <c r="K12" s="253">
        <v>6.73</v>
      </c>
      <c r="L12" s="253">
        <v>50.51</v>
      </c>
      <c r="M12" s="253">
        <v>10.1</v>
      </c>
      <c r="N12" s="253">
        <v>1096.17</v>
      </c>
      <c r="O12" s="253">
        <v>76.73</v>
      </c>
      <c r="P12" s="253">
        <v>76.73</v>
      </c>
      <c r="Q12" s="251"/>
      <c r="R12" s="253">
        <v>1249.6300000000001</v>
      </c>
      <c r="S12" s="251"/>
      <c r="T12" s="251"/>
      <c r="U12" s="253">
        <v>14.4</v>
      </c>
      <c r="V12" s="253">
        <v>50</v>
      </c>
      <c r="W12" s="251"/>
      <c r="X12" s="251"/>
      <c r="Y12" s="251"/>
      <c r="Z12" s="251"/>
      <c r="AA12" s="251"/>
      <c r="AB12" s="253">
        <v>5.47</v>
      </c>
      <c r="AC12" s="253">
        <v>69.87</v>
      </c>
      <c r="AD12" s="253">
        <v>932.79</v>
      </c>
      <c r="AE12" s="253">
        <v>932.79</v>
      </c>
      <c r="AF12" s="253">
        <v>9.33</v>
      </c>
      <c r="AG12" s="253">
        <v>139.91999999999999</v>
      </c>
      <c r="AH12" s="253">
        <v>27.98</v>
      </c>
      <c r="AI12" s="253">
        <v>1567.44</v>
      </c>
      <c r="AJ12" s="253">
        <v>3.37</v>
      </c>
      <c r="AK12" s="253">
        <v>6.73</v>
      </c>
      <c r="AL12" s="253">
        <v>50.51</v>
      </c>
      <c r="AM12" s="253">
        <v>10.1</v>
      </c>
      <c r="AN12" s="253">
        <v>33.67</v>
      </c>
      <c r="AO12" s="253">
        <v>3.37</v>
      </c>
      <c r="AP12" s="253">
        <v>10.1</v>
      </c>
      <c r="AQ12" s="253">
        <v>93.28</v>
      </c>
      <c r="AR12" s="253">
        <v>9.33</v>
      </c>
      <c r="AS12" s="253">
        <v>9.33</v>
      </c>
      <c r="AT12" s="253">
        <v>139.91999999999999</v>
      </c>
      <c r="AU12" s="253">
        <v>27.98</v>
      </c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3">
        <v>8.3000000000000007</v>
      </c>
      <c r="BU12" s="251"/>
      <c r="BV12" s="253">
        <v>405.99</v>
      </c>
      <c r="BW12" s="253">
        <v>1161.45</v>
      </c>
    </row>
    <row r="13" spans="1:75" ht="80.099999999999994" customHeight="1" x14ac:dyDescent="0.2">
      <c r="A13" s="250">
        <v>10</v>
      </c>
      <c r="B13" s="34"/>
      <c r="C13" s="251" t="s">
        <v>146</v>
      </c>
      <c r="D13" s="252">
        <v>28504252500204</v>
      </c>
      <c r="E13" s="253">
        <v>232.5</v>
      </c>
      <c r="F13" s="253">
        <v>184.45</v>
      </c>
      <c r="G13" s="251"/>
      <c r="H13" s="251"/>
      <c r="I13" s="253">
        <v>301.08999999999997</v>
      </c>
      <c r="J13" s="253">
        <v>3.01</v>
      </c>
      <c r="K13" s="253">
        <v>6.02</v>
      </c>
      <c r="L13" s="253">
        <v>45.16</v>
      </c>
      <c r="M13" s="253">
        <v>9.0299999999999994</v>
      </c>
      <c r="N13" s="253">
        <v>1021.91</v>
      </c>
      <c r="O13" s="253">
        <v>71.53</v>
      </c>
      <c r="P13" s="253">
        <v>71.53</v>
      </c>
      <c r="Q13" s="251"/>
      <c r="R13" s="253">
        <v>1164.97</v>
      </c>
      <c r="S13" s="251"/>
      <c r="T13" s="251"/>
      <c r="U13" s="253">
        <v>14.4</v>
      </c>
      <c r="V13" s="253">
        <v>50</v>
      </c>
      <c r="W13" s="251"/>
      <c r="X13" s="251"/>
      <c r="Y13" s="251"/>
      <c r="Z13" s="251"/>
      <c r="AA13" s="251"/>
      <c r="AB13" s="253">
        <v>5.13</v>
      </c>
      <c r="AC13" s="253">
        <v>253.98</v>
      </c>
      <c r="AD13" s="253">
        <v>1067.8599999999999</v>
      </c>
      <c r="AE13" s="253">
        <v>1067.8599999999999</v>
      </c>
      <c r="AF13" s="253">
        <v>10.68</v>
      </c>
      <c r="AG13" s="253">
        <v>160.18</v>
      </c>
      <c r="AH13" s="253">
        <v>32.04</v>
      </c>
      <c r="AI13" s="253">
        <v>1685.07</v>
      </c>
      <c r="AJ13" s="253">
        <v>3.01</v>
      </c>
      <c r="AK13" s="253">
        <v>6.02</v>
      </c>
      <c r="AL13" s="253">
        <v>45.16</v>
      </c>
      <c r="AM13" s="253">
        <v>9.0299999999999994</v>
      </c>
      <c r="AN13" s="253">
        <v>30.11</v>
      </c>
      <c r="AO13" s="253">
        <v>3.01</v>
      </c>
      <c r="AP13" s="253">
        <v>9.0299999999999994</v>
      </c>
      <c r="AQ13" s="253">
        <v>106.79</v>
      </c>
      <c r="AR13" s="253">
        <v>10.68</v>
      </c>
      <c r="AS13" s="253">
        <v>10.68</v>
      </c>
      <c r="AT13" s="253">
        <v>160.18</v>
      </c>
      <c r="AU13" s="253">
        <v>32.04</v>
      </c>
      <c r="AV13" s="251"/>
      <c r="AW13" s="251"/>
      <c r="AX13" s="251"/>
      <c r="AY13" s="251"/>
      <c r="AZ13" s="253">
        <v>35</v>
      </c>
      <c r="BA13" s="253">
        <v>1</v>
      </c>
      <c r="BB13" s="251"/>
      <c r="BC13" s="251"/>
      <c r="BD13" s="253">
        <v>2</v>
      </c>
      <c r="BE13" s="253">
        <v>1</v>
      </c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3">
        <v>0.03</v>
      </c>
      <c r="BT13" s="253">
        <v>8.6999999999999993</v>
      </c>
      <c r="BU13" s="253">
        <v>0.35</v>
      </c>
      <c r="BV13" s="253">
        <v>473.82</v>
      </c>
      <c r="BW13" s="253">
        <v>1211.25</v>
      </c>
    </row>
    <row r="14" spans="1:75" ht="80.099999999999994" customHeight="1" x14ac:dyDescent="0.2">
      <c r="A14" s="250">
        <v>11</v>
      </c>
      <c r="B14" s="33"/>
      <c r="C14" s="251" t="s">
        <v>147</v>
      </c>
      <c r="D14" s="252">
        <v>28604152500066</v>
      </c>
      <c r="E14" s="253">
        <v>260</v>
      </c>
      <c r="F14" s="251"/>
      <c r="G14" s="251"/>
      <c r="H14" s="251"/>
      <c r="I14" s="253">
        <v>336.71</v>
      </c>
      <c r="J14" s="253">
        <v>3.37</v>
      </c>
      <c r="K14" s="253">
        <v>6.73</v>
      </c>
      <c r="L14" s="253">
        <v>50.51</v>
      </c>
      <c r="M14" s="253">
        <v>10.1</v>
      </c>
      <c r="N14" s="253">
        <v>1096.17</v>
      </c>
      <c r="O14" s="253">
        <v>76.73</v>
      </c>
      <c r="P14" s="253">
        <v>76.73</v>
      </c>
      <c r="Q14" s="251"/>
      <c r="R14" s="253">
        <v>1249.6300000000001</v>
      </c>
      <c r="S14" s="251"/>
      <c r="T14" s="251"/>
      <c r="U14" s="253">
        <v>14.4</v>
      </c>
      <c r="V14" s="253">
        <v>140</v>
      </c>
      <c r="W14" s="251"/>
      <c r="X14" s="251"/>
      <c r="Y14" s="251"/>
      <c r="Z14" s="251"/>
      <c r="AA14" s="251"/>
      <c r="AB14" s="253">
        <v>5.47</v>
      </c>
      <c r="AC14" s="253">
        <v>159.87</v>
      </c>
      <c r="AD14" s="253">
        <v>932.79</v>
      </c>
      <c r="AE14" s="253">
        <v>932.79</v>
      </c>
      <c r="AF14" s="253">
        <v>9.33</v>
      </c>
      <c r="AG14" s="253">
        <v>139.91999999999999</v>
      </c>
      <c r="AH14" s="253">
        <v>27.98</v>
      </c>
      <c r="AI14" s="253">
        <v>1657.44</v>
      </c>
      <c r="AJ14" s="253">
        <v>3.37</v>
      </c>
      <c r="AK14" s="253">
        <v>6.73</v>
      </c>
      <c r="AL14" s="253">
        <v>50.51</v>
      </c>
      <c r="AM14" s="253">
        <v>10.1</v>
      </c>
      <c r="AN14" s="253">
        <v>33.67</v>
      </c>
      <c r="AO14" s="253">
        <v>3.37</v>
      </c>
      <c r="AP14" s="253">
        <v>10.1</v>
      </c>
      <c r="AQ14" s="253">
        <v>93.28</v>
      </c>
      <c r="AR14" s="253">
        <v>9.33</v>
      </c>
      <c r="AS14" s="253">
        <v>9.33</v>
      </c>
      <c r="AT14" s="253">
        <v>139.91999999999999</v>
      </c>
      <c r="AU14" s="253">
        <v>27.98</v>
      </c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3">
        <v>37.450000000000003</v>
      </c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3">
        <v>0.04</v>
      </c>
      <c r="BT14" s="253">
        <v>9</v>
      </c>
      <c r="BU14" s="253">
        <v>1.06</v>
      </c>
      <c r="BV14" s="253">
        <v>445.24</v>
      </c>
      <c r="BW14" s="253">
        <v>1212.2</v>
      </c>
    </row>
    <row r="15" spans="1:75" ht="80.099999999999994" customHeight="1" x14ac:dyDescent="0.2">
      <c r="A15" s="250">
        <v>12</v>
      </c>
      <c r="B15" s="34"/>
      <c r="C15" s="251" t="s">
        <v>148</v>
      </c>
      <c r="D15" s="252">
        <v>28109162500128</v>
      </c>
      <c r="E15" s="253">
        <v>274</v>
      </c>
      <c r="F15" s="251"/>
      <c r="G15" s="251"/>
      <c r="H15" s="251"/>
      <c r="I15" s="253">
        <v>354.84</v>
      </c>
      <c r="J15" s="253">
        <v>3.55</v>
      </c>
      <c r="K15" s="253">
        <v>7.1</v>
      </c>
      <c r="L15" s="253">
        <v>53.23</v>
      </c>
      <c r="M15" s="253">
        <v>10.65</v>
      </c>
      <c r="N15" s="253">
        <v>1145.97</v>
      </c>
      <c r="O15" s="253">
        <v>80.22</v>
      </c>
      <c r="P15" s="253">
        <v>80.22</v>
      </c>
      <c r="Q15" s="251"/>
      <c r="R15" s="253">
        <v>1306.4100000000001</v>
      </c>
      <c r="S15" s="251"/>
      <c r="T15" s="251"/>
      <c r="U15" s="253">
        <v>21</v>
      </c>
      <c r="V15" s="253">
        <v>50</v>
      </c>
      <c r="W15" s="251"/>
      <c r="X15" s="251"/>
      <c r="Y15" s="251"/>
      <c r="Z15" s="251"/>
      <c r="AA15" s="251"/>
      <c r="AB15" s="253">
        <v>5.58</v>
      </c>
      <c r="AC15" s="253">
        <v>76.58</v>
      </c>
      <c r="AD15" s="253">
        <v>978.15</v>
      </c>
      <c r="AE15" s="253">
        <v>978.15</v>
      </c>
      <c r="AF15" s="253">
        <v>9.7799999999999994</v>
      </c>
      <c r="AG15" s="253">
        <v>146.72</v>
      </c>
      <c r="AH15" s="253">
        <v>29.34</v>
      </c>
      <c r="AI15" s="253">
        <v>1643.36</v>
      </c>
      <c r="AJ15" s="253">
        <v>3.55</v>
      </c>
      <c r="AK15" s="253">
        <v>7.1</v>
      </c>
      <c r="AL15" s="253">
        <v>53.23</v>
      </c>
      <c r="AM15" s="253">
        <v>10.65</v>
      </c>
      <c r="AN15" s="253">
        <v>35.479999999999997</v>
      </c>
      <c r="AO15" s="253">
        <v>3.55</v>
      </c>
      <c r="AP15" s="253">
        <v>10.65</v>
      </c>
      <c r="AQ15" s="253">
        <v>97.81</v>
      </c>
      <c r="AR15" s="253">
        <v>9.7799999999999994</v>
      </c>
      <c r="AS15" s="253">
        <v>9.7799999999999994</v>
      </c>
      <c r="AT15" s="253">
        <v>146.72</v>
      </c>
      <c r="AU15" s="253">
        <v>29.34</v>
      </c>
      <c r="AV15" s="253">
        <v>3.04</v>
      </c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3">
        <v>60</v>
      </c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3">
        <v>0.04</v>
      </c>
      <c r="BT15" s="253">
        <v>8.65</v>
      </c>
      <c r="BU15" s="253">
        <v>0.19</v>
      </c>
      <c r="BV15" s="253">
        <v>489.56</v>
      </c>
      <c r="BW15" s="253">
        <v>1153.8</v>
      </c>
    </row>
    <row r="16" spans="1:75" ht="80.099999999999994" customHeight="1" x14ac:dyDescent="0.2">
      <c r="A16" s="250">
        <v>13</v>
      </c>
      <c r="B16" s="33"/>
      <c r="C16" s="251" t="s">
        <v>149</v>
      </c>
      <c r="D16" s="252">
        <v>27108062500783</v>
      </c>
      <c r="E16" s="253">
        <v>452.58</v>
      </c>
      <c r="F16" s="251"/>
      <c r="G16" s="251"/>
      <c r="H16" s="251"/>
      <c r="I16" s="253">
        <v>586.1</v>
      </c>
      <c r="J16" s="253">
        <v>5.86</v>
      </c>
      <c r="K16" s="253">
        <v>11.72</v>
      </c>
      <c r="L16" s="253">
        <v>87.92</v>
      </c>
      <c r="M16" s="253">
        <v>17.579999999999998</v>
      </c>
      <c r="N16" s="253">
        <v>1645.17</v>
      </c>
      <c r="O16" s="253">
        <v>115.16</v>
      </c>
      <c r="P16" s="253">
        <v>115.16</v>
      </c>
      <c r="Q16" s="251"/>
      <c r="R16" s="253">
        <v>1875.49</v>
      </c>
      <c r="S16" s="251"/>
      <c r="T16" s="251"/>
      <c r="U16" s="253">
        <v>21</v>
      </c>
      <c r="V16" s="253">
        <v>150</v>
      </c>
      <c r="W16" s="251"/>
      <c r="X16" s="251"/>
      <c r="Y16" s="251"/>
      <c r="Z16" s="251"/>
      <c r="AA16" s="253">
        <v>230.78</v>
      </c>
      <c r="AB16" s="253">
        <v>70.06</v>
      </c>
      <c r="AC16" s="253">
        <v>471.84</v>
      </c>
      <c r="AD16" s="253">
        <v>1611.23</v>
      </c>
      <c r="AE16" s="253">
        <v>1611.23</v>
      </c>
      <c r="AF16" s="253">
        <v>16.11</v>
      </c>
      <c r="AG16" s="253">
        <v>241.68</v>
      </c>
      <c r="AH16" s="253">
        <v>48.34</v>
      </c>
      <c r="AI16" s="253">
        <v>2776.54</v>
      </c>
      <c r="AJ16" s="253">
        <v>5.86</v>
      </c>
      <c r="AK16" s="253">
        <v>11.72</v>
      </c>
      <c r="AL16" s="253">
        <v>87.92</v>
      </c>
      <c r="AM16" s="253">
        <v>17.579999999999998</v>
      </c>
      <c r="AN16" s="253">
        <v>58.61</v>
      </c>
      <c r="AO16" s="253">
        <v>5.86</v>
      </c>
      <c r="AP16" s="253">
        <v>17.579999999999998</v>
      </c>
      <c r="AQ16" s="253">
        <v>161.12</v>
      </c>
      <c r="AR16" s="253">
        <v>16.11</v>
      </c>
      <c r="AS16" s="253">
        <v>16.11</v>
      </c>
      <c r="AT16" s="253">
        <v>241.68</v>
      </c>
      <c r="AU16" s="253">
        <v>48.34</v>
      </c>
      <c r="AV16" s="251"/>
      <c r="AW16" s="251"/>
      <c r="AX16" s="251"/>
      <c r="AY16" s="251"/>
      <c r="AZ16" s="251"/>
      <c r="BA16" s="253">
        <v>1</v>
      </c>
      <c r="BB16" s="253">
        <v>2</v>
      </c>
      <c r="BC16" s="251"/>
      <c r="BD16" s="251"/>
      <c r="BE16" s="253">
        <v>1</v>
      </c>
      <c r="BF16" s="253">
        <v>43.6</v>
      </c>
      <c r="BG16" s="251"/>
      <c r="BH16" s="253">
        <v>60</v>
      </c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3">
        <v>0.03</v>
      </c>
      <c r="BT16" s="253">
        <v>15.15</v>
      </c>
      <c r="BU16" s="253">
        <v>17.37</v>
      </c>
      <c r="BV16" s="253">
        <v>828.64</v>
      </c>
      <c r="BW16" s="253">
        <v>1947.9</v>
      </c>
    </row>
    <row r="17" spans="1:75" ht="80.099999999999994" customHeight="1" x14ac:dyDescent="0.2">
      <c r="A17" s="250">
        <v>14</v>
      </c>
      <c r="B17" s="34"/>
      <c r="C17" s="251" t="s">
        <v>150</v>
      </c>
      <c r="D17" s="252">
        <v>27412022500064</v>
      </c>
      <c r="E17" s="253">
        <v>283</v>
      </c>
      <c r="F17" s="251"/>
      <c r="G17" s="251"/>
      <c r="H17" s="251"/>
      <c r="I17" s="253">
        <v>366.49</v>
      </c>
      <c r="J17" s="253">
        <v>3.66</v>
      </c>
      <c r="K17" s="253">
        <v>7.33</v>
      </c>
      <c r="L17" s="253">
        <v>54.97</v>
      </c>
      <c r="M17" s="253">
        <v>10.99</v>
      </c>
      <c r="N17" s="253">
        <v>1145.97</v>
      </c>
      <c r="O17" s="253">
        <v>80.22</v>
      </c>
      <c r="P17" s="253">
        <v>80.22</v>
      </c>
      <c r="Q17" s="251"/>
      <c r="R17" s="253">
        <v>1306.4100000000001</v>
      </c>
      <c r="S17" s="251"/>
      <c r="T17" s="251"/>
      <c r="U17" s="253">
        <v>21</v>
      </c>
      <c r="V17" s="253">
        <v>145</v>
      </c>
      <c r="W17" s="251"/>
      <c r="X17" s="251"/>
      <c r="Y17" s="251"/>
      <c r="Z17" s="251"/>
      <c r="AA17" s="253">
        <v>21.74</v>
      </c>
      <c r="AB17" s="253">
        <v>5.69</v>
      </c>
      <c r="AC17" s="253">
        <v>193.43</v>
      </c>
      <c r="AD17" s="253">
        <v>988.35</v>
      </c>
      <c r="AE17" s="253">
        <v>988.35</v>
      </c>
      <c r="AF17" s="253">
        <v>9.8800000000000008</v>
      </c>
      <c r="AG17" s="253">
        <v>148.25</v>
      </c>
      <c r="AH17" s="253">
        <v>29.65</v>
      </c>
      <c r="AI17" s="253">
        <v>1764.57</v>
      </c>
      <c r="AJ17" s="253">
        <v>3.66</v>
      </c>
      <c r="AK17" s="253">
        <v>7.33</v>
      </c>
      <c r="AL17" s="253">
        <v>54.97</v>
      </c>
      <c r="AM17" s="253">
        <v>10.99</v>
      </c>
      <c r="AN17" s="253">
        <v>36.65</v>
      </c>
      <c r="AO17" s="253">
        <v>3.66</v>
      </c>
      <c r="AP17" s="253">
        <v>10.99</v>
      </c>
      <c r="AQ17" s="253">
        <v>98.84</v>
      </c>
      <c r="AR17" s="253">
        <v>9.8800000000000008</v>
      </c>
      <c r="AS17" s="253">
        <v>9.8800000000000008</v>
      </c>
      <c r="AT17" s="253">
        <v>148.25</v>
      </c>
      <c r="AU17" s="253">
        <v>29.65</v>
      </c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3">
        <v>0.01</v>
      </c>
      <c r="BT17" s="253">
        <v>9.5500000000000007</v>
      </c>
      <c r="BU17" s="253">
        <v>2.5099999999999998</v>
      </c>
      <c r="BV17" s="253">
        <v>436.82</v>
      </c>
      <c r="BW17" s="253">
        <v>1327.75</v>
      </c>
    </row>
    <row r="18" spans="1:75" ht="80.099999999999994" customHeight="1" x14ac:dyDescent="0.2">
      <c r="A18" s="250">
        <v>15</v>
      </c>
      <c r="B18" s="33"/>
      <c r="C18" s="251" t="s">
        <v>151</v>
      </c>
      <c r="D18" s="252">
        <v>27811202502229</v>
      </c>
      <c r="E18" s="253">
        <v>271</v>
      </c>
      <c r="F18" s="251"/>
      <c r="G18" s="251"/>
      <c r="H18" s="251"/>
      <c r="I18" s="253">
        <v>350.95</v>
      </c>
      <c r="J18" s="253">
        <v>3.51</v>
      </c>
      <c r="K18" s="253">
        <v>7.02</v>
      </c>
      <c r="L18" s="253">
        <v>52.64</v>
      </c>
      <c r="M18" s="253">
        <v>10.53</v>
      </c>
      <c r="N18" s="253">
        <v>1152.69</v>
      </c>
      <c r="O18" s="253">
        <v>80.69</v>
      </c>
      <c r="P18" s="253">
        <v>80.69</v>
      </c>
      <c r="Q18" s="251"/>
      <c r="R18" s="253">
        <v>1314.07</v>
      </c>
      <c r="S18" s="251"/>
      <c r="T18" s="251"/>
      <c r="U18" s="253">
        <v>21</v>
      </c>
      <c r="V18" s="253">
        <v>95</v>
      </c>
      <c r="W18" s="251"/>
      <c r="X18" s="251"/>
      <c r="Y18" s="251"/>
      <c r="Z18" s="251"/>
      <c r="AA18" s="253">
        <v>0.17</v>
      </c>
      <c r="AB18" s="253">
        <v>5.71</v>
      </c>
      <c r="AC18" s="253">
        <v>121.88</v>
      </c>
      <c r="AD18" s="253">
        <v>990</v>
      </c>
      <c r="AE18" s="253">
        <v>990</v>
      </c>
      <c r="AF18" s="253">
        <v>9.9</v>
      </c>
      <c r="AG18" s="253">
        <v>148.5</v>
      </c>
      <c r="AH18" s="253">
        <v>29.7</v>
      </c>
      <c r="AI18" s="253">
        <v>1697.75</v>
      </c>
      <c r="AJ18" s="253">
        <v>3.51</v>
      </c>
      <c r="AK18" s="253">
        <v>7.02</v>
      </c>
      <c r="AL18" s="253">
        <v>52.64</v>
      </c>
      <c r="AM18" s="253">
        <v>10.53</v>
      </c>
      <c r="AN18" s="253">
        <v>35.1</v>
      </c>
      <c r="AO18" s="253">
        <v>3.51</v>
      </c>
      <c r="AP18" s="253">
        <v>10.53</v>
      </c>
      <c r="AQ18" s="253">
        <v>99</v>
      </c>
      <c r="AR18" s="253">
        <v>9.9</v>
      </c>
      <c r="AS18" s="253">
        <v>9.9</v>
      </c>
      <c r="AT18" s="253">
        <v>148.5</v>
      </c>
      <c r="AU18" s="253">
        <v>29.7</v>
      </c>
      <c r="AV18" s="253">
        <v>14.28</v>
      </c>
      <c r="AW18" s="251"/>
      <c r="AX18" s="251"/>
      <c r="AY18" s="251"/>
      <c r="AZ18" s="253">
        <v>35</v>
      </c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  <c r="BP18" s="251"/>
      <c r="BQ18" s="251"/>
      <c r="BR18" s="251"/>
      <c r="BS18" s="253">
        <v>0.02</v>
      </c>
      <c r="BT18" s="253">
        <v>8.6999999999999993</v>
      </c>
      <c r="BU18" s="253">
        <v>0.31</v>
      </c>
      <c r="BV18" s="253">
        <v>478.15</v>
      </c>
      <c r="BW18" s="253">
        <v>1219.5999999999999</v>
      </c>
    </row>
    <row r="19" spans="1:75" ht="80.099999999999994" customHeight="1" x14ac:dyDescent="0.2">
      <c r="A19" s="250">
        <v>16</v>
      </c>
      <c r="B19" s="34"/>
      <c r="C19" s="251" t="s">
        <v>152</v>
      </c>
      <c r="D19" s="252">
        <v>28009172501861</v>
      </c>
      <c r="E19" s="253">
        <v>278</v>
      </c>
      <c r="F19" s="251"/>
      <c r="G19" s="251"/>
      <c r="H19" s="251"/>
      <c r="I19" s="253">
        <v>360.02</v>
      </c>
      <c r="J19" s="253">
        <v>3.6</v>
      </c>
      <c r="K19" s="253">
        <v>7.2</v>
      </c>
      <c r="L19" s="253">
        <v>54</v>
      </c>
      <c r="M19" s="253">
        <v>10.8</v>
      </c>
      <c r="N19" s="253">
        <v>1203.27</v>
      </c>
      <c r="O19" s="253">
        <v>84.23</v>
      </c>
      <c r="P19" s="253">
        <v>84.23</v>
      </c>
      <c r="Q19" s="251"/>
      <c r="R19" s="253">
        <v>1371.73</v>
      </c>
      <c r="S19" s="251"/>
      <c r="T19" s="251"/>
      <c r="U19" s="253">
        <v>21</v>
      </c>
      <c r="V19" s="253">
        <v>50</v>
      </c>
      <c r="W19" s="251"/>
      <c r="X19" s="251"/>
      <c r="Y19" s="251"/>
      <c r="Z19" s="251"/>
      <c r="AA19" s="253">
        <v>2.69</v>
      </c>
      <c r="AB19" s="253">
        <v>5.63</v>
      </c>
      <c r="AC19" s="253">
        <v>79.319999999999993</v>
      </c>
      <c r="AD19" s="253">
        <v>1041.03</v>
      </c>
      <c r="AE19" s="253">
        <v>1041.03</v>
      </c>
      <c r="AF19" s="253">
        <v>10.41</v>
      </c>
      <c r="AG19" s="253">
        <v>156.15</v>
      </c>
      <c r="AH19" s="253">
        <v>31.23</v>
      </c>
      <c r="AI19" s="253">
        <v>1724.44</v>
      </c>
      <c r="AJ19" s="253">
        <v>3.6</v>
      </c>
      <c r="AK19" s="253">
        <v>7.2</v>
      </c>
      <c r="AL19" s="253">
        <v>54</v>
      </c>
      <c r="AM19" s="253">
        <v>10.8</v>
      </c>
      <c r="AN19" s="253">
        <v>36</v>
      </c>
      <c r="AO19" s="253">
        <v>3.6</v>
      </c>
      <c r="AP19" s="253">
        <v>10.8</v>
      </c>
      <c r="AQ19" s="253">
        <v>104.1</v>
      </c>
      <c r="AR19" s="253">
        <v>10.41</v>
      </c>
      <c r="AS19" s="253">
        <v>10.41</v>
      </c>
      <c r="AT19" s="253">
        <v>156.15</v>
      </c>
      <c r="AU19" s="253">
        <v>31.23</v>
      </c>
      <c r="AV19" s="251"/>
      <c r="AW19" s="251"/>
      <c r="AX19" s="251"/>
      <c r="AY19" s="251"/>
      <c r="AZ19" s="253">
        <v>40</v>
      </c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  <c r="BL19" s="251"/>
      <c r="BM19" s="251"/>
      <c r="BN19" s="251"/>
      <c r="BO19" s="251"/>
      <c r="BP19" s="251"/>
      <c r="BQ19" s="251"/>
      <c r="BR19" s="251"/>
      <c r="BS19" s="253">
        <v>0.04</v>
      </c>
      <c r="BT19" s="253">
        <v>8.85</v>
      </c>
      <c r="BU19" s="253">
        <v>0.65</v>
      </c>
      <c r="BV19" s="253">
        <v>487.84</v>
      </c>
      <c r="BW19" s="253">
        <v>1236.5999999999999</v>
      </c>
    </row>
    <row r="20" spans="1:75" ht="80.099999999999994" customHeight="1" x14ac:dyDescent="0.2">
      <c r="A20" s="250">
        <v>17</v>
      </c>
      <c r="B20" s="33"/>
      <c r="C20" s="251" t="s">
        <v>153</v>
      </c>
      <c r="D20" s="252">
        <v>28401292500181</v>
      </c>
      <c r="E20" s="253">
        <v>264</v>
      </c>
      <c r="F20" s="251"/>
      <c r="G20" s="251"/>
      <c r="H20" s="251"/>
      <c r="I20" s="253">
        <v>341.89</v>
      </c>
      <c r="J20" s="253">
        <v>3.42</v>
      </c>
      <c r="K20" s="253">
        <v>6.84</v>
      </c>
      <c r="L20" s="253">
        <v>51.28</v>
      </c>
      <c r="M20" s="253">
        <v>10.26</v>
      </c>
      <c r="N20" s="253">
        <v>1163.53</v>
      </c>
      <c r="O20" s="253">
        <v>81.45</v>
      </c>
      <c r="P20" s="253">
        <v>81.45</v>
      </c>
      <c r="Q20" s="251"/>
      <c r="R20" s="253">
        <v>1326.43</v>
      </c>
      <c r="S20" s="251"/>
      <c r="T20" s="251"/>
      <c r="U20" s="253">
        <v>21</v>
      </c>
      <c r="V20" s="253">
        <v>140</v>
      </c>
      <c r="W20" s="251"/>
      <c r="X20" s="251"/>
      <c r="Y20" s="251"/>
      <c r="Z20" s="251"/>
      <c r="AA20" s="251"/>
      <c r="AB20" s="253">
        <v>5.69</v>
      </c>
      <c r="AC20" s="253">
        <v>166.69</v>
      </c>
      <c r="AD20" s="253">
        <v>1011.23</v>
      </c>
      <c r="AE20" s="253">
        <v>1011.23</v>
      </c>
      <c r="AF20" s="253">
        <v>10.11</v>
      </c>
      <c r="AG20" s="253">
        <v>151.68</v>
      </c>
      <c r="AH20" s="253">
        <v>30.34</v>
      </c>
      <c r="AI20" s="253">
        <v>1757.05</v>
      </c>
      <c r="AJ20" s="253">
        <v>3.42</v>
      </c>
      <c r="AK20" s="253">
        <v>6.84</v>
      </c>
      <c r="AL20" s="253">
        <v>51.28</v>
      </c>
      <c r="AM20" s="253">
        <v>10.26</v>
      </c>
      <c r="AN20" s="253">
        <v>34.19</v>
      </c>
      <c r="AO20" s="253">
        <v>3.42</v>
      </c>
      <c r="AP20" s="253">
        <v>10.26</v>
      </c>
      <c r="AQ20" s="253">
        <v>101.12</v>
      </c>
      <c r="AR20" s="253">
        <v>10.11</v>
      </c>
      <c r="AS20" s="253">
        <v>10.11</v>
      </c>
      <c r="AT20" s="253">
        <v>151.68</v>
      </c>
      <c r="AU20" s="253">
        <v>30.34</v>
      </c>
      <c r="AV20" s="251"/>
      <c r="AW20" s="251"/>
      <c r="AX20" s="251"/>
      <c r="AY20" s="251"/>
      <c r="AZ20" s="253">
        <v>35</v>
      </c>
      <c r="BA20" s="253">
        <v>1</v>
      </c>
      <c r="BB20" s="251"/>
      <c r="BC20" s="251"/>
      <c r="BD20" s="253">
        <v>2</v>
      </c>
      <c r="BE20" s="253">
        <v>1</v>
      </c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3">
        <v>0.02</v>
      </c>
      <c r="BT20" s="253">
        <v>9.25</v>
      </c>
      <c r="BU20" s="253">
        <v>1.7</v>
      </c>
      <c r="BV20" s="253">
        <v>473</v>
      </c>
      <c r="BW20" s="253">
        <v>1284.05</v>
      </c>
    </row>
    <row r="21" spans="1:75" ht="80.099999999999994" customHeight="1" x14ac:dyDescent="0.2">
      <c r="A21" s="250">
        <v>18</v>
      </c>
      <c r="B21" s="34"/>
      <c r="C21" s="251" t="s">
        <v>154</v>
      </c>
      <c r="D21" s="252">
        <v>28302182500226</v>
      </c>
      <c r="E21" s="253">
        <v>274</v>
      </c>
      <c r="F21" s="251"/>
      <c r="G21" s="251"/>
      <c r="H21" s="251"/>
      <c r="I21" s="253">
        <v>354.84</v>
      </c>
      <c r="J21" s="253">
        <v>3.55</v>
      </c>
      <c r="K21" s="253">
        <v>7.1</v>
      </c>
      <c r="L21" s="253">
        <v>53.23</v>
      </c>
      <c r="M21" s="253">
        <v>10.65</v>
      </c>
      <c r="N21" s="253">
        <v>1145.97</v>
      </c>
      <c r="O21" s="253">
        <v>80.22</v>
      </c>
      <c r="P21" s="253">
        <v>80.22</v>
      </c>
      <c r="Q21" s="251"/>
      <c r="R21" s="253">
        <v>1306.4100000000001</v>
      </c>
      <c r="S21" s="251"/>
      <c r="T21" s="251"/>
      <c r="U21" s="253">
        <v>21</v>
      </c>
      <c r="V21" s="253">
        <v>50</v>
      </c>
      <c r="W21" s="253">
        <v>15</v>
      </c>
      <c r="X21" s="251"/>
      <c r="Y21" s="251"/>
      <c r="Z21" s="251"/>
      <c r="AA21" s="251"/>
      <c r="AB21" s="253">
        <v>5.64</v>
      </c>
      <c r="AC21" s="253">
        <v>91.64</v>
      </c>
      <c r="AD21" s="253">
        <v>993.21</v>
      </c>
      <c r="AE21" s="253">
        <v>993.21</v>
      </c>
      <c r="AF21" s="253">
        <v>9.93</v>
      </c>
      <c r="AG21" s="253">
        <v>148.97999999999999</v>
      </c>
      <c r="AH21" s="253">
        <v>29.8</v>
      </c>
      <c r="AI21" s="253">
        <v>1661.29</v>
      </c>
      <c r="AJ21" s="253">
        <v>3.55</v>
      </c>
      <c r="AK21" s="253">
        <v>7.1</v>
      </c>
      <c r="AL21" s="253">
        <v>53.23</v>
      </c>
      <c r="AM21" s="253">
        <v>10.65</v>
      </c>
      <c r="AN21" s="253">
        <v>35.479999999999997</v>
      </c>
      <c r="AO21" s="253">
        <v>3.55</v>
      </c>
      <c r="AP21" s="253">
        <v>10.65</v>
      </c>
      <c r="AQ21" s="253">
        <v>99.32</v>
      </c>
      <c r="AR21" s="253">
        <v>9.93</v>
      </c>
      <c r="AS21" s="253">
        <v>9.93</v>
      </c>
      <c r="AT21" s="253">
        <v>148.97999999999999</v>
      </c>
      <c r="AU21" s="253">
        <v>29.8</v>
      </c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3">
        <v>0.01</v>
      </c>
      <c r="BT21" s="253">
        <v>8.8000000000000007</v>
      </c>
      <c r="BU21" s="253">
        <v>0.51</v>
      </c>
      <c r="BV21" s="253">
        <v>431.49</v>
      </c>
      <c r="BW21" s="253">
        <v>1229.8</v>
      </c>
    </row>
    <row r="22" spans="1:75" ht="80.099999999999994" customHeight="1" x14ac:dyDescent="0.2">
      <c r="A22" s="250">
        <v>19</v>
      </c>
      <c r="B22" s="33"/>
      <c r="C22" s="251" t="s">
        <v>155</v>
      </c>
      <c r="D22" s="252">
        <v>28009152500311</v>
      </c>
      <c r="E22" s="253">
        <v>270</v>
      </c>
      <c r="F22" s="251"/>
      <c r="G22" s="251"/>
      <c r="H22" s="251"/>
      <c r="I22" s="253">
        <v>349.66</v>
      </c>
      <c r="J22" s="253">
        <v>3.5</v>
      </c>
      <c r="K22" s="253">
        <v>6.99</v>
      </c>
      <c r="L22" s="253">
        <v>52.45</v>
      </c>
      <c r="M22" s="253">
        <v>10.49</v>
      </c>
      <c r="N22" s="253">
        <v>1126.3599999999999</v>
      </c>
      <c r="O22" s="253">
        <v>78.849999999999994</v>
      </c>
      <c r="P22" s="253">
        <v>78.849999999999994</v>
      </c>
      <c r="Q22" s="251"/>
      <c r="R22" s="253">
        <v>1284.06</v>
      </c>
      <c r="S22" s="251"/>
      <c r="T22" s="251"/>
      <c r="U22" s="253">
        <v>21</v>
      </c>
      <c r="V22" s="253">
        <v>145</v>
      </c>
      <c r="W22" s="251"/>
      <c r="X22" s="251"/>
      <c r="Y22" s="251"/>
      <c r="Z22" s="251"/>
      <c r="AA22" s="253">
        <v>0.9</v>
      </c>
      <c r="AB22" s="253">
        <v>5.53</v>
      </c>
      <c r="AC22" s="253">
        <v>172.43</v>
      </c>
      <c r="AD22" s="253">
        <v>961.83</v>
      </c>
      <c r="AE22" s="253">
        <v>961.83</v>
      </c>
      <c r="AF22" s="253">
        <v>9.6199999999999992</v>
      </c>
      <c r="AG22" s="253">
        <v>144.27000000000001</v>
      </c>
      <c r="AH22" s="253">
        <v>28.85</v>
      </c>
      <c r="AI22" s="253">
        <v>1712.66</v>
      </c>
      <c r="AJ22" s="253">
        <v>3.5</v>
      </c>
      <c r="AK22" s="253">
        <v>6.99</v>
      </c>
      <c r="AL22" s="253">
        <v>52.45</v>
      </c>
      <c r="AM22" s="253">
        <v>10.49</v>
      </c>
      <c r="AN22" s="253">
        <v>34.97</v>
      </c>
      <c r="AO22" s="253">
        <v>3.5</v>
      </c>
      <c r="AP22" s="253">
        <v>10.49</v>
      </c>
      <c r="AQ22" s="253">
        <v>96.18</v>
      </c>
      <c r="AR22" s="253">
        <v>9.6199999999999992</v>
      </c>
      <c r="AS22" s="253">
        <v>9.6199999999999992</v>
      </c>
      <c r="AT22" s="253">
        <v>144.27000000000001</v>
      </c>
      <c r="AU22" s="253">
        <v>28.85</v>
      </c>
      <c r="AV22" s="251"/>
      <c r="AW22" s="251"/>
      <c r="AX22" s="253">
        <v>6.48</v>
      </c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  <c r="BP22" s="251"/>
      <c r="BQ22" s="251"/>
      <c r="BR22" s="251"/>
      <c r="BS22" s="253">
        <v>0.02</v>
      </c>
      <c r="BT22" s="253">
        <v>9.1999999999999993</v>
      </c>
      <c r="BU22" s="253">
        <v>1.63</v>
      </c>
      <c r="BV22" s="253">
        <v>428.26</v>
      </c>
      <c r="BW22" s="253">
        <v>1284.4000000000001</v>
      </c>
    </row>
    <row r="23" spans="1:75" ht="80.099999999999994" customHeight="1" x14ac:dyDescent="0.2">
      <c r="A23" s="250">
        <v>20</v>
      </c>
      <c r="B23" s="34"/>
      <c r="C23" s="251" t="s">
        <v>156</v>
      </c>
      <c r="D23" s="252">
        <v>28511172500374</v>
      </c>
      <c r="E23" s="253">
        <v>263</v>
      </c>
      <c r="F23" s="251"/>
      <c r="G23" s="251"/>
      <c r="H23" s="251"/>
      <c r="I23" s="253">
        <v>340.59</v>
      </c>
      <c r="J23" s="253">
        <v>3.41</v>
      </c>
      <c r="K23" s="253">
        <v>6.81</v>
      </c>
      <c r="L23" s="253">
        <v>51.09</v>
      </c>
      <c r="M23" s="253">
        <v>10.220000000000001</v>
      </c>
      <c r="N23" s="253">
        <v>1109.45</v>
      </c>
      <c r="O23" s="253">
        <v>77.66</v>
      </c>
      <c r="P23" s="253">
        <v>77.66</v>
      </c>
      <c r="Q23" s="251"/>
      <c r="R23" s="253">
        <v>1264.77</v>
      </c>
      <c r="S23" s="251"/>
      <c r="T23" s="251"/>
      <c r="U23" s="253">
        <v>21</v>
      </c>
      <c r="V23" s="253">
        <v>50</v>
      </c>
      <c r="W23" s="251"/>
      <c r="X23" s="251"/>
      <c r="Y23" s="251"/>
      <c r="Z23" s="251"/>
      <c r="AA23" s="251"/>
      <c r="AB23" s="253">
        <v>5.51</v>
      </c>
      <c r="AC23" s="253">
        <v>76.510000000000005</v>
      </c>
      <c r="AD23" s="253">
        <v>950.69</v>
      </c>
      <c r="AE23" s="253">
        <v>950.69</v>
      </c>
      <c r="AF23" s="253">
        <v>9.51</v>
      </c>
      <c r="AG23" s="253">
        <v>142.6</v>
      </c>
      <c r="AH23" s="253">
        <v>28.52</v>
      </c>
      <c r="AI23" s="253">
        <v>1593.44</v>
      </c>
      <c r="AJ23" s="253">
        <v>3.41</v>
      </c>
      <c r="AK23" s="253">
        <v>6.81</v>
      </c>
      <c r="AL23" s="253">
        <v>51.09</v>
      </c>
      <c r="AM23" s="253">
        <v>10.220000000000001</v>
      </c>
      <c r="AN23" s="253">
        <v>34.06</v>
      </c>
      <c r="AO23" s="253">
        <v>3.41</v>
      </c>
      <c r="AP23" s="253">
        <v>10.220000000000001</v>
      </c>
      <c r="AQ23" s="253">
        <v>95.07</v>
      </c>
      <c r="AR23" s="253">
        <v>9.51</v>
      </c>
      <c r="AS23" s="253">
        <v>9.51</v>
      </c>
      <c r="AT23" s="253">
        <v>142.6</v>
      </c>
      <c r="AU23" s="253">
        <v>28.52</v>
      </c>
      <c r="AV23" s="251"/>
      <c r="AW23" s="251"/>
      <c r="AX23" s="251"/>
      <c r="AY23" s="251"/>
      <c r="AZ23" s="251"/>
      <c r="BA23" s="251"/>
      <c r="BB23" s="251"/>
      <c r="BC23" s="251"/>
      <c r="BD23" s="253">
        <v>2</v>
      </c>
      <c r="BE23" s="251"/>
      <c r="BF23" s="251"/>
      <c r="BG23" s="251"/>
      <c r="BH23" s="251"/>
      <c r="BI23" s="253">
        <v>3</v>
      </c>
      <c r="BJ23" s="251"/>
      <c r="BK23" s="251"/>
      <c r="BL23" s="251"/>
      <c r="BM23" s="251"/>
      <c r="BN23" s="251"/>
      <c r="BO23" s="251"/>
      <c r="BP23" s="251"/>
      <c r="BQ23" s="251"/>
      <c r="BR23" s="251"/>
      <c r="BS23" s="253">
        <v>0.01</v>
      </c>
      <c r="BT23" s="253">
        <v>8.4</v>
      </c>
      <c r="BU23" s="251"/>
      <c r="BV23" s="253">
        <v>417.84</v>
      </c>
      <c r="BW23" s="253">
        <v>1175.5999999999999</v>
      </c>
    </row>
    <row r="24" spans="1:75" ht="80.099999999999994" customHeight="1" x14ac:dyDescent="0.2">
      <c r="A24" s="250">
        <v>21</v>
      </c>
      <c r="B24" s="33"/>
      <c r="C24" s="251" t="s">
        <v>157</v>
      </c>
      <c r="D24" s="252">
        <v>28710202500351</v>
      </c>
      <c r="E24" s="253">
        <v>263</v>
      </c>
      <c r="F24" s="253">
        <v>223.18</v>
      </c>
      <c r="G24" s="251"/>
      <c r="H24" s="251"/>
      <c r="I24" s="253">
        <v>340.59</v>
      </c>
      <c r="J24" s="253">
        <v>3.41</v>
      </c>
      <c r="K24" s="253">
        <v>6.81</v>
      </c>
      <c r="L24" s="253">
        <v>51.09</v>
      </c>
      <c r="M24" s="253">
        <v>10.220000000000001</v>
      </c>
      <c r="N24" s="253">
        <v>1159.31</v>
      </c>
      <c r="O24" s="253">
        <v>81.150000000000006</v>
      </c>
      <c r="P24" s="253">
        <v>81.150000000000006</v>
      </c>
      <c r="Q24" s="251"/>
      <c r="R24" s="253">
        <v>1321.61</v>
      </c>
      <c r="S24" s="251"/>
      <c r="T24" s="251"/>
      <c r="U24" s="253">
        <v>14.4</v>
      </c>
      <c r="V24" s="253">
        <v>100</v>
      </c>
      <c r="W24" s="251"/>
      <c r="X24" s="251"/>
      <c r="Y24" s="251"/>
      <c r="Z24" s="251"/>
      <c r="AA24" s="251"/>
      <c r="AB24" s="253">
        <v>5.51</v>
      </c>
      <c r="AC24" s="253">
        <v>343.09</v>
      </c>
      <c r="AD24" s="253">
        <v>1224.1099999999999</v>
      </c>
      <c r="AE24" s="253">
        <v>1224.1099999999999</v>
      </c>
      <c r="AF24" s="253">
        <v>12.24</v>
      </c>
      <c r="AG24" s="253">
        <v>183.62</v>
      </c>
      <c r="AH24" s="253">
        <v>36.72</v>
      </c>
      <c r="AI24" s="253">
        <v>1968.81</v>
      </c>
      <c r="AJ24" s="253">
        <v>3.41</v>
      </c>
      <c r="AK24" s="253">
        <v>6.81</v>
      </c>
      <c r="AL24" s="253">
        <v>51.09</v>
      </c>
      <c r="AM24" s="253">
        <v>10.220000000000001</v>
      </c>
      <c r="AN24" s="253">
        <v>34.06</v>
      </c>
      <c r="AO24" s="253">
        <v>3.41</v>
      </c>
      <c r="AP24" s="253">
        <v>10.220000000000001</v>
      </c>
      <c r="AQ24" s="253">
        <v>122.41</v>
      </c>
      <c r="AR24" s="253">
        <v>12.24</v>
      </c>
      <c r="AS24" s="253">
        <v>12.24</v>
      </c>
      <c r="AT24" s="253">
        <v>183.62</v>
      </c>
      <c r="AU24" s="253">
        <v>36.72</v>
      </c>
      <c r="AV24" s="251"/>
      <c r="AW24" s="251"/>
      <c r="AX24" s="251"/>
      <c r="AY24" s="251"/>
      <c r="AZ24" s="251"/>
      <c r="BA24" s="253">
        <v>1</v>
      </c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3">
        <v>0.04</v>
      </c>
      <c r="BT24" s="253">
        <v>10.65</v>
      </c>
      <c r="BU24" s="253">
        <v>5.47</v>
      </c>
      <c r="BV24" s="253">
        <v>503.61</v>
      </c>
      <c r="BW24" s="253">
        <v>1465.2</v>
      </c>
    </row>
    <row r="25" spans="1:75" ht="80.099999999999994" customHeight="1" x14ac:dyDescent="0.2">
      <c r="A25" s="250">
        <v>22</v>
      </c>
      <c r="B25" s="34"/>
      <c r="C25" s="251" t="s">
        <v>158</v>
      </c>
      <c r="D25" s="252">
        <v>28102032500229</v>
      </c>
      <c r="E25" s="253">
        <v>278</v>
      </c>
      <c r="F25" s="251"/>
      <c r="G25" s="251"/>
      <c r="H25" s="251"/>
      <c r="I25" s="253">
        <v>360.02</v>
      </c>
      <c r="J25" s="253">
        <v>3.6</v>
      </c>
      <c r="K25" s="253">
        <v>7.2</v>
      </c>
      <c r="L25" s="253">
        <v>54</v>
      </c>
      <c r="M25" s="253">
        <v>10.8</v>
      </c>
      <c r="N25" s="253">
        <v>1145.97</v>
      </c>
      <c r="O25" s="253">
        <v>80.22</v>
      </c>
      <c r="P25" s="253">
        <v>80.22</v>
      </c>
      <c r="Q25" s="251"/>
      <c r="R25" s="253">
        <v>1306.4100000000001</v>
      </c>
      <c r="S25" s="251"/>
      <c r="T25" s="251"/>
      <c r="U25" s="253">
        <v>21</v>
      </c>
      <c r="V25" s="253">
        <v>50</v>
      </c>
      <c r="W25" s="251"/>
      <c r="X25" s="251"/>
      <c r="Y25" s="251"/>
      <c r="Z25" s="251"/>
      <c r="AA25" s="253">
        <v>4.6900000000000004</v>
      </c>
      <c r="AB25" s="253">
        <v>5.63</v>
      </c>
      <c r="AC25" s="253">
        <v>81.319999999999993</v>
      </c>
      <c r="AD25" s="253">
        <v>977.71</v>
      </c>
      <c r="AE25" s="253">
        <v>977.71</v>
      </c>
      <c r="AF25" s="253">
        <v>9.7799999999999994</v>
      </c>
      <c r="AG25" s="253">
        <v>146.66</v>
      </c>
      <c r="AH25" s="253">
        <v>29.33</v>
      </c>
      <c r="AI25" s="253">
        <v>1649.1</v>
      </c>
      <c r="AJ25" s="253">
        <v>3.6</v>
      </c>
      <c r="AK25" s="253">
        <v>7.2</v>
      </c>
      <c r="AL25" s="253">
        <v>54</v>
      </c>
      <c r="AM25" s="253">
        <v>10.8</v>
      </c>
      <c r="AN25" s="253">
        <v>36</v>
      </c>
      <c r="AO25" s="253">
        <v>3.6</v>
      </c>
      <c r="AP25" s="253">
        <v>10.8</v>
      </c>
      <c r="AQ25" s="253">
        <v>97.77</v>
      </c>
      <c r="AR25" s="253">
        <v>9.7799999999999994</v>
      </c>
      <c r="AS25" s="253">
        <v>9.7799999999999994</v>
      </c>
      <c r="AT25" s="253">
        <v>146.66</v>
      </c>
      <c r="AU25" s="253">
        <v>29.33</v>
      </c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3">
        <v>8.6999999999999993</v>
      </c>
      <c r="BU25" s="253">
        <v>0.33</v>
      </c>
      <c r="BV25" s="253">
        <v>428.35</v>
      </c>
      <c r="BW25" s="253">
        <v>1220.75</v>
      </c>
    </row>
    <row r="26" spans="1:75" ht="80.099999999999994" customHeight="1" x14ac:dyDescent="0.2">
      <c r="A26" s="250">
        <v>23</v>
      </c>
      <c r="B26" s="33"/>
      <c r="C26" s="251" t="s">
        <v>159</v>
      </c>
      <c r="D26" s="252">
        <v>29208022500243</v>
      </c>
      <c r="E26" s="253">
        <v>246</v>
      </c>
      <c r="F26" s="251"/>
      <c r="G26" s="251"/>
      <c r="H26" s="251"/>
      <c r="I26" s="253">
        <v>318.58</v>
      </c>
      <c r="J26" s="253">
        <v>3.19</v>
      </c>
      <c r="K26" s="253">
        <v>6.37</v>
      </c>
      <c r="L26" s="253">
        <v>47.79</v>
      </c>
      <c r="M26" s="253">
        <v>9.56</v>
      </c>
      <c r="N26" s="253">
        <v>942.46</v>
      </c>
      <c r="O26" s="253">
        <v>65.97</v>
      </c>
      <c r="P26" s="253">
        <v>65.97</v>
      </c>
      <c r="Q26" s="251"/>
      <c r="R26" s="253">
        <v>1074.4000000000001</v>
      </c>
      <c r="S26" s="251"/>
      <c r="T26" s="251"/>
      <c r="U26" s="253">
        <v>14.4</v>
      </c>
      <c r="V26" s="253">
        <v>50</v>
      </c>
      <c r="W26" s="251"/>
      <c r="X26" s="251"/>
      <c r="Y26" s="251"/>
      <c r="Z26" s="251"/>
      <c r="AA26" s="251"/>
      <c r="AB26" s="253">
        <v>5.08</v>
      </c>
      <c r="AC26" s="253">
        <v>69.48</v>
      </c>
      <c r="AD26" s="253">
        <v>775.3</v>
      </c>
      <c r="AE26" s="253">
        <v>775.3</v>
      </c>
      <c r="AF26" s="253">
        <v>7.75</v>
      </c>
      <c r="AG26" s="253">
        <v>116.29</v>
      </c>
      <c r="AH26" s="253">
        <v>23.26</v>
      </c>
      <c r="AI26" s="253">
        <v>1358.09</v>
      </c>
      <c r="AJ26" s="253">
        <v>3.19</v>
      </c>
      <c r="AK26" s="253">
        <v>6.37</v>
      </c>
      <c r="AL26" s="253">
        <v>47.79</v>
      </c>
      <c r="AM26" s="253">
        <v>9.56</v>
      </c>
      <c r="AN26" s="253">
        <v>31.86</v>
      </c>
      <c r="AO26" s="253">
        <v>3.19</v>
      </c>
      <c r="AP26" s="253">
        <v>9.56</v>
      </c>
      <c r="AQ26" s="253">
        <v>77.53</v>
      </c>
      <c r="AR26" s="253">
        <v>7.75</v>
      </c>
      <c r="AS26" s="253">
        <v>7.75</v>
      </c>
      <c r="AT26" s="253">
        <v>116.29</v>
      </c>
      <c r="AU26" s="253">
        <v>23.26</v>
      </c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3">
        <v>0.04</v>
      </c>
      <c r="BT26" s="253">
        <v>6.65</v>
      </c>
      <c r="BU26" s="251"/>
      <c r="BV26" s="253">
        <v>350.79</v>
      </c>
      <c r="BW26" s="253">
        <v>1007.3</v>
      </c>
    </row>
    <row r="27" spans="1:75" ht="80.099999999999994" customHeight="1" x14ac:dyDescent="0.2">
      <c r="A27" s="250">
        <v>24</v>
      </c>
      <c r="B27" s="34"/>
      <c r="C27" s="251" t="s">
        <v>160</v>
      </c>
      <c r="D27" s="252">
        <v>28606212500276</v>
      </c>
      <c r="E27" s="253">
        <v>263</v>
      </c>
      <c r="F27" s="251"/>
      <c r="G27" s="251"/>
      <c r="H27" s="251"/>
      <c r="I27" s="253">
        <v>340.59</v>
      </c>
      <c r="J27" s="253">
        <v>3.41</v>
      </c>
      <c r="K27" s="253">
        <v>6.81</v>
      </c>
      <c r="L27" s="253">
        <v>51.09</v>
      </c>
      <c r="M27" s="253">
        <v>10.220000000000001</v>
      </c>
      <c r="N27" s="253">
        <v>1104.0999999999999</v>
      </c>
      <c r="O27" s="253">
        <v>77.290000000000006</v>
      </c>
      <c r="P27" s="253">
        <v>77.290000000000006</v>
      </c>
      <c r="Q27" s="251"/>
      <c r="R27" s="253">
        <v>1258.68</v>
      </c>
      <c r="S27" s="251"/>
      <c r="T27" s="251"/>
      <c r="U27" s="253">
        <v>14.4</v>
      </c>
      <c r="V27" s="253">
        <v>50</v>
      </c>
      <c r="W27" s="251"/>
      <c r="X27" s="251"/>
      <c r="Y27" s="251"/>
      <c r="Z27" s="251"/>
      <c r="AA27" s="251"/>
      <c r="AB27" s="253">
        <v>5.51</v>
      </c>
      <c r="AC27" s="253">
        <v>69.91</v>
      </c>
      <c r="AD27" s="253">
        <v>938</v>
      </c>
      <c r="AE27" s="253">
        <v>938</v>
      </c>
      <c r="AF27" s="253">
        <v>9.3800000000000008</v>
      </c>
      <c r="AG27" s="253">
        <v>140.69999999999999</v>
      </c>
      <c r="AH27" s="253">
        <v>28.14</v>
      </c>
      <c r="AI27" s="253">
        <v>1578.34</v>
      </c>
      <c r="AJ27" s="253">
        <v>3.41</v>
      </c>
      <c r="AK27" s="253">
        <v>6.81</v>
      </c>
      <c r="AL27" s="253">
        <v>51.09</v>
      </c>
      <c r="AM27" s="253">
        <v>10.220000000000001</v>
      </c>
      <c r="AN27" s="253">
        <v>34.06</v>
      </c>
      <c r="AO27" s="253">
        <v>3.41</v>
      </c>
      <c r="AP27" s="253">
        <v>10.220000000000001</v>
      </c>
      <c r="AQ27" s="253">
        <v>93.8</v>
      </c>
      <c r="AR27" s="253">
        <v>9.3800000000000008</v>
      </c>
      <c r="AS27" s="253">
        <v>9.3800000000000008</v>
      </c>
      <c r="AT27" s="253">
        <v>140.69999999999999</v>
      </c>
      <c r="AU27" s="253">
        <v>28.14</v>
      </c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  <c r="BL27" s="251"/>
      <c r="BM27" s="251"/>
      <c r="BN27" s="251"/>
      <c r="BO27" s="251"/>
      <c r="BP27" s="251"/>
      <c r="BQ27" s="251"/>
      <c r="BR27" s="251"/>
      <c r="BS27" s="253">
        <v>0.02</v>
      </c>
      <c r="BT27" s="253">
        <v>8.35</v>
      </c>
      <c r="BU27" s="251"/>
      <c r="BV27" s="253">
        <v>408.99</v>
      </c>
      <c r="BW27" s="253">
        <v>1169.3499999999999</v>
      </c>
    </row>
    <row r="28" spans="1:75" ht="80.099999999999994" customHeight="1" x14ac:dyDescent="0.2">
      <c r="A28" s="250">
        <v>25</v>
      </c>
      <c r="B28" s="33"/>
      <c r="C28" s="251" t="s">
        <v>161</v>
      </c>
      <c r="D28" s="252">
        <v>27808192500183</v>
      </c>
      <c r="E28" s="253">
        <v>278</v>
      </c>
      <c r="F28" s="251"/>
      <c r="G28" s="251"/>
      <c r="H28" s="251"/>
      <c r="I28" s="253">
        <v>360.02</v>
      </c>
      <c r="J28" s="253">
        <v>3.6</v>
      </c>
      <c r="K28" s="253">
        <v>7.2</v>
      </c>
      <c r="L28" s="253">
        <v>54</v>
      </c>
      <c r="M28" s="253">
        <v>10.8</v>
      </c>
      <c r="N28" s="253">
        <v>1174.6199999999999</v>
      </c>
      <c r="O28" s="253">
        <v>82.22</v>
      </c>
      <c r="P28" s="253">
        <v>82.22</v>
      </c>
      <c r="Q28" s="251"/>
      <c r="R28" s="253">
        <v>1339.06</v>
      </c>
      <c r="S28" s="251"/>
      <c r="T28" s="251"/>
      <c r="U28" s="253">
        <v>21</v>
      </c>
      <c r="V28" s="253">
        <v>95</v>
      </c>
      <c r="W28" s="251"/>
      <c r="X28" s="251"/>
      <c r="Y28" s="251"/>
      <c r="Z28" s="251"/>
      <c r="AA28" s="253">
        <v>5.39</v>
      </c>
      <c r="AB28" s="253">
        <v>5.63</v>
      </c>
      <c r="AC28" s="253">
        <v>127.02</v>
      </c>
      <c r="AD28" s="253">
        <v>1011.06</v>
      </c>
      <c r="AE28" s="253">
        <v>1011.06</v>
      </c>
      <c r="AF28" s="253">
        <v>10.11</v>
      </c>
      <c r="AG28" s="253">
        <v>151.66</v>
      </c>
      <c r="AH28" s="253">
        <v>30.33</v>
      </c>
      <c r="AI28" s="253">
        <v>1733.78</v>
      </c>
      <c r="AJ28" s="253">
        <v>3.6</v>
      </c>
      <c r="AK28" s="253">
        <v>7.2</v>
      </c>
      <c r="AL28" s="253">
        <v>54</v>
      </c>
      <c r="AM28" s="253">
        <v>10.8</v>
      </c>
      <c r="AN28" s="253">
        <v>36</v>
      </c>
      <c r="AO28" s="253">
        <v>3.6</v>
      </c>
      <c r="AP28" s="253">
        <v>10.8</v>
      </c>
      <c r="AQ28" s="253">
        <v>101.11</v>
      </c>
      <c r="AR28" s="253">
        <v>10.11</v>
      </c>
      <c r="AS28" s="253">
        <v>10.11</v>
      </c>
      <c r="AT28" s="253">
        <v>151.66</v>
      </c>
      <c r="AU28" s="253">
        <v>30.33</v>
      </c>
      <c r="AV28" s="251"/>
      <c r="AW28" s="251"/>
      <c r="AX28" s="251"/>
      <c r="AY28" s="253">
        <v>116.7</v>
      </c>
      <c r="AZ28" s="251"/>
      <c r="BA28" s="253">
        <v>1</v>
      </c>
      <c r="BB28" s="251"/>
      <c r="BC28" s="251"/>
      <c r="BD28" s="251"/>
      <c r="BE28" s="251"/>
      <c r="BF28" s="251"/>
      <c r="BG28" s="251"/>
      <c r="BH28" s="251"/>
      <c r="BI28" s="251"/>
      <c r="BJ28" s="251"/>
      <c r="BK28" s="251"/>
      <c r="BL28" s="251"/>
      <c r="BM28" s="251"/>
      <c r="BN28" s="251"/>
      <c r="BO28" s="251"/>
      <c r="BP28" s="251"/>
      <c r="BQ28" s="251"/>
      <c r="BR28" s="251"/>
      <c r="BS28" s="251"/>
      <c r="BT28" s="253">
        <v>9.25</v>
      </c>
      <c r="BU28" s="253">
        <v>1.81</v>
      </c>
      <c r="BV28" s="253">
        <v>558.08000000000004</v>
      </c>
      <c r="BW28" s="253">
        <v>1175.7</v>
      </c>
    </row>
    <row r="29" spans="1:75" ht="80.099999999999994" customHeight="1" x14ac:dyDescent="0.2">
      <c r="A29" s="250">
        <v>26</v>
      </c>
      <c r="B29" s="34"/>
      <c r="C29" s="251" t="s">
        <v>162</v>
      </c>
      <c r="D29" s="252">
        <v>28110182500181</v>
      </c>
      <c r="E29" s="253">
        <v>263</v>
      </c>
      <c r="F29" s="251"/>
      <c r="G29" s="251"/>
      <c r="H29" s="251"/>
      <c r="I29" s="253">
        <v>340.59</v>
      </c>
      <c r="J29" s="253">
        <v>3.41</v>
      </c>
      <c r="K29" s="253">
        <v>6.81</v>
      </c>
      <c r="L29" s="253">
        <v>51.09</v>
      </c>
      <c r="M29" s="253">
        <v>10.220000000000001</v>
      </c>
      <c r="N29" s="253">
        <v>1104.0999999999999</v>
      </c>
      <c r="O29" s="253">
        <v>77.290000000000006</v>
      </c>
      <c r="P29" s="253">
        <v>77.290000000000006</v>
      </c>
      <c r="Q29" s="251"/>
      <c r="R29" s="253">
        <v>1258.68</v>
      </c>
      <c r="S29" s="251"/>
      <c r="T29" s="251"/>
      <c r="U29" s="253">
        <v>14.4</v>
      </c>
      <c r="V29" s="253">
        <v>50</v>
      </c>
      <c r="W29" s="251"/>
      <c r="X29" s="251"/>
      <c r="Y29" s="251"/>
      <c r="Z29" s="251"/>
      <c r="AA29" s="251"/>
      <c r="AB29" s="253">
        <v>5.51</v>
      </c>
      <c r="AC29" s="253">
        <v>69.91</v>
      </c>
      <c r="AD29" s="253">
        <v>938</v>
      </c>
      <c r="AE29" s="253">
        <v>938</v>
      </c>
      <c r="AF29" s="253">
        <v>9.3800000000000008</v>
      </c>
      <c r="AG29" s="253">
        <v>140.69999999999999</v>
      </c>
      <c r="AH29" s="253">
        <v>28.14</v>
      </c>
      <c r="AI29" s="253">
        <v>1578.34</v>
      </c>
      <c r="AJ29" s="253">
        <v>3.41</v>
      </c>
      <c r="AK29" s="253">
        <v>6.81</v>
      </c>
      <c r="AL29" s="253">
        <v>51.09</v>
      </c>
      <c r="AM29" s="253">
        <v>10.220000000000001</v>
      </c>
      <c r="AN29" s="253">
        <v>34.06</v>
      </c>
      <c r="AO29" s="253">
        <v>3.41</v>
      </c>
      <c r="AP29" s="253">
        <v>10.220000000000001</v>
      </c>
      <c r="AQ29" s="253">
        <v>93.8</v>
      </c>
      <c r="AR29" s="253">
        <v>9.3800000000000008</v>
      </c>
      <c r="AS29" s="253">
        <v>9.3800000000000008</v>
      </c>
      <c r="AT29" s="253">
        <v>140.69999999999999</v>
      </c>
      <c r="AU29" s="253">
        <v>28.14</v>
      </c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3">
        <v>37.450000000000003</v>
      </c>
      <c r="BG29" s="251"/>
      <c r="BH29" s="251"/>
      <c r="BI29" s="251"/>
      <c r="BJ29" s="251"/>
      <c r="BK29" s="251"/>
      <c r="BL29" s="251"/>
      <c r="BM29" s="251"/>
      <c r="BN29" s="251"/>
      <c r="BO29" s="251"/>
      <c r="BP29" s="251"/>
      <c r="BQ29" s="251"/>
      <c r="BR29" s="251"/>
      <c r="BS29" s="253">
        <v>0.02</v>
      </c>
      <c r="BT29" s="253">
        <v>8.35</v>
      </c>
      <c r="BU29" s="251"/>
      <c r="BV29" s="253">
        <v>446.44</v>
      </c>
      <c r="BW29" s="253">
        <v>1131.9000000000001</v>
      </c>
    </row>
    <row r="30" spans="1:75" ht="80.099999999999994" customHeight="1" x14ac:dyDescent="0.2">
      <c r="A30" s="250">
        <v>27</v>
      </c>
      <c r="B30" s="33"/>
      <c r="C30" s="251" t="s">
        <v>163</v>
      </c>
      <c r="D30" s="252">
        <v>28209102500301</v>
      </c>
      <c r="E30" s="253">
        <v>267</v>
      </c>
      <c r="F30" s="251"/>
      <c r="G30" s="253">
        <v>63.05</v>
      </c>
      <c r="H30" s="251"/>
      <c r="I30" s="253">
        <v>345.77</v>
      </c>
      <c r="J30" s="253">
        <v>3.46</v>
      </c>
      <c r="K30" s="253">
        <v>6.92</v>
      </c>
      <c r="L30" s="253">
        <v>51.87</v>
      </c>
      <c r="M30" s="253">
        <v>10.37</v>
      </c>
      <c r="N30" s="253">
        <v>745.08</v>
      </c>
      <c r="O30" s="253">
        <v>52.16</v>
      </c>
      <c r="P30" s="253">
        <v>52.16</v>
      </c>
      <c r="Q30" s="251"/>
      <c r="R30" s="253">
        <v>849.4</v>
      </c>
      <c r="S30" s="251"/>
      <c r="T30" s="251"/>
      <c r="U30" s="253">
        <v>13.65</v>
      </c>
      <c r="V30" s="253">
        <v>95</v>
      </c>
      <c r="W30" s="251"/>
      <c r="X30" s="251"/>
      <c r="Y30" s="251"/>
      <c r="Z30" s="251"/>
      <c r="AA30" s="251"/>
      <c r="AB30" s="253">
        <v>3.57</v>
      </c>
      <c r="AC30" s="253">
        <v>175.27</v>
      </c>
      <c r="AD30" s="253">
        <v>1050.52</v>
      </c>
      <c r="AE30" s="253">
        <v>1050.52</v>
      </c>
      <c r="AF30" s="253">
        <v>10.51</v>
      </c>
      <c r="AG30" s="253">
        <v>157.58000000000001</v>
      </c>
      <c r="AH30" s="253">
        <v>31.52</v>
      </c>
      <c r="AI30" s="253">
        <v>1296.9000000000001</v>
      </c>
      <c r="AJ30" s="253">
        <v>3.46</v>
      </c>
      <c r="AK30" s="253">
        <v>6.92</v>
      </c>
      <c r="AL30" s="253">
        <v>51.87</v>
      </c>
      <c r="AM30" s="253">
        <v>10.37</v>
      </c>
      <c r="AN30" s="253">
        <v>34.58</v>
      </c>
      <c r="AO30" s="253">
        <v>3.46</v>
      </c>
      <c r="AP30" s="253">
        <v>10.37</v>
      </c>
      <c r="AQ30" s="253">
        <v>105.05</v>
      </c>
      <c r="AR30" s="253">
        <v>10.51</v>
      </c>
      <c r="AS30" s="253">
        <v>10.51</v>
      </c>
      <c r="AT30" s="253">
        <v>157.58000000000001</v>
      </c>
      <c r="AU30" s="253">
        <v>31.52</v>
      </c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/>
      <c r="BL30" s="251"/>
      <c r="BM30" s="251"/>
      <c r="BN30" s="251"/>
      <c r="BO30" s="251"/>
      <c r="BP30" s="251"/>
      <c r="BQ30" s="251"/>
      <c r="BR30" s="251"/>
      <c r="BS30" s="251"/>
      <c r="BT30" s="253">
        <v>5.6</v>
      </c>
      <c r="BU30" s="251"/>
      <c r="BV30" s="253">
        <v>441.8</v>
      </c>
      <c r="BW30" s="253">
        <v>855.1</v>
      </c>
    </row>
    <row r="31" spans="1:75" ht="80.099999999999994" customHeight="1" x14ac:dyDescent="0.2">
      <c r="A31" s="250">
        <v>28</v>
      </c>
      <c r="B31" s="34"/>
      <c r="C31" s="251" t="s">
        <v>164</v>
      </c>
      <c r="D31" s="252">
        <v>28412312500207</v>
      </c>
      <c r="E31" s="253">
        <v>270</v>
      </c>
      <c r="F31" s="251"/>
      <c r="G31" s="251"/>
      <c r="H31" s="251"/>
      <c r="I31" s="253">
        <v>349.66</v>
      </c>
      <c r="J31" s="253">
        <v>3.5</v>
      </c>
      <c r="K31" s="253">
        <v>6.99</v>
      </c>
      <c r="L31" s="253">
        <v>52.45</v>
      </c>
      <c r="M31" s="253">
        <v>10.49</v>
      </c>
      <c r="N31" s="253">
        <v>1126.3599999999999</v>
      </c>
      <c r="O31" s="253">
        <v>78.849999999999994</v>
      </c>
      <c r="P31" s="253">
        <v>78.849999999999994</v>
      </c>
      <c r="Q31" s="251"/>
      <c r="R31" s="253">
        <v>1284.06</v>
      </c>
      <c r="S31" s="251"/>
      <c r="T31" s="251"/>
      <c r="U31" s="253">
        <v>21</v>
      </c>
      <c r="V31" s="253">
        <v>95</v>
      </c>
      <c r="W31" s="251"/>
      <c r="X31" s="251"/>
      <c r="Y31" s="251"/>
      <c r="Z31" s="251"/>
      <c r="AA31" s="251"/>
      <c r="AB31" s="253">
        <v>5.53</v>
      </c>
      <c r="AC31" s="253">
        <v>121.53</v>
      </c>
      <c r="AD31" s="253">
        <v>960.93</v>
      </c>
      <c r="AE31" s="253">
        <v>960.93</v>
      </c>
      <c r="AF31" s="253">
        <v>9.61</v>
      </c>
      <c r="AG31" s="253">
        <v>144.13999999999999</v>
      </c>
      <c r="AH31" s="253">
        <v>28.83</v>
      </c>
      <c r="AI31" s="253">
        <v>1661.6</v>
      </c>
      <c r="AJ31" s="253">
        <v>3.5</v>
      </c>
      <c r="AK31" s="253">
        <v>6.99</v>
      </c>
      <c r="AL31" s="253">
        <v>52.45</v>
      </c>
      <c r="AM31" s="253">
        <v>10.49</v>
      </c>
      <c r="AN31" s="253">
        <v>34.97</v>
      </c>
      <c r="AO31" s="253">
        <v>3.5</v>
      </c>
      <c r="AP31" s="253">
        <v>10.49</v>
      </c>
      <c r="AQ31" s="253">
        <v>96.09</v>
      </c>
      <c r="AR31" s="253">
        <v>9.61</v>
      </c>
      <c r="AS31" s="253">
        <v>9.61</v>
      </c>
      <c r="AT31" s="253">
        <v>144.13999999999999</v>
      </c>
      <c r="AU31" s="253">
        <v>28.83</v>
      </c>
      <c r="AV31" s="251"/>
      <c r="AW31" s="251"/>
      <c r="AX31" s="251"/>
      <c r="AY31" s="251"/>
      <c r="AZ31" s="251"/>
      <c r="BA31" s="251"/>
      <c r="BB31" s="251"/>
      <c r="BC31" s="251"/>
      <c r="BD31" s="251"/>
      <c r="BE31" s="251"/>
      <c r="BF31" s="251"/>
      <c r="BG31" s="251"/>
      <c r="BH31" s="251"/>
      <c r="BI31" s="251"/>
      <c r="BJ31" s="251"/>
      <c r="BK31" s="251"/>
      <c r="BL31" s="251"/>
      <c r="BM31" s="251"/>
      <c r="BN31" s="251"/>
      <c r="BO31" s="251"/>
      <c r="BP31" s="251"/>
      <c r="BQ31" s="251"/>
      <c r="BR31" s="251"/>
      <c r="BS31" s="253">
        <v>0.03</v>
      </c>
      <c r="BT31" s="253">
        <v>8.85</v>
      </c>
      <c r="BU31" s="253">
        <v>0.75</v>
      </c>
      <c r="BV31" s="253">
        <v>420.3</v>
      </c>
      <c r="BW31" s="253">
        <v>1241.3</v>
      </c>
    </row>
    <row r="32" spans="1:75" ht="80.099999999999994" customHeight="1" x14ac:dyDescent="0.2">
      <c r="A32" s="250">
        <v>29</v>
      </c>
      <c r="B32" s="33"/>
      <c r="C32" s="251" t="s">
        <v>165</v>
      </c>
      <c r="D32" s="252">
        <v>28110092500107</v>
      </c>
      <c r="E32" s="253">
        <v>263</v>
      </c>
      <c r="F32" s="253">
        <v>225.18</v>
      </c>
      <c r="G32" s="251"/>
      <c r="H32" s="251"/>
      <c r="I32" s="253">
        <v>340.59</v>
      </c>
      <c r="J32" s="253">
        <v>3.41</v>
      </c>
      <c r="K32" s="253">
        <v>6.81</v>
      </c>
      <c r="L32" s="253">
        <v>51.09</v>
      </c>
      <c r="M32" s="253">
        <v>10.220000000000001</v>
      </c>
      <c r="N32" s="253">
        <v>1159.31</v>
      </c>
      <c r="O32" s="253">
        <v>81.150000000000006</v>
      </c>
      <c r="P32" s="253">
        <v>81.150000000000006</v>
      </c>
      <c r="Q32" s="251"/>
      <c r="R32" s="253">
        <v>1321.61</v>
      </c>
      <c r="S32" s="251"/>
      <c r="T32" s="251"/>
      <c r="U32" s="253">
        <v>14.4</v>
      </c>
      <c r="V32" s="253">
        <v>50</v>
      </c>
      <c r="W32" s="251"/>
      <c r="X32" s="253">
        <v>14.4</v>
      </c>
      <c r="Y32" s="251"/>
      <c r="Z32" s="251"/>
      <c r="AA32" s="251"/>
      <c r="AB32" s="253">
        <v>5.51</v>
      </c>
      <c r="AC32" s="253">
        <v>309.49</v>
      </c>
      <c r="AD32" s="253">
        <v>1240.51</v>
      </c>
      <c r="AE32" s="253">
        <v>1240.51</v>
      </c>
      <c r="AF32" s="253">
        <v>12.41</v>
      </c>
      <c r="AG32" s="253">
        <v>186.08</v>
      </c>
      <c r="AH32" s="253">
        <v>37.22</v>
      </c>
      <c r="AI32" s="253">
        <v>1938.34</v>
      </c>
      <c r="AJ32" s="253">
        <v>3.41</v>
      </c>
      <c r="AK32" s="253">
        <v>6.81</v>
      </c>
      <c r="AL32" s="253">
        <v>51.09</v>
      </c>
      <c r="AM32" s="253">
        <v>10.220000000000001</v>
      </c>
      <c r="AN32" s="253">
        <v>34.06</v>
      </c>
      <c r="AO32" s="253">
        <v>3.41</v>
      </c>
      <c r="AP32" s="253">
        <v>10.220000000000001</v>
      </c>
      <c r="AQ32" s="253">
        <v>124.05</v>
      </c>
      <c r="AR32" s="253">
        <v>12.41</v>
      </c>
      <c r="AS32" s="253">
        <v>12.41</v>
      </c>
      <c r="AT32" s="253">
        <v>186.08</v>
      </c>
      <c r="AU32" s="253">
        <v>37.22</v>
      </c>
      <c r="AV32" s="253">
        <v>7.54</v>
      </c>
      <c r="AW32" s="251"/>
      <c r="AX32" s="251"/>
      <c r="AY32" s="251"/>
      <c r="AZ32" s="253">
        <v>35</v>
      </c>
      <c r="BA32" s="251"/>
      <c r="BB32" s="251"/>
      <c r="BC32" s="251"/>
      <c r="BD32" s="251"/>
      <c r="BE32" s="251"/>
      <c r="BF32" s="251"/>
      <c r="BG32" s="251"/>
      <c r="BH32" s="251"/>
      <c r="BI32" s="251"/>
      <c r="BJ32" s="251"/>
      <c r="BK32" s="251"/>
      <c r="BL32" s="251"/>
      <c r="BM32" s="251"/>
      <c r="BN32" s="251"/>
      <c r="BO32" s="251"/>
      <c r="BP32" s="251"/>
      <c r="BQ32" s="251"/>
      <c r="BR32" s="251"/>
      <c r="BS32" s="253">
        <v>0.03</v>
      </c>
      <c r="BT32" s="253">
        <v>10.050000000000001</v>
      </c>
      <c r="BU32" s="253">
        <v>3.93</v>
      </c>
      <c r="BV32" s="253">
        <v>547.94000000000005</v>
      </c>
      <c r="BW32" s="253">
        <v>1390.4</v>
      </c>
    </row>
    <row r="33" spans="1:75" ht="80.099999999999994" customHeight="1" x14ac:dyDescent="0.2">
      <c r="A33" s="250">
        <v>30</v>
      </c>
      <c r="B33" s="34"/>
      <c r="C33" s="251" t="s">
        <v>166</v>
      </c>
      <c r="D33" s="252">
        <v>28303132500264</v>
      </c>
      <c r="E33" s="253">
        <v>260</v>
      </c>
      <c r="F33" s="251"/>
      <c r="G33" s="251"/>
      <c r="H33" s="251"/>
      <c r="I33" s="253">
        <v>336.71</v>
      </c>
      <c r="J33" s="253">
        <v>3.37</v>
      </c>
      <c r="K33" s="253">
        <v>6.73</v>
      </c>
      <c r="L33" s="253">
        <v>50.51</v>
      </c>
      <c r="M33" s="253">
        <v>10.1</v>
      </c>
      <c r="N33" s="253">
        <v>1096.17</v>
      </c>
      <c r="O33" s="253">
        <v>76.73</v>
      </c>
      <c r="P33" s="253">
        <v>76.73</v>
      </c>
      <c r="Q33" s="251"/>
      <c r="R33" s="253">
        <v>1249.6300000000001</v>
      </c>
      <c r="S33" s="251"/>
      <c r="T33" s="251"/>
      <c r="U33" s="253">
        <v>14.4</v>
      </c>
      <c r="V33" s="253">
        <v>50</v>
      </c>
      <c r="W33" s="251"/>
      <c r="X33" s="251"/>
      <c r="Y33" s="251"/>
      <c r="Z33" s="251"/>
      <c r="AA33" s="251"/>
      <c r="AB33" s="253">
        <v>5.47</v>
      </c>
      <c r="AC33" s="253">
        <v>69.87</v>
      </c>
      <c r="AD33" s="253">
        <v>932.79</v>
      </c>
      <c r="AE33" s="253">
        <v>932.79</v>
      </c>
      <c r="AF33" s="253">
        <v>9.33</v>
      </c>
      <c r="AG33" s="253">
        <v>139.91999999999999</v>
      </c>
      <c r="AH33" s="253">
        <v>27.98</v>
      </c>
      <c r="AI33" s="253">
        <v>1567.44</v>
      </c>
      <c r="AJ33" s="253">
        <v>3.37</v>
      </c>
      <c r="AK33" s="253">
        <v>6.73</v>
      </c>
      <c r="AL33" s="253">
        <v>50.51</v>
      </c>
      <c r="AM33" s="253">
        <v>10.1</v>
      </c>
      <c r="AN33" s="253">
        <v>33.67</v>
      </c>
      <c r="AO33" s="253">
        <v>3.37</v>
      </c>
      <c r="AP33" s="253">
        <v>10.1</v>
      </c>
      <c r="AQ33" s="253">
        <v>93.28</v>
      </c>
      <c r="AR33" s="253">
        <v>9.33</v>
      </c>
      <c r="AS33" s="253">
        <v>9.33</v>
      </c>
      <c r="AT33" s="253">
        <v>139.91999999999999</v>
      </c>
      <c r="AU33" s="253">
        <v>27.98</v>
      </c>
      <c r="AV33" s="251"/>
      <c r="AW33" s="251"/>
      <c r="AX33" s="251"/>
      <c r="AY33" s="251"/>
      <c r="AZ33" s="253">
        <v>35</v>
      </c>
      <c r="BA33" s="251"/>
      <c r="BB33" s="251"/>
      <c r="BC33" s="251"/>
      <c r="BD33" s="251"/>
      <c r="BE33" s="251"/>
      <c r="BF33" s="251"/>
      <c r="BG33" s="251"/>
      <c r="BH33" s="251"/>
      <c r="BI33" s="251"/>
      <c r="BJ33" s="251"/>
      <c r="BK33" s="251"/>
      <c r="BL33" s="251"/>
      <c r="BM33" s="251"/>
      <c r="BN33" s="251"/>
      <c r="BO33" s="251"/>
      <c r="BP33" s="251"/>
      <c r="BQ33" s="251"/>
      <c r="BR33" s="251"/>
      <c r="BS33" s="251"/>
      <c r="BT33" s="253">
        <v>8.0500000000000007</v>
      </c>
      <c r="BU33" s="251"/>
      <c r="BV33" s="253">
        <v>440.74</v>
      </c>
      <c r="BW33" s="253">
        <v>1126.7</v>
      </c>
    </row>
    <row r="34" spans="1:75" ht="80.099999999999994" customHeight="1" x14ac:dyDescent="0.2">
      <c r="A34" s="250">
        <v>31</v>
      </c>
      <c r="B34" s="33"/>
      <c r="C34" s="251" t="s">
        <v>167</v>
      </c>
      <c r="D34" s="252">
        <v>28309012505066</v>
      </c>
      <c r="E34" s="253">
        <v>264</v>
      </c>
      <c r="F34" s="251"/>
      <c r="G34" s="251"/>
      <c r="H34" s="251"/>
      <c r="I34" s="253">
        <v>341.89</v>
      </c>
      <c r="J34" s="253">
        <v>3.42</v>
      </c>
      <c r="K34" s="253">
        <v>6.84</v>
      </c>
      <c r="L34" s="253">
        <v>51.28</v>
      </c>
      <c r="M34" s="253">
        <v>10.26</v>
      </c>
      <c r="N34" s="253">
        <v>1161.3599999999999</v>
      </c>
      <c r="O34" s="253">
        <v>81.3</v>
      </c>
      <c r="P34" s="253">
        <v>81.3</v>
      </c>
      <c r="Q34" s="251"/>
      <c r="R34" s="253">
        <v>1323.96</v>
      </c>
      <c r="S34" s="251"/>
      <c r="T34" s="251"/>
      <c r="U34" s="253">
        <v>14.4</v>
      </c>
      <c r="V34" s="253">
        <v>145</v>
      </c>
      <c r="W34" s="251"/>
      <c r="X34" s="251"/>
      <c r="Y34" s="251"/>
      <c r="Z34" s="251"/>
      <c r="AA34" s="251"/>
      <c r="AB34" s="253">
        <v>5.52</v>
      </c>
      <c r="AC34" s="253">
        <v>164.92</v>
      </c>
      <c r="AD34" s="253">
        <v>1001.99</v>
      </c>
      <c r="AE34" s="253">
        <v>1001.99</v>
      </c>
      <c r="AF34" s="253">
        <v>10.02</v>
      </c>
      <c r="AG34" s="253">
        <v>150.30000000000001</v>
      </c>
      <c r="AH34" s="253">
        <v>30.06</v>
      </c>
      <c r="AI34" s="253">
        <v>1751.06</v>
      </c>
      <c r="AJ34" s="253">
        <v>3.42</v>
      </c>
      <c r="AK34" s="253">
        <v>6.84</v>
      </c>
      <c r="AL34" s="253">
        <v>51.28</v>
      </c>
      <c r="AM34" s="253">
        <v>10.26</v>
      </c>
      <c r="AN34" s="253">
        <v>34.19</v>
      </c>
      <c r="AO34" s="253">
        <v>3.42</v>
      </c>
      <c r="AP34" s="253">
        <v>10.26</v>
      </c>
      <c r="AQ34" s="253">
        <v>100.2</v>
      </c>
      <c r="AR34" s="253">
        <v>10.02</v>
      </c>
      <c r="AS34" s="253">
        <v>10.02</v>
      </c>
      <c r="AT34" s="253">
        <v>150.30000000000001</v>
      </c>
      <c r="AU34" s="253">
        <v>30.06</v>
      </c>
      <c r="AV34" s="253">
        <v>9.06</v>
      </c>
      <c r="AW34" s="251"/>
      <c r="AX34" s="251"/>
      <c r="AY34" s="251"/>
      <c r="AZ34" s="253">
        <v>35</v>
      </c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3">
        <v>0.04</v>
      </c>
      <c r="BT34" s="253">
        <v>9.1999999999999993</v>
      </c>
      <c r="BU34" s="253">
        <v>1.59</v>
      </c>
      <c r="BV34" s="253">
        <v>475.16</v>
      </c>
      <c r="BW34" s="253">
        <v>1275.9000000000001</v>
      </c>
    </row>
    <row r="35" spans="1:75" ht="80.099999999999994" customHeight="1" x14ac:dyDescent="0.2">
      <c r="A35" s="250">
        <v>32</v>
      </c>
      <c r="B35" s="34"/>
      <c r="C35" s="251" t="s">
        <v>168</v>
      </c>
      <c r="D35" s="252">
        <v>26804232500107</v>
      </c>
      <c r="E35" s="253">
        <v>462.98</v>
      </c>
      <c r="F35" s="251"/>
      <c r="G35" s="251"/>
      <c r="H35" s="251"/>
      <c r="I35" s="253">
        <v>599.57000000000005</v>
      </c>
      <c r="J35" s="253">
        <v>6</v>
      </c>
      <c r="K35" s="253">
        <v>11.99</v>
      </c>
      <c r="L35" s="253">
        <v>89.94</v>
      </c>
      <c r="M35" s="253">
        <v>17.989999999999998</v>
      </c>
      <c r="N35" s="253">
        <v>1625.85</v>
      </c>
      <c r="O35" s="253">
        <v>113.81</v>
      </c>
      <c r="P35" s="253">
        <v>113.81</v>
      </c>
      <c r="Q35" s="251"/>
      <c r="R35" s="253">
        <v>1853.47</v>
      </c>
      <c r="S35" s="251"/>
      <c r="T35" s="251"/>
      <c r="U35" s="253">
        <v>28.5</v>
      </c>
      <c r="V35" s="253">
        <v>150</v>
      </c>
      <c r="W35" s="251"/>
      <c r="X35" s="251"/>
      <c r="Y35" s="251"/>
      <c r="Z35" s="251"/>
      <c r="AA35" s="253">
        <v>284.01</v>
      </c>
      <c r="AB35" s="253">
        <v>71.849999999999994</v>
      </c>
      <c r="AC35" s="253">
        <v>534.36</v>
      </c>
      <c r="AD35" s="253">
        <v>1638.26</v>
      </c>
      <c r="AE35" s="253">
        <v>1638.26</v>
      </c>
      <c r="AF35" s="253">
        <v>16.38</v>
      </c>
      <c r="AG35" s="253">
        <v>245.74</v>
      </c>
      <c r="AH35" s="253">
        <v>49.15</v>
      </c>
      <c r="AI35" s="253">
        <v>2825.02</v>
      </c>
      <c r="AJ35" s="253">
        <v>6</v>
      </c>
      <c r="AK35" s="253">
        <v>11.99</v>
      </c>
      <c r="AL35" s="253">
        <v>89.94</v>
      </c>
      <c r="AM35" s="253">
        <v>17.989999999999998</v>
      </c>
      <c r="AN35" s="253">
        <v>59.96</v>
      </c>
      <c r="AO35" s="253">
        <v>6</v>
      </c>
      <c r="AP35" s="253">
        <v>17.989999999999998</v>
      </c>
      <c r="AQ35" s="253">
        <v>163.83000000000001</v>
      </c>
      <c r="AR35" s="253">
        <v>16.38</v>
      </c>
      <c r="AS35" s="253">
        <v>16.38</v>
      </c>
      <c r="AT35" s="253">
        <v>245.74</v>
      </c>
      <c r="AU35" s="253">
        <v>49.15</v>
      </c>
      <c r="AV35" s="251"/>
      <c r="AW35" s="251"/>
      <c r="AX35" s="251"/>
      <c r="AY35" s="253">
        <v>344.45</v>
      </c>
      <c r="AZ35" s="251"/>
      <c r="BA35" s="251"/>
      <c r="BB35" s="251"/>
      <c r="BC35" s="251"/>
      <c r="BD35" s="251"/>
      <c r="BE35" s="251"/>
      <c r="BF35" s="253">
        <v>133.26</v>
      </c>
      <c r="BG35" s="251"/>
      <c r="BH35" s="253">
        <v>60</v>
      </c>
      <c r="BI35" s="251"/>
      <c r="BJ35" s="253">
        <v>33.270000000000003</v>
      </c>
      <c r="BK35" s="251"/>
      <c r="BL35" s="251"/>
      <c r="BM35" s="251"/>
      <c r="BN35" s="251"/>
      <c r="BO35" s="251"/>
      <c r="BP35" s="251"/>
      <c r="BQ35" s="251"/>
      <c r="BR35" s="251"/>
      <c r="BS35" s="253">
        <v>0.01</v>
      </c>
      <c r="BT35" s="253">
        <v>15.35</v>
      </c>
      <c r="BU35" s="253">
        <v>17.93</v>
      </c>
      <c r="BV35" s="253">
        <v>1305.6199999999999</v>
      </c>
      <c r="BW35" s="253">
        <v>1519.4</v>
      </c>
    </row>
    <row r="36" spans="1:75" ht="80.099999999999994" customHeight="1" x14ac:dyDescent="0.2">
      <c r="A36" s="250">
        <v>33</v>
      </c>
      <c r="B36" s="33"/>
      <c r="C36" s="251" t="s">
        <v>169</v>
      </c>
      <c r="D36" s="252">
        <v>28807202501628</v>
      </c>
      <c r="E36" s="253">
        <v>254</v>
      </c>
      <c r="F36" s="251"/>
      <c r="G36" s="251"/>
      <c r="H36" s="251"/>
      <c r="I36" s="253">
        <v>328.94</v>
      </c>
      <c r="J36" s="253">
        <v>3.29</v>
      </c>
      <c r="K36" s="253">
        <v>6.58</v>
      </c>
      <c r="L36" s="253">
        <v>49.34</v>
      </c>
      <c r="M36" s="253">
        <v>9.8699999999999992</v>
      </c>
      <c r="N36" s="253">
        <v>1080.3399999999999</v>
      </c>
      <c r="O36" s="253">
        <v>75.62</v>
      </c>
      <c r="P36" s="253">
        <v>75.62</v>
      </c>
      <c r="Q36" s="251"/>
      <c r="R36" s="253">
        <v>1231.58</v>
      </c>
      <c r="S36" s="251"/>
      <c r="T36" s="251"/>
      <c r="U36" s="253">
        <v>14.4</v>
      </c>
      <c r="V36" s="251"/>
      <c r="W36" s="253">
        <v>19.2</v>
      </c>
      <c r="X36" s="251"/>
      <c r="Y36" s="251"/>
      <c r="Z36" s="251"/>
      <c r="AA36" s="251"/>
      <c r="AB36" s="253">
        <v>5.45</v>
      </c>
      <c r="AC36" s="253">
        <v>39.049999999999997</v>
      </c>
      <c r="AD36" s="253">
        <v>941.69</v>
      </c>
      <c r="AE36" s="253">
        <v>941.69</v>
      </c>
      <c r="AF36" s="253">
        <v>9.42</v>
      </c>
      <c r="AG36" s="253">
        <v>141.25</v>
      </c>
      <c r="AH36" s="253">
        <v>28.25</v>
      </c>
      <c r="AI36" s="253">
        <v>1518.63</v>
      </c>
      <c r="AJ36" s="253">
        <v>3.29</v>
      </c>
      <c r="AK36" s="253">
        <v>6.58</v>
      </c>
      <c r="AL36" s="253">
        <v>49.34</v>
      </c>
      <c r="AM36" s="253">
        <v>9.8699999999999992</v>
      </c>
      <c r="AN36" s="253">
        <v>32.89</v>
      </c>
      <c r="AO36" s="253">
        <v>3.29</v>
      </c>
      <c r="AP36" s="253">
        <v>9.8699999999999992</v>
      </c>
      <c r="AQ36" s="253">
        <v>94.17</v>
      </c>
      <c r="AR36" s="253">
        <v>9.42</v>
      </c>
      <c r="AS36" s="253">
        <v>9.42</v>
      </c>
      <c r="AT36" s="253">
        <v>141.25</v>
      </c>
      <c r="AU36" s="253">
        <v>28.25</v>
      </c>
      <c r="AV36" s="251"/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  <c r="BL36" s="251"/>
      <c r="BM36" s="251"/>
      <c r="BN36" s="251"/>
      <c r="BO36" s="251"/>
      <c r="BP36" s="251"/>
      <c r="BQ36" s="251"/>
      <c r="BR36" s="251"/>
      <c r="BS36" s="253">
        <v>0.04</v>
      </c>
      <c r="BT36" s="253">
        <v>7.95</v>
      </c>
      <c r="BU36" s="251"/>
      <c r="BV36" s="253">
        <v>405.63</v>
      </c>
      <c r="BW36" s="253">
        <v>1113</v>
      </c>
    </row>
    <row r="37" spans="1:75" ht="80.099999999999994" customHeight="1" x14ac:dyDescent="0.2">
      <c r="A37" s="250">
        <v>34</v>
      </c>
      <c r="B37" s="34"/>
      <c r="C37" s="251" t="s">
        <v>170</v>
      </c>
      <c r="D37" s="252">
        <v>28008042500107</v>
      </c>
      <c r="E37" s="253">
        <v>263</v>
      </c>
      <c r="F37" s="253">
        <v>223.18</v>
      </c>
      <c r="G37" s="251"/>
      <c r="H37" s="251"/>
      <c r="I37" s="253">
        <v>340.59</v>
      </c>
      <c r="J37" s="253">
        <v>3.41</v>
      </c>
      <c r="K37" s="253">
        <v>6.81</v>
      </c>
      <c r="L37" s="253">
        <v>51.09</v>
      </c>
      <c r="M37" s="253">
        <v>10.220000000000001</v>
      </c>
      <c r="N37" s="253">
        <v>1104.0999999999999</v>
      </c>
      <c r="O37" s="253">
        <v>77.290000000000006</v>
      </c>
      <c r="P37" s="253">
        <v>77.290000000000006</v>
      </c>
      <c r="Q37" s="251"/>
      <c r="R37" s="253">
        <v>1258.68</v>
      </c>
      <c r="S37" s="251"/>
      <c r="T37" s="251"/>
      <c r="U37" s="253">
        <v>14.4</v>
      </c>
      <c r="V37" s="253">
        <v>50</v>
      </c>
      <c r="W37" s="251"/>
      <c r="X37" s="251"/>
      <c r="Y37" s="251"/>
      <c r="Z37" s="251"/>
      <c r="AA37" s="251"/>
      <c r="AB37" s="253">
        <v>5.51</v>
      </c>
      <c r="AC37" s="253">
        <v>293.08999999999997</v>
      </c>
      <c r="AD37" s="253">
        <v>1161.18</v>
      </c>
      <c r="AE37" s="253">
        <v>1161.18</v>
      </c>
      <c r="AF37" s="253">
        <v>11.61</v>
      </c>
      <c r="AG37" s="253">
        <v>174.18</v>
      </c>
      <c r="AH37" s="253">
        <v>34.840000000000003</v>
      </c>
      <c r="AI37" s="253">
        <v>1843.93</v>
      </c>
      <c r="AJ37" s="253">
        <v>3.41</v>
      </c>
      <c r="AK37" s="253">
        <v>6.81</v>
      </c>
      <c r="AL37" s="253">
        <v>51.09</v>
      </c>
      <c r="AM37" s="253">
        <v>10.220000000000001</v>
      </c>
      <c r="AN37" s="253">
        <v>34.06</v>
      </c>
      <c r="AO37" s="253">
        <v>3.41</v>
      </c>
      <c r="AP37" s="253">
        <v>10.220000000000001</v>
      </c>
      <c r="AQ37" s="253">
        <v>116.12</v>
      </c>
      <c r="AR37" s="253">
        <v>11.61</v>
      </c>
      <c r="AS37" s="253">
        <v>11.61</v>
      </c>
      <c r="AT37" s="253">
        <v>174.18</v>
      </c>
      <c r="AU37" s="253">
        <v>34.840000000000003</v>
      </c>
      <c r="AV37" s="253">
        <v>10.69</v>
      </c>
      <c r="AW37" s="251"/>
      <c r="AX37" s="251"/>
      <c r="AY37" s="251"/>
      <c r="AZ37" s="251"/>
      <c r="BA37" s="251"/>
      <c r="BB37" s="251"/>
      <c r="BC37" s="251"/>
      <c r="BD37" s="251"/>
      <c r="BE37" s="251"/>
      <c r="BF37" s="253">
        <v>37.450000000000003</v>
      </c>
      <c r="BG37" s="251"/>
      <c r="BH37" s="253">
        <v>60</v>
      </c>
      <c r="BI37" s="251"/>
      <c r="BJ37" s="251"/>
      <c r="BK37" s="253">
        <v>10</v>
      </c>
      <c r="BL37" s="251"/>
      <c r="BM37" s="251"/>
      <c r="BN37" s="251"/>
      <c r="BO37" s="251"/>
      <c r="BP37" s="251"/>
      <c r="BQ37" s="251"/>
      <c r="BR37" s="251"/>
      <c r="BS37" s="251"/>
      <c r="BT37" s="253">
        <v>9.8000000000000007</v>
      </c>
      <c r="BU37" s="253">
        <v>3.16</v>
      </c>
      <c r="BV37" s="253">
        <v>598.67999999999995</v>
      </c>
      <c r="BW37" s="253">
        <v>1245.25</v>
      </c>
    </row>
    <row r="38" spans="1:75" ht="80.099999999999994" customHeight="1" x14ac:dyDescent="0.2">
      <c r="A38" s="250">
        <v>35</v>
      </c>
      <c r="B38" s="33"/>
      <c r="C38" s="251" t="s">
        <v>171</v>
      </c>
      <c r="D38" s="252">
        <v>28308012503041</v>
      </c>
      <c r="E38" s="253">
        <v>270</v>
      </c>
      <c r="F38" s="251"/>
      <c r="G38" s="251"/>
      <c r="H38" s="251"/>
      <c r="I38" s="253">
        <v>349.66</v>
      </c>
      <c r="J38" s="253">
        <v>3.5</v>
      </c>
      <c r="K38" s="253">
        <v>6.99</v>
      </c>
      <c r="L38" s="253">
        <v>52.45</v>
      </c>
      <c r="M38" s="253">
        <v>10.49</v>
      </c>
      <c r="N38" s="253">
        <v>1126.3599999999999</v>
      </c>
      <c r="O38" s="253">
        <v>78.849999999999994</v>
      </c>
      <c r="P38" s="253">
        <v>78.849999999999994</v>
      </c>
      <c r="Q38" s="251"/>
      <c r="R38" s="253">
        <v>1284.06</v>
      </c>
      <c r="S38" s="251"/>
      <c r="T38" s="251"/>
      <c r="U38" s="253">
        <v>21</v>
      </c>
      <c r="V38" s="253">
        <v>50</v>
      </c>
      <c r="W38" s="251"/>
      <c r="X38" s="251"/>
      <c r="Y38" s="251"/>
      <c r="Z38" s="251"/>
      <c r="AA38" s="251"/>
      <c r="AB38" s="253">
        <v>5.53</v>
      </c>
      <c r="AC38" s="253">
        <v>76.53</v>
      </c>
      <c r="AD38" s="253">
        <v>960.93</v>
      </c>
      <c r="AE38" s="253">
        <v>960.93</v>
      </c>
      <c r="AF38" s="253">
        <v>9.61</v>
      </c>
      <c r="AG38" s="253">
        <v>144.13999999999999</v>
      </c>
      <c r="AH38" s="253">
        <v>28.83</v>
      </c>
      <c r="AI38" s="253">
        <v>1616.6</v>
      </c>
      <c r="AJ38" s="253">
        <v>3.5</v>
      </c>
      <c r="AK38" s="253">
        <v>6.99</v>
      </c>
      <c r="AL38" s="253">
        <v>52.45</v>
      </c>
      <c r="AM38" s="253">
        <v>10.49</v>
      </c>
      <c r="AN38" s="253">
        <v>34.97</v>
      </c>
      <c r="AO38" s="253">
        <v>3.5</v>
      </c>
      <c r="AP38" s="253">
        <v>10.49</v>
      </c>
      <c r="AQ38" s="253">
        <v>96.09</v>
      </c>
      <c r="AR38" s="253">
        <v>9.61</v>
      </c>
      <c r="AS38" s="253">
        <v>9.61</v>
      </c>
      <c r="AT38" s="253">
        <v>144.13999999999999</v>
      </c>
      <c r="AU38" s="253">
        <v>28.83</v>
      </c>
      <c r="AV38" s="251"/>
      <c r="AW38" s="251"/>
      <c r="AX38" s="251"/>
      <c r="AY38" s="253">
        <v>116.7</v>
      </c>
      <c r="AZ38" s="253">
        <v>35</v>
      </c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3">
        <v>381.55</v>
      </c>
      <c r="BM38" s="251"/>
      <c r="BN38" s="251"/>
      <c r="BO38" s="251"/>
      <c r="BP38" s="251"/>
      <c r="BQ38" s="251"/>
      <c r="BR38" s="251"/>
      <c r="BS38" s="253">
        <v>0.03</v>
      </c>
      <c r="BT38" s="253">
        <v>8.25</v>
      </c>
      <c r="BU38" s="251"/>
      <c r="BV38" s="253">
        <v>952.2</v>
      </c>
      <c r="BW38" s="253">
        <v>664.4</v>
      </c>
    </row>
    <row r="39" spans="1:75" ht="80.099999999999994" customHeight="1" x14ac:dyDescent="0.2">
      <c r="A39" s="250">
        <v>36</v>
      </c>
      <c r="B39" s="34"/>
      <c r="C39" s="251" t="s">
        <v>172</v>
      </c>
      <c r="D39" s="252">
        <v>28402062500227</v>
      </c>
      <c r="E39" s="253">
        <v>271</v>
      </c>
      <c r="F39" s="251"/>
      <c r="G39" s="251"/>
      <c r="H39" s="251"/>
      <c r="I39" s="253">
        <v>350.95</v>
      </c>
      <c r="J39" s="253">
        <v>3.51</v>
      </c>
      <c r="K39" s="253">
        <v>7.02</v>
      </c>
      <c r="L39" s="253">
        <v>52.64</v>
      </c>
      <c r="M39" s="253">
        <v>10.53</v>
      </c>
      <c r="N39" s="253">
        <v>1145.97</v>
      </c>
      <c r="O39" s="253">
        <v>80.22</v>
      </c>
      <c r="P39" s="253">
        <v>80.22</v>
      </c>
      <c r="Q39" s="251"/>
      <c r="R39" s="253">
        <v>1306.4100000000001</v>
      </c>
      <c r="S39" s="251"/>
      <c r="T39" s="251"/>
      <c r="U39" s="253">
        <v>21</v>
      </c>
      <c r="V39" s="253">
        <v>95</v>
      </c>
      <c r="W39" s="251"/>
      <c r="X39" s="251"/>
      <c r="Y39" s="251"/>
      <c r="Z39" s="251"/>
      <c r="AA39" s="251"/>
      <c r="AB39" s="253">
        <v>5.71</v>
      </c>
      <c r="AC39" s="253">
        <v>121.71</v>
      </c>
      <c r="AD39" s="253">
        <v>982.17</v>
      </c>
      <c r="AE39" s="253">
        <v>982.17</v>
      </c>
      <c r="AF39" s="253">
        <v>9.82</v>
      </c>
      <c r="AG39" s="253">
        <v>147.33000000000001</v>
      </c>
      <c r="AH39" s="253">
        <v>29.47</v>
      </c>
      <c r="AI39" s="253">
        <v>1688.44</v>
      </c>
      <c r="AJ39" s="253">
        <v>3.51</v>
      </c>
      <c r="AK39" s="253">
        <v>7.02</v>
      </c>
      <c r="AL39" s="253">
        <v>52.64</v>
      </c>
      <c r="AM39" s="253">
        <v>10.53</v>
      </c>
      <c r="AN39" s="253">
        <v>35.1</v>
      </c>
      <c r="AO39" s="253">
        <v>3.51</v>
      </c>
      <c r="AP39" s="253">
        <v>10.53</v>
      </c>
      <c r="AQ39" s="253">
        <v>98.22</v>
      </c>
      <c r="AR39" s="253">
        <v>9.82</v>
      </c>
      <c r="AS39" s="253">
        <v>9.82</v>
      </c>
      <c r="AT39" s="253">
        <v>147.33000000000001</v>
      </c>
      <c r="AU39" s="253">
        <v>29.47</v>
      </c>
      <c r="AV39" s="251"/>
      <c r="AW39" s="251"/>
      <c r="AX39" s="251"/>
      <c r="AY39" s="251"/>
      <c r="AZ39" s="253">
        <v>35</v>
      </c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1"/>
      <c r="BR39" s="251"/>
      <c r="BS39" s="253">
        <v>0.04</v>
      </c>
      <c r="BT39" s="253">
        <v>8.75</v>
      </c>
      <c r="BU39" s="253">
        <v>0.45</v>
      </c>
      <c r="BV39" s="253">
        <v>461.74</v>
      </c>
      <c r="BW39" s="253">
        <v>1226.7</v>
      </c>
    </row>
    <row r="40" spans="1:75" ht="80.099999999999994" customHeight="1" x14ac:dyDescent="0.2">
      <c r="A40" s="250">
        <v>37</v>
      </c>
      <c r="B40" s="33"/>
      <c r="C40" s="251" t="s">
        <v>173</v>
      </c>
      <c r="D40" s="252">
        <v>28311190104789</v>
      </c>
      <c r="E40" s="253">
        <v>246</v>
      </c>
      <c r="F40" s="251"/>
      <c r="G40" s="251"/>
      <c r="H40" s="251"/>
      <c r="I40" s="253">
        <v>318.58</v>
      </c>
      <c r="J40" s="253">
        <v>3.19</v>
      </c>
      <c r="K40" s="253">
        <v>6.37</v>
      </c>
      <c r="L40" s="253">
        <v>47.79</v>
      </c>
      <c r="M40" s="253">
        <v>9.56</v>
      </c>
      <c r="N40" s="253">
        <v>880</v>
      </c>
      <c r="O40" s="253">
        <v>65</v>
      </c>
      <c r="P40" s="253">
        <v>65</v>
      </c>
      <c r="Q40" s="251"/>
      <c r="R40" s="253">
        <v>1010</v>
      </c>
      <c r="S40" s="251"/>
      <c r="T40" s="251"/>
      <c r="U40" s="253">
        <v>14.4</v>
      </c>
      <c r="V40" s="253">
        <v>145</v>
      </c>
      <c r="W40" s="251"/>
      <c r="X40" s="251"/>
      <c r="Y40" s="251"/>
      <c r="Z40" s="251"/>
      <c r="AA40" s="251"/>
      <c r="AB40" s="251"/>
      <c r="AC40" s="253">
        <v>159.4</v>
      </c>
      <c r="AD40" s="253">
        <v>705.82</v>
      </c>
      <c r="AE40" s="253">
        <v>705.82</v>
      </c>
      <c r="AF40" s="253">
        <v>7.06</v>
      </c>
      <c r="AG40" s="253">
        <v>105.87</v>
      </c>
      <c r="AH40" s="253">
        <v>21.17</v>
      </c>
      <c r="AI40" s="253">
        <v>1370.41</v>
      </c>
      <c r="AJ40" s="253">
        <v>3.19</v>
      </c>
      <c r="AK40" s="253">
        <v>6.37</v>
      </c>
      <c r="AL40" s="253">
        <v>47.79</v>
      </c>
      <c r="AM40" s="253">
        <v>9.56</v>
      </c>
      <c r="AN40" s="253">
        <v>31.86</v>
      </c>
      <c r="AO40" s="253">
        <v>3.19</v>
      </c>
      <c r="AP40" s="253">
        <v>9.56</v>
      </c>
      <c r="AQ40" s="253">
        <v>70.58</v>
      </c>
      <c r="AR40" s="253">
        <v>7.06</v>
      </c>
      <c r="AS40" s="253">
        <v>7.06</v>
      </c>
      <c r="AT40" s="253">
        <v>105.87</v>
      </c>
      <c r="AU40" s="253">
        <v>21.17</v>
      </c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1"/>
      <c r="BR40" s="251"/>
      <c r="BS40" s="251"/>
      <c r="BT40" s="253">
        <v>7.4</v>
      </c>
      <c r="BU40" s="251"/>
      <c r="BV40" s="253">
        <v>330.66</v>
      </c>
      <c r="BW40" s="253">
        <v>1039.75</v>
      </c>
    </row>
    <row r="41" spans="1:75" ht="80.099999999999994" customHeight="1" x14ac:dyDescent="0.2">
      <c r="A41" s="250">
        <v>38</v>
      </c>
      <c r="B41" s="34"/>
      <c r="C41" s="251" t="s">
        <v>174</v>
      </c>
      <c r="D41" s="252">
        <v>29005272502634</v>
      </c>
      <c r="E41" s="253">
        <v>250</v>
      </c>
      <c r="F41" s="251"/>
      <c r="G41" s="251"/>
      <c r="H41" s="251"/>
      <c r="I41" s="253">
        <v>323.76</v>
      </c>
      <c r="J41" s="253">
        <v>3.24</v>
      </c>
      <c r="K41" s="253">
        <v>6.48</v>
      </c>
      <c r="L41" s="253">
        <v>48.56</v>
      </c>
      <c r="M41" s="253">
        <v>9.7100000000000009</v>
      </c>
      <c r="N41" s="253">
        <v>1041.98</v>
      </c>
      <c r="O41" s="253">
        <v>72.94</v>
      </c>
      <c r="P41" s="253">
        <v>72.94</v>
      </c>
      <c r="Q41" s="251"/>
      <c r="R41" s="253">
        <v>1187.8599999999999</v>
      </c>
      <c r="S41" s="251"/>
      <c r="T41" s="251"/>
      <c r="U41" s="253">
        <v>14.4</v>
      </c>
      <c r="V41" s="253">
        <v>50</v>
      </c>
      <c r="W41" s="251"/>
      <c r="X41" s="251"/>
      <c r="Y41" s="251"/>
      <c r="Z41" s="251"/>
      <c r="AA41" s="251"/>
      <c r="AB41" s="253">
        <v>5.24</v>
      </c>
      <c r="AC41" s="253">
        <v>69.64</v>
      </c>
      <c r="AD41" s="253">
        <v>883.74</v>
      </c>
      <c r="AE41" s="253">
        <v>883.74</v>
      </c>
      <c r="AF41" s="253">
        <v>8.84</v>
      </c>
      <c r="AG41" s="253">
        <v>132.56</v>
      </c>
      <c r="AH41" s="253">
        <v>26.51</v>
      </c>
      <c r="AI41" s="253">
        <v>1493.4</v>
      </c>
      <c r="AJ41" s="253">
        <v>3.24</v>
      </c>
      <c r="AK41" s="253">
        <v>6.48</v>
      </c>
      <c r="AL41" s="253">
        <v>48.56</v>
      </c>
      <c r="AM41" s="253">
        <v>9.7100000000000009</v>
      </c>
      <c r="AN41" s="253">
        <v>32.380000000000003</v>
      </c>
      <c r="AO41" s="253">
        <v>3.24</v>
      </c>
      <c r="AP41" s="253">
        <v>9.7100000000000009</v>
      </c>
      <c r="AQ41" s="253">
        <v>88.37</v>
      </c>
      <c r="AR41" s="253">
        <v>8.84</v>
      </c>
      <c r="AS41" s="253">
        <v>8.84</v>
      </c>
      <c r="AT41" s="253">
        <v>132.56</v>
      </c>
      <c r="AU41" s="253">
        <v>26.51</v>
      </c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51"/>
      <c r="BR41" s="251"/>
      <c r="BS41" s="253">
        <v>0.01</v>
      </c>
      <c r="BT41" s="253">
        <v>7.9</v>
      </c>
      <c r="BU41" s="251"/>
      <c r="BV41" s="253">
        <v>386.35</v>
      </c>
      <c r="BW41" s="253">
        <v>1107.05</v>
      </c>
    </row>
    <row r="42" spans="1:75" ht="80.099999999999994" customHeight="1" x14ac:dyDescent="0.2">
      <c r="A42" s="250">
        <v>39</v>
      </c>
      <c r="B42" s="33"/>
      <c r="C42" s="251" t="s">
        <v>1</v>
      </c>
      <c r="D42" s="252">
        <v>27706242500131</v>
      </c>
      <c r="E42" s="253">
        <v>258</v>
      </c>
      <c r="F42" s="251"/>
      <c r="G42" s="251"/>
      <c r="H42" s="251"/>
      <c r="I42" s="253">
        <v>334.12</v>
      </c>
      <c r="J42" s="253">
        <v>3.34</v>
      </c>
      <c r="K42" s="253">
        <v>6.68</v>
      </c>
      <c r="L42" s="253">
        <v>50.12</v>
      </c>
      <c r="M42" s="253">
        <v>10.02</v>
      </c>
      <c r="N42" s="253">
        <v>1039.5999999999999</v>
      </c>
      <c r="O42" s="253">
        <v>72.77</v>
      </c>
      <c r="P42" s="253">
        <v>72.77</v>
      </c>
      <c r="Q42" s="251"/>
      <c r="R42" s="253">
        <v>1185.1400000000001</v>
      </c>
      <c r="S42" s="251"/>
      <c r="T42" s="251"/>
      <c r="U42" s="253">
        <v>14.4</v>
      </c>
      <c r="V42" s="253">
        <v>145</v>
      </c>
      <c r="W42" s="251"/>
      <c r="X42" s="251"/>
      <c r="Y42" s="251"/>
      <c r="Z42" s="251"/>
      <c r="AA42" s="251"/>
      <c r="AB42" s="253">
        <v>5.1100000000000003</v>
      </c>
      <c r="AC42" s="253">
        <v>164.51</v>
      </c>
      <c r="AD42" s="253">
        <v>870.53</v>
      </c>
      <c r="AE42" s="253">
        <v>870.53</v>
      </c>
      <c r="AF42" s="253">
        <v>8.7100000000000009</v>
      </c>
      <c r="AG42" s="253">
        <v>130.58000000000001</v>
      </c>
      <c r="AH42" s="253">
        <v>26.12</v>
      </c>
      <c r="AI42" s="253">
        <v>1585.22</v>
      </c>
      <c r="AJ42" s="253">
        <v>3.34</v>
      </c>
      <c r="AK42" s="253">
        <v>6.68</v>
      </c>
      <c r="AL42" s="253">
        <v>50.12</v>
      </c>
      <c r="AM42" s="253">
        <v>10.02</v>
      </c>
      <c r="AN42" s="253">
        <v>33.409999999999997</v>
      </c>
      <c r="AO42" s="253">
        <v>3.34</v>
      </c>
      <c r="AP42" s="253">
        <v>10.02</v>
      </c>
      <c r="AQ42" s="253">
        <v>87.05</v>
      </c>
      <c r="AR42" s="253">
        <v>8.7100000000000009</v>
      </c>
      <c r="AS42" s="253">
        <v>8.7100000000000009</v>
      </c>
      <c r="AT42" s="253">
        <v>130.58000000000001</v>
      </c>
      <c r="AU42" s="253">
        <v>26.12</v>
      </c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1"/>
      <c r="BR42" s="251"/>
      <c r="BS42" s="253">
        <v>0.01</v>
      </c>
      <c r="BT42" s="253">
        <v>8.6</v>
      </c>
      <c r="BU42" s="253">
        <v>0.01</v>
      </c>
      <c r="BV42" s="253">
        <v>386.72</v>
      </c>
      <c r="BW42" s="253">
        <v>1198.5</v>
      </c>
    </row>
    <row r="43" spans="1:75" ht="80.099999999999994" customHeight="1" x14ac:dyDescent="0.2">
      <c r="A43" s="250">
        <v>40</v>
      </c>
      <c r="B43" s="34"/>
      <c r="C43" s="251" t="s">
        <v>175</v>
      </c>
      <c r="D43" s="252">
        <v>28410222500183</v>
      </c>
      <c r="E43" s="253">
        <v>263</v>
      </c>
      <c r="F43" s="251"/>
      <c r="G43" s="251"/>
      <c r="H43" s="251"/>
      <c r="I43" s="253">
        <v>340.59</v>
      </c>
      <c r="J43" s="253">
        <v>3.41</v>
      </c>
      <c r="K43" s="253">
        <v>6.81</v>
      </c>
      <c r="L43" s="253">
        <v>51.09</v>
      </c>
      <c r="M43" s="253">
        <v>10.220000000000001</v>
      </c>
      <c r="N43" s="253">
        <v>1137.19</v>
      </c>
      <c r="O43" s="253">
        <v>79.599999999999994</v>
      </c>
      <c r="P43" s="253">
        <v>79.599999999999994</v>
      </c>
      <c r="Q43" s="251"/>
      <c r="R43" s="253">
        <v>1296.3900000000001</v>
      </c>
      <c r="S43" s="251"/>
      <c r="T43" s="251"/>
      <c r="U43" s="253">
        <v>21</v>
      </c>
      <c r="V43" s="253">
        <v>95</v>
      </c>
      <c r="W43" s="251"/>
      <c r="X43" s="251"/>
      <c r="Y43" s="251"/>
      <c r="Z43" s="251"/>
      <c r="AA43" s="251"/>
      <c r="AB43" s="253">
        <v>5.51</v>
      </c>
      <c r="AC43" s="253">
        <v>121.51</v>
      </c>
      <c r="AD43" s="253">
        <v>982.31</v>
      </c>
      <c r="AE43" s="253">
        <v>982.31</v>
      </c>
      <c r="AF43" s="253">
        <v>9.82</v>
      </c>
      <c r="AG43" s="253">
        <v>147.35</v>
      </c>
      <c r="AH43" s="253">
        <v>29.47</v>
      </c>
      <c r="AI43" s="253">
        <v>1676.07</v>
      </c>
      <c r="AJ43" s="253">
        <v>3.41</v>
      </c>
      <c r="AK43" s="253">
        <v>6.81</v>
      </c>
      <c r="AL43" s="253">
        <v>51.09</v>
      </c>
      <c r="AM43" s="253">
        <v>10.220000000000001</v>
      </c>
      <c r="AN43" s="253">
        <v>34.06</v>
      </c>
      <c r="AO43" s="253">
        <v>3.41</v>
      </c>
      <c r="AP43" s="253">
        <v>10.220000000000001</v>
      </c>
      <c r="AQ43" s="253">
        <v>98.23</v>
      </c>
      <c r="AR43" s="253">
        <v>9.82</v>
      </c>
      <c r="AS43" s="253">
        <v>9.82</v>
      </c>
      <c r="AT43" s="253">
        <v>147.35</v>
      </c>
      <c r="AU43" s="253">
        <v>29.47</v>
      </c>
      <c r="AV43" s="251"/>
      <c r="AW43" s="251"/>
      <c r="AX43" s="251"/>
      <c r="AY43" s="251"/>
      <c r="AZ43" s="251"/>
      <c r="BA43" s="253">
        <v>1</v>
      </c>
      <c r="BB43" s="251"/>
      <c r="BC43" s="251"/>
      <c r="BD43" s="253">
        <v>2</v>
      </c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51"/>
      <c r="BR43" s="251"/>
      <c r="BS43" s="253">
        <v>0.04</v>
      </c>
      <c r="BT43" s="253">
        <v>8.9499999999999993</v>
      </c>
      <c r="BU43" s="253">
        <v>0.97</v>
      </c>
      <c r="BV43" s="253">
        <v>426.87</v>
      </c>
      <c r="BW43" s="253">
        <v>1249.2</v>
      </c>
    </row>
    <row r="44" spans="1:75" ht="80.099999999999994" customHeight="1" x14ac:dyDescent="0.2">
      <c r="A44" s="250">
        <v>41</v>
      </c>
      <c r="B44" s="33"/>
      <c r="C44" s="251" t="s">
        <v>176</v>
      </c>
      <c r="D44" s="252">
        <v>28607031900244</v>
      </c>
      <c r="E44" s="253">
        <v>257</v>
      </c>
      <c r="F44" s="251"/>
      <c r="G44" s="251"/>
      <c r="H44" s="251"/>
      <c r="I44" s="253">
        <v>332.82</v>
      </c>
      <c r="J44" s="253">
        <v>3.33</v>
      </c>
      <c r="K44" s="253">
        <v>6.66</v>
      </c>
      <c r="L44" s="253">
        <v>49.92</v>
      </c>
      <c r="M44" s="253">
        <v>9.98</v>
      </c>
      <c r="N44" s="253">
        <v>1088.25</v>
      </c>
      <c r="O44" s="253">
        <v>76.180000000000007</v>
      </c>
      <c r="P44" s="253">
        <v>76.180000000000007</v>
      </c>
      <c r="Q44" s="251"/>
      <c r="R44" s="253">
        <v>1240.6099999999999</v>
      </c>
      <c r="S44" s="251"/>
      <c r="T44" s="251"/>
      <c r="U44" s="253">
        <v>14.4</v>
      </c>
      <c r="V44" s="253">
        <v>140</v>
      </c>
      <c r="W44" s="251"/>
      <c r="X44" s="251"/>
      <c r="Y44" s="251"/>
      <c r="Z44" s="251"/>
      <c r="AA44" s="251"/>
      <c r="AB44" s="253">
        <v>5.43</v>
      </c>
      <c r="AC44" s="253">
        <v>159.83000000000001</v>
      </c>
      <c r="AD44" s="253">
        <v>927.62</v>
      </c>
      <c r="AE44" s="253">
        <v>927.62</v>
      </c>
      <c r="AF44" s="253">
        <v>9.2799999999999994</v>
      </c>
      <c r="AG44" s="253">
        <v>139.13999999999999</v>
      </c>
      <c r="AH44" s="253">
        <v>27.83</v>
      </c>
      <c r="AI44" s="253">
        <v>1646.58</v>
      </c>
      <c r="AJ44" s="253">
        <v>3.33</v>
      </c>
      <c r="AK44" s="253">
        <v>6.66</v>
      </c>
      <c r="AL44" s="253">
        <v>49.92</v>
      </c>
      <c r="AM44" s="253">
        <v>9.98</v>
      </c>
      <c r="AN44" s="253">
        <v>33.28</v>
      </c>
      <c r="AO44" s="253">
        <v>3.33</v>
      </c>
      <c r="AP44" s="253">
        <v>9.98</v>
      </c>
      <c r="AQ44" s="253">
        <v>92.76</v>
      </c>
      <c r="AR44" s="253">
        <v>9.2799999999999994</v>
      </c>
      <c r="AS44" s="253">
        <v>9.2799999999999994</v>
      </c>
      <c r="AT44" s="253">
        <v>139.13999999999999</v>
      </c>
      <c r="AU44" s="253">
        <v>27.83</v>
      </c>
      <c r="AV44" s="251"/>
      <c r="AW44" s="251"/>
      <c r="AX44" s="251"/>
      <c r="AY44" s="251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J44" s="251"/>
      <c r="BK44" s="251"/>
      <c r="BL44" s="251"/>
      <c r="BM44" s="251"/>
      <c r="BN44" s="251"/>
      <c r="BO44" s="251"/>
      <c r="BP44" s="251"/>
      <c r="BQ44" s="251"/>
      <c r="BR44" s="251"/>
      <c r="BS44" s="253">
        <v>0.01</v>
      </c>
      <c r="BT44" s="253">
        <v>8.9499999999999993</v>
      </c>
      <c r="BU44" s="253">
        <v>0.9</v>
      </c>
      <c r="BV44" s="253">
        <v>404.63</v>
      </c>
      <c r="BW44" s="253">
        <v>1241.95</v>
      </c>
    </row>
    <row r="45" spans="1:75" ht="80.099999999999994" customHeight="1" x14ac:dyDescent="0.2">
      <c r="A45" s="250">
        <v>42</v>
      </c>
      <c r="B45" s="34"/>
      <c r="C45" s="251" t="s">
        <v>177</v>
      </c>
      <c r="D45" s="252">
        <v>26712062501837</v>
      </c>
      <c r="E45" s="253">
        <v>257</v>
      </c>
      <c r="F45" s="253">
        <v>221.56</v>
      </c>
      <c r="G45" s="251"/>
      <c r="H45" s="251"/>
      <c r="I45" s="253">
        <v>332.82</v>
      </c>
      <c r="J45" s="253">
        <v>3.33</v>
      </c>
      <c r="K45" s="253">
        <v>6.66</v>
      </c>
      <c r="L45" s="253">
        <v>49.92</v>
      </c>
      <c r="M45" s="253">
        <v>9.98</v>
      </c>
      <c r="N45" s="253">
        <v>1088.25</v>
      </c>
      <c r="O45" s="253">
        <v>76.180000000000007</v>
      </c>
      <c r="P45" s="253">
        <v>76.180000000000007</v>
      </c>
      <c r="Q45" s="251"/>
      <c r="R45" s="253">
        <v>1240.6099999999999</v>
      </c>
      <c r="S45" s="251"/>
      <c r="T45" s="251"/>
      <c r="U45" s="253">
        <v>14.4</v>
      </c>
      <c r="V45" s="253">
        <v>145</v>
      </c>
      <c r="W45" s="251"/>
      <c r="X45" s="253">
        <v>14.4</v>
      </c>
      <c r="Y45" s="251"/>
      <c r="Z45" s="251"/>
      <c r="AA45" s="251"/>
      <c r="AB45" s="253">
        <v>5.43</v>
      </c>
      <c r="AC45" s="253">
        <v>400.79</v>
      </c>
      <c r="AD45" s="253">
        <v>1163.58</v>
      </c>
      <c r="AE45" s="253">
        <v>1163.58</v>
      </c>
      <c r="AF45" s="253">
        <v>11.64</v>
      </c>
      <c r="AG45" s="253">
        <v>174.54</v>
      </c>
      <c r="AH45" s="253">
        <v>34.909999999999997</v>
      </c>
      <c r="AI45" s="253">
        <v>1932.38</v>
      </c>
      <c r="AJ45" s="253">
        <v>3.33</v>
      </c>
      <c r="AK45" s="253">
        <v>6.66</v>
      </c>
      <c r="AL45" s="253">
        <v>49.92</v>
      </c>
      <c r="AM45" s="253">
        <v>9.98</v>
      </c>
      <c r="AN45" s="253">
        <v>33.28</v>
      </c>
      <c r="AO45" s="253">
        <v>3.33</v>
      </c>
      <c r="AP45" s="253">
        <v>9.98</v>
      </c>
      <c r="AQ45" s="253">
        <v>116.36</v>
      </c>
      <c r="AR45" s="253">
        <v>11.64</v>
      </c>
      <c r="AS45" s="253">
        <v>11.64</v>
      </c>
      <c r="AT45" s="253">
        <v>174.54</v>
      </c>
      <c r="AU45" s="253">
        <v>34.909999999999997</v>
      </c>
      <c r="AV45" s="253">
        <v>34.03</v>
      </c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1"/>
      <c r="BR45" s="251"/>
      <c r="BS45" s="253">
        <v>0.04</v>
      </c>
      <c r="BT45" s="253">
        <v>10.3</v>
      </c>
      <c r="BU45" s="253">
        <v>4.49</v>
      </c>
      <c r="BV45" s="253">
        <v>514.42999999999995</v>
      </c>
      <c r="BW45" s="253">
        <v>1417.95</v>
      </c>
    </row>
    <row r="46" spans="1:75" ht="80.099999999999994" customHeight="1" x14ac:dyDescent="0.2">
      <c r="A46" s="250">
        <v>43</v>
      </c>
      <c r="B46" s="33"/>
      <c r="C46" s="251" t="s">
        <v>178</v>
      </c>
      <c r="D46" s="252">
        <v>28707062500061</v>
      </c>
      <c r="E46" s="253">
        <v>254</v>
      </c>
      <c r="F46" s="251"/>
      <c r="G46" s="251"/>
      <c r="H46" s="251"/>
      <c r="I46" s="253">
        <v>328.94</v>
      </c>
      <c r="J46" s="253">
        <v>3.29</v>
      </c>
      <c r="K46" s="253">
        <v>6.58</v>
      </c>
      <c r="L46" s="253">
        <v>49.34</v>
      </c>
      <c r="M46" s="253">
        <v>9.8699999999999992</v>
      </c>
      <c r="N46" s="253">
        <v>1080.3399999999999</v>
      </c>
      <c r="O46" s="253">
        <v>75.62</v>
      </c>
      <c r="P46" s="253">
        <v>75.62</v>
      </c>
      <c r="Q46" s="251"/>
      <c r="R46" s="253">
        <v>1231.58</v>
      </c>
      <c r="S46" s="251"/>
      <c r="T46" s="251"/>
      <c r="U46" s="253">
        <v>14.4</v>
      </c>
      <c r="V46" s="253">
        <v>50</v>
      </c>
      <c r="W46" s="251"/>
      <c r="X46" s="251"/>
      <c r="Y46" s="251"/>
      <c r="Z46" s="251"/>
      <c r="AA46" s="251"/>
      <c r="AB46" s="253">
        <v>5.45</v>
      </c>
      <c r="AC46" s="253">
        <v>69.849999999999994</v>
      </c>
      <c r="AD46" s="253">
        <v>922.49</v>
      </c>
      <c r="AE46" s="253">
        <v>922.49</v>
      </c>
      <c r="AF46" s="253">
        <v>9.2200000000000006</v>
      </c>
      <c r="AG46" s="253">
        <v>138.37</v>
      </c>
      <c r="AH46" s="253">
        <v>27.67</v>
      </c>
      <c r="AI46" s="253">
        <v>1545.77</v>
      </c>
      <c r="AJ46" s="253">
        <v>3.29</v>
      </c>
      <c r="AK46" s="253">
        <v>6.58</v>
      </c>
      <c r="AL46" s="253">
        <v>49.34</v>
      </c>
      <c r="AM46" s="253">
        <v>9.8699999999999992</v>
      </c>
      <c r="AN46" s="253">
        <v>32.89</v>
      </c>
      <c r="AO46" s="253">
        <v>3.29</v>
      </c>
      <c r="AP46" s="253">
        <v>9.8699999999999992</v>
      </c>
      <c r="AQ46" s="253">
        <v>92.25</v>
      </c>
      <c r="AR46" s="253">
        <v>9.2200000000000006</v>
      </c>
      <c r="AS46" s="253">
        <v>9.2200000000000006</v>
      </c>
      <c r="AT46" s="253">
        <v>138.37</v>
      </c>
      <c r="AU46" s="253">
        <v>27.67</v>
      </c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3">
        <v>0.01</v>
      </c>
      <c r="BT46" s="253">
        <v>8.1999999999999993</v>
      </c>
      <c r="BU46" s="251"/>
      <c r="BV46" s="253">
        <v>400.07</v>
      </c>
      <c r="BW46" s="253">
        <v>1145.7</v>
      </c>
    </row>
    <row r="47" spans="1:75" ht="80.099999999999994" customHeight="1" x14ac:dyDescent="0.2">
      <c r="A47" s="250">
        <v>44</v>
      </c>
      <c r="B47" s="34"/>
      <c r="C47" s="251" t="s">
        <v>179</v>
      </c>
      <c r="D47" s="252">
        <v>26106032500111</v>
      </c>
      <c r="E47" s="253">
        <v>288</v>
      </c>
      <c r="F47" s="251"/>
      <c r="G47" s="251"/>
      <c r="H47" s="251"/>
      <c r="I47" s="253">
        <v>372.97</v>
      </c>
      <c r="J47" s="253">
        <v>3.73</v>
      </c>
      <c r="K47" s="253">
        <v>7.46</v>
      </c>
      <c r="L47" s="253">
        <v>55.95</v>
      </c>
      <c r="M47" s="253">
        <v>11.19</v>
      </c>
      <c r="N47" s="253">
        <v>1145.97</v>
      </c>
      <c r="O47" s="253">
        <v>80.22</v>
      </c>
      <c r="P47" s="253">
        <v>80.22</v>
      </c>
      <c r="Q47" s="251"/>
      <c r="R47" s="253">
        <v>1306.4100000000001</v>
      </c>
      <c r="S47" s="251"/>
      <c r="T47" s="251"/>
      <c r="U47" s="253">
        <v>21</v>
      </c>
      <c r="V47" s="253">
        <v>150</v>
      </c>
      <c r="W47" s="251"/>
      <c r="X47" s="251"/>
      <c r="Y47" s="251"/>
      <c r="Z47" s="251"/>
      <c r="AA47" s="253">
        <v>65.680000000000007</v>
      </c>
      <c r="AB47" s="253">
        <v>5.98</v>
      </c>
      <c r="AC47" s="253">
        <v>242.66</v>
      </c>
      <c r="AD47" s="253">
        <v>1026.0999999999999</v>
      </c>
      <c r="AE47" s="253">
        <v>1026.0999999999999</v>
      </c>
      <c r="AF47" s="253">
        <v>10.26</v>
      </c>
      <c r="AG47" s="253">
        <v>153.91</v>
      </c>
      <c r="AH47" s="253">
        <v>30.78</v>
      </c>
      <c r="AI47" s="253">
        <v>1822.35</v>
      </c>
      <c r="AJ47" s="253">
        <v>3.73</v>
      </c>
      <c r="AK47" s="253">
        <v>7.46</v>
      </c>
      <c r="AL47" s="253">
        <v>55.95</v>
      </c>
      <c r="AM47" s="253">
        <v>11.19</v>
      </c>
      <c r="AN47" s="253">
        <v>37.299999999999997</v>
      </c>
      <c r="AO47" s="253">
        <v>3.73</v>
      </c>
      <c r="AP47" s="253">
        <v>11.19</v>
      </c>
      <c r="AQ47" s="253">
        <v>102.61</v>
      </c>
      <c r="AR47" s="253">
        <v>10.26</v>
      </c>
      <c r="AS47" s="253">
        <v>10.26</v>
      </c>
      <c r="AT47" s="253">
        <v>153.91</v>
      </c>
      <c r="AU47" s="253">
        <v>30.78</v>
      </c>
      <c r="AV47" s="251"/>
      <c r="AW47" s="251"/>
      <c r="AX47" s="251"/>
      <c r="AY47" s="253">
        <v>93.35</v>
      </c>
      <c r="AZ47" s="251"/>
      <c r="BA47" s="253">
        <v>1</v>
      </c>
      <c r="BB47" s="251"/>
      <c r="BC47" s="251"/>
      <c r="BD47" s="253">
        <v>2</v>
      </c>
      <c r="BE47" s="253">
        <v>1</v>
      </c>
      <c r="BF47" s="251"/>
      <c r="BG47" s="251"/>
      <c r="BH47" s="251"/>
      <c r="BI47" s="251"/>
      <c r="BJ47" s="251"/>
      <c r="BK47" s="251"/>
      <c r="BL47" s="251"/>
      <c r="BM47" s="253">
        <v>345.15</v>
      </c>
      <c r="BN47" s="251"/>
      <c r="BO47" s="251"/>
      <c r="BP47" s="251"/>
      <c r="BQ47" s="251"/>
      <c r="BR47" s="251"/>
      <c r="BS47" s="253">
        <v>0.04</v>
      </c>
      <c r="BT47" s="253">
        <v>9.85</v>
      </c>
      <c r="BU47" s="253">
        <v>3.39</v>
      </c>
      <c r="BV47" s="253">
        <v>894.15</v>
      </c>
      <c r="BW47" s="253">
        <v>928.2</v>
      </c>
    </row>
    <row r="48" spans="1:75" ht="80.099999999999994" customHeight="1" x14ac:dyDescent="0.2">
      <c r="A48" s="250">
        <v>45</v>
      </c>
      <c r="B48" s="33"/>
      <c r="C48" s="251" t="s">
        <v>180</v>
      </c>
      <c r="D48" s="252">
        <v>27203062500221</v>
      </c>
      <c r="E48" s="253">
        <v>274</v>
      </c>
      <c r="F48" s="251"/>
      <c r="G48" s="251"/>
      <c r="H48" s="251"/>
      <c r="I48" s="253">
        <v>354.84</v>
      </c>
      <c r="J48" s="253">
        <v>3.55</v>
      </c>
      <c r="K48" s="253">
        <v>7.1</v>
      </c>
      <c r="L48" s="253">
        <v>53.23</v>
      </c>
      <c r="M48" s="253">
        <v>10.65</v>
      </c>
      <c r="N48" s="253">
        <v>1145.97</v>
      </c>
      <c r="O48" s="253">
        <v>80.22</v>
      </c>
      <c r="P48" s="253">
        <v>80.22</v>
      </c>
      <c r="Q48" s="251"/>
      <c r="R48" s="253">
        <v>1306.4100000000001</v>
      </c>
      <c r="S48" s="251"/>
      <c r="T48" s="251"/>
      <c r="U48" s="253">
        <v>21</v>
      </c>
      <c r="V48" s="253">
        <v>50</v>
      </c>
      <c r="W48" s="251"/>
      <c r="X48" s="251"/>
      <c r="Y48" s="251"/>
      <c r="Z48" s="251"/>
      <c r="AA48" s="251"/>
      <c r="AB48" s="253">
        <v>5.64</v>
      </c>
      <c r="AC48" s="253">
        <v>76.64</v>
      </c>
      <c r="AD48" s="253">
        <v>978.21</v>
      </c>
      <c r="AE48" s="253">
        <v>978.21</v>
      </c>
      <c r="AF48" s="253">
        <v>9.7799999999999994</v>
      </c>
      <c r="AG48" s="253">
        <v>146.72999999999999</v>
      </c>
      <c r="AH48" s="253">
        <v>29.35</v>
      </c>
      <c r="AI48" s="253">
        <v>1643.44</v>
      </c>
      <c r="AJ48" s="253">
        <v>3.55</v>
      </c>
      <c r="AK48" s="253">
        <v>7.1</v>
      </c>
      <c r="AL48" s="253">
        <v>53.23</v>
      </c>
      <c r="AM48" s="253">
        <v>10.65</v>
      </c>
      <c r="AN48" s="253">
        <v>35.479999999999997</v>
      </c>
      <c r="AO48" s="253">
        <v>3.55</v>
      </c>
      <c r="AP48" s="253">
        <v>10.65</v>
      </c>
      <c r="AQ48" s="253">
        <v>97.82</v>
      </c>
      <c r="AR48" s="253">
        <v>9.7799999999999994</v>
      </c>
      <c r="AS48" s="253">
        <v>9.7799999999999994</v>
      </c>
      <c r="AT48" s="253">
        <v>146.72999999999999</v>
      </c>
      <c r="AU48" s="253">
        <v>29.35</v>
      </c>
      <c r="AV48" s="253">
        <v>49.96</v>
      </c>
      <c r="AW48" s="251"/>
      <c r="AX48" s="251"/>
      <c r="AY48" s="251"/>
      <c r="AZ48" s="253">
        <v>35</v>
      </c>
      <c r="BA48" s="251"/>
      <c r="BB48" s="251"/>
      <c r="BC48" s="251"/>
      <c r="BD48" s="251"/>
      <c r="BE48" s="251"/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1"/>
      <c r="BR48" s="251"/>
      <c r="BS48" s="253">
        <v>0.01</v>
      </c>
      <c r="BT48" s="253">
        <v>8.0500000000000007</v>
      </c>
      <c r="BU48" s="251"/>
      <c r="BV48" s="253">
        <v>510.69</v>
      </c>
      <c r="BW48" s="253">
        <v>1132.75</v>
      </c>
    </row>
    <row r="49" spans="1:75" ht="80.099999999999994" customHeight="1" x14ac:dyDescent="0.2">
      <c r="A49" s="250">
        <v>46</v>
      </c>
      <c r="B49" s="34"/>
      <c r="C49" s="251" t="s">
        <v>181</v>
      </c>
      <c r="D49" s="252">
        <v>28505012500157</v>
      </c>
      <c r="E49" s="253">
        <v>278</v>
      </c>
      <c r="F49" s="251"/>
      <c r="G49" s="251"/>
      <c r="H49" s="251"/>
      <c r="I49" s="253">
        <v>360.02</v>
      </c>
      <c r="J49" s="253">
        <v>3.6</v>
      </c>
      <c r="K49" s="253">
        <v>7.2</v>
      </c>
      <c r="L49" s="253">
        <v>54</v>
      </c>
      <c r="M49" s="253">
        <v>10.8</v>
      </c>
      <c r="N49" s="253">
        <v>1174.6199999999999</v>
      </c>
      <c r="O49" s="253">
        <v>82.22</v>
      </c>
      <c r="P49" s="253">
        <v>82.22</v>
      </c>
      <c r="Q49" s="251"/>
      <c r="R49" s="253">
        <v>1339.06</v>
      </c>
      <c r="S49" s="251"/>
      <c r="T49" s="251"/>
      <c r="U49" s="253">
        <v>21</v>
      </c>
      <c r="V49" s="253">
        <v>95</v>
      </c>
      <c r="W49" s="251"/>
      <c r="X49" s="251"/>
      <c r="Y49" s="251"/>
      <c r="Z49" s="251"/>
      <c r="AA49" s="253">
        <v>7.39</v>
      </c>
      <c r="AB49" s="253">
        <v>5.63</v>
      </c>
      <c r="AC49" s="253">
        <v>129.02000000000001</v>
      </c>
      <c r="AD49" s="253">
        <v>1013.06</v>
      </c>
      <c r="AE49" s="253">
        <v>1013.06</v>
      </c>
      <c r="AF49" s="253">
        <v>10.130000000000001</v>
      </c>
      <c r="AG49" s="253">
        <v>151.96</v>
      </c>
      <c r="AH49" s="253">
        <v>30.39</v>
      </c>
      <c r="AI49" s="253">
        <v>1736.16</v>
      </c>
      <c r="AJ49" s="253">
        <v>3.6</v>
      </c>
      <c r="AK49" s="253">
        <v>7.2</v>
      </c>
      <c r="AL49" s="253">
        <v>54</v>
      </c>
      <c r="AM49" s="253">
        <v>10.8</v>
      </c>
      <c r="AN49" s="253">
        <v>36</v>
      </c>
      <c r="AO49" s="253">
        <v>3.6</v>
      </c>
      <c r="AP49" s="253">
        <v>10.8</v>
      </c>
      <c r="AQ49" s="253">
        <v>101.31</v>
      </c>
      <c r="AR49" s="253">
        <v>10.130000000000001</v>
      </c>
      <c r="AS49" s="253">
        <v>10.130000000000001</v>
      </c>
      <c r="AT49" s="253">
        <v>151.96</v>
      </c>
      <c r="AU49" s="253">
        <v>30.39</v>
      </c>
      <c r="AV49" s="251"/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  <c r="BP49" s="251"/>
      <c r="BQ49" s="251"/>
      <c r="BR49" s="251"/>
      <c r="BS49" s="253">
        <v>0.04</v>
      </c>
      <c r="BT49" s="253">
        <v>9.3000000000000007</v>
      </c>
      <c r="BU49" s="253">
        <v>1.85</v>
      </c>
      <c r="BV49" s="253">
        <v>441.11</v>
      </c>
      <c r="BW49" s="253">
        <v>1295.05</v>
      </c>
    </row>
    <row r="50" spans="1:75" ht="80.099999999999994" customHeight="1" x14ac:dyDescent="0.2">
      <c r="A50" s="250">
        <v>47</v>
      </c>
      <c r="B50" s="33"/>
      <c r="C50" s="251" t="s">
        <v>182</v>
      </c>
      <c r="D50" s="252">
        <v>28206262500473</v>
      </c>
      <c r="E50" s="253">
        <v>274</v>
      </c>
      <c r="F50" s="251"/>
      <c r="G50" s="251"/>
      <c r="H50" s="251"/>
      <c r="I50" s="253">
        <v>354.84</v>
      </c>
      <c r="J50" s="253">
        <v>3.55</v>
      </c>
      <c r="K50" s="253">
        <v>7.1</v>
      </c>
      <c r="L50" s="253">
        <v>53.23</v>
      </c>
      <c r="M50" s="253">
        <v>10.65</v>
      </c>
      <c r="N50" s="253">
        <v>1145.97</v>
      </c>
      <c r="O50" s="253">
        <v>80.22</v>
      </c>
      <c r="P50" s="253">
        <v>80.22</v>
      </c>
      <c r="Q50" s="251"/>
      <c r="R50" s="253">
        <v>1306.4100000000001</v>
      </c>
      <c r="S50" s="251"/>
      <c r="T50" s="251"/>
      <c r="U50" s="253">
        <v>21</v>
      </c>
      <c r="V50" s="253">
        <v>95</v>
      </c>
      <c r="W50" s="251"/>
      <c r="X50" s="253">
        <v>21</v>
      </c>
      <c r="Y50" s="251"/>
      <c r="Z50" s="251"/>
      <c r="AA50" s="251"/>
      <c r="AB50" s="253">
        <v>5.58</v>
      </c>
      <c r="AC50" s="253">
        <v>142.58000000000001</v>
      </c>
      <c r="AD50" s="253">
        <v>999.15</v>
      </c>
      <c r="AE50" s="253">
        <v>999.15</v>
      </c>
      <c r="AF50" s="253">
        <v>9.99</v>
      </c>
      <c r="AG50" s="253">
        <v>149.87</v>
      </c>
      <c r="AH50" s="253">
        <v>29.97</v>
      </c>
      <c r="AI50" s="253">
        <v>1713.35</v>
      </c>
      <c r="AJ50" s="253">
        <v>3.55</v>
      </c>
      <c r="AK50" s="253">
        <v>7.1</v>
      </c>
      <c r="AL50" s="253">
        <v>53.23</v>
      </c>
      <c r="AM50" s="253">
        <v>10.65</v>
      </c>
      <c r="AN50" s="253">
        <v>35.479999999999997</v>
      </c>
      <c r="AO50" s="253">
        <v>3.55</v>
      </c>
      <c r="AP50" s="253">
        <v>10.65</v>
      </c>
      <c r="AQ50" s="253">
        <v>99.92</v>
      </c>
      <c r="AR50" s="253">
        <v>9.99</v>
      </c>
      <c r="AS50" s="253">
        <v>9.99</v>
      </c>
      <c r="AT50" s="253">
        <v>149.87</v>
      </c>
      <c r="AU50" s="253">
        <v>29.97</v>
      </c>
      <c r="AV50" s="251"/>
      <c r="AW50" s="251"/>
      <c r="AX50" s="251"/>
      <c r="AY50" s="253">
        <v>56.25</v>
      </c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J50" s="251"/>
      <c r="BK50" s="251"/>
      <c r="BL50" s="251"/>
      <c r="BM50" s="251"/>
      <c r="BN50" s="251"/>
      <c r="BO50" s="251"/>
      <c r="BP50" s="251"/>
      <c r="BQ50" s="251"/>
      <c r="BR50" s="251"/>
      <c r="BS50" s="253">
        <v>0.04</v>
      </c>
      <c r="BT50" s="253">
        <v>9.15</v>
      </c>
      <c r="BU50" s="253">
        <v>1.51</v>
      </c>
      <c r="BV50" s="253">
        <v>490.9</v>
      </c>
      <c r="BW50" s="253">
        <v>1222.45</v>
      </c>
    </row>
    <row r="51" spans="1:75" ht="80.099999999999994" customHeight="1" x14ac:dyDescent="0.2">
      <c r="A51" s="250">
        <v>48</v>
      </c>
      <c r="B51" s="34"/>
      <c r="C51" s="251" t="s">
        <v>183</v>
      </c>
      <c r="D51" s="252">
        <v>28307182502212</v>
      </c>
      <c r="E51" s="253">
        <v>260</v>
      </c>
      <c r="F51" s="253">
        <v>221.37</v>
      </c>
      <c r="G51" s="251"/>
      <c r="H51" s="251"/>
      <c r="I51" s="253">
        <v>336.71</v>
      </c>
      <c r="J51" s="253">
        <v>3.37</v>
      </c>
      <c r="K51" s="253">
        <v>6.73</v>
      </c>
      <c r="L51" s="253">
        <v>50.51</v>
      </c>
      <c r="M51" s="253">
        <v>10.1</v>
      </c>
      <c r="N51" s="253">
        <v>1096.17</v>
      </c>
      <c r="O51" s="253">
        <v>76.73</v>
      </c>
      <c r="P51" s="253">
        <v>76.73</v>
      </c>
      <c r="Q51" s="251"/>
      <c r="R51" s="253">
        <v>1249.6300000000001</v>
      </c>
      <c r="S51" s="251"/>
      <c r="T51" s="251"/>
      <c r="U51" s="253">
        <v>14.4</v>
      </c>
      <c r="V51" s="253">
        <v>50</v>
      </c>
      <c r="W51" s="251"/>
      <c r="X51" s="251"/>
      <c r="Y51" s="251"/>
      <c r="Z51" s="251"/>
      <c r="AA51" s="251"/>
      <c r="AB51" s="253">
        <v>5.47</v>
      </c>
      <c r="AC51" s="253">
        <v>291.24</v>
      </c>
      <c r="AD51" s="253">
        <v>1154.1600000000001</v>
      </c>
      <c r="AE51" s="253">
        <v>1154.1600000000001</v>
      </c>
      <c r="AF51" s="253">
        <v>11.54</v>
      </c>
      <c r="AG51" s="253">
        <v>173.12</v>
      </c>
      <c r="AH51" s="253">
        <v>34.619999999999997</v>
      </c>
      <c r="AI51" s="253">
        <v>1830.86</v>
      </c>
      <c r="AJ51" s="253">
        <v>3.37</v>
      </c>
      <c r="AK51" s="253">
        <v>6.73</v>
      </c>
      <c r="AL51" s="253">
        <v>50.51</v>
      </c>
      <c r="AM51" s="253">
        <v>10.1</v>
      </c>
      <c r="AN51" s="253">
        <v>33.67</v>
      </c>
      <c r="AO51" s="253">
        <v>3.37</v>
      </c>
      <c r="AP51" s="253">
        <v>10.1</v>
      </c>
      <c r="AQ51" s="253">
        <v>115.42</v>
      </c>
      <c r="AR51" s="253">
        <v>11.54</v>
      </c>
      <c r="AS51" s="253">
        <v>11.54</v>
      </c>
      <c r="AT51" s="253">
        <v>173.12</v>
      </c>
      <c r="AU51" s="253">
        <v>34.619999999999997</v>
      </c>
      <c r="AV51" s="253">
        <v>16</v>
      </c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251"/>
      <c r="BL51" s="251"/>
      <c r="BM51" s="251"/>
      <c r="BN51" s="251"/>
      <c r="BO51" s="251"/>
      <c r="BP51" s="251"/>
      <c r="BQ51" s="251"/>
      <c r="BR51" s="251"/>
      <c r="BS51" s="253">
        <v>0.01</v>
      </c>
      <c r="BT51" s="253">
        <v>9.65</v>
      </c>
      <c r="BU51" s="253">
        <v>2.86</v>
      </c>
      <c r="BV51" s="253">
        <v>492.61</v>
      </c>
      <c r="BW51" s="253">
        <v>1338.25</v>
      </c>
    </row>
    <row r="52" spans="1:75" ht="80.099999999999994" customHeight="1" x14ac:dyDescent="0.2">
      <c r="A52" s="250">
        <v>49</v>
      </c>
      <c r="B52" s="33"/>
      <c r="C52" s="251" t="s">
        <v>184</v>
      </c>
      <c r="D52" s="252">
        <v>28507012500494</v>
      </c>
      <c r="E52" s="253">
        <v>257</v>
      </c>
      <c r="F52" s="253">
        <v>217.56</v>
      </c>
      <c r="G52" s="253">
        <v>97</v>
      </c>
      <c r="H52" s="251"/>
      <c r="I52" s="253">
        <v>332.82</v>
      </c>
      <c r="J52" s="253">
        <v>3.33</v>
      </c>
      <c r="K52" s="253">
        <v>6.66</v>
      </c>
      <c r="L52" s="253">
        <v>49.92</v>
      </c>
      <c r="M52" s="253">
        <v>9.98</v>
      </c>
      <c r="N52" s="253">
        <v>1088.25</v>
      </c>
      <c r="O52" s="253">
        <v>76.180000000000007</v>
      </c>
      <c r="P52" s="253">
        <v>76.180000000000007</v>
      </c>
      <c r="Q52" s="251"/>
      <c r="R52" s="253">
        <v>1240.6099999999999</v>
      </c>
      <c r="S52" s="251"/>
      <c r="T52" s="251"/>
      <c r="U52" s="253">
        <v>14.4</v>
      </c>
      <c r="V52" s="253">
        <v>100</v>
      </c>
      <c r="W52" s="251"/>
      <c r="X52" s="253">
        <v>14.4</v>
      </c>
      <c r="Y52" s="251"/>
      <c r="Z52" s="251"/>
      <c r="AA52" s="251"/>
      <c r="AB52" s="253">
        <v>5.43</v>
      </c>
      <c r="AC52" s="253">
        <v>448.79</v>
      </c>
      <c r="AD52" s="253">
        <v>1256.58</v>
      </c>
      <c r="AE52" s="253">
        <v>1256.58</v>
      </c>
      <c r="AF52" s="253">
        <v>12.57</v>
      </c>
      <c r="AG52" s="253">
        <v>188.49</v>
      </c>
      <c r="AH52" s="253">
        <v>37.700000000000003</v>
      </c>
      <c r="AI52" s="253">
        <v>1998.05</v>
      </c>
      <c r="AJ52" s="253">
        <v>3.33</v>
      </c>
      <c r="AK52" s="253">
        <v>6.66</v>
      </c>
      <c r="AL52" s="253">
        <v>49.92</v>
      </c>
      <c r="AM52" s="253">
        <v>9.98</v>
      </c>
      <c r="AN52" s="253">
        <v>33.28</v>
      </c>
      <c r="AO52" s="253">
        <v>3.33</v>
      </c>
      <c r="AP52" s="253">
        <v>9.98</v>
      </c>
      <c r="AQ52" s="253">
        <v>125.66</v>
      </c>
      <c r="AR52" s="253">
        <v>12.57</v>
      </c>
      <c r="AS52" s="253">
        <v>12.57</v>
      </c>
      <c r="AT52" s="253">
        <v>188.49</v>
      </c>
      <c r="AU52" s="253">
        <v>37.700000000000003</v>
      </c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1"/>
      <c r="BS52" s="253">
        <v>0.01</v>
      </c>
      <c r="BT52" s="253">
        <v>10.8</v>
      </c>
      <c r="BU52" s="253">
        <v>5.92</v>
      </c>
      <c r="BV52" s="253">
        <v>510.2</v>
      </c>
      <c r="BW52" s="253">
        <v>1487.85</v>
      </c>
    </row>
    <row r="53" spans="1:75" ht="80.099999999999994" customHeight="1" x14ac:dyDescent="0.2">
      <c r="A53" s="250">
        <v>50</v>
      </c>
      <c r="B53" s="34"/>
      <c r="C53" s="251" t="s">
        <v>185</v>
      </c>
      <c r="D53" s="252">
        <v>28112020101791</v>
      </c>
      <c r="E53" s="253">
        <v>255</v>
      </c>
      <c r="F53" s="253">
        <v>215.21</v>
      </c>
      <c r="G53" s="253">
        <v>63.05</v>
      </c>
      <c r="H53" s="251"/>
      <c r="I53" s="253">
        <v>330.23</v>
      </c>
      <c r="J53" s="253">
        <v>3.3</v>
      </c>
      <c r="K53" s="253">
        <v>6.6</v>
      </c>
      <c r="L53" s="253">
        <v>49.53</v>
      </c>
      <c r="M53" s="253">
        <v>9.91</v>
      </c>
      <c r="N53" s="253">
        <v>671.14</v>
      </c>
      <c r="O53" s="253">
        <v>46.98</v>
      </c>
      <c r="P53" s="253">
        <v>46.98</v>
      </c>
      <c r="Q53" s="251"/>
      <c r="R53" s="253">
        <v>765.1</v>
      </c>
      <c r="S53" s="251"/>
      <c r="T53" s="251"/>
      <c r="U53" s="253">
        <v>9.36</v>
      </c>
      <c r="V53" s="253">
        <v>150</v>
      </c>
      <c r="W53" s="251"/>
      <c r="X53" s="253">
        <v>9.36</v>
      </c>
      <c r="Y53" s="251"/>
      <c r="Z53" s="251"/>
      <c r="AA53" s="251"/>
      <c r="AB53" s="253">
        <v>3.34</v>
      </c>
      <c r="AC53" s="253">
        <v>450.32</v>
      </c>
      <c r="AD53" s="253">
        <v>1159.05</v>
      </c>
      <c r="AE53" s="253">
        <v>1159.05</v>
      </c>
      <c r="AF53" s="253">
        <v>11.59</v>
      </c>
      <c r="AG53" s="253">
        <v>173.86</v>
      </c>
      <c r="AH53" s="253">
        <v>34.770000000000003</v>
      </c>
      <c r="AI53" s="253">
        <v>1504.98</v>
      </c>
      <c r="AJ53" s="253">
        <v>3.3</v>
      </c>
      <c r="AK53" s="253">
        <v>6.6</v>
      </c>
      <c r="AL53" s="253">
        <v>49.53</v>
      </c>
      <c r="AM53" s="253">
        <v>9.91</v>
      </c>
      <c r="AN53" s="253">
        <v>33.020000000000003</v>
      </c>
      <c r="AO53" s="253">
        <v>3.3</v>
      </c>
      <c r="AP53" s="253">
        <v>9.91</v>
      </c>
      <c r="AQ53" s="253">
        <v>115.91</v>
      </c>
      <c r="AR53" s="253">
        <v>11.59</v>
      </c>
      <c r="AS53" s="253">
        <v>11.59</v>
      </c>
      <c r="AT53" s="253">
        <v>173.86</v>
      </c>
      <c r="AU53" s="253">
        <v>34.770000000000003</v>
      </c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3">
        <v>0.04</v>
      </c>
      <c r="BT53" s="253">
        <v>7.4</v>
      </c>
      <c r="BU53" s="251"/>
      <c r="BV53" s="253">
        <v>470.73</v>
      </c>
      <c r="BW53" s="253">
        <v>1034.25</v>
      </c>
    </row>
    <row r="54" spans="1:75" ht="80.099999999999994" customHeight="1" x14ac:dyDescent="0.2">
      <c r="A54" s="250">
        <v>51</v>
      </c>
      <c r="B54" s="33"/>
      <c r="C54" s="251" t="s">
        <v>186</v>
      </c>
      <c r="D54" s="252">
        <v>27912222500339</v>
      </c>
      <c r="E54" s="253">
        <v>284</v>
      </c>
      <c r="F54" s="251"/>
      <c r="G54" s="253">
        <v>97</v>
      </c>
      <c r="H54" s="253">
        <v>200</v>
      </c>
      <c r="I54" s="253">
        <v>367.79</v>
      </c>
      <c r="J54" s="253">
        <v>3.68</v>
      </c>
      <c r="K54" s="253">
        <v>7.36</v>
      </c>
      <c r="L54" s="253">
        <v>55.17</v>
      </c>
      <c r="M54" s="253">
        <v>11.03</v>
      </c>
      <c r="N54" s="253">
        <v>1145.97</v>
      </c>
      <c r="O54" s="253">
        <v>80.22</v>
      </c>
      <c r="P54" s="253">
        <v>80.22</v>
      </c>
      <c r="Q54" s="251"/>
      <c r="R54" s="253">
        <v>1306.4100000000001</v>
      </c>
      <c r="S54" s="251"/>
      <c r="T54" s="251"/>
      <c r="U54" s="253">
        <v>21</v>
      </c>
      <c r="V54" s="253">
        <v>145</v>
      </c>
      <c r="W54" s="251"/>
      <c r="X54" s="251"/>
      <c r="Y54" s="251"/>
      <c r="Z54" s="251"/>
      <c r="AA54" s="253">
        <v>29.66</v>
      </c>
      <c r="AB54" s="253">
        <v>5.7</v>
      </c>
      <c r="AC54" s="253">
        <v>498.36</v>
      </c>
      <c r="AD54" s="253">
        <v>1291.98</v>
      </c>
      <c r="AE54" s="253">
        <v>1291.98</v>
      </c>
      <c r="AF54" s="253">
        <v>12.92</v>
      </c>
      <c r="AG54" s="253">
        <v>193.8</v>
      </c>
      <c r="AH54" s="253">
        <v>38.76</v>
      </c>
      <c r="AI54" s="253">
        <v>2127.4899999999998</v>
      </c>
      <c r="AJ54" s="253">
        <v>3.68</v>
      </c>
      <c r="AK54" s="253">
        <v>7.36</v>
      </c>
      <c r="AL54" s="253">
        <v>55.17</v>
      </c>
      <c r="AM54" s="253">
        <v>11.03</v>
      </c>
      <c r="AN54" s="253">
        <v>36.78</v>
      </c>
      <c r="AO54" s="253">
        <v>3.68</v>
      </c>
      <c r="AP54" s="253">
        <v>11.03</v>
      </c>
      <c r="AQ54" s="253">
        <v>129.19999999999999</v>
      </c>
      <c r="AR54" s="253">
        <v>12.92</v>
      </c>
      <c r="AS54" s="253">
        <v>12.92</v>
      </c>
      <c r="AT54" s="253">
        <v>193.8</v>
      </c>
      <c r="AU54" s="253">
        <v>38.76</v>
      </c>
      <c r="AV54" s="251"/>
      <c r="AW54" s="251"/>
      <c r="AX54" s="251"/>
      <c r="AY54" s="251"/>
      <c r="AZ54" s="251"/>
      <c r="BA54" s="253">
        <v>1</v>
      </c>
      <c r="BB54" s="251"/>
      <c r="BC54" s="251"/>
      <c r="BD54" s="253">
        <v>2</v>
      </c>
      <c r="BE54" s="253">
        <v>1</v>
      </c>
      <c r="BF54" s="253">
        <v>43.6</v>
      </c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3">
        <v>0.01</v>
      </c>
      <c r="BT54" s="253">
        <v>11.55</v>
      </c>
      <c r="BU54" s="253">
        <v>7.9</v>
      </c>
      <c r="BV54" s="253">
        <v>583.39</v>
      </c>
      <c r="BW54" s="253">
        <v>1544.1</v>
      </c>
    </row>
    <row r="55" spans="1:75" ht="80.099999999999994" customHeight="1" x14ac:dyDescent="0.2">
      <c r="A55" s="250">
        <v>52</v>
      </c>
      <c r="B55" s="34"/>
      <c r="C55" s="251" t="s">
        <v>187</v>
      </c>
      <c r="D55" s="252">
        <v>28109012500413</v>
      </c>
      <c r="E55" s="253">
        <v>264</v>
      </c>
      <c r="F55" s="253">
        <v>226.45</v>
      </c>
      <c r="G55" s="251"/>
      <c r="H55" s="251"/>
      <c r="I55" s="253">
        <v>341.89</v>
      </c>
      <c r="J55" s="253">
        <v>3.42</v>
      </c>
      <c r="K55" s="253">
        <v>6.84</v>
      </c>
      <c r="L55" s="253">
        <v>51.28</v>
      </c>
      <c r="M55" s="253">
        <v>10.26</v>
      </c>
      <c r="N55" s="253">
        <v>752.82</v>
      </c>
      <c r="O55" s="253">
        <v>52.7</v>
      </c>
      <c r="P55" s="253">
        <v>52.7</v>
      </c>
      <c r="Q55" s="251"/>
      <c r="R55" s="253">
        <v>858.22</v>
      </c>
      <c r="S55" s="251"/>
      <c r="T55" s="251"/>
      <c r="U55" s="253">
        <v>9.36</v>
      </c>
      <c r="V55" s="253">
        <v>100</v>
      </c>
      <c r="W55" s="251"/>
      <c r="X55" s="253">
        <v>9.36</v>
      </c>
      <c r="Y55" s="251"/>
      <c r="Z55" s="251"/>
      <c r="AA55" s="251"/>
      <c r="AB55" s="253">
        <v>3.7</v>
      </c>
      <c r="AC55" s="253">
        <v>348.87</v>
      </c>
      <c r="AD55" s="253">
        <v>1239.3699999999999</v>
      </c>
      <c r="AE55" s="253">
        <v>1239.3699999999999</v>
      </c>
      <c r="AF55" s="253">
        <v>12.39</v>
      </c>
      <c r="AG55" s="253">
        <v>185.91</v>
      </c>
      <c r="AH55" s="253">
        <v>37.18</v>
      </c>
      <c r="AI55" s="253">
        <v>1514.37</v>
      </c>
      <c r="AJ55" s="253">
        <v>3.42</v>
      </c>
      <c r="AK55" s="253">
        <v>6.84</v>
      </c>
      <c r="AL55" s="253">
        <v>51.28</v>
      </c>
      <c r="AM55" s="253">
        <v>10.26</v>
      </c>
      <c r="AN55" s="253">
        <v>34.19</v>
      </c>
      <c r="AO55" s="253">
        <v>3.42</v>
      </c>
      <c r="AP55" s="253">
        <v>10.26</v>
      </c>
      <c r="AQ55" s="253">
        <v>123.94</v>
      </c>
      <c r="AR55" s="253">
        <v>12.39</v>
      </c>
      <c r="AS55" s="253">
        <v>12.39</v>
      </c>
      <c r="AT55" s="253">
        <v>185.91</v>
      </c>
      <c r="AU55" s="253">
        <v>37.18</v>
      </c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J55" s="251"/>
      <c r="BK55" s="251"/>
      <c r="BL55" s="251"/>
      <c r="BM55" s="251"/>
      <c r="BN55" s="253">
        <v>182</v>
      </c>
      <c r="BO55" s="251"/>
      <c r="BP55" s="251"/>
      <c r="BQ55" s="251"/>
      <c r="BR55" s="251"/>
      <c r="BS55" s="253">
        <v>0.04</v>
      </c>
      <c r="BT55" s="253">
        <v>7.25</v>
      </c>
      <c r="BU55" s="251"/>
      <c r="BV55" s="253">
        <v>680.77</v>
      </c>
      <c r="BW55" s="253">
        <v>833.6</v>
      </c>
    </row>
    <row r="56" spans="1:75" ht="80.099999999999994" customHeight="1" x14ac:dyDescent="0.2">
      <c r="A56" s="250">
        <v>53</v>
      </c>
      <c r="B56" s="33"/>
      <c r="C56" s="251" t="s">
        <v>188</v>
      </c>
      <c r="D56" s="252">
        <v>27909242500041</v>
      </c>
      <c r="E56" s="253">
        <v>270</v>
      </c>
      <c r="F56" s="251"/>
      <c r="G56" s="251"/>
      <c r="H56" s="251"/>
      <c r="I56" s="253">
        <v>349.66</v>
      </c>
      <c r="J56" s="253">
        <v>3.5</v>
      </c>
      <c r="K56" s="253">
        <v>6.99</v>
      </c>
      <c r="L56" s="253">
        <v>52.45</v>
      </c>
      <c r="M56" s="253">
        <v>10.49</v>
      </c>
      <c r="N56" s="253">
        <v>1126.3599999999999</v>
      </c>
      <c r="O56" s="253">
        <v>78.849999999999994</v>
      </c>
      <c r="P56" s="253">
        <v>78.849999999999994</v>
      </c>
      <c r="Q56" s="251"/>
      <c r="R56" s="253">
        <v>1284.06</v>
      </c>
      <c r="S56" s="251"/>
      <c r="T56" s="251"/>
      <c r="U56" s="253">
        <v>21</v>
      </c>
      <c r="V56" s="253">
        <v>145</v>
      </c>
      <c r="W56" s="251"/>
      <c r="X56" s="251"/>
      <c r="Y56" s="251"/>
      <c r="Z56" s="251"/>
      <c r="AA56" s="251"/>
      <c r="AB56" s="253">
        <v>5.53</v>
      </c>
      <c r="AC56" s="253">
        <v>171.53</v>
      </c>
      <c r="AD56" s="253">
        <v>960.93</v>
      </c>
      <c r="AE56" s="253">
        <v>960.93</v>
      </c>
      <c r="AF56" s="253">
        <v>9.61</v>
      </c>
      <c r="AG56" s="253">
        <v>144.13999999999999</v>
      </c>
      <c r="AH56" s="253">
        <v>28.83</v>
      </c>
      <c r="AI56" s="253">
        <v>1711.6</v>
      </c>
      <c r="AJ56" s="253">
        <v>3.5</v>
      </c>
      <c r="AK56" s="253">
        <v>6.99</v>
      </c>
      <c r="AL56" s="253">
        <v>52.45</v>
      </c>
      <c r="AM56" s="253">
        <v>10.49</v>
      </c>
      <c r="AN56" s="253">
        <v>34.97</v>
      </c>
      <c r="AO56" s="253">
        <v>3.5</v>
      </c>
      <c r="AP56" s="253">
        <v>10.49</v>
      </c>
      <c r="AQ56" s="253">
        <v>96.09</v>
      </c>
      <c r="AR56" s="253">
        <v>9.61</v>
      </c>
      <c r="AS56" s="253">
        <v>9.61</v>
      </c>
      <c r="AT56" s="253">
        <v>144.13999999999999</v>
      </c>
      <c r="AU56" s="253">
        <v>28.83</v>
      </c>
      <c r="AV56" s="251"/>
      <c r="AW56" s="251"/>
      <c r="AX56" s="251"/>
      <c r="AY56" s="251"/>
      <c r="AZ56" s="253">
        <v>35</v>
      </c>
      <c r="BA56" s="251"/>
      <c r="BB56" s="251"/>
      <c r="BC56" s="251"/>
      <c r="BD56" s="251"/>
      <c r="BE56" s="251"/>
      <c r="BF56" s="253">
        <v>65</v>
      </c>
      <c r="BG56" s="251"/>
      <c r="BH56" s="251"/>
      <c r="BI56" s="251"/>
      <c r="BJ56" s="251"/>
      <c r="BK56" s="251"/>
      <c r="BL56" s="253">
        <v>240.66</v>
      </c>
      <c r="BM56" s="251"/>
      <c r="BN56" s="251"/>
      <c r="BO56" s="251"/>
      <c r="BP56" s="251"/>
      <c r="BQ56" s="251"/>
      <c r="BR56" s="251"/>
      <c r="BS56" s="253">
        <v>0.02</v>
      </c>
      <c r="BT56" s="253">
        <v>9</v>
      </c>
      <c r="BU56" s="253">
        <v>1.05</v>
      </c>
      <c r="BV56" s="253">
        <v>761.4</v>
      </c>
      <c r="BW56" s="253">
        <v>950.2</v>
      </c>
    </row>
    <row r="57" spans="1:75" ht="80.099999999999994" customHeight="1" x14ac:dyDescent="0.2">
      <c r="A57" s="250">
        <v>54</v>
      </c>
      <c r="B57" s="34"/>
      <c r="C57" s="251" t="s">
        <v>189</v>
      </c>
      <c r="D57" s="252">
        <v>28004262500242</v>
      </c>
      <c r="E57" s="253">
        <v>274</v>
      </c>
      <c r="F57" s="251"/>
      <c r="G57" s="251"/>
      <c r="H57" s="251"/>
      <c r="I57" s="253">
        <v>354.84</v>
      </c>
      <c r="J57" s="253">
        <v>3.55</v>
      </c>
      <c r="K57" s="253">
        <v>7.1</v>
      </c>
      <c r="L57" s="253">
        <v>53.23</v>
      </c>
      <c r="M57" s="253">
        <v>10.65</v>
      </c>
      <c r="N57" s="253">
        <v>1145.97</v>
      </c>
      <c r="O57" s="253">
        <v>80.22</v>
      </c>
      <c r="P57" s="253">
        <v>80.22</v>
      </c>
      <c r="Q57" s="251"/>
      <c r="R57" s="253">
        <v>1306.4100000000001</v>
      </c>
      <c r="S57" s="251"/>
      <c r="T57" s="251"/>
      <c r="U57" s="253">
        <v>21</v>
      </c>
      <c r="V57" s="253">
        <v>100</v>
      </c>
      <c r="W57" s="251"/>
      <c r="X57" s="251"/>
      <c r="Y57" s="253">
        <v>11</v>
      </c>
      <c r="Z57" s="251"/>
      <c r="AA57" s="251"/>
      <c r="AB57" s="253">
        <v>5.58</v>
      </c>
      <c r="AC57" s="253">
        <v>137.58000000000001</v>
      </c>
      <c r="AD57" s="253">
        <v>989.15</v>
      </c>
      <c r="AE57" s="253">
        <v>989.15</v>
      </c>
      <c r="AF57" s="253">
        <v>9.89</v>
      </c>
      <c r="AG57" s="253">
        <v>148.37</v>
      </c>
      <c r="AH57" s="253">
        <v>29.67</v>
      </c>
      <c r="AI57" s="253">
        <v>1706.45</v>
      </c>
      <c r="AJ57" s="253">
        <v>3.55</v>
      </c>
      <c r="AK57" s="253">
        <v>7.1</v>
      </c>
      <c r="AL57" s="253">
        <v>53.23</v>
      </c>
      <c r="AM57" s="253">
        <v>10.65</v>
      </c>
      <c r="AN57" s="253">
        <v>35.479999999999997</v>
      </c>
      <c r="AO57" s="253">
        <v>3.55</v>
      </c>
      <c r="AP57" s="253">
        <v>10.65</v>
      </c>
      <c r="AQ57" s="253">
        <v>98.92</v>
      </c>
      <c r="AR57" s="253">
        <v>9.89</v>
      </c>
      <c r="AS57" s="253">
        <v>9.89</v>
      </c>
      <c r="AT57" s="253">
        <v>148.37</v>
      </c>
      <c r="AU57" s="253">
        <v>29.67</v>
      </c>
      <c r="AV57" s="253">
        <v>5.19</v>
      </c>
      <c r="AW57" s="251"/>
      <c r="AX57" s="251"/>
      <c r="AY57" s="253">
        <v>116.6</v>
      </c>
      <c r="AZ57" s="253">
        <v>35</v>
      </c>
      <c r="BA57" s="251"/>
      <c r="BB57" s="251"/>
      <c r="BC57" s="251"/>
      <c r="BD57" s="251"/>
      <c r="BE57" s="251"/>
      <c r="BF57" s="253">
        <v>43.6</v>
      </c>
      <c r="BG57" s="251"/>
      <c r="BH57" s="251"/>
      <c r="BI57" s="251"/>
      <c r="BJ57" s="251"/>
      <c r="BK57" s="253">
        <v>20</v>
      </c>
      <c r="BL57" s="251"/>
      <c r="BM57" s="251"/>
      <c r="BN57" s="251"/>
      <c r="BO57" s="251"/>
      <c r="BP57" s="251"/>
      <c r="BQ57" s="251"/>
      <c r="BR57" s="251"/>
      <c r="BS57" s="253">
        <v>0.02</v>
      </c>
      <c r="BT57" s="253">
        <v>8.85</v>
      </c>
      <c r="BU57" s="253">
        <v>0.64</v>
      </c>
      <c r="BV57" s="253">
        <v>650.85</v>
      </c>
      <c r="BW57" s="253">
        <v>1055.5999999999999</v>
      </c>
    </row>
    <row r="58" spans="1:75" ht="80.099999999999994" customHeight="1" x14ac:dyDescent="0.2">
      <c r="A58" s="250">
        <v>55</v>
      </c>
      <c r="B58" s="33"/>
      <c r="C58" s="251" t="s">
        <v>190</v>
      </c>
      <c r="D58" s="252">
        <v>28603178800223</v>
      </c>
      <c r="E58" s="253">
        <v>266</v>
      </c>
      <c r="F58" s="251"/>
      <c r="G58" s="251"/>
      <c r="H58" s="251"/>
      <c r="I58" s="253">
        <v>344.48</v>
      </c>
      <c r="J58" s="253">
        <v>3.44</v>
      </c>
      <c r="K58" s="253">
        <v>6.89</v>
      </c>
      <c r="L58" s="253">
        <v>51.67</v>
      </c>
      <c r="M58" s="253">
        <v>10.33</v>
      </c>
      <c r="N58" s="253">
        <v>1145.17</v>
      </c>
      <c r="O58" s="253">
        <v>80.16</v>
      </c>
      <c r="P58" s="253">
        <v>80.16</v>
      </c>
      <c r="Q58" s="251"/>
      <c r="R58" s="253">
        <v>1305.49</v>
      </c>
      <c r="S58" s="251"/>
      <c r="T58" s="251"/>
      <c r="U58" s="253">
        <v>21</v>
      </c>
      <c r="V58" s="253">
        <v>50</v>
      </c>
      <c r="W58" s="251"/>
      <c r="X58" s="251"/>
      <c r="Y58" s="251"/>
      <c r="Z58" s="251"/>
      <c r="AA58" s="251"/>
      <c r="AB58" s="253">
        <v>5.54</v>
      </c>
      <c r="AC58" s="253">
        <v>76.540000000000006</v>
      </c>
      <c r="AD58" s="253">
        <v>987.55</v>
      </c>
      <c r="AE58" s="253">
        <v>987.55</v>
      </c>
      <c r="AF58" s="253">
        <v>9.8800000000000008</v>
      </c>
      <c r="AG58" s="253">
        <v>148.13</v>
      </c>
      <c r="AH58" s="253">
        <v>29.63</v>
      </c>
      <c r="AI58" s="253">
        <v>1642</v>
      </c>
      <c r="AJ58" s="253">
        <v>3.44</v>
      </c>
      <c r="AK58" s="253">
        <v>6.89</v>
      </c>
      <c r="AL58" s="253">
        <v>51.67</v>
      </c>
      <c r="AM58" s="253">
        <v>10.33</v>
      </c>
      <c r="AN58" s="253">
        <v>34.450000000000003</v>
      </c>
      <c r="AO58" s="253">
        <v>3.44</v>
      </c>
      <c r="AP58" s="253">
        <v>10.33</v>
      </c>
      <c r="AQ58" s="253">
        <v>98.75</v>
      </c>
      <c r="AR58" s="253">
        <v>9.8800000000000008</v>
      </c>
      <c r="AS58" s="253">
        <v>9.8800000000000008</v>
      </c>
      <c r="AT58" s="253">
        <v>148.13</v>
      </c>
      <c r="AU58" s="253">
        <v>29.63</v>
      </c>
      <c r="AV58" s="251"/>
      <c r="AW58" s="251"/>
      <c r="AX58" s="251"/>
      <c r="AY58" s="251"/>
      <c r="AZ58" s="251"/>
      <c r="BA58" s="251"/>
      <c r="BB58" s="251"/>
      <c r="BC58" s="251"/>
      <c r="BD58" s="251"/>
      <c r="BE58" s="251"/>
      <c r="BF58" s="251"/>
      <c r="BG58" s="251"/>
      <c r="BH58" s="253">
        <v>50</v>
      </c>
      <c r="BI58" s="251"/>
      <c r="BJ58" s="251"/>
      <c r="BK58" s="251"/>
      <c r="BL58" s="251"/>
      <c r="BM58" s="251"/>
      <c r="BN58" s="251"/>
      <c r="BO58" s="251"/>
      <c r="BP58" s="251"/>
      <c r="BQ58" s="251"/>
      <c r="BR58" s="251"/>
      <c r="BS58" s="253">
        <v>0.04</v>
      </c>
      <c r="BT58" s="253">
        <v>8.6999999999999993</v>
      </c>
      <c r="BU58" s="253">
        <v>0.24</v>
      </c>
      <c r="BV58" s="253">
        <v>475.8</v>
      </c>
      <c r="BW58" s="253">
        <v>1166.2</v>
      </c>
    </row>
    <row r="59" spans="1:75" ht="80.099999999999994" customHeight="1" x14ac:dyDescent="0.2">
      <c r="A59" s="250">
        <v>56</v>
      </c>
      <c r="B59" s="34"/>
      <c r="C59" s="251" t="s">
        <v>191</v>
      </c>
      <c r="D59" s="252">
        <v>28612082503685</v>
      </c>
      <c r="E59" s="253">
        <v>260</v>
      </c>
      <c r="F59" s="251"/>
      <c r="G59" s="251"/>
      <c r="H59" s="251"/>
      <c r="I59" s="253">
        <v>336.71</v>
      </c>
      <c r="J59" s="253">
        <v>3.37</v>
      </c>
      <c r="K59" s="253">
        <v>6.73</v>
      </c>
      <c r="L59" s="253">
        <v>50.51</v>
      </c>
      <c r="M59" s="253">
        <v>10.1</v>
      </c>
      <c r="N59" s="253">
        <v>1096.17</v>
      </c>
      <c r="O59" s="253">
        <v>76.73</v>
      </c>
      <c r="P59" s="253">
        <v>76.73</v>
      </c>
      <c r="Q59" s="251"/>
      <c r="R59" s="253">
        <v>1249.6300000000001</v>
      </c>
      <c r="S59" s="251"/>
      <c r="T59" s="251"/>
      <c r="U59" s="253">
        <v>14.4</v>
      </c>
      <c r="V59" s="253">
        <v>50</v>
      </c>
      <c r="W59" s="253">
        <v>19.2</v>
      </c>
      <c r="X59" s="251"/>
      <c r="Y59" s="251"/>
      <c r="Z59" s="251"/>
      <c r="AA59" s="251"/>
      <c r="AB59" s="253">
        <v>5.47</v>
      </c>
      <c r="AC59" s="253">
        <v>89.07</v>
      </c>
      <c r="AD59" s="253">
        <v>951.99</v>
      </c>
      <c r="AE59" s="253">
        <v>951.99</v>
      </c>
      <c r="AF59" s="253">
        <v>9.52</v>
      </c>
      <c r="AG59" s="253">
        <v>142.80000000000001</v>
      </c>
      <c r="AH59" s="253">
        <v>28.56</v>
      </c>
      <c r="AI59" s="253">
        <v>1590.29</v>
      </c>
      <c r="AJ59" s="253">
        <v>3.37</v>
      </c>
      <c r="AK59" s="253">
        <v>6.73</v>
      </c>
      <c r="AL59" s="253">
        <v>50.51</v>
      </c>
      <c r="AM59" s="253">
        <v>10.1</v>
      </c>
      <c r="AN59" s="253">
        <v>33.67</v>
      </c>
      <c r="AO59" s="253">
        <v>3.37</v>
      </c>
      <c r="AP59" s="253">
        <v>10.1</v>
      </c>
      <c r="AQ59" s="253">
        <v>95.2</v>
      </c>
      <c r="AR59" s="253">
        <v>9.52</v>
      </c>
      <c r="AS59" s="253">
        <v>9.52</v>
      </c>
      <c r="AT59" s="253">
        <v>142.80000000000001</v>
      </c>
      <c r="AU59" s="253">
        <v>28.56</v>
      </c>
      <c r="AV59" s="251"/>
      <c r="AW59" s="251"/>
      <c r="AX59" s="251"/>
      <c r="AY59" s="251"/>
      <c r="AZ59" s="251"/>
      <c r="BA59" s="253">
        <v>1</v>
      </c>
      <c r="BB59" s="251"/>
      <c r="BC59" s="251"/>
      <c r="BD59" s="251"/>
      <c r="BE59" s="251"/>
      <c r="BF59" s="251"/>
      <c r="BG59" s="251"/>
      <c r="BH59" s="251"/>
      <c r="BI59" s="251"/>
      <c r="BJ59" s="251"/>
      <c r="BK59" s="251"/>
      <c r="BL59" s="251"/>
      <c r="BM59" s="251"/>
      <c r="BN59" s="251"/>
      <c r="BO59" s="251"/>
      <c r="BP59" s="251"/>
      <c r="BQ59" s="251"/>
      <c r="BR59" s="251"/>
      <c r="BS59" s="253">
        <v>0.04</v>
      </c>
      <c r="BT59" s="253">
        <v>8.4499999999999993</v>
      </c>
      <c r="BU59" s="251"/>
      <c r="BV59" s="253">
        <v>412.94</v>
      </c>
      <c r="BW59" s="253">
        <v>1177.3499999999999</v>
      </c>
    </row>
    <row r="60" spans="1:75" ht="80.099999999999994" customHeight="1" x14ac:dyDescent="0.2">
      <c r="A60" s="250">
        <v>57</v>
      </c>
      <c r="B60" s="33"/>
      <c r="C60" s="251" t="s">
        <v>192</v>
      </c>
      <c r="D60" s="252">
        <v>28508292500032</v>
      </c>
      <c r="E60" s="253">
        <v>252</v>
      </c>
      <c r="F60" s="253">
        <v>209.09</v>
      </c>
      <c r="G60" s="251"/>
      <c r="H60" s="251"/>
      <c r="I60" s="253">
        <v>326.35000000000002</v>
      </c>
      <c r="J60" s="253">
        <v>3.26</v>
      </c>
      <c r="K60" s="253">
        <v>6.53</v>
      </c>
      <c r="L60" s="253">
        <v>48.95</v>
      </c>
      <c r="M60" s="253">
        <v>9.7899999999999991</v>
      </c>
      <c r="N60" s="253">
        <v>1025.45</v>
      </c>
      <c r="O60" s="253">
        <v>71.78</v>
      </c>
      <c r="P60" s="253">
        <v>71.78</v>
      </c>
      <c r="Q60" s="251"/>
      <c r="R60" s="253">
        <v>1169.01</v>
      </c>
      <c r="S60" s="251"/>
      <c r="T60" s="251"/>
      <c r="U60" s="253">
        <v>14.4</v>
      </c>
      <c r="V60" s="253">
        <v>50</v>
      </c>
      <c r="W60" s="251"/>
      <c r="X60" s="253">
        <v>14.4</v>
      </c>
      <c r="Y60" s="251"/>
      <c r="Z60" s="251"/>
      <c r="AA60" s="251"/>
      <c r="AB60" s="253">
        <v>5.0999999999999996</v>
      </c>
      <c r="AC60" s="253">
        <v>292.99</v>
      </c>
      <c r="AD60" s="253">
        <v>1085.6500000000001</v>
      </c>
      <c r="AE60" s="253">
        <v>1085.6500000000001</v>
      </c>
      <c r="AF60" s="253">
        <v>10.86</v>
      </c>
      <c r="AG60" s="253">
        <v>162.85</v>
      </c>
      <c r="AH60" s="253">
        <v>32.57</v>
      </c>
      <c r="AI60" s="253">
        <v>1736.81</v>
      </c>
      <c r="AJ60" s="253">
        <v>3.26</v>
      </c>
      <c r="AK60" s="253">
        <v>6.53</v>
      </c>
      <c r="AL60" s="253">
        <v>48.95</v>
      </c>
      <c r="AM60" s="253">
        <v>9.7899999999999991</v>
      </c>
      <c r="AN60" s="253">
        <v>32.630000000000003</v>
      </c>
      <c r="AO60" s="253">
        <v>3.26</v>
      </c>
      <c r="AP60" s="253">
        <v>9.7899999999999991</v>
      </c>
      <c r="AQ60" s="253">
        <v>108.57</v>
      </c>
      <c r="AR60" s="253">
        <v>10.86</v>
      </c>
      <c r="AS60" s="253">
        <v>10.86</v>
      </c>
      <c r="AT60" s="253">
        <v>162.85</v>
      </c>
      <c r="AU60" s="253">
        <v>32.57</v>
      </c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1"/>
      <c r="BO60" s="253">
        <v>38.5</v>
      </c>
      <c r="BP60" s="251"/>
      <c r="BQ60" s="251"/>
      <c r="BR60" s="251"/>
      <c r="BS60" s="251"/>
      <c r="BT60" s="253">
        <v>9.25</v>
      </c>
      <c r="BU60" s="253">
        <v>1.79</v>
      </c>
      <c r="BV60" s="253">
        <v>489.46</v>
      </c>
      <c r="BW60" s="253">
        <v>1247.3499999999999</v>
      </c>
    </row>
    <row r="61" spans="1:75" ht="80.099999999999994" customHeight="1" x14ac:dyDescent="0.2">
      <c r="A61" s="250">
        <v>58</v>
      </c>
      <c r="B61" s="34"/>
      <c r="C61" s="251" t="s">
        <v>193</v>
      </c>
      <c r="D61" s="252">
        <v>28109172500291</v>
      </c>
      <c r="E61" s="253">
        <v>260</v>
      </c>
      <c r="F61" s="253">
        <v>219.37</v>
      </c>
      <c r="G61" s="251"/>
      <c r="H61" s="251"/>
      <c r="I61" s="253">
        <v>336.71</v>
      </c>
      <c r="J61" s="253">
        <v>3.37</v>
      </c>
      <c r="K61" s="253">
        <v>6.73</v>
      </c>
      <c r="L61" s="253">
        <v>50.51</v>
      </c>
      <c r="M61" s="253">
        <v>10.1</v>
      </c>
      <c r="N61" s="253">
        <v>1096.17</v>
      </c>
      <c r="O61" s="253">
        <v>76.73</v>
      </c>
      <c r="P61" s="253">
        <v>76.73</v>
      </c>
      <c r="Q61" s="251"/>
      <c r="R61" s="253">
        <v>1249.6300000000001</v>
      </c>
      <c r="S61" s="251"/>
      <c r="T61" s="251"/>
      <c r="U61" s="253">
        <v>14.4</v>
      </c>
      <c r="V61" s="253">
        <v>50</v>
      </c>
      <c r="W61" s="251"/>
      <c r="X61" s="251"/>
      <c r="Y61" s="251"/>
      <c r="Z61" s="251"/>
      <c r="AA61" s="251"/>
      <c r="AB61" s="253">
        <v>5.47</v>
      </c>
      <c r="AC61" s="253">
        <v>289.24</v>
      </c>
      <c r="AD61" s="253">
        <v>1152.1600000000001</v>
      </c>
      <c r="AE61" s="253">
        <v>1152.1600000000001</v>
      </c>
      <c r="AF61" s="253">
        <v>11.52</v>
      </c>
      <c r="AG61" s="253">
        <v>172.82</v>
      </c>
      <c r="AH61" s="253">
        <v>34.56</v>
      </c>
      <c r="AI61" s="253">
        <v>1828.48</v>
      </c>
      <c r="AJ61" s="253">
        <v>3.37</v>
      </c>
      <c r="AK61" s="253">
        <v>6.73</v>
      </c>
      <c r="AL61" s="253">
        <v>50.51</v>
      </c>
      <c r="AM61" s="253">
        <v>10.1</v>
      </c>
      <c r="AN61" s="253">
        <v>33.67</v>
      </c>
      <c r="AO61" s="253">
        <v>3.37</v>
      </c>
      <c r="AP61" s="253">
        <v>10.1</v>
      </c>
      <c r="AQ61" s="253">
        <v>115.22</v>
      </c>
      <c r="AR61" s="253">
        <v>11.52</v>
      </c>
      <c r="AS61" s="253">
        <v>11.52</v>
      </c>
      <c r="AT61" s="253">
        <v>172.82</v>
      </c>
      <c r="AU61" s="253">
        <v>34.56</v>
      </c>
      <c r="AV61" s="251"/>
      <c r="AW61" s="251"/>
      <c r="AX61" s="251"/>
      <c r="AY61" s="251"/>
      <c r="AZ61" s="251"/>
      <c r="BA61" s="251"/>
      <c r="BB61" s="251"/>
      <c r="BC61" s="251"/>
      <c r="BD61" s="251"/>
      <c r="BE61" s="251"/>
      <c r="BF61" s="251"/>
      <c r="BG61" s="251"/>
      <c r="BH61" s="251"/>
      <c r="BI61" s="251"/>
      <c r="BJ61" s="251"/>
      <c r="BK61" s="251"/>
      <c r="BL61" s="251"/>
      <c r="BM61" s="251"/>
      <c r="BN61" s="251"/>
      <c r="BO61" s="251"/>
      <c r="BP61" s="251"/>
      <c r="BQ61" s="251"/>
      <c r="BR61" s="251"/>
      <c r="BS61" s="253">
        <v>0.04</v>
      </c>
      <c r="BT61" s="253">
        <v>9.75</v>
      </c>
      <c r="BU61" s="253">
        <v>3.15</v>
      </c>
      <c r="BV61" s="253">
        <v>476.43</v>
      </c>
      <c r="BW61" s="253">
        <v>1352.05</v>
      </c>
    </row>
    <row r="62" spans="1:75" ht="80.099999999999994" customHeight="1" x14ac:dyDescent="0.2">
      <c r="A62" s="250">
        <v>59</v>
      </c>
      <c r="B62" s="33"/>
      <c r="C62" s="251" t="s">
        <v>194</v>
      </c>
      <c r="D62" s="252">
        <v>28801012517392</v>
      </c>
      <c r="E62" s="253">
        <v>254</v>
      </c>
      <c r="F62" s="253">
        <v>213.75</v>
      </c>
      <c r="G62" s="251"/>
      <c r="H62" s="251"/>
      <c r="I62" s="253">
        <v>328.94</v>
      </c>
      <c r="J62" s="253">
        <v>3.29</v>
      </c>
      <c r="K62" s="253">
        <v>6.58</v>
      </c>
      <c r="L62" s="253">
        <v>49.34</v>
      </c>
      <c r="M62" s="253">
        <v>9.8699999999999992</v>
      </c>
      <c r="N62" s="253">
        <v>1080.3399999999999</v>
      </c>
      <c r="O62" s="253">
        <v>75.62</v>
      </c>
      <c r="P62" s="253">
        <v>75.62</v>
      </c>
      <c r="Q62" s="251"/>
      <c r="R62" s="253">
        <v>1231.58</v>
      </c>
      <c r="S62" s="251"/>
      <c r="T62" s="251"/>
      <c r="U62" s="253">
        <v>14.4</v>
      </c>
      <c r="V62" s="253">
        <v>100</v>
      </c>
      <c r="W62" s="251"/>
      <c r="X62" s="251"/>
      <c r="Y62" s="251"/>
      <c r="Z62" s="251"/>
      <c r="AA62" s="251"/>
      <c r="AB62" s="253">
        <v>5.45</v>
      </c>
      <c r="AC62" s="253">
        <v>333.6</v>
      </c>
      <c r="AD62" s="253">
        <v>1136.24</v>
      </c>
      <c r="AE62" s="253">
        <v>1136.24</v>
      </c>
      <c r="AF62" s="253">
        <v>11.36</v>
      </c>
      <c r="AG62" s="253">
        <v>170.44</v>
      </c>
      <c r="AH62" s="253">
        <v>34.090000000000003</v>
      </c>
      <c r="AI62" s="253">
        <v>1850.15</v>
      </c>
      <c r="AJ62" s="253">
        <v>3.29</v>
      </c>
      <c r="AK62" s="253">
        <v>6.58</v>
      </c>
      <c r="AL62" s="253">
        <v>49.34</v>
      </c>
      <c r="AM62" s="253">
        <v>9.8699999999999992</v>
      </c>
      <c r="AN62" s="253">
        <v>32.89</v>
      </c>
      <c r="AO62" s="253">
        <v>3.29</v>
      </c>
      <c r="AP62" s="253">
        <v>9.8699999999999992</v>
      </c>
      <c r="AQ62" s="253">
        <v>113.62</v>
      </c>
      <c r="AR62" s="253">
        <v>11.36</v>
      </c>
      <c r="AS62" s="253">
        <v>11.36</v>
      </c>
      <c r="AT62" s="253">
        <v>170.44</v>
      </c>
      <c r="AU62" s="253">
        <v>34.090000000000003</v>
      </c>
      <c r="AV62" s="251"/>
      <c r="AW62" s="251"/>
      <c r="AX62" s="251"/>
      <c r="AY62" s="251"/>
      <c r="AZ62" s="251"/>
      <c r="BA62" s="251"/>
      <c r="BB62" s="251"/>
      <c r="BC62" s="251"/>
      <c r="BD62" s="251"/>
      <c r="BE62" s="251"/>
      <c r="BF62" s="251"/>
      <c r="BG62" s="251"/>
      <c r="BH62" s="251"/>
      <c r="BI62" s="251"/>
      <c r="BJ62" s="251"/>
      <c r="BK62" s="251"/>
      <c r="BL62" s="251"/>
      <c r="BM62" s="251"/>
      <c r="BN62" s="251"/>
      <c r="BO62" s="251"/>
      <c r="BP62" s="251"/>
      <c r="BQ62" s="251"/>
      <c r="BR62" s="251"/>
      <c r="BS62" s="253">
        <v>0.03</v>
      </c>
      <c r="BT62" s="253">
        <v>10</v>
      </c>
      <c r="BU62" s="253">
        <v>3.72</v>
      </c>
      <c r="BV62" s="253">
        <v>469.75</v>
      </c>
      <c r="BW62" s="253">
        <v>1380.4</v>
      </c>
    </row>
    <row r="63" spans="1:75" ht="80.099999999999994" customHeight="1" x14ac:dyDescent="0.2">
      <c r="A63" s="250">
        <v>60</v>
      </c>
      <c r="B63" s="34"/>
      <c r="C63" s="251" t="s">
        <v>195</v>
      </c>
      <c r="D63" s="252">
        <v>28301222500171</v>
      </c>
      <c r="E63" s="253">
        <v>260</v>
      </c>
      <c r="F63" s="251"/>
      <c r="G63" s="251"/>
      <c r="H63" s="251"/>
      <c r="I63" s="253">
        <v>336.71</v>
      </c>
      <c r="J63" s="253">
        <v>3.37</v>
      </c>
      <c r="K63" s="253">
        <v>6.73</v>
      </c>
      <c r="L63" s="253">
        <v>50.51</v>
      </c>
      <c r="M63" s="253">
        <v>10.1</v>
      </c>
      <c r="N63" s="253">
        <v>1096.17</v>
      </c>
      <c r="O63" s="253">
        <v>76.73</v>
      </c>
      <c r="P63" s="253">
        <v>76.73</v>
      </c>
      <c r="Q63" s="251"/>
      <c r="R63" s="253">
        <v>1249.6300000000001</v>
      </c>
      <c r="S63" s="251"/>
      <c r="T63" s="251"/>
      <c r="U63" s="253">
        <v>14.4</v>
      </c>
      <c r="V63" s="253">
        <v>50</v>
      </c>
      <c r="W63" s="251"/>
      <c r="X63" s="251"/>
      <c r="Y63" s="251"/>
      <c r="Z63" s="251"/>
      <c r="AA63" s="251"/>
      <c r="AB63" s="253">
        <v>5.47</v>
      </c>
      <c r="AC63" s="253">
        <v>69.87</v>
      </c>
      <c r="AD63" s="253">
        <v>932.79</v>
      </c>
      <c r="AE63" s="253">
        <v>932.79</v>
      </c>
      <c r="AF63" s="253">
        <v>9.33</v>
      </c>
      <c r="AG63" s="253">
        <v>139.91999999999999</v>
      </c>
      <c r="AH63" s="253">
        <v>27.98</v>
      </c>
      <c r="AI63" s="253">
        <v>1567.44</v>
      </c>
      <c r="AJ63" s="253">
        <v>3.37</v>
      </c>
      <c r="AK63" s="253">
        <v>6.73</v>
      </c>
      <c r="AL63" s="253">
        <v>50.51</v>
      </c>
      <c r="AM63" s="253">
        <v>10.1</v>
      </c>
      <c r="AN63" s="253">
        <v>33.67</v>
      </c>
      <c r="AO63" s="253">
        <v>3.37</v>
      </c>
      <c r="AP63" s="253">
        <v>10.1</v>
      </c>
      <c r="AQ63" s="253">
        <v>93.28</v>
      </c>
      <c r="AR63" s="253">
        <v>9.33</v>
      </c>
      <c r="AS63" s="253">
        <v>9.33</v>
      </c>
      <c r="AT63" s="253">
        <v>139.91999999999999</v>
      </c>
      <c r="AU63" s="253">
        <v>27.98</v>
      </c>
      <c r="AV63" s="253">
        <v>5.1100000000000003</v>
      </c>
      <c r="AW63" s="251"/>
      <c r="AX63" s="251"/>
      <c r="AY63" s="253">
        <v>116.7</v>
      </c>
      <c r="AZ63" s="251"/>
      <c r="BA63" s="253">
        <v>1</v>
      </c>
      <c r="BB63" s="251"/>
      <c r="BC63" s="251"/>
      <c r="BD63" s="253">
        <v>2</v>
      </c>
      <c r="BE63" s="253">
        <v>1</v>
      </c>
      <c r="BF63" s="253">
        <v>60</v>
      </c>
      <c r="BG63" s="251"/>
      <c r="BH63" s="251"/>
      <c r="BI63" s="251"/>
      <c r="BJ63" s="251"/>
      <c r="BK63" s="251"/>
      <c r="BL63" s="251"/>
      <c r="BM63" s="251"/>
      <c r="BN63" s="251"/>
      <c r="BO63" s="251"/>
      <c r="BP63" s="251"/>
      <c r="BQ63" s="251"/>
      <c r="BR63" s="251"/>
      <c r="BS63" s="253">
        <v>0.04</v>
      </c>
      <c r="BT63" s="253">
        <v>8.25</v>
      </c>
      <c r="BU63" s="251"/>
      <c r="BV63" s="253">
        <v>591.79</v>
      </c>
      <c r="BW63" s="253">
        <v>975.65</v>
      </c>
    </row>
    <row r="64" spans="1:75" ht="80.099999999999994" customHeight="1" x14ac:dyDescent="0.2">
      <c r="A64" s="250">
        <v>61</v>
      </c>
      <c r="B64" s="33"/>
      <c r="C64" s="251" t="s">
        <v>196</v>
      </c>
      <c r="D64" s="252">
        <v>28309102500411</v>
      </c>
      <c r="E64" s="253">
        <v>255</v>
      </c>
      <c r="F64" s="253">
        <v>203.59</v>
      </c>
      <c r="G64" s="251"/>
      <c r="H64" s="251"/>
      <c r="I64" s="253">
        <v>330.23</v>
      </c>
      <c r="J64" s="253">
        <v>3.3</v>
      </c>
      <c r="K64" s="253">
        <v>6.6</v>
      </c>
      <c r="L64" s="253">
        <v>49.53</v>
      </c>
      <c r="M64" s="253">
        <v>9.91</v>
      </c>
      <c r="N64" s="253">
        <v>1032.52</v>
      </c>
      <c r="O64" s="253">
        <v>72.28</v>
      </c>
      <c r="P64" s="253">
        <v>72.28</v>
      </c>
      <c r="Q64" s="251"/>
      <c r="R64" s="253">
        <v>1177.08</v>
      </c>
      <c r="S64" s="251"/>
      <c r="T64" s="251"/>
      <c r="U64" s="253">
        <v>14.4</v>
      </c>
      <c r="V64" s="253">
        <v>145</v>
      </c>
      <c r="W64" s="251"/>
      <c r="X64" s="251"/>
      <c r="Y64" s="251"/>
      <c r="Z64" s="251"/>
      <c r="AA64" s="251"/>
      <c r="AB64" s="253">
        <v>5.14</v>
      </c>
      <c r="AC64" s="253">
        <v>368.13</v>
      </c>
      <c r="AD64" s="253">
        <v>1069.98</v>
      </c>
      <c r="AE64" s="253">
        <v>1069.98</v>
      </c>
      <c r="AF64" s="253">
        <v>10.7</v>
      </c>
      <c r="AG64" s="253">
        <v>160.5</v>
      </c>
      <c r="AH64" s="253">
        <v>32.1</v>
      </c>
      <c r="AI64" s="253">
        <v>1817.85</v>
      </c>
      <c r="AJ64" s="253">
        <v>3.3</v>
      </c>
      <c r="AK64" s="253">
        <v>6.6</v>
      </c>
      <c r="AL64" s="253">
        <v>49.53</v>
      </c>
      <c r="AM64" s="253">
        <v>9.91</v>
      </c>
      <c r="AN64" s="253">
        <v>33.020000000000003</v>
      </c>
      <c r="AO64" s="253">
        <v>3.3</v>
      </c>
      <c r="AP64" s="253">
        <v>9.91</v>
      </c>
      <c r="AQ64" s="253">
        <v>107</v>
      </c>
      <c r="AR64" s="253">
        <v>10.7</v>
      </c>
      <c r="AS64" s="253">
        <v>10.7</v>
      </c>
      <c r="AT64" s="253">
        <v>160.5</v>
      </c>
      <c r="AU64" s="253">
        <v>32.1</v>
      </c>
      <c r="AV64" s="251"/>
      <c r="AW64" s="251"/>
      <c r="AX64" s="251"/>
      <c r="AY64" s="251"/>
      <c r="AZ64" s="251"/>
      <c r="BA64" s="251"/>
      <c r="BB64" s="251"/>
      <c r="BC64" s="251"/>
      <c r="BD64" s="251"/>
      <c r="BE64" s="251"/>
      <c r="BF64" s="251"/>
      <c r="BG64" s="251"/>
      <c r="BH64" s="251"/>
      <c r="BI64" s="251"/>
      <c r="BJ64" s="251"/>
      <c r="BK64" s="251"/>
      <c r="BL64" s="251"/>
      <c r="BM64" s="251"/>
      <c r="BN64" s="251"/>
      <c r="BO64" s="251"/>
      <c r="BP64" s="251"/>
      <c r="BQ64" s="251"/>
      <c r="BR64" s="251"/>
      <c r="BS64" s="253">
        <v>0.01</v>
      </c>
      <c r="BT64" s="253">
        <v>9.9</v>
      </c>
      <c r="BU64" s="253">
        <v>3.47</v>
      </c>
      <c r="BV64" s="253">
        <v>449.95</v>
      </c>
      <c r="BW64" s="253">
        <v>1367.9</v>
      </c>
    </row>
    <row r="65" spans="1:75" ht="80.099999999999994" customHeight="1" x14ac:dyDescent="0.2">
      <c r="A65" s="250">
        <v>62</v>
      </c>
      <c r="B65" s="34"/>
      <c r="C65" s="251" t="s">
        <v>197</v>
      </c>
      <c r="D65" s="252">
        <v>28409242500254</v>
      </c>
      <c r="E65" s="253">
        <v>260</v>
      </c>
      <c r="F65" s="251"/>
      <c r="G65" s="251"/>
      <c r="H65" s="251"/>
      <c r="I65" s="253">
        <v>336.71</v>
      </c>
      <c r="J65" s="253">
        <v>3.37</v>
      </c>
      <c r="K65" s="253">
        <v>6.73</v>
      </c>
      <c r="L65" s="253">
        <v>50.51</v>
      </c>
      <c r="M65" s="253">
        <v>10.1</v>
      </c>
      <c r="N65" s="253">
        <v>1096.17</v>
      </c>
      <c r="O65" s="253">
        <v>76.73</v>
      </c>
      <c r="P65" s="253">
        <v>76.73</v>
      </c>
      <c r="Q65" s="251"/>
      <c r="R65" s="253">
        <v>1249.6300000000001</v>
      </c>
      <c r="S65" s="251"/>
      <c r="T65" s="251"/>
      <c r="U65" s="253">
        <v>14.4</v>
      </c>
      <c r="V65" s="253">
        <v>50</v>
      </c>
      <c r="W65" s="251"/>
      <c r="X65" s="251"/>
      <c r="Y65" s="251"/>
      <c r="Z65" s="251"/>
      <c r="AA65" s="251"/>
      <c r="AB65" s="253">
        <v>5.47</v>
      </c>
      <c r="AC65" s="253">
        <v>69.87</v>
      </c>
      <c r="AD65" s="253">
        <v>932.79</v>
      </c>
      <c r="AE65" s="253">
        <v>932.79</v>
      </c>
      <c r="AF65" s="253">
        <v>9.33</v>
      </c>
      <c r="AG65" s="253">
        <v>139.91999999999999</v>
      </c>
      <c r="AH65" s="253">
        <v>27.98</v>
      </c>
      <c r="AI65" s="253">
        <v>1567.44</v>
      </c>
      <c r="AJ65" s="253">
        <v>3.37</v>
      </c>
      <c r="AK65" s="253">
        <v>6.73</v>
      </c>
      <c r="AL65" s="253">
        <v>50.51</v>
      </c>
      <c r="AM65" s="253">
        <v>10.1</v>
      </c>
      <c r="AN65" s="253">
        <v>33.67</v>
      </c>
      <c r="AO65" s="253">
        <v>3.37</v>
      </c>
      <c r="AP65" s="253">
        <v>10.1</v>
      </c>
      <c r="AQ65" s="253">
        <v>93.28</v>
      </c>
      <c r="AR65" s="253">
        <v>9.33</v>
      </c>
      <c r="AS65" s="253">
        <v>9.33</v>
      </c>
      <c r="AT65" s="253">
        <v>139.91999999999999</v>
      </c>
      <c r="AU65" s="253">
        <v>27.98</v>
      </c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3">
        <v>8.3000000000000007</v>
      </c>
      <c r="BU65" s="251"/>
      <c r="BV65" s="253">
        <v>405.99</v>
      </c>
      <c r="BW65" s="253">
        <v>1161.45</v>
      </c>
    </row>
    <row r="66" spans="1:75" ht="80.099999999999994" customHeight="1" x14ac:dyDescent="0.2">
      <c r="A66" s="250">
        <v>63</v>
      </c>
      <c r="B66" s="33"/>
      <c r="C66" s="251" t="s">
        <v>198</v>
      </c>
      <c r="D66" s="252">
        <v>28604012504878</v>
      </c>
      <c r="E66" s="253">
        <v>260</v>
      </c>
      <c r="F66" s="251"/>
      <c r="G66" s="251"/>
      <c r="H66" s="251"/>
      <c r="I66" s="253">
        <v>336.71</v>
      </c>
      <c r="J66" s="253">
        <v>3.37</v>
      </c>
      <c r="K66" s="253">
        <v>6.73</v>
      </c>
      <c r="L66" s="253">
        <v>50.51</v>
      </c>
      <c r="M66" s="253">
        <v>10.1</v>
      </c>
      <c r="N66" s="253">
        <v>1096.17</v>
      </c>
      <c r="O66" s="253">
        <v>76.73</v>
      </c>
      <c r="P66" s="253">
        <v>76.73</v>
      </c>
      <c r="Q66" s="251"/>
      <c r="R66" s="253">
        <v>1249.6300000000001</v>
      </c>
      <c r="S66" s="251"/>
      <c r="T66" s="251"/>
      <c r="U66" s="253">
        <v>14.4</v>
      </c>
      <c r="V66" s="253">
        <v>145</v>
      </c>
      <c r="W66" s="251"/>
      <c r="X66" s="251"/>
      <c r="Y66" s="251"/>
      <c r="Z66" s="251"/>
      <c r="AA66" s="251"/>
      <c r="AB66" s="253">
        <v>5.47</v>
      </c>
      <c r="AC66" s="253">
        <v>164.87</v>
      </c>
      <c r="AD66" s="253">
        <v>932.79</v>
      </c>
      <c r="AE66" s="253">
        <v>932.79</v>
      </c>
      <c r="AF66" s="253">
        <v>9.33</v>
      </c>
      <c r="AG66" s="253">
        <v>139.91999999999999</v>
      </c>
      <c r="AH66" s="253">
        <v>27.98</v>
      </c>
      <c r="AI66" s="253">
        <v>1662.44</v>
      </c>
      <c r="AJ66" s="253">
        <v>3.37</v>
      </c>
      <c r="AK66" s="253">
        <v>6.73</v>
      </c>
      <c r="AL66" s="253">
        <v>50.51</v>
      </c>
      <c r="AM66" s="253">
        <v>10.1</v>
      </c>
      <c r="AN66" s="253">
        <v>33.67</v>
      </c>
      <c r="AO66" s="253">
        <v>3.37</v>
      </c>
      <c r="AP66" s="253">
        <v>10.1</v>
      </c>
      <c r="AQ66" s="253">
        <v>93.28</v>
      </c>
      <c r="AR66" s="253">
        <v>9.33</v>
      </c>
      <c r="AS66" s="253">
        <v>9.33</v>
      </c>
      <c r="AT66" s="253">
        <v>139.91999999999999</v>
      </c>
      <c r="AU66" s="253">
        <v>27.98</v>
      </c>
      <c r="AV66" s="251"/>
      <c r="AW66" s="251"/>
      <c r="AX66" s="251"/>
      <c r="AY66" s="253">
        <v>81.7</v>
      </c>
      <c r="AZ66" s="251"/>
      <c r="BA66" s="251"/>
      <c r="BB66" s="251"/>
      <c r="BC66" s="251"/>
      <c r="BD66" s="251"/>
      <c r="BE66" s="251"/>
      <c r="BF66" s="251"/>
      <c r="BG66" s="251"/>
      <c r="BH66" s="251"/>
      <c r="BI66" s="251"/>
      <c r="BJ66" s="251"/>
      <c r="BK66" s="251"/>
      <c r="BL66" s="251"/>
      <c r="BM66" s="251"/>
      <c r="BN66" s="251"/>
      <c r="BO66" s="251"/>
      <c r="BP66" s="251"/>
      <c r="BQ66" s="251"/>
      <c r="BR66" s="251"/>
      <c r="BS66" s="253">
        <v>0.04</v>
      </c>
      <c r="BT66" s="253">
        <v>9</v>
      </c>
      <c r="BU66" s="253">
        <v>1.1599999999999999</v>
      </c>
      <c r="BV66" s="253">
        <v>489.59</v>
      </c>
      <c r="BW66" s="253">
        <v>1172.8499999999999</v>
      </c>
    </row>
    <row r="67" spans="1:75" ht="80.099999999999994" customHeight="1" x14ac:dyDescent="0.2">
      <c r="A67" s="250">
        <v>64</v>
      </c>
      <c r="B67" s="34"/>
      <c r="C67" s="251" t="s">
        <v>199</v>
      </c>
      <c r="D67" s="252">
        <v>28602042500319</v>
      </c>
      <c r="E67" s="253">
        <v>256</v>
      </c>
      <c r="F67" s="251"/>
      <c r="G67" s="251"/>
      <c r="H67" s="251"/>
      <c r="I67" s="253">
        <v>331.53</v>
      </c>
      <c r="J67" s="253">
        <v>3.32</v>
      </c>
      <c r="K67" s="253">
        <v>6.63</v>
      </c>
      <c r="L67" s="253">
        <v>49.73</v>
      </c>
      <c r="M67" s="253">
        <v>9.9499999999999993</v>
      </c>
      <c r="N67" s="253">
        <v>1056.81</v>
      </c>
      <c r="O67" s="253">
        <v>73.98</v>
      </c>
      <c r="P67" s="253">
        <v>73.98</v>
      </c>
      <c r="Q67" s="251"/>
      <c r="R67" s="253">
        <v>1204.77</v>
      </c>
      <c r="S67" s="251"/>
      <c r="T67" s="251"/>
      <c r="U67" s="253">
        <v>14.4</v>
      </c>
      <c r="V67" s="253">
        <v>50</v>
      </c>
      <c r="W67" s="251"/>
      <c r="X67" s="251"/>
      <c r="Y67" s="251"/>
      <c r="Z67" s="251"/>
      <c r="AA67" s="251"/>
      <c r="AB67" s="253">
        <v>5.26</v>
      </c>
      <c r="AC67" s="253">
        <v>69.66</v>
      </c>
      <c r="AD67" s="253">
        <v>892.9</v>
      </c>
      <c r="AE67" s="253">
        <v>892.9</v>
      </c>
      <c r="AF67" s="253">
        <v>8.93</v>
      </c>
      <c r="AG67" s="253">
        <v>133.94</v>
      </c>
      <c r="AH67" s="253">
        <v>26.79</v>
      </c>
      <c r="AI67" s="253">
        <v>1513.72</v>
      </c>
      <c r="AJ67" s="253">
        <v>3.32</v>
      </c>
      <c r="AK67" s="253">
        <v>6.63</v>
      </c>
      <c r="AL67" s="253">
        <v>49.73</v>
      </c>
      <c r="AM67" s="253">
        <v>9.9499999999999993</v>
      </c>
      <c r="AN67" s="253">
        <v>33.15</v>
      </c>
      <c r="AO67" s="253">
        <v>3.32</v>
      </c>
      <c r="AP67" s="253">
        <v>9.9499999999999993</v>
      </c>
      <c r="AQ67" s="253">
        <v>89.29</v>
      </c>
      <c r="AR67" s="253">
        <v>8.93</v>
      </c>
      <c r="AS67" s="253">
        <v>8.93</v>
      </c>
      <c r="AT67" s="253">
        <v>133.94</v>
      </c>
      <c r="AU67" s="253">
        <v>26.79</v>
      </c>
      <c r="AV67" s="251"/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1"/>
      <c r="BK67" s="251"/>
      <c r="BL67" s="251"/>
      <c r="BM67" s="251"/>
      <c r="BN67" s="251"/>
      <c r="BO67" s="251"/>
      <c r="BP67" s="251"/>
      <c r="BQ67" s="251"/>
      <c r="BR67" s="251"/>
      <c r="BS67" s="253">
        <v>0.04</v>
      </c>
      <c r="BT67" s="253">
        <v>8</v>
      </c>
      <c r="BU67" s="251"/>
      <c r="BV67" s="253">
        <v>391.97</v>
      </c>
      <c r="BW67" s="253">
        <v>1121.75</v>
      </c>
    </row>
    <row r="68" spans="1:75" ht="80.099999999999994" customHeight="1" x14ac:dyDescent="0.2">
      <c r="A68" s="250">
        <v>65</v>
      </c>
      <c r="B68" s="33"/>
      <c r="C68" s="251" t="s">
        <v>200</v>
      </c>
      <c r="D68" s="252">
        <v>27804112500107</v>
      </c>
      <c r="E68" s="253">
        <v>419.47</v>
      </c>
      <c r="F68" s="251"/>
      <c r="G68" s="251"/>
      <c r="H68" s="251"/>
      <c r="I68" s="253">
        <v>543.23</v>
      </c>
      <c r="J68" s="253">
        <v>5.43</v>
      </c>
      <c r="K68" s="253">
        <v>10.86</v>
      </c>
      <c r="L68" s="253">
        <v>81.48</v>
      </c>
      <c r="M68" s="253">
        <v>16.3</v>
      </c>
      <c r="N68" s="253">
        <v>1559.79</v>
      </c>
      <c r="O68" s="253">
        <v>109.19</v>
      </c>
      <c r="P68" s="253">
        <v>109.19</v>
      </c>
      <c r="Q68" s="251"/>
      <c r="R68" s="253">
        <v>1778.17</v>
      </c>
      <c r="S68" s="251"/>
      <c r="T68" s="251"/>
      <c r="U68" s="253">
        <v>21</v>
      </c>
      <c r="V68" s="253">
        <v>50</v>
      </c>
      <c r="W68" s="251"/>
      <c r="X68" s="251"/>
      <c r="Y68" s="251"/>
      <c r="Z68" s="251"/>
      <c r="AA68" s="253">
        <v>188.74</v>
      </c>
      <c r="AB68" s="253">
        <v>56.73</v>
      </c>
      <c r="AC68" s="253">
        <v>316.47000000000003</v>
      </c>
      <c r="AD68" s="253">
        <v>1501.41</v>
      </c>
      <c r="AE68" s="253">
        <v>1501.41</v>
      </c>
      <c r="AF68" s="253">
        <v>15.01</v>
      </c>
      <c r="AG68" s="253">
        <v>225.21</v>
      </c>
      <c r="AH68" s="253">
        <v>45.04</v>
      </c>
      <c r="AI68" s="253">
        <v>2493.9699999999998</v>
      </c>
      <c r="AJ68" s="253">
        <v>5.43</v>
      </c>
      <c r="AK68" s="253">
        <v>10.86</v>
      </c>
      <c r="AL68" s="253">
        <v>81.48</v>
      </c>
      <c r="AM68" s="253">
        <v>16.3</v>
      </c>
      <c r="AN68" s="253">
        <v>54.32</v>
      </c>
      <c r="AO68" s="253">
        <v>5.43</v>
      </c>
      <c r="AP68" s="253">
        <v>16.3</v>
      </c>
      <c r="AQ68" s="253">
        <v>150.13999999999999</v>
      </c>
      <c r="AR68" s="253">
        <v>15.01</v>
      </c>
      <c r="AS68" s="253">
        <v>15.01</v>
      </c>
      <c r="AT68" s="253">
        <v>225.21</v>
      </c>
      <c r="AU68" s="253">
        <v>45.04</v>
      </c>
      <c r="AV68" s="251"/>
      <c r="AW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3">
        <v>50</v>
      </c>
      <c r="BI68" s="251"/>
      <c r="BJ68" s="251"/>
      <c r="BK68" s="251"/>
      <c r="BL68" s="251"/>
      <c r="BM68" s="251"/>
      <c r="BN68" s="251"/>
      <c r="BO68" s="251"/>
      <c r="BP68" s="253">
        <v>3</v>
      </c>
      <c r="BQ68" s="253">
        <v>27.46</v>
      </c>
      <c r="BR68" s="251"/>
      <c r="BS68" s="253">
        <v>0.02</v>
      </c>
      <c r="BT68" s="253">
        <v>13.4</v>
      </c>
      <c r="BU68" s="253">
        <v>12.71</v>
      </c>
      <c r="BV68" s="253">
        <v>747.12</v>
      </c>
      <c r="BW68" s="253">
        <v>1746.85</v>
      </c>
    </row>
    <row r="69" spans="1:75" ht="80.099999999999994" customHeight="1" x14ac:dyDescent="0.2">
      <c r="A69" s="250">
        <v>66</v>
      </c>
      <c r="B69" s="34"/>
      <c r="C69" s="251" t="s">
        <v>201</v>
      </c>
      <c r="D69" s="252">
        <v>28607162500063</v>
      </c>
      <c r="E69" s="253">
        <v>260</v>
      </c>
      <c r="F69" s="251"/>
      <c r="G69" s="251"/>
      <c r="H69" s="251"/>
      <c r="I69" s="253">
        <v>336.71</v>
      </c>
      <c r="J69" s="253">
        <v>3.37</v>
      </c>
      <c r="K69" s="253">
        <v>6.73</v>
      </c>
      <c r="L69" s="253">
        <v>50.51</v>
      </c>
      <c r="M69" s="253">
        <v>10.1</v>
      </c>
      <c r="N69" s="253">
        <v>1096.17</v>
      </c>
      <c r="O69" s="253">
        <v>76.73</v>
      </c>
      <c r="P69" s="253">
        <v>76.73</v>
      </c>
      <c r="Q69" s="251"/>
      <c r="R69" s="253">
        <v>1249.6300000000001</v>
      </c>
      <c r="S69" s="251"/>
      <c r="T69" s="251"/>
      <c r="U69" s="253">
        <v>14.4</v>
      </c>
      <c r="V69" s="253">
        <v>50</v>
      </c>
      <c r="W69" s="251"/>
      <c r="X69" s="251"/>
      <c r="Y69" s="251"/>
      <c r="Z69" s="251"/>
      <c r="AA69" s="251"/>
      <c r="AB69" s="253">
        <v>5.47</v>
      </c>
      <c r="AC69" s="253">
        <v>69.87</v>
      </c>
      <c r="AD69" s="253">
        <v>932.79</v>
      </c>
      <c r="AE69" s="253">
        <v>932.79</v>
      </c>
      <c r="AF69" s="253">
        <v>9.33</v>
      </c>
      <c r="AG69" s="253">
        <v>139.91999999999999</v>
      </c>
      <c r="AH69" s="253">
        <v>27.98</v>
      </c>
      <c r="AI69" s="253">
        <v>1567.44</v>
      </c>
      <c r="AJ69" s="253">
        <v>3.37</v>
      </c>
      <c r="AK69" s="253">
        <v>6.73</v>
      </c>
      <c r="AL69" s="253">
        <v>50.51</v>
      </c>
      <c r="AM69" s="253">
        <v>10.1</v>
      </c>
      <c r="AN69" s="253">
        <v>33.67</v>
      </c>
      <c r="AO69" s="253">
        <v>3.37</v>
      </c>
      <c r="AP69" s="253">
        <v>10.1</v>
      </c>
      <c r="AQ69" s="253">
        <v>93.28</v>
      </c>
      <c r="AR69" s="253">
        <v>9.33</v>
      </c>
      <c r="AS69" s="253">
        <v>9.33</v>
      </c>
      <c r="AT69" s="253">
        <v>139.91999999999999</v>
      </c>
      <c r="AU69" s="253">
        <v>27.98</v>
      </c>
      <c r="AV69" s="251"/>
      <c r="AW69" s="251"/>
      <c r="AX69" s="251"/>
      <c r="AY69" s="251"/>
      <c r="AZ69" s="253">
        <v>35</v>
      </c>
      <c r="BA69" s="251"/>
      <c r="BB69" s="251"/>
      <c r="BC69" s="251"/>
      <c r="BD69" s="251"/>
      <c r="BE69" s="251"/>
      <c r="BF69" s="251"/>
      <c r="BG69" s="251"/>
      <c r="BH69" s="251"/>
      <c r="BI69" s="251"/>
      <c r="BJ69" s="251"/>
      <c r="BK69" s="251"/>
      <c r="BL69" s="251"/>
      <c r="BM69" s="251"/>
      <c r="BN69" s="251"/>
      <c r="BO69" s="251"/>
      <c r="BP69" s="251"/>
      <c r="BQ69" s="251"/>
      <c r="BR69" s="251"/>
      <c r="BS69" s="251"/>
      <c r="BT69" s="253">
        <v>8.0500000000000007</v>
      </c>
      <c r="BU69" s="251"/>
      <c r="BV69" s="253">
        <v>440.74</v>
      </c>
      <c r="BW69" s="253">
        <v>1126.7</v>
      </c>
    </row>
    <row r="70" spans="1:75" ht="80.099999999999994" customHeight="1" x14ac:dyDescent="0.2">
      <c r="A70" s="250">
        <v>67</v>
      </c>
      <c r="B70" s="33"/>
      <c r="C70" s="251" t="s">
        <v>202</v>
      </c>
      <c r="D70" s="252">
        <v>28501142500382</v>
      </c>
      <c r="E70" s="253">
        <v>260</v>
      </c>
      <c r="F70" s="251"/>
      <c r="G70" s="251"/>
      <c r="H70" s="251"/>
      <c r="I70" s="253">
        <v>336.71</v>
      </c>
      <c r="J70" s="253">
        <v>3.37</v>
      </c>
      <c r="K70" s="253">
        <v>6.73</v>
      </c>
      <c r="L70" s="253">
        <v>50.51</v>
      </c>
      <c r="M70" s="253">
        <v>10.1</v>
      </c>
      <c r="N70" s="253">
        <v>1096.17</v>
      </c>
      <c r="O70" s="253">
        <v>76.73</v>
      </c>
      <c r="P70" s="253">
        <v>76.73</v>
      </c>
      <c r="Q70" s="251"/>
      <c r="R70" s="253">
        <v>1249.6300000000001</v>
      </c>
      <c r="S70" s="251"/>
      <c r="T70" s="251"/>
      <c r="U70" s="253">
        <v>14.4</v>
      </c>
      <c r="V70" s="253">
        <v>50</v>
      </c>
      <c r="W70" s="251"/>
      <c r="X70" s="251"/>
      <c r="Y70" s="251"/>
      <c r="Z70" s="251"/>
      <c r="AA70" s="251"/>
      <c r="AB70" s="253">
        <v>5.47</v>
      </c>
      <c r="AC70" s="253">
        <v>69.87</v>
      </c>
      <c r="AD70" s="253">
        <v>932.79</v>
      </c>
      <c r="AE70" s="253">
        <v>932.79</v>
      </c>
      <c r="AF70" s="253">
        <v>9.33</v>
      </c>
      <c r="AG70" s="253">
        <v>139.91999999999999</v>
      </c>
      <c r="AH70" s="253">
        <v>27.98</v>
      </c>
      <c r="AI70" s="253">
        <v>1567.44</v>
      </c>
      <c r="AJ70" s="253">
        <v>3.37</v>
      </c>
      <c r="AK70" s="253">
        <v>6.73</v>
      </c>
      <c r="AL70" s="253">
        <v>50.51</v>
      </c>
      <c r="AM70" s="253">
        <v>10.1</v>
      </c>
      <c r="AN70" s="253">
        <v>33.67</v>
      </c>
      <c r="AO70" s="253">
        <v>3.37</v>
      </c>
      <c r="AP70" s="253">
        <v>10.1</v>
      </c>
      <c r="AQ70" s="253">
        <v>93.28</v>
      </c>
      <c r="AR70" s="253">
        <v>9.33</v>
      </c>
      <c r="AS70" s="253">
        <v>9.33</v>
      </c>
      <c r="AT70" s="253">
        <v>139.91999999999999</v>
      </c>
      <c r="AU70" s="253">
        <v>27.98</v>
      </c>
      <c r="AV70" s="251"/>
      <c r="AW70" s="251"/>
      <c r="AX70" s="251"/>
      <c r="AY70" s="253">
        <v>56.25</v>
      </c>
      <c r="AZ70" s="253">
        <v>35</v>
      </c>
      <c r="BA70" s="251"/>
      <c r="BB70" s="251"/>
      <c r="BC70" s="251"/>
      <c r="BD70" s="251"/>
      <c r="BE70" s="251"/>
      <c r="BF70" s="251"/>
      <c r="BG70" s="251"/>
      <c r="BH70" s="251"/>
      <c r="BI70" s="251"/>
      <c r="BJ70" s="251"/>
      <c r="BK70" s="251"/>
      <c r="BL70" s="251"/>
      <c r="BM70" s="251"/>
      <c r="BN70" s="251"/>
      <c r="BO70" s="251"/>
      <c r="BP70" s="251"/>
      <c r="BQ70" s="251"/>
      <c r="BR70" s="251"/>
      <c r="BS70" s="251"/>
      <c r="BT70" s="253">
        <v>8.0500000000000007</v>
      </c>
      <c r="BU70" s="251"/>
      <c r="BV70" s="253">
        <v>496.99</v>
      </c>
      <c r="BW70" s="253">
        <v>1070.45</v>
      </c>
    </row>
    <row r="71" spans="1:75" ht="80.099999999999994" customHeight="1" x14ac:dyDescent="0.2">
      <c r="A71" s="250">
        <v>68</v>
      </c>
      <c r="B71" s="34"/>
      <c r="C71" s="251" t="s">
        <v>203</v>
      </c>
      <c r="D71" s="252">
        <v>28201032504214</v>
      </c>
      <c r="E71" s="253">
        <v>274</v>
      </c>
      <c r="F71" s="251"/>
      <c r="G71" s="251"/>
      <c r="H71" s="251"/>
      <c r="I71" s="253">
        <v>354.84</v>
      </c>
      <c r="J71" s="253">
        <v>3.55</v>
      </c>
      <c r="K71" s="253">
        <v>7.1</v>
      </c>
      <c r="L71" s="253">
        <v>53.23</v>
      </c>
      <c r="M71" s="253">
        <v>10.65</v>
      </c>
      <c r="N71" s="253">
        <v>1145.97</v>
      </c>
      <c r="O71" s="253">
        <v>80.22</v>
      </c>
      <c r="P71" s="253">
        <v>80.22</v>
      </c>
      <c r="Q71" s="251"/>
      <c r="R71" s="253">
        <v>1306.4100000000001</v>
      </c>
      <c r="S71" s="251"/>
      <c r="T71" s="251"/>
      <c r="U71" s="253">
        <v>21</v>
      </c>
      <c r="V71" s="253">
        <v>100</v>
      </c>
      <c r="W71" s="251"/>
      <c r="X71" s="251"/>
      <c r="Y71" s="251"/>
      <c r="Z71" s="251"/>
      <c r="AA71" s="251"/>
      <c r="AB71" s="253">
        <v>5.58</v>
      </c>
      <c r="AC71" s="253">
        <v>126.58</v>
      </c>
      <c r="AD71" s="253">
        <v>978.15</v>
      </c>
      <c r="AE71" s="253">
        <v>978.15</v>
      </c>
      <c r="AF71" s="253">
        <v>9.7799999999999994</v>
      </c>
      <c r="AG71" s="253">
        <v>146.72</v>
      </c>
      <c r="AH71" s="253">
        <v>29.34</v>
      </c>
      <c r="AI71" s="253">
        <v>1693.36</v>
      </c>
      <c r="AJ71" s="253">
        <v>3.55</v>
      </c>
      <c r="AK71" s="253">
        <v>7.1</v>
      </c>
      <c r="AL71" s="253">
        <v>53.23</v>
      </c>
      <c r="AM71" s="253">
        <v>10.65</v>
      </c>
      <c r="AN71" s="253">
        <v>35.479999999999997</v>
      </c>
      <c r="AO71" s="253">
        <v>3.55</v>
      </c>
      <c r="AP71" s="253">
        <v>10.65</v>
      </c>
      <c r="AQ71" s="253">
        <v>97.81</v>
      </c>
      <c r="AR71" s="253">
        <v>9.7799999999999994</v>
      </c>
      <c r="AS71" s="253">
        <v>9.7799999999999994</v>
      </c>
      <c r="AT71" s="253">
        <v>146.72</v>
      </c>
      <c r="AU71" s="253">
        <v>29.34</v>
      </c>
      <c r="AV71" s="251"/>
      <c r="AW71" s="251"/>
      <c r="AX71" s="251"/>
      <c r="AY71" s="251"/>
      <c r="AZ71" s="251"/>
      <c r="BA71" s="251"/>
      <c r="BB71" s="251"/>
      <c r="BC71" s="251"/>
      <c r="BD71" s="251"/>
      <c r="BE71" s="251"/>
      <c r="BF71" s="251"/>
      <c r="BG71" s="251"/>
      <c r="BH71" s="251"/>
      <c r="BI71" s="253">
        <v>3</v>
      </c>
      <c r="BJ71" s="251"/>
      <c r="BK71" s="251"/>
      <c r="BL71" s="251"/>
      <c r="BM71" s="251"/>
      <c r="BN71" s="251"/>
      <c r="BO71" s="251"/>
      <c r="BP71" s="251"/>
      <c r="BQ71" s="251"/>
      <c r="BR71" s="251"/>
      <c r="BS71" s="253">
        <v>0.03</v>
      </c>
      <c r="BT71" s="253">
        <v>9.0500000000000007</v>
      </c>
      <c r="BU71" s="253">
        <v>1.24</v>
      </c>
      <c r="BV71" s="253">
        <v>430.96</v>
      </c>
      <c r="BW71" s="253">
        <v>1262.4000000000001</v>
      </c>
    </row>
    <row r="72" spans="1:75" ht="80.099999999999994" customHeight="1" x14ac:dyDescent="0.2">
      <c r="A72" s="250">
        <v>69</v>
      </c>
      <c r="B72" s="33"/>
      <c r="C72" s="251" t="s">
        <v>204</v>
      </c>
      <c r="D72" s="252">
        <v>28403242500051</v>
      </c>
      <c r="E72" s="253">
        <v>263</v>
      </c>
      <c r="F72" s="251"/>
      <c r="G72" s="251"/>
      <c r="H72" s="251"/>
      <c r="I72" s="253">
        <v>340.59</v>
      </c>
      <c r="J72" s="253">
        <v>3.41</v>
      </c>
      <c r="K72" s="253">
        <v>6.81</v>
      </c>
      <c r="L72" s="253">
        <v>51.09</v>
      </c>
      <c r="M72" s="253">
        <v>10.220000000000001</v>
      </c>
      <c r="N72" s="253">
        <v>1104.0999999999999</v>
      </c>
      <c r="O72" s="253">
        <v>77.290000000000006</v>
      </c>
      <c r="P72" s="253">
        <v>77.290000000000006</v>
      </c>
      <c r="Q72" s="251"/>
      <c r="R72" s="253">
        <v>1258.68</v>
      </c>
      <c r="S72" s="251"/>
      <c r="T72" s="251"/>
      <c r="U72" s="253">
        <v>14.4</v>
      </c>
      <c r="V72" s="253">
        <v>50</v>
      </c>
      <c r="W72" s="251"/>
      <c r="X72" s="251"/>
      <c r="Y72" s="251"/>
      <c r="Z72" s="251"/>
      <c r="AA72" s="251"/>
      <c r="AB72" s="253">
        <v>5.51</v>
      </c>
      <c r="AC72" s="253">
        <v>69.91</v>
      </c>
      <c r="AD72" s="253">
        <v>938</v>
      </c>
      <c r="AE72" s="253">
        <v>938</v>
      </c>
      <c r="AF72" s="253">
        <v>9.3800000000000008</v>
      </c>
      <c r="AG72" s="253">
        <v>140.69999999999999</v>
      </c>
      <c r="AH72" s="253">
        <v>28.14</v>
      </c>
      <c r="AI72" s="253">
        <v>1578.34</v>
      </c>
      <c r="AJ72" s="253">
        <v>3.41</v>
      </c>
      <c r="AK72" s="253">
        <v>6.81</v>
      </c>
      <c r="AL72" s="253">
        <v>51.09</v>
      </c>
      <c r="AM72" s="253">
        <v>10.220000000000001</v>
      </c>
      <c r="AN72" s="253">
        <v>34.06</v>
      </c>
      <c r="AO72" s="253">
        <v>3.41</v>
      </c>
      <c r="AP72" s="253">
        <v>10.220000000000001</v>
      </c>
      <c r="AQ72" s="253">
        <v>93.8</v>
      </c>
      <c r="AR72" s="253">
        <v>9.3800000000000008</v>
      </c>
      <c r="AS72" s="253">
        <v>9.3800000000000008</v>
      </c>
      <c r="AT72" s="253">
        <v>140.69999999999999</v>
      </c>
      <c r="AU72" s="253">
        <v>28.14</v>
      </c>
      <c r="AV72" s="251"/>
      <c r="AW72" s="251"/>
      <c r="AX72" s="251"/>
      <c r="AY72" s="251"/>
      <c r="AZ72" s="251"/>
      <c r="BA72" s="251"/>
      <c r="BB72" s="251"/>
      <c r="BC72" s="251"/>
      <c r="BD72" s="251"/>
      <c r="BE72" s="251"/>
      <c r="BF72" s="251"/>
      <c r="BG72" s="251"/>
      <c r="BH72" s="251"/>
      <c r="BI72" s="251"/>
      <c r="BJ72" s="251"/>
      <c r="BK72" s="251"/>
      <c r="BL72" s="251"/>
      <c r="BM72" s="251"/>
      <c r="BN72" s="251"/>
      <c r="BO72" s="251"/>
      <c r="BP72" s="251"/>
      <c r="BQ72" s="251"/>
      <c r="BR72" s="251"/>
      <c r="BS72" s="253">
        <v>0.02</v>
      </c>
      <c r="BT72" s="253">
        <v>8.35</v>
      </c>
      <c r="BU72" s="251"/>
      <c r="BV72" s="253">
        <v>408.99</v>
      </c>
      <c r="BW72" s="253">
        <v>1169.3499999999999</v>
      </c>
    </row>
    <row r="73" spans="1:75" ht="80.099999999999994" customHeight="1" x14ac:dyDescent="0.2">
      <c r="A73" s="250">
        <v>70</v>
      </c>
      <c r="B73" s="34"/>
      <c r="C73" s="251" t="s">
        <v>205</v>
      </c>
      <c r="D73" s="252">
        <v>27807022501821</v>
      </c>
      <c r="E73" s="253">
        <v>280</v>
      </c>
      <c r="F73" s="251"/>
      <c r="G73" s="251"/>
      <c r="H73" s="251"/>
      <c r="I73" s="253">
        <v>362.61</v>
      </c>
      <c r="J73" s="253">
        <v>3.63</v>
      </c>
      <c r="K73" s="253">
        <v>7.25</v>
      </c>
      <c r="L73" s="253">
        <v>54.39</v>
      </c>
      <c r="M73" s="253">
        <v>10.88</v>
      </c>
      <c r="N73" s="253">
        <v>1203.27</v>
      </c>
      <c r="O73" s="253">
        <v>84.23</v>
      </c>
      <c r="P73" s="253">
        <v>84.23</v>
      </c>
      <c r="Q73" s="251"/>
      <c r="R73" s="253">
        <v>1371.73</v>
      </c>
      <c r="S73" s="251"/>
      <c r="T73" s="251"/>
      <c r="U73" s="253">
        <v>21</v>
      </c>
      <c r="V73" s="253">
        <v>95</v>
      </c>
      <c r="W73" s="251"/>
      <c r="X73" s="251"/>
      <c r="Y73" s="251"/>
      <c r="Z73" s="251"/>
      <c r="AA73" s="253">
        <v>34.42</v>
      </c>
      <c r="AB73" s="253">
        <v>5.82</v>
      </c>
      <c r="AC73" s="253">
        <v>156.24</v>
      </c>
      <c r="AD73" s="253">
        <v>1070.3599999999999</v>
      </c>
      <c r="AE73" s="253">
        <v>1070.3599999999999</v>
      </c>
      <c r="AF73" s="253">
        <v>10.7</v>
      </c>
      <c r="AG73" s="253">
        <v>160.55000000000001</v>
      </c>
      <c r="AH73" s="253">
        <v>32.11</v>
      </c>
      <c r="AI73" s="253">
        <v>1807.48</v>
      </c>
      <c r="AJ73" s="253">
        <v>3.63</v>
      </c>
      <c r="AK73" s="253">
        <v>7.25</v>
      </c>
      <c r="AL73" s="253">
        <v>54.39</v>
      </c>
      <c r="AM73" s="253">
        <v>10.88</v>
      </c>
      <c r="AN73" s="253">
        <v>36.26</v>
      </c>
      <c r="AO73" s="253">
        <v>3.63</v>
      </c>
      <c r="AP73" s="253">
        <v>10.88</v>
      </c>
      <c r="AQ73" s="253">
        <v>107.04</v>
      </c>
      <c r="AR73" s="253">
        <v>10.7</v>
      </c>
      <c r="AS73" s="253">
        <v>10.7</v>
      </c>
      <c r="AT73" s="253">
        <v>160.55000000000001</v>
      </c>
      <c r="AU73" s="253">
        <v>32.11</v>
      </c>
      <c r="AV73" s="253">
        <v>8.44</v>
      </c>
      <c r="AW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J73" s="251"/>
      <c r="BK73" s="251"/>
      <c r="BL73" s="251"/>
      <c r="BM73" s="253">
        <v>115.03</v>
      </c>
      <c r="BN73" s="251"/>
      <c r="BO73" s="251"/>
      <c r="BP73" s="251"/>
      <c r="BQ73" s="251"/>
      <c r="BR73" s="251"/>
      <c r="BS73" s="251"/>
      <c r="BT73" s="253">
        <v>9.6</v>
      </c>
      <c r="BU73" s="253">
        <v>2.74</v>
      </c>
      <c r="BV73" s="253">
        <v>583.83000000000004</v>
      </c>
      <c r="BW73" s="253">
        <v>1223.6500000000001</v>
      </c>
    </row>
    <row r="74" spans="1:75" ht="80.099999999999994" customHeight="1" x14ac:dyDescent="0.2">
      <c r="A74" s="250">
        <v>71</v>
      </c>
      <c r="B74" s="33"/>
      <c r="C74" s="251" t="s">
        <v>206</v>
      </c>
      <c r="D74" s="252">
        <v>28409202500227</v>
      </c>
      <c r="E74" s="253">
        <v>260</v>
      </c>
      <c r="F74" s="251"/>
      <c r="G74" s="251"/>
      <c r="H74" s="251"/>
      <c r="I74" s="253">
        <v>336.71</v>
      </c>
      <c r="J74" s="253">
        <v>3.37</v>
      </c>
      <c r="K74" s="253">
        <v>6.73</v>
      </c>
      <c r="L74" s="253">
        <v>50.51</v>
      </c>
      <c r="M74" s="253">
        <v>10.1</v>
      </c>
      <c r="N74" s="253">
        <v>712.51</v>
      </c>
      <c r="O74" s="253">
        <v>49.87</v>
      </c>
      <c r="P74" s="253">
        <v>49.87</v>
      </c>
      <c r="Q74" s="251"/>
      <c r="R74" s="253">
        <v>812.25</v>
      </c>
      <c r="S74" s="251"/>
      <c r="T74" s="251"/>
      <c r="U74" s="253">
        <v>9.36</v>
      </c>
      <c r="V74" s="253">
        <v>50</v>
      </c>
      <c r="W74" s="251"/>
      <c r="X74" s="251"/>
      <c r="Y74" s="251"/>
      <c r="Z74" s="251"/>
      <c r="AA74" s="251"/>
      <c r="AB74" s="253">
        <v>3.56</v>
      </c>
      <c r="AC74" s="253">
        <v>62.92</v>
      </c>
      <c r="AD74" s="253">
        <v>932.79</v>
      </c>
      <c r="AE74" s="253">
        <v>932.79</v>
      </c>
      <c r="AF74" s="253">
        <v>9.33</v>
      </c>
      <c r="AG74" s="253">
        <v>139.91999999999999</v>
      </c>
      <c r="AH74" s="253">
        <v>27.98</v>
      </c>
      <c r="AI74" s="253">
        <v>1123.1099999999999</v>
      </c>
      <c r="AJ74" s="253">
        <v>3.37</v>
      </c>
      <c r="AK74" s="253">
        <v>6.73</v>
      </c>
      <c r="AL74" s="253">
        <v>50.51</v>
      </c>
      <c r="AM74" s="253">
        <v>10.1</v>
      </c>
      <c r="AN74" s="253">
        <v>33.67</v>
      </c>
      <c r="AO74" s="253">
        <v>3.37</v>
      </c>
      <c r="AP74" s="253">
        <v>10.1</v>
      </c>
      <c r="AQ74" s="253">
        <v>93.28</v>
      </c>
      <c r="AR74" s="253">
        <v>9.33</v>
      </c>
      <c r="AS74" s="253">
        <v>9.33</v>
      </c>
      <c r="AT74" s="253">
        <v>139.91999999999999</v>
      </c>
      <c r="AU74" s="253">
        <v>27.98</v>
      </c>
      <c r="AV74" s="251"/>
      <c r="AW74" s="251"/>
      <c r="AX74" s="251"/>
      <c r="AY74" s="251"/>
      <c r="AZ74" s="251"/>
      <c r="BA74" s="253">
        <v>1</v>
      </c>
      <c r="BB74" s="251"/>
      <c r="BC74" s="251"/>
      <c r="BD74" s="251"/>
      <c r="BE74" s="251"/>
      <c r="BF74" s="251"/>
      <c r="BG74" s="251"/>
      <c r="BH74" s="253">
        <v>50</v>
      </c>
      <c r="BI74" s="251"/>
      <c r="BJ74" s="251"/>
      <c r="BK74" s="251"/>
      <c r="BL74" s="251"/>
      <c r="BM74" s="251"/>
      <c r="BN74" s="251"/>
      <c r="BO74" s="251"/>
      <c r="BP74" s="251"/>
      <c r="BQ74" s="251"/>
      <c r="BR74" s="251"/>
      <c r="BS74" s="253">
        <v>0.02</v>
      </c>
      <c r="BT74" s="253">
        <v>4.7</v>
      </c>
      <c r="BU74" s="251"/>
      <c r="BV74" s="253">
        <v>453.41</v>
      </c>
      <c r="BW74" s="253">
        <v>669.7</v>
      </c>
    </row>
    <row r="75" spans="1:75" ht="80.099999999999994" customHeight="1" x14ac:dyDescent="0.2">
      <c r="A75" s="250">
        <v>72</v>
      </c>
      <c r="B75" s="34"/>
      <c r="C75" s="251" t="s">
        <v>207</v>
      </c>
      <c r="D75" s="252">
        <v>28003102503168</v>
      </c>
      <c r="E75" s="253">
        <v>255</v>
      </c>
      <c r="F75" s="251"/>
      <c r="G75" s="251"/>
      <c r="H75" s="251"/>
      <c r="I75" s="253">
        <v>330.23</v>
      </c>
      <c r="J75" s="253">
        <v>3.3</v>
      </c>
      <c r="K75" s="253">
        <v>6.6</v>
      </c>
      <c r="L75" s="253">
        <v>49.53</v>
      </c>
      <c r="M75" s="253">
        <v>9.91</v>
      </c>
      <c r="N75" s="253">
        <v>1032.52</v>
      </c>
      <c r="O75" s="253">
        <v>72.28</v>
      </c>
      <c r="P75" s="253">
        <v>72.28</v>
      </c>
      <c r="Q75" s="251"/>
      <c r="R75" s="253">
        <v>1177.08</v>
      </c>
      <c r="S75" s="251"/>
      <c r="T75" s="251"/>
      <c r="U75" s="253">
        <v>14.4</v>
      </c>
      <c r="V75" s="253">
        <v>50</v>
      </c>
      <c r="W75" s="251"/>
      <c r="X75" s="251"/>
      <c r="Y75" s="251"/>
      <c r="Z75" s="251"/>
      <c r="AA75" s="251"/>
      <c r="AB75" s="253">
        <v>5.14</v>
      </c>
      <c r="AC75" s="253">
        <v>69.540000000000006</v>
      </c>
      <c r="AD75" s="253">
        <v>866.39</v>
      </c>
      <c r="AE75" s="253">
        <v>866.39</v>
      </c>
      <c r="AF75" s="253">
        <v>8.66</v>
      </c>
      <c r="AG75" s="253">
        <v>129.96</v>
      </c>
      <c r="AH75" s="253">
        <v>25.99</v>
      </c>
      <c r="AI75" s="253">
        <v>1480.57</v>
      </c>
      <c r="AJ75" s="253">
        <v>3.3</v>
      </c>
      <c r="AK75" s="253">
        <v>6.6</v>
      </c>
      <c r="AL75" s="253">
        <v>49.53</v>
      </c>
      <c r="AM75" s="253">
        <v>9.91</v>
      </c>
      <c r="AN75" s="253">
        <v>33.020000000000003</v>
      </c>
      <c r="AO75" s="253">
        <v>3.3</v>
      </c>
      <c r="AP75" s="253">
        <v>9.91</v>
      </c>
      <c r="AQ75" s="253">
        <v>86.64</v>
      </c>
      <c r="AR75" s="253">
        <v>8.66</v>
      </c>
      <c r="AS75" s="253">
        <v>8.66</v>
      </c>
      <c r="AT75" s="253">
        <v>129.96</v>
      </c>
      <c r="AU75" s="253">
        <v>25.99</v>
      </c>
      <c r="AV75" s="253">
        <v>60</v>
      </c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BO75" s="251"/>
      <c r="BP75" s="251"/>
      <c r="BQ75" s="251"/>
      <c r="BR75" s="251"/>
      <c r="BS75" s="253">
        <v>0.04</v>
      </c>
      <c r="BT75" s="253">
        <v>7.4</v>
      </c>
      <c r="BU75" s="251"/>
      <c r="BV75" s="253">
        <v>442.92</v>
      </c>
      <c r="BW75" s="253">
        <v>1037.6500000000001</v>
      </c>
    </row>
    <row r="76" spans="1:75" ht="80.099999999999994" customHeight="1" x14ac:dyDescent="0.2">
      <c r="A76" s="250">
        <v>73</v>
      </c>
      <c r="B76" s="33"/>
      <c r="C76" s="251" t="s">
        <v>208</v>
      </c>
      <c r="D76" s="252">
        <v>27806222500083</v>
      </c>
      <c r="E76" s="253">
        <v>283</v>
      </c>
      <c r="F76" s="251"/>
      <c r="G76" s="251"/>
      <c r="H76" s="251"/>
      <c r="I76" s="253">
        <v>366.49</v>
      </c>
      <c r="J76" s="253">
        <v>3.66</v>
      </c>
      <c r="K76" s="253">
        <v>7.33</v>
      </c>
      <c r="L76" s="253">
        <v>54.97</v>
      </c>
      <c r="M76" s="253">
        <v>10.99</v>
      </c>
      <c r="N76" s="253">
        <v>1145.97</v>
      </c>
      <c r="O76" s="253">
        <v>80.22</v>
      </c>
      <c r="P76" s="253">
        <v>80.22</v>
      </c>
      <c r="Q76" s="251"/>
      <c r="R76" s="253">
        <v>1306.4100000000001</v>
      </c>
      <c r="S76" s="251"/>
      <c r="T76" s="251"/>
      <c r="U76" s="253">
        <v>21</v>
      </c>
      <c r="V76" s="253">
        <v>50</v>
      </c>
      <c r="W76" s="251"/>
      <c r="X76" s="251"/>
      <c r="Y76" s="251"/>
      <c r="Z76" s="251"/>
      <c r="AA76" s="253">
        <v>19.739999999999998</v>
      </c>
      <c r="AB76" s="253">
        <v>5.69</v>
      </c>
      <c r="AC76" s="253">
        <v>96.43</v>
      </c>
      <c r="AD76" s="253">
        <v>986.35</v>
      </c>
      <c r="AE76" s="253">
        <v>986.35</v>
      </c>
      <c r="AF76" s="253">
        <v>9.86</v>
      </c>
      <c r="AG76" s="253">
        <v>147.94999999999999</v>
      </c>
      <c r="AH76" s="253">
        <v>29.59</v>
      </c>
      <c r="AI76" s="253">
        <v>1667.19</v>
      </c>
      <c r="AJ76" s="253">
        <v>3.66</v>
      </c>
      <c r="AK76" s="253">
        <v>7.33</v>
      </c>
      <c r="AL76" s="253">
        <v>54.97</v>
      </c>
      <c r="AM76" s="253">
        <v>10.99</v>
      </c>
      <c r="AN76" s="253">
        <v>36.65</v>
      </c>
      <c r="AO76" s="253">
        <v>3.66</v>
      </c>
      <c r="AP76" s="253">
        <v>10.99</v>
      </c>
      <c r="AQ76" s="253">
        <v>98.64</v>
      </c>
      <c r="AR76" s="253">
        <v>9.86</v>
      </c>
      <c r="AS76" s="253">
        <v>9.86</v>
      </c>
      <c r="AT76" s="253">
        <v>147.94999999999999</v>
      </c>
      <c r="AU76" s="253">
        <v>29.59</v>
      </c>
      <c r="AV76" s="251"/>
      <c r="AW76" s="251"/>
      <c r="AX76" s="251"/>
      <c r="AY76" s="251"/>
      <c r="AZ76" s="253">
        <v>35</v>
      </c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BO76" s="251"/>
      <c r="BP76" s="251"/>
      <c r="BQ76" s="251"/>
      <c r="BR76" s="251"/>
      <c r="BS76" s="253">
        <v>0.04</v>
      </c>
      <c r="BT76" s="253">
        <v>8.5500000000000007</v>
      </c>
      <c r="BU76" s="251"/>
      <c r="BV76" s="253">
        <v>467.74</v>
      </c>
      <c r="BW76" s="253">
        <v>1199.45</v>
      </c>
    </row>
    <row r="77" spans="1:75" ht="80.099999999999994" customHeight="1" x14ac:dyDescent="0.2">
      <c r="A77" s="250">
        <v>74</v>
      </c>
      <c r="B77" s="34"/>
      <c r="C77" s="251" t="s">
        <v>209</v>
      </c>
      <c r="D77" s="252">
        <v>27512112500165</v>
      </c>
      <c r="E77" s="253">
        <v>288</v>
      </c>
      <c r="F77" s="251"/>
      <c r="G77" s="251"/>
      <c r="H77" s="251"/>
      <c r="I77" s="253">
        <v>372.97</v>
      </c>
      <c r="J77" s="253">
        <v>3.73</v>
      </c>
      <c r="K77" s="253">
        <v>7.46</v>
      </c>
      <c r="L77" s="253">
        <v>55.95</v>
      </c>
      <c r="M77" s="253">
        <v>11.19</v>
      </c>
      <c r="N77" s="253">
        <v>1145.97</v>
      </c>
      <c r="O77" s="253">
        <v>80.22</v>
      </c>
      <c r="P77" s="253">
        <v>80.22</v>
      </c>
      <c r="Q77" s="251"/>
      <c r="R77" s="253">
        <v>1306.4100000000001</v>
      </c>
      <c r="S77" s="251"/>
      <c r="T77" s="251"/>
      <c r="U77" s="253">
        <v>21</v>
      </c>
      <c r="V77" s="253">
        <v>150</v>
      </c>
      <c r="W77" s="251"/>
      <c r="X77" s="251"/>
      <c r="Y77" s="251"/>
      <c r="Z77" s="251"/>
      <c r="AA77" s="253">
        <v>61.68</v>
      </c>
      <c r="AB77" s="253">
        <v>5.92</v>
      </c>
      <c r="AC77" s="253">
        <v>238.6</v>
      </c>
      <c r="AD77" s="253">
        <v>1022.04</v>
      </c>
      <c r="AE77" s="253">
        <v>1022.04</v>
      </c>
      <c r="AF77" s="253">
        <v>10.220000000000001</v>
      </c>
      <c r="AG77" s="253">
        <v>153.31</v>
      </c>
      <c r="AH77" s="253">
        <v>30.66</v>
      </c>
      <c r="AI77" s="253">
        <v>1817.53</v>
      </c>
      <c r="AJ77" s="253">
        <v>3.73</v>
      </c>
      <c r="AK77" s="253">
        <v>7.46</v>
      </c>
      <c r="AL77" s="253">
        <v>55.95</v>
      </c>
      <c r="AM77" s="253">
        <v>11.19</v>
      </c>
      <c r="AN77" s="253">
        <v>37.299999999999997</v>
      </c>
      <c r="AO77" s="253">
        <v>3.73</v>
      </c>
      <c r="AP77" s="253">
        <v>11.19</v>
      </c>
      <c r="AQ77" s="253">
        <v>102.2</v>
      </c>
      <c r="AR77" s="253">
        <v>10.220000000000001</v>
      </c>
      <c r="AS77" s="253">
        <v>10.220000000000001</v>
      </c>
      <c r="AT77" s="253">
        <v>153.31</v>
      </c>
      <c r="AU77" s="253">
        <v>30.66</v>
      </c>
      <c r="AV77" s="253">
        <v>5.52</v>
      </c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3">
        <v>0.04</v>
      </c>
      <c r="BT77" s="253">
        <v>9.8000000000000007</v>
      </c>
      <c r="BU77" s="253">
        <v>3.21</v>
      </c>
      <c r="BV77" s="253">
        <v>455.73</v>
      </c>
      <c r="BW77" s="253">
        <v>1361.8</v>
      </c>
    </row>
    <row r="78" spans="1:75" ht="80.099999999999994" customHeight="1" x14ac:dyDescent="0.2">
      <c r="A78" s="250">
        <v>75</v>
      </c>
      <c r="B78" s="33"/>
      <c r="C78" s="251" t="s">
        <v>210</v>
      </c>
      <c r="D78" s="252">
        <v>28108052500126</v>
      </c>
      <c r="E78" s="253">
        <v>275</v>
      </c>
      <c r="F78" s="251"/>
      <c r="G78" s="251"/>
      <c r="H78" s="251"/>
      <c r="I78" s="253">
        <v>356.13</v>
      </c>
      <c r="J78" s="253">
        <v>3.56</v>
      </c>
      <c r="K78" s="253">
        <v>7.12</v>
      </c>
      <c r="L78" s="253">
        <v>53.42</v>
      </c>
      <c r="M78" s="253">
        <v>10.68</v>
      </c>
      <c r="N78" s="253">
        <v>1158.02</v>
      </c>
      <c r="O78" s="253">
        <v>81.06</v>
      </c>
      <c r="P78" s="253">
        <v>81.06</v>
      </c>
      <c r="Q78" s="251"/>
      <c r="R78" s="253">
        <v>1320.14</v>
      </c>
      <c r="S78" s="251"/>
      <c r="T78" s="251"/>
      <c r="U78" s="253">
        <v>21</v>
      </c>
      <c r="V78" s="253">
        <v>50</v>
      </c>
      <c r="W78" s="251"/>
      <c r="X78" s="251"/>
      <c r="Y78" s="251"/>
      <c r="Z78" s="251"/>
      <c r="AA78" s="253">
        <v>5.25</v>
      </c>
      <c r="AB78" s="253">
        <v>5.7</v>
      </c>
      <c r="AC78" s="253">
        <v>81.95</v>
      </c>
      <c r="AD78" s="253">
        <v>995.96</v>
      </c>
      <c r="AE78" s="253">
        <v>995.96</v>
      </c>
      <c r="AF78" s="253">
        <v>9.9600000000000009</v>
      </c>
      <c r="AG78" s="253">
        <v>149.38999999999999</v>
      </c>
      <c r="AH78" s="253">
        <v>29.88</v>
      </c>
      <c r="AI78" s="253">
        <v>1666.1</v>
      </c>
      <c r="AJ78" s="253">
        <v>3.56</v>
      </c>
      <c r="AK78" s="253">
        <v>7.12</v>
      </c>
      <c r="AL78" s="253">
        <v>53.42</v>
      </c>
      <c r="AM78" s="253">
        <v>10.68</v>
      </c>
      <c r="AN78" s="253">
        <v>35.61</v>
      </c>
      <c r="AO78" s="253">
        <v>3.56</v>
      </c>
      <c r="AP78" s="253">
        <v>10.68</v>
      </c>
      <c r="AQ78" s="253">
        <v>99.6</v>
      </c>
      <c r="AR78" s="253">
        <v>9.9600000000000009</v>
      </c>
      <c r="AS78" s="253">
        <v>9.9600000000000009</v>
      </c>
      <c r="AT78" s="253">
        <v>149.38999999999999</v>
      </c>
      <c r="AU78" s="253">
        <v>29.88</v>
      </c>
      <c r="AV78" s="253">
        <v>2.5299999999999998</v>
      </c>
      <c r="AW78" s="251"/>
      <c r="AX78" s="251"/>
      <c r="AY78" s="251"/>
      <c r="AZ78" s="251"/>
      <c r="BA78" s="251"/>
      <c r="BB78" s="251"/>
      <c r="BC78" s="251"/>
      <c r="BD78" s="251"/>
      <c r="BE78" s="251"/>
      <c r="BF78" s="253">
        <v>37.450000000000003</v>
      </c>
      <c r="BG78" s="251"/>
      <c r="BH78" s="253">
        <v>50</v>
      </c>
      <c r="BI78" s="251"/>
      <c r="BJ78" s="251"/>
      <c r="BK78" s="251"/>
      <c r="BL78" s="251"/>
      <c r="BM78" s="251"/>
      <c r="BN78" s="251"/>
      <c r="BO78" s="251"/>
      <c r="BP78" s="251"/>
      <c r="BQ78" s="251"/>
      <c r="BR78" s="251"/>
      <c r="BS78" s="253">
        <v>0.01</v>
      </c>
      <c r="BT78" s="253">
        <v>8.8000000000000007</v>
      </c>
      <c r="BU78" s="253">
        <v>0.54</v>
      </c>
      <c r="BV78" s="253">
        <v>522.75</v>
      </c>
      <c r="BW78" s="253">
        <v>1143.3499999999999</v>
      </c>
    </row>
    <row r="79" spans="1:75" ht="80.099999999999994" customHeight="1" x14ac:dyDescent="0.2">
      <c r="A79" s="250">
        <v>76</v>
      </c>
      <c r="B79" s="34"/>
      <c r="C79" s="251" t="s">
        <v>211</v>
      </c>
      <c r="D79" s="252">
        <v>26701012500404</v>
      </c>
      <c r="E79" s="253">
        <v>278</v>
      </c>
      <c r="F79" s="251"/>
      <c r="G79" s="251"/>
      <c r="H79" s="251"/>
      <c r="I79" s="253">
        <v>360.02</v>
      </c>
      <c r="J79" s="253">
        <v>3.6</v>
      </c>
      <c r="K79" s="253">
        <v>7.2</v>
      </c>
      <c r="L79" s="253">
        <v>54</v>
      </c>
      <c r="M79" s="253">
        <v>10.8</v>
      </c>
      <c r="N79" s="253">
        <v>1203.27</v>
      </c>
      <c r="O79" s="253">
        <v>84.23</v>
      </c>
      <c r="P79" s="253">
        <v>84.23</v>
      </c>
      <c r="Q79" s="251"/>
      <c r="R79" s="253">
        <v>1371.73</v>
      </c>
      <c r="S79" s="251"/>
      <c r="T79" s="251"/>
      <c r="U79" s="253">
        <v>21</v>
      </c>
      <c r="V79" s="253">
        <v>50</v>
      </c>
      <c r="W79" s="251"/>
      <c r="X79" s="251"/>
      <c r="Y79" s="251"/>
      <c r="Z79" s="251"/>
      <c r="AA79" s="253">
        <v>2.69</v>
      </c>
      <c r="AB79" s="253">
        <v>5.63</v>
      </c>
      <c r="AC79" s="253">
        <v>79.319999999999993</v>
      </c>
      <c r="AD79" s="253">
        <v>1041.03</v>
      </c>
      <c r="AE79" s="253">
        <v>1041.03</v>
      </c>
      <c r="AF79" s="253">
        <v>10.41</v>
      </c>
      <c r="AG79" s="253">
        <v>156.15</v>
      </c>
      <c r="AH79" s="253">
        <v>31.23</v>
      </c>
      <c r="AI79" s="253">
        <v>1724.44</v>
      </c>
      <c r="AJ79" s="253">
        <v>3.6</v>
      </c>
      <c r="AK79" s="253">
        <v>7.2</v>
      </c>
      <c r="AL79" s="253">
        <v>54</v>
      </c>
      <c r="AM79" s="253">
        <v>10.8</v>
      </c>
      <c r="AN79" s="253">
        <v>36</v>
      </c>
      <c r="AO79" s="253">
        <v>3.6</v>
      </c>
      <c r="AP79" s="253">
        <v>10.8</v>
      </c>
      <c r="AQ79" s="253">
        <v>104.1</v>
      </c>
      <c r="AR79" s="253">
        <v>10.41</v>
      </c>
      <c r="AS79" s="253">
        <v>10.41</v>
      </c>
      <c r="AT79" s="253">
        <v>156.15</v>
      </c>
      <c r="AU79" s="253">
        <v>31.23</v>
      </c>
      <c r="AV79" s="253">
        <v>29.76</v>
      </c>
      <c r="AW79" s="251"/>
      <c r="AX79" s="251"/>
      <c r="AY79" s="251"/>
      <c r="AZ79" s="251"/>
      <c r="BA79" s="251"/>
      <c r="BB79" s="251"/>
      <c r="BC79" s="251"/>
      <c r="BD79" s="253">
        <v>2</v>
      </c>
      <c r="BE79" s="253">
        <v>1</v>
      </c>
      <c r="BF79" s="251"/>
      <c r="BG79" s="251"/>
      <c r="BH79" s="251"/>
      <c r="BI79" s="251"/>
      <c r="BJ79" s="251"/>
      <c r="BK79" s="251"/>
      <c r="BL79" s="251"/>
      <c r="BM79" s="251"/>
      <c r="BN79" s="251"/>
      <c r="BO79" s="251"/>
      <c r="BP79" s="251"/>
      <c r="BQ79" s="251"/>
      <c r="BR79" s="251"/>
      <c r="BS79" s="253">
        <v>0.02</v>
      </c>
      <c r="BT79" s="253">
        <v>8.9</v>
      </c>
      <c r="BU79" s="253">
        <v>0.86</v>
      </c>
      <c r="BV79" s="253">
        <v>480.84</v>
      </c>
      <c r="BW79" s="253">
        <v>1243.5999999999999</v>
      </c>
    </row>
    <row r="80" spans="1:75" ht="80.099999999999994" customHeight="1" x14ac:dyDescent="0.2">
      <c r="A80" s="250">
        <v>77</v>
      </c>
      <c r="B80" s="33"/>
      <c r="C80" s="251" t="s">
        <v>212</v>
      </c>
      <c r="D80" s="252">
        <v>28409082500082</v>
      </c>
      <c r="E80" s="253">
        <v>274</v>
      </c>
      <c r="F80" s="251"/>
      <c r="G80" s="251"/>
      <c r="H80" s="251"/>
      <c r="I80" s="253">
        <v>354.84</v>
      </c>
      <c r="J80" s="253">
        <v>3.55</v>
      </c>
      <c r="K80" s="253">
        <v>7.1</v>
      </c>
      <c r="L80" s="253">
        <v>53.23</v>
      </c>
      <c r="M80" s="253">
        <v>10.65</v>
      </c>
      <c r="N80" s="253">
        <v>744.88</v>
      </c>
      <c r="O80" s="253">
        <v>52.14</v>
      </c>
      <c r="P80" s="253">
        <v>52.14</v>
      </c>
      <c r="Q80" s="251"/>
      <c r="R80" s="253">
        <v>849.16</v>
      </c>
      <c r="S80" s="251"/>
      <c r="T80" s="251"/>
      <c r="U80" s="253">
        <v>13.65</v>
      </c>
      <c r="V80" s="253">
        <v>95</v>
      </c>
      <c r="W80" s="251"/>
      <c r="X80" s="251"/>
      <c r="Y80" s="251"/>
      <c r="Z80" s="251"/>
      <c r="AA80" s="251"/>
      <c r="AB80" s="253">
        <v>3.63</v>
      </c>
      <c r="AC80" s="253">
        <v>112.28</v>
      </c>
      <c r="AD80" s="253">
        <v>978.15</v>
      </c>
      <c r="AE80" s="253">
        <v>978.15</v>
      </c>
      <c r="AF80" s="253">
        <v>9.7799999999999994</v>
      </c>
      <c r="AG80" s="253">
        <v>146.72</v>
      </c>
      <c r="AH80" s="253">
        <v>29.34</v>
      </c>
      <c r="AI80" s="253">
        <v>1221.81</v>
      </c>
      <c r="AJ80" s="253">
        <v>3.55</v>
      </c>
      <c r="AK80" s="253">
        <v>7.1</v>
      </c>
      <c r="AL80" s="253">
        <v>53.23</v>
      </c>
      <c r="AM80" s="253">
        <v>10.65</v>
      </c>
      <c r="AN80" s="253">
        <v>35.479999999999997</v>
      </c>
      <c r="AO80" s="253">
        <v>3.55</v>
      </c>
      <c r="AP80" s="253">
        <v>10.65</v>
      </c>
      <c r="AQ80" s="253">
        <v>97.81</v>
      </c>
      <c r="AR80" s="253">
        <v>9.7799999999999994</v>
      </c>
      <c r="AS80" s="253">
        <v>9.7799999999999994</v>
      </c>
      <c r="AT80" s="253">
        <v>146.72</v>
      </c>
      <c r="AU80" s="253">
        <v>29.34</v>
      </c>
      <c r="AV80" s="251"/>
      <c r="AW80" s="251"/>
      <c r="AX80" s="251"/>
      <c r="AY80" s="251"/>
      <c r="AZ80" s="253">
        <v>35</v>
      </c>
      <c r="BA80" s="251"/>
      <c r="BB80" s="251"/>
      <c r="BC80" s="251"/>
      <c r="BD80" s="253">
        <v>2</v>
      </c>
      <c r="BE80" s="253">
        <v>1</v>
      </c>
      <c r="BF80" s="251"/>
      <c r="BG80" s="251"/>
      <c r="BH80" s="251"/>
      <c r="BI80" s="251"/>
      <c r="BJ80" s="251"/>
      <c r="BK80" s="251"/>
      <c r="BL80" s="251"/>
      <c r="BM80" s="251"/>
      <c r="BN80" s="251"/>
      <c r="BO80" s="251"/>
      <c r="BP80" s="251"/>
      <c r="BQ80" s="251"/>
      <c r="BR80" s="251"/>
      <c r="BS80" s="253">
        <v>0.02</v>
      </c>
      <c r="BT80" s="253">
        <v>4.95</v>
      </c>
      <c r="BU80" s="251"/>
      <c r="BV80" s="253">
        <v>460.61</v>
      </c>
      <c r="BW80" s="253">
        <v>761.2</v>
      </c>
    </row>
    <row r="81" spans="1:75" ht="80.099999999999994" customHeight="1" x14ac:dyDescent="0.2">
      <c r="A81" s="250">
        <v>78</v>
      </c>
      <c r="B81" s="34"/>
      <c r="C81" s="251" t="s">
        <v>213</v>
      </c>
      <c r="D81" s="252">
        <v>28310112500426</v>
      </c>
      <c r="E81" s="253">
        <v>246</v>
      </c>
      <c r="F81" s="251"/>
      <c r="G81" s="253">
        <v>100</v>
      </c>
      <c r="H81" s="251"/>
      <c r="I81" s="253">
        <v>318.58</v>
      </c>
      <c r="J81" s="253">
        <v>3.19</v>
      </c>
      <c r="K81" s="253">
        <v>6.37</v>
      </c>
      <c r="L81" s="253">
        <v>47.79</v>
      </c>
      <c r="M81" s="253">
        <v>9.56</v>
      </c>
      <c r="N81" s="253">
        <v>1011.29</v>
      </c>
      <c r="O81" s="253">
        <v>70.790000000000006</v>
      </c>
      <c r="P81" s="253">
        <v>70.790000000000006</v>
      </c>
      <c r="Q81" s="251"/>
      <c r="R81" s="253">
        <v>1152.8699999999999</v>
      </c>
      <c r="S81" s="251"/>
      <c r="T81" s="251"/>
      <c r="U81" s="253">
        <v>14.4</v>
      </c>
      <c r="V81" s="253">
        <v>50</v>
      </c>
      <c r="W81" s="251"/>
      <c r="X81" s="251"/>
      <c r="Y81" s="251"/>
      <c r="Z81" s="251"/>
      <c r="AA81" s="251"/>
      <c r="AB81" s="253">
        <v>5.08</v>
      </c>
      <c r="AC81" s="253">
        <v>169.48</v>
      </c>
      <c r="AD81" s="253">
        <v>953.77</v>
      </c>
      <c r="AE81" s="253">
        <v>953.77</v>
      </c>
      <c r="AF81" s="253">
        <v>9.5399999999999991</v>
      </c>
      <c r="AG81" s="253">
        <v>143.07</v>
      </c>
      <c r="AH81" s="253">
        <v>28.61</v>
      </c>
      <c r="AI81" s="253">
        <v>1570.48</v>
      </c>
      <c r="AJ81" s="253">
        <v>3.19</v>
      </c>
      <c r="AK81" s="253">
        <v>6.37</v>
      </c>
      <c r="AL81" s="253">
        <v>47.79</v>
      </c>
      <c r="AM81" s="253">
        <v>9.56</v>
      </c>
      <c r="AN81" s="253">
        <v>31.86</v>
      </c>
      <c r="AO81" s="253">
        <v>3.19</v>
      </c>
      <c r="AP81" s="253">
        <v>9.56</v>
      </c>
      <c r="AQ81" s="253">
        <v>95.38</v>
      </c>
      <c r="AR81" s="253">
        <v>9.5399999999999991</v>
      </c>
      <c r="AS81" s="253">
        <v>9.5399999999999991</v>
      </c>
      <c r="AT81" s="253">
        <v>143.07</v>
      </c>
      <c r="AU81" s="253">
        <v>28.61</v>
      </c>
      <c r="AV81" s="251"/>
      <c r="AW81" s="253">
        <v>216.5</v>
      </c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3">
        <v>54.92</v>
      </c>
      <c r="BR81" s="251"/>
      <c r="BS81" s="251"/>
      <c r="BT81" s="253">
        <v>6.25</v>
      </c>
      <c r="BU81" s="251"/>
      <c r="BV81" s="253">
        <v>675.33</v>
      </c>
      <c r="BW81" s="253">
        <v>895.15</v>
      </c>
    </row>
    <row r="82" spans="1:75" ht="80.099999999999994" customHeight="1" x14ac:dyDescent="0.2">
      <c r="A82" s="250">
        <v>79</v>
      </c>
      <c r="B82" s="33"/>
      <c r="C82" s="251" t="s">
        <v>214</v>
      </c>
      <c r="D82" s="252">
        <v>28712152500268</v>
      </c>
      <c r="E82" s="253">
        <v>255</v>
      </c>
      <c r="F82" s="251"/>
      <c r="G82" s="251"/>
      <c r="H82" s="251"/>
      <c r="I82" s="253">
        <v>330.23</v>
      </c>
      <c r="J82" s="253">
        <v>3.3</v>
      </c>
      <c r="K82" s="253">
        <v>6.6</v>
      </c>
      <c r="L82" s="253">
        <v>49.53</v>
      </c>
      <c r="M82" s="253">
        <v>9.91</v>
      </c>
      <c r="N82" s="253">
        <v>961.72</v>
      </c>
      <c r="O82" s="253">
        <v>67.319999999999993</v>
      </c>
      <c r="P82" s="253">
        <v>67.319999999999993</v>
      </c>
      <c r="Q82" s="251"/>
      <c r="R82" s="253">
        <v>1096.3599999999999</v>
      </c>
      <c r="S82" s="251"/>
      <c r="T82" s="251"/>
      <c r="U82" s="253">
        <v>14.4</v>
      </c>
      <c r="V82" s="253">
        <v>50</v>
      </c>
      <c r="W82" s="251"/>
      <c r="X82" s="251"/>
      <c r="Y82" s="251"/>
      <c r="Z82" s="253">
        <v>14.4</v>
      </c>
      <c r="AA82" s="251"/>
      <c r="AB82" s="253">
        <v>5.14</v>
      </c>
      <c r="AC82" s="253">
        <v>83.94</v>
      </c>
      <c r="AD82" s="253">
        <v>800.07</v>
      </c>
      <c r="AE82" s="253">
        <v>800.07</v>
      </c>
      <c r="AF82" s="253">
        <v>8</v>
      </c>
      <c r="AG82" s="253">
        <v>120.01</v>
      </c>
      <c r="AH82" s="253">
        <v>24</v>
      </c>
      <c r="AI82" s="253">
        <v>1401.65</v>
      </c>
      <c r="AJ82" s="253">
        <v>3.3</v>
      </c>
      <c r="AK82" s="253">
        <v>6.6</v>
      </c>
      <c r="AL82" s="253">
        <v>49.53</v>
      </c>
      <c r="AM82" s="253">
        <v>9.91</v>
      </c>
      <c r="AN82" s="253">
        <v>33.020000000000003</v>
      </c>
      <c r="AO82" s="253">
        <v>3.3</v>
      </c>
      <c r="AP82" s="253">
        <v>9.91</v>
      </c>
      <c r="AQ82" s="253">
        <v>80.010000000000005</v>
      </c>
      <c r="AR82" s="253">
        <v>8</v>
      </c>
      <c r="AS82" s="253">
        <v>8</v>
      </c>
      <c r="AT82" s="253">
        <v>120.01</v>
      </c>
      <c r="AU82" s="253">
        <v>24</v>
      </c>
      <c r="AV82" s="251"/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1"/>
      <c r="BQ82" s="251"/>
      <c r="BR82" s="251"/>
      <c r="BS82" s="253">
        <v>0.01</v>
      </c>
      <c r="BT82" s="253">
        <v>7.4</v>
      </c>
      <c r="BU82" s="251"/>
      <c r="BV82" s="253">
        <v>363</v>
      </c>
      <c r="BW82" s="253">
        <v>1038.6500000000001</v>
      </c>
    </row>
    <row r="83" spans="1:75" ht="80.099999999999994" customHeight="1" x14ac:dyDescent="0.2">
      <c r="A83" s="250">
        <v>80</v>
      </c>
      <c r="B83" s="34"/>
      <c r="C83" s="251" t="s">
        <v>215</v>
      </c>
      <c r="D83" s="252">
        <v>28708232500181</v>
      </c>
      <c r="E83" s="253">
        <v>255</v>
      </c>
      <c r="F83" s="253">
        <v>213.02</v>
      </c>
      <c r="G83" s="251"/>
      <c r="H83" s="251"/>
      <c r="I83" s="253">
        <v>330.23</v>
      </c>
      <c r="J83" s="253">
        <v>3.3</v>
      </c>
      <c r="K83" s="253">
        <v>6.6</v>
      </c>
      <c r="L83" s="253">
        <v>49.53</v>
      </c>
      <c r="M83" s="253">
        <v>9.91</v>
      </c>
      <c r="N83" s="253">
        <v>1032.52</v>
      </c>
      <c r="O83" s="253">
        <v>72.28</v>
      </c>
      <c r="P83" s="253">
        <v>72.28</v>
      </c>
      <c r="Q83" s="251"/>
      <c r="R83" s="253">
        <v>1177.08</v>
      </c>
      <c r="S83" s="251"/>
      <c r="T83" s="251"/>
      <c r="U83" s="253">
        <v>14.4</v>
      </c>
      <c r="V83" s="253">
        <v>50</v>
      </c>
      <c r="W83" s="251"/>
      <c r="X83" s="251"/>
      <c r="Y83" s="251"/>
      <c r="Z83" s="251"/>
      <c r="AA83" s="251"/>
      <c r="AB83" s="253">
        <v>5.14</v>
      </c>
      <c r="AC83" s="253">
        <v>282.56</v>
      </c>
      <c r="AD83" s="253">
        <v>1079.4100000000001</v>
      </c>
      <c r="AE83" s="253">
        <v>1079.4100000000001</v>
      </c>
      <c r="AF83" s="253">
        <v>10.79</v>
      </c>
      <c r="AG83" s="253">
        <v>161.91</v>
      </c>
      <c r="AH83" s="253">
        <v>32.380000000000003</v>
      </c>
      <c r="AI83" s="253">
        <v>1734.06</v>
      </c>
      <c r="AJ83" s="253">
        <v>3.3</v>
      </c>
      <c r="AK83" s="253">
        <v>6.6</v>
      </c>
      <c r="AL83" s="253">
        <v>49.53</v>
      </c>
      <c r="AM83" s="253">
        <v>9.91</v>
      </c>
      <c r="AN83" s="253">
        <v>33.020000000000003</v>
      </c>
      <c r="AO83" s="253">
        <v>3.3</v>
      </c>
      <c r="AP83" s="253">
        <v>9.91</v>
      </c>
      <c r="AQ83" s="253">
        <v>107.94</v>
      </c>
      <c r="AR83" s="253">
        <v>10.79</v>
      </c>
      <c r="AS83" s="253">
        <v>10.79</v>
      </c>
      <c r="AT83" s="253">
        <v>161.91</v>
      </c>
      <c r="AU83" s="253">
        <v>32.380000000000003</v>
      </c>
      <c r="AV83" s="251"/>
      <c r="AW83" s="251"/>
      <c r="AX83" s="251"/>
      <c r="AY83" s="251"/>
      <c r="AZ83" s="253">
        <v>35</v>
      </c>
      <c r="BA83" s="253">
        <v>1</v>
      </c>
      <c r="BB83" s="251"/>
      <c r="BC83" s="251"/>
      <c r="BD83" s="253">
        <v>2</v>
      </c>
      <c r="BE83" s="253">
        <v>1</v>
      </c>
      <c r="BF83" s="251"/>
      <c r="BG83" s="251"/>
      <c r="BH83" s="251"/>
      <c r="BI83" s="251"/>
      <c r="BJ83" s="251"/>
      <c r="BK83" s="251"/>
      <c r="BL83" s="251"/>
      <c r="BM83" s="251"/>
      <c r="BN83" s="251"/>
      <c r="BO83" s="251"/>
      <c r="BP83" s="251"/>
      <c r="BQ83" s="251"/>
      <c r="BR83" s="251"/>
      <c r="BS83" s="253">
        <v>0.03</v>
      </c>
      <c r="BT83" s="253">
        <v>9</v>
      </c>
      <c r="BU83" s="253">
        <v>1.05</v>
      </c>
      <c r="BV83" s="253">
        <v>488.46</v>
      </c>
      <c r="BW83" s="253">
        <v>1245.5999999999999</v>
      </c>
    </row>
    <row r="84" spans="1:75" ht="80.099999999999994" customHeight="1" x14ac:dyDescent="0.2">
      <c r="A84" s="250">
        <v>81</v>
      </c>
      <c r="B84" s="33"/>
      <c r="C84" s="251" t="s">
        <v>216</v>
      </c>
      <c r="D84" s="252">
        <v>28309202500125</v>
      </c>
      <c r="E84" s="253">
        <v>275</v>
      </c>
      <c r="F84" s="251"/>
      <c r="G84" s="251"/>
      <c r="H84" s="251"/>
      <c r="I84" s="253">
        <v>356.13</v>
      </c>
      <c r="J84" s="253">
        <v>3.56</v>
      </c>
      <c r="K84" s="253">
        <v>7.12</v>
      </c>
      <c r="L84" s="253">
        <v>53.42</v>
      </c>
      <c r="M84" s="253">
        <v>10.68</v>
      </c>
      <c r="N84" s="253">
        <v>1158.02</v>
      </c>
      <c r="O84" s="253">
        <v>81.06</v>
      </c>
      <c r="P84" s="253">
        <v>81.06</v>
      </c>
      <c r="Q84" s="251"/>
      <c r="R84" s="253">
        <v>1320.14</v>
      </c>
      <c r="S84" s="251"/>
      <c r="T84" s="251"/>
      <c r="U84" s="253">
        <v>21</v>
      </c>
      <c r="V84" s="253">
        <v>140</v>
      </c>
      <c r="W84" s="251"/>
      <c r="X84" s="251"/>
      <c r="Y84" s="251"/>
      <c r="Z84" s="251"/>
      <c r="AA84" s="253">
        <v>5.25</v>
      </c>
      <c r="AB84" s="253">
        <v>5.7</v>
      </c>
      <c r="AC84" s="253">
        <v>171.95</v>
      </c>
      <c r="AD84" s="253">
        <v>995.96</v>
      </c>
      <c r="AE84" s="253">
        <v>995.96</v>
      </c>
      <c r="AF84" s="253">
        <v>9.9600000000000009</v>
      </c>
      <c r="AG84" s="253">
        <v>149.38999999999999</v>
      </c>
      <c r="AH84" s="253">
        <v>29.88</v>
      </c>
      <c r="AI84" s="253">
        <v>1756.1</v>
      </c>
      <c r="AJ84" s="253">
        <v>3.56</v>
      </c>
      <c r="AK84" s="253">
        <v>7.12</v>
      </c>
      <c r="AL84" s="253">
        <v>53.42</v>
      </c>
      <c r="AM84" s="253">
        <v>10.68</v>
      </c>
      <c r="AN84" s="253">
        <v>35.61</v>
      </c>
      <c r="AO84" s="253">
        <v>3.56</v>
      </c>
      <c r="AP84" s="253">
        <v>10.68</v>
      </c>
      <c r="AQ84" s="253">
        <v>99.6</v>
      </c>
      <c r="AR84" s="253">
        <v>9.9600000000000009</v>
      </c>
      <c r="AS84" s="253">
        <v>9.9600000000000009</v>
      </c>
      <c r="AT84" s="253">
        <v>149.38999999999999</v>
      </c>
      <c r="AU84" s="253">
        <v>29.88</v>
      </c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3">
        <v>0.01</v>
      </c>
      <c r="BT84" s="253">
        <v>9.5</v>
      </c>
      <c r="BU84" s="253">
        <v>2.37</v>
      </c>
      <c r="BV84" s="253">
        <v>435.3</v>
      </c>
      <c r="BW84" s="253">
        <v>1320.8</v>
      </c>
    </row>
    <row r="85" spans="1:75" ht="80.099999999999994" customHeight="1" x14ac:dyDescent="0.2">
      <c r="A85" s="250">
        <v>82</v>
      </c>
      <c r="B85" s="34"/>
      <c r="C85" s="251" t="s">
        <v>217</v>
      </c>
      <c r="D85" s="252">
        <v>28204210100288</v>
      </c>
      <c r="E85" s="253">
        <v>263</v>
      </c>
      <c r="F85" s="251"/>
      <c r="G85" s="251"/>
      <c r="H85" s="251"/>
      <c r="I85" s="253">
        <v>340.59</v>
      </c>
      <c r="J85" s="253">
        <v>3.41</v>
      </c>
      <c r="K85" s="253">
        <v>6.81</v>
      </c>
      <c r="L85" s="253">
        <v>51.09</v>
      </c>
      <c r="M85" s="253">
        <v>10.220000000000001</v>
      </c>
      <c r="N85" s="253">
        <v>1159.31</v>
      </c>
      <c r="O85" s="253">
        <v>81.150000000000006</v>
      </c>
      <c r="P85" s="253">
        <v>81.150000000000006</v>
      </c>
      <c r="Q85" s="251"/>
      <c r="R85" s="253">
        <v>1321.61</v>
      </c>
      <c r="S85" s="251"/>
      <c r="T85" s="251"/>
      <c r="U85" s="253">
        <v>19.2</v>
      </c>
      <c r="V85" s="251"/>
      <c r="W85" s="251"/>
      <c r="X85" s="251"/>
      <c r="Y85" s="251"/>
      <c r="Z85" s="251"/>
      <c r="AA85" s="251"/>
      <c r="AB85" s="253">
        <v>5.51</v>
      </c>
      <c r="AC85" s="253">
        <v>24.71</v>
      </c>
      <c r="AD85" s="253">
        <v>1005.73</v>
      </c>
      <c r="AE85" s="253">
        <v>1005.73</v>
      </c>
      <c r="AF85" s="253">
        <v>10.06</v>
      </c>
      <c r="AG85" s="253">
        <v>150.86000000000001</v>
      </c>
      <c r="AH85" s="253">
        <v>30.17</v>
      </c>
      <c r="AI85" s="253">
        <v>1608.94</v>
      </c>
      <c r="AJ85" s="253">
        <v>3.41</v>
      </c>
      <c r="AK85" s="253">
        <v>6.81</v>
      </c>
      <c r="AL85" s="253">
        <v>51.09</v>
      </c>
      <c r="AM85" s="253">
        <v>10.220000000000001</v>
      </c>
      <c r="AN85" s="253">
        <v>34.06</v>
      </c>
      <c r="AO85" s="253">
        <v>3.41</v>
      </c>
      <c r="AP85" s="253">
        <v>10.220000000000001</v>
      </c>
      <c r="AQ85" s="253">
        <v>100.57</v>
      </c>
      <c r="AR85" s="253">
        <v>10.06</v>
      </c>
      <c r="AS85" s="253">
        <v>10.06</v>
      </c>
      <c r="AT85" s="253">
        <v>150.86000000000001</v>
      </c>
      <c r="AU85" s="253">
        <v>30.17</v>
      </c>
      <c r="AV85" s="251"/>
      <c r="AW85" s="251"/>
      <c r="AX85" s="251"/>
      <c r="AY85" s="251"/>
      <c r="AZ85" s="253">
        <v>35</v>
      </c>
      <c r="BA85" s="251"/>
      <c r="BB85" s="251"/>
      <c r="BC85" s="251"/>
      <c r="BD85" s="251"/>
      <c r="BE85" s="251"/>
      <c r="BF85" s="251"/>
      <c r="BG85" s="251"/>
      <c r="BH85" s="251"/>
      <c r="BI85" s="251"/>
      <c r="BJ85" s="251"/>
      <c r="BK85" s="251"/>
      <c r="BL85" s="251"/>
      <c r="BM85" s="251"/>
      <c r="BN85" s="251"/>
      <c r="BO85" s="251"/>
      <c r="BP85" s="251"/>
      <c r="BQ85" s="251"/>
      <c r="BR85" s="251"/>
      <c r="BS85" s="251"/>
      <c r="BT85" s="253">
        <v>8.15</v>
      </c>
      <c r="BU85" s="251"/>
      <c r="BV85" s="253">
        <v>464.09</v>
      </c>
      <c r="BW85" s="253">
        <v>1144.8499999999999</v>
      </c>
    </row>
    <row r="86" spans="1:75" ht="80.099999999999994" customHeight="1" x14ac:dyDescent="0.2">
      <c r="A86" s="250">
        <v>83</v>
      </c>
      <c r="B86" s="33"/>
      <c r="C86" s="251" t="s">
        <v>218</v>
      </c>
      <c r="D86" s="252">
        <v>28707172500121</v>
      </c>
      <c r="E86" s="253">
        <v>260</v>
      </c>
      <c r="F86" s="251"/>
      <c r="G86" s="251"/>
      <c r="H86" s="251"/>
      <c r="I86" s="253">
        <v>336.71</v>
      </c>
      <c r="J86" s="253">
        <v>3.37</v>
      </c>
      <c r="K86" s="253">
        <v>6.73</v>
      </c>
      <c r="L86" s="253">
        <v>50.51</v>
      </c>
      <c r="M86" s="253">
        <v>10.1</v>
      </c>
      <c r="N86" s="253">
        <v>1096.17</v>
      </c>
      <c r="O86" s="253">
        <v>76.73</v>
      </c>
      <c r="P86" s="253">
        <v>76.73</v>
      </c>
      <c r="Q86" s="251"/>
      <c r="R86" s="253">
        <v>1249.6300000000001</v>
      </c>
      <c r="S86" s="251"/>
      <c r="T86" s="251"/>
      <c r="U86" s="253">
        <v>14.4</v>
      </c>
      <c r="V86" s="253">
        <v>50</v>
      </c>
      <c r="W86" s="251"/>
      <c r="X86" s="251"/>
      <c r="Y86" s="251"/>
      <c r="Z86" s="251"/>
      <c r="AA86" s="251"/>
      <c r="AB86" s="253">
        <v>5.47</v>
      </c>
      <c r="AC86" s="253">
        <v>69.87</v>
      </c>
      <c r="AD86" s="253">
        <v>932.79</v>
      </c>
      <c r="AE86" s="253">
        <v>932.79</v>
      </c>
      <c r="AF86" s="253">
        <v>9.33</v>
      </c>
      <c r="AG86" s="253">
        <v>139.91999999999999</v>
      </c>
      <c r="AH86" s="253">
        <v>27.98</v>
      </c>
      <c r="AI86" s="253">
        <v>1567.44</v>
      </c>
      <c r="AJ86" s="253">
        <v>3.37</v>
      </c>
      <c r="AK86" s="253">
        <v>6.73</v>
      </c>
      <c r="AL86" s="253">
        <v>50.51</v>
      </c>
      <c r="AM86" s="253">
        <v>10.1</v>
      </c>
      <c r="AN86" s="253">
        <v>33.67</v>
      </c>
      <c r="AO86" s="253">
        <v>3.37</v>
      </c>
      <c r="AP86" s="253">
        <v>10.1</v>
      </c>
      <c r="AQ86" s="253">
        <v>93.28</v>
      </c>
      <c r="AR86" s="253">
        <v>9.33</v>
      </c>
      <c r="AS86" s="253">
        <v>9.33</v>
      </c>
      <c r="AT86" s="253">
        <v>139.91999999999999</v>
      </c>
      <c r="AU86" s="253">
        <v>27.98</v>
      </c>
      <c r="AV86" s="251"/>
      <c r="AW86" s="251"/>
      <c r="AX86" s="251"/>
      <c r="AY86" s="251"/>
      <c r="AZ86" s="251"/>
      <c r="BA86" s="251"/>
      <c r="BB86" s="251"/>
      <c r="BC86" s="251"/>
      <c r="BD86" s="251"/>
      <c r="BE86" s="251"/>
      <c r="BF86" s="251"/>
      <c r="BG86" s="251"/>
      <c r="BH86" s="253">
        <v>60</v>
      </c>
      <c r="BI86" s="251"/>
      <c r="BJ86" s="251"/>
      <c r="BK86" s="251"/>
      <c r="BL86" s="251"/>
      <c r="BM86" s="251"/>
      <c r="BN86" s="251"/>
      <c r="BO86" s="251"/>
      <c r="BP86" s="251"/>
      <c r="BQ86" s="251"/>
      <c r="BR86" s="251"/>
      <c r="BS86" s="251"/>
      <c r="BT86" s="253">
        <v>8.3000000000000007</v>
      </c>
      <c r="BU86" s="251"/>
      <c r="BV86" s="253">
        <v>465.99</v>
      </c>
      <c r="BW86" s="253">
        <v>1101.45</v>
      </c>
    </row>
    <row r="87" spans="1:75" ht="80.099999999999994" customHeight="1" x14ac:dyDescent="0.2">
      <c r="A87" s="250">
        <v>84</v>
      </c>
      <c r="B87" s="34"/>
      <c r="C87" s="251" t="s">
        <v>219</v>
      </c>
      <c r="D87" s="252">
        <v>28703202500168</v>
      </c>
      <c r="E87" s="253">
        <v>260</v>
      </c>
      <c r="F87" s="251"/>
      <c r="G87" s="251"/>
      <c r="H87" s="251"/>
      <c r="I87" s="253">
        <v>336.71</v>
      </c>
      <c r="J87" s="253">
        <v>3.37</v>
      </c>
      <c r="K87" s="253">
        <v>6.73</v>
      </c>
      <c r="L87" s="253">
        <v>50.51</v>
      </c>
      <c r="M87" s="253">
        <v>10.1</v>
      </c>
      <c r="N87" s="253">
        <v>1096.17</v>
      </c>
      <c r="O87" s="253">
        <v>76.73</v>
      </c>
      <c r="P87" s="253">
        <v>76.73</v>
      </c>
      <c r="Q87" s="251"/>
      <c r="R87" s="253">
        <v>1249.6300000000001</v>
      </c>
      <c r="S87" s="251"/>
      <c r="T87" s="251"/>
      <c r="U87" s="253">
        <v>14.4</v>
      </c>
      <c r="V87" s="253">
        <v>50</v>
      </c>
      <c r="W87" s="251"/>
      <c r="X87" s="251"/>
      <c r="Y87" s="251"/>
      <c r="Z87" s="251"/>
      <c r="AA87" s="251"/>
      <c r="AB87" s="253">
        <v>5.47</v>
      </c>
      <c r="AC87" s="253">
        <v>69.87</v>
      </c>
      <c r="AD87" s="253">
        <v>932.79</v>
      </c>
      <c r="AE87" s="253">
        <v>932.79</v>
      </c>
      <c r="AF87" s="253">
        <v>9.33</v>
      </c>
      <c r="AG87" s="253">
        <v>139.91999999999999</v>
      </c>
      <c r="AH87" s="253">
        <v>27.98</v>
      </c>
      <c r="AI87" s="253">
        <v>1567.44</v>
      </c>
      <c r="AJ87" s="253">
        <v>3.37</v>
      </c>
      <c r="AK87" s="253">
        <v>6.73</v>
      </c>
      <c r="AL87" s="253">
        <v>50.51</v>
      </c>
      <c r="AM87" s="253">
        <v>10.1</v>
      </c>
      <c r="AN87" s="253">
        <v>33.67</v>
      </c>
      <c r="AO87" s="253">
        <v>3.37</v>
      </c>
      <c r="AP87" s="253">
        <v>10.1</v>
      </c>
      <c r="AQ87" s="253">
        <v>93.28</v>
      </c>
      <c r="AR87" s="253">
        <v>9.33</v>
      </c>
      <c r="AS87" s="253">
        <v>9.33</v>
      </c>
      <c r="AT87" s="253">
        <v>139.91999999999999</v>
      </c>
      <c r="AU87" s="253">
        <v>27.98</v>
      </c>
      <c r="AV87" s="251"/>
      <c r="AW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1"/>
      <c r="BI87" s="251"/>
      <c r="BJ87" s="251"/>
      <c r="BK87" s="251"/>
      <c r="BL87" s="251"/>
      <c r="BM87" s="251"/>
      <c r="BN87" s="251"/>
      <c r="BO87" s="251"/>
      <c r="BP87" s="251"/>
      <c r="BQ87" s="251"/>
      <c r="BR87" s="251"/>
      <c r="BS87" s="251"/>
      <c r="BT87" s="253">
        <v>8.3000000000000007</v>
      </c>
      <c r="BU87" s="251"/>
      <c r="BV87" s="253">
        <v>405.99</v>
      </c>
      <c r="BW87" s="253">
        <v>1161.45</v>
      </c>
    </row>
    <row r="88" spans="1:75" ht="80.099999999999994" customHeight="1" x14ac:dyDescent="0.2">
      <c r="A88" s="250">
        <v>85</v>
      </c>
      <c r="B88" s="33"/>
      <c r="C88" s="251" t="s">
        <v>220</v>
      </c>
      <c r="D88" s="252">
        <v>28607202503745</v>
      </c>
      <c r="E88" s="253">
        <v>260</v>
      </c>
      <c r="F88" s="251"/>
      <c r="G88" s="251"/>
      <c r="H88" s="251"/>
      <c r="I88" s="253">
        <v>336.71</v>
      </c>
      <c r="J88" s="253">
        <v>3.37</v>
      </c>
      <c r="K88" s="253">
        <v>6.73</v>
      </c>
      <c r="L88" s="253">
        <v>50.51</v>
      </c>
      <c r="M88" s="253">
        <v>10.1</v>
      </c>
      <c r="N88" s="253">
        <v>1096.17</v>
      </c>
      <c r="O88" s="253">
        <v>76.73</v>
      </c>
      <c r="P88" s="253">
        <v>76.73</v>
      </c>
      <c r="Q88" s="251"/>
      <c r="R88" s="253">
        <v>1249.6300000000001</v>
      </c>
      <c r="S88" s="251"/>
      <c r="T88" s="251"/>
      <c r="U88" s="253">
        <v>14.4</v>
      </c>
      <c r="V88" s="253">
        <v>50</v>
      </c>
      <c r="W88" s="251"/>
      <c r="X88" s="251"/>
      <c r="Y88" s="251"/>
      <c r="Z88" s="251"/>
      <c r="AA88" s="251"/>
      <c r="AB88" s="253">
        <v>5.47</v>
      </c>
      <c r="AC88" s="253">
        <v>69.87</v>
      </c>
      <c r="AD88" s="253">
        <v>932.79</v>
      </c>
      <c r="AE88" s="253">
        <v>932.79</v>
      </c>
      <c r="AF88" s="253">
        <v>9.33</v>
      </c>
      <c r="AG88" s="253">
        <v>139.91999999999999</v>
      </c>
      <c r="AH88" s="253">
        <v>27.98</v>
      </c>
      <c r="AI88" s="253">
        <v>1567.44</v>
      </c>
      <c r="AJ88" s="253">
        <v>3.37</v>
      </c>
      <c r="AK88" s="253">
        <v>6.73</v>
      </c>
      <c r="AL88" s="253">
        <v>50.51</v>
      </c>
      <c r="AM88" s="253">
        <v>10.1</v>
      </c>
      <c r="AN88" s="253">
        <v>33.67</v>
      </c>
      <c r="AO88" s="253">
        <v>3.37</v>
      </c>
      <c r="AP88" s="253">
        <v>10.1</v>
      </c>
      <c r="AQ88" s="253">
        <v>93.28</v>
      </c>
      <c r="AR88" s="253">
        <v>9.33</v>
      </c>
      <c r="AS88" s="253">
        <v>9.33</v>
      </c>
      <c r="AT88" s="253">
        <v>139.91999999999999</v>
      </c>
      <c r="AU88" s="253">
        <v>27.98</v>
      </c>
      <c r="AV88" s="251"/>
      <c r="AW88" s="251"/>
      <c r="AX88" s="251"/>
      <c r="AY88" s="251"/>
      <c r="AZ88" s="253">
        <v>35</v>
      </c>
      <c r="BA88" s="251"/>
      <c r="BB88" s="251"/>
      <c r="BC88" s="251"/>
      <c r="BD88" s="251"/>
      <c r="BE88" s="251"/>
      <c r="BF88" s="251"/>
      <c r="BG88" s="251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1"/>
      <c r="BS88" s="251"/>
      <c r="BT88" s="253">
        <v>8.0500000000000007</v>
      </c>
      <c r="BU88" s="251"/>
      <c r="BV88" s="253">
        <v>440.74</v>
      </c>
      <c r="BW88" s="253">
        <v>1126.7</v>
      </c>
    </row>
    <row r="89" spans="1:75" ht="80.099999999999994" customHeight="1" x14ac:dyDescent="0.2">
      <c r="B89" s="34"/>
    </row>
    <row r="90" spans="1:75" ht="80.099999999999994" customHeight="1" x14ac:dyDescent="0.2">
      <c r="B90" s="33"/>
    </row>
    <row r="91" spans="1:75" ht="80.099999999999994" customHeight="1" x14ac:dyDescent="0.2">
      <c r="B91" s="34"/>
    </row>
    <row r="92" spans="1:75" ht="80.099999999999994" customHeight="1" x14ac:dyDescent="0.2">
      <c r="B92" s="33"/>
    </row>
    <row r="93" spans="1:75" ht="80.099999999999994" customHeight="1" x14ac:dyDescent="0.2">
      <c r="B93" s="34"/>
    </row>
    <row r="94" spans="1:75" ht="80.099999999999994" customHeight="1" x14ac:dyDescent="0.2">
      <c r="B94" s="33"/>
    </row>
    <row r="95" spans="1:75" ht="80.099999999999994" customHeight="1" x14ac:dyDescent="0.2">
      <c r="B95" s="34"/>
    </row>
    <row r="96" spans="1:75" ht="80.099999999999994" customHeight="1" x14ac:dyDescent="0.2">
      <c r="B96" s="33"/>
    </row>
    <row r="97" spans="2:2" ht="80.099999999999994" customHeight="1" x14ac:dyDescent="0.2">
      <c r="B97" s="34"/>
    </row>
    <row r="98" spans="2:2" ht="80.099999999999994" customHeight="1" x14ac:dyDescent="0.2">
      <c r="B98" s="33"/>
    </row>
    <row r="99" spans="2:2" ht="80.099999999999994" customHeight="1" x14ac:dyDescent="0.2">
      <c r="B99" s="34"/>
    </row>
    <row r="100" spans="2:2" ht="80.099999999999994" customHeight="1" x14ac:dyDescent="0.2">
      <c r="B100" s="33"/>
    </row>
    <row r="101" spans="2:2" ht="80.099999999999994" customHeight="1" x14ac:dyDescent="0.2">
      <c r="B101" s="34"/>
    </row>
    <row r="102" spans="2:2" ht="80.099999999999994" customHeight="1" x14ac:dyDescent="0.2">
      <c r="B102" s="33"/>
    </row>
  </sheetData>
  <mergeCells count="13">
    <mergeCell ref="BW2:BW3"/>
    <mergeCell ref="AF2:AF3"/>
    <mergeCell ref="AG2:AG3"/>
    <mergeCell ref="AH2:AH3"/>
    <mergeCell ref="AI2:AI3"/>
    <mergeCell ref="AJ2:BU2"/>
    <mergeCell ref="BV2:BV3"/>
    <mergeCell ref="A2:A3"/>
    <mergeCell ref="D2:AC2"/>
    <mergeCell ref="AD2:AD3"/>
    <mergeCell ref="AE2:AE3"/>
    <mergeCell ref="B2:B3"/>
    <mergeCell ref="C2:C3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BX98"/>
  <sheetViews>
    <sheetView rightToLeft="1" topLeftCell="A4" workbookViewId="0">
      <selection activeCell="C45" sqref="C45"/>
    </sheetView>
  </sheetViews>
  <sheetFormatPr defaultRowHeight="80.099999999999994" customHeight="1" x14ac:dyDescent="0.2"/>
  <cols>
    <col min="1" max="1" width="6" style="249" customWidth="1"/>
    <col min="2" max="2" width="16.625" style="3" customWidth="1"/>
    <col min="3" max="3" width="25.375" style="249" customWidth="1"/>
    <col min="4" max="4" width="18.125" style="258" customWidth="1"/>
    <col min="5" max="16384" width="9" style="249"/>
  </cols>
  <sheetData>
    <row r="1" spans="1:76" ht="80.099999999999994" customHeight="1" x14ac:dyDescent="0.2">
      <c r="A1" s="357" t="s">
        <v>221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</row>
    <row r="2" spans="1:76" ht="80.099999999999994" customHeight="1" x14ac:dyDescent="0.2">
      <c r="A2" s="287" t="s">
        <v>68</v>
      </c>
      <c r="B2" s="289" t="s">
        <v>229</v>
      </c>
      <c r="C2" s="287" t="s">
        <v>69</v>
      </c>
      <c r="D2" s="284" t="s">
        <v>70</v>
      </c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6"/>
      <c r="AE2" s="287" t="s">
        <v>71</v>
      </c>
      <c r="AF2" s="287" t="s">
        <v>72</v>
      </c>
      <c r="AG2" s="287" t="s">
        <v>73</v>
      </c>
      <c r="AH2" s="287" t="s">
        <v>74</v>
      </c>
      <c r="AI2" s="287" t="s">
        <v>75</v>
      </c>
      <c r="AJ2" s="287" t="s">
        <v>76</v>
      </c>
      <c r="AK2" s="284" t="s">
        <v>77</v>
      </c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F2" s="285"/>
      <c r="BG2" s="285"/>
      <c r="BH2" s="285"/>
      <c r="BI2" s="285"/>
      <c r="BJ2" s="285"/>
      <c r="BK2" s="285"/>
      <c r="BL2" s="285"/>
      <c r="BM2" s="285"/>
      <c r="BN2" s="285"/>
      <c r="BO2" s="285"/>
      <c r="BP2" s="285"/>
      <c r="BQ2" s="285"/>
      <c r="BR2" s="285"/>
      <c r="BS2" s="285"/>
      <c r="BT2" s="286"/>
      <c r="BU2" s="287" t="s">
        <v>78</v>
      </c>
      <c r="BV2" s="287" t="s">
        <v>79</v>
      </c>
      <c r="BW2" s="287" t="s">
        <v>69</v>
      </c>
      <c r="BX2" s="287" t="s">
        <v>80</v>
      </c>
    </row>
    <row r="3" spans="1:76" ht="80.099999999999994" customHeight="1" x14ac:dyDescent="0.2">
      <c r="A3" s="288"/>
      <c r="B3" s="290"/>
      <c r="C3" s="288"/>
      <c r="D3" s="248" t="s">
        <v>81</v>
      </c>
      <c r="E3" s="2" t="s">
        <v>82</v>
      </c>
      <c r="F3" s="1" t="s">
        <v>83</v>
      </c>
      <c r="G3" s="1" t="s">
        <v>84</v>
      </c>
      <c r="H3" s="1" t="s">
        <v>85</v>
      </c>
      <c r="I3" s="1" t="s">
        <v>222</v>
      </c>
      <c r="J3" s="2" t="s">
        <v>86</v>
      </c>
      <c r="K3" s="1" t="s">
        <v>87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92</v>
      </c>
      <c r="Q3" s="2" t="s">
        <v>93</v>
      </c>
      <c r="R3" s="2" t="s">
        <v>94</v>
      </c>
      <c r="S3" s="2" t="s">
        <v>95</v>
      </c>
      <c r="T3" s="1" t="s">
        <v>96</v>
      </c>
      <c r="U3" s="1" t="s">
        <v>97</v>
      </c>
      <c r="V3" s="1" t="s">
        <v>98</v>
      </c>
      <c r="W3" s="1" t="s">
        <v>99</v>
      </c>
      <c r="X3" s="1" t="s">
        <v>100</v>
      </c>
      <c r="Y3" s="1" t="s">
        <v>101</v>
      </c>
      <c r="Z3" s="1" t="s">
        <v>102</v>
      </c>
      <c r="AA3" s="1" t="s">
        <v>103</v>
      </c>
      <c r="AB3" s="1" t="s">
        <v>104</v>
      </c>
      <c r="AC3" s="1" t="s">
        <v>105</v>
      </c>
      <c r="AD3" s="2" t="s">
        <v>106</v>
      </c>
      <c r="AE3" s="288"/>
      <c r="AF3" s="288"/>
      <c r="AG3" s="288"/>
      <c r="AH3" s="288"/>
      <c r="AI3" s="288"/>
      <c r="AJ3" s="288"/>
      <c r="AK3" s="1" t="s">
        <v>87</v>
      </c>
      <c r="AL3" s="1" t="s">
        <v>88</v>
      </c>
      <c r="AM3" s="1" t="s">
        <v>89</v>
      </c>
      <c r="AN3" s="1" t="s">
        <v>90</v>
      </c>
      <c r="AO3" s="1" t="s">
        <v>107</v>
      </c>
      <c r="AP3" s="1" t="s">
        <v>108</v>
      </c>
      <c r="AQ3" s="1" t="s">
        <v>109</v>
      </c>
      <c r="AR3" s="1" t="s">
        <v>110</v>
      </c>
      <c r="AS3" s="1" t="s">
        <v>111</v>
      </c>
      <c r="AT3" s="1" t="s">
        <v>73</v>
      </c>
      <c r="AU3" s="1" t="s">
        <v>74</v>
      </c>
      <c r="AV3" s="1" t="s">
        <v>75</v>
      </c>
      <c r="AW3" s="1" t="s">
        <v>112</v>
      </c>
      <c r="AX3" s="1" t="s">
        <v>114</v>
      </c>
      <c r="AY3" s="1" t="s">
        <v>115</v>
      </c>
      <c r="AZ3" s="1" t="s">
        <v>116</v>
      </c>
      <c r="BA3" s="1" t="s">
        <v>117</v>
      </c>
      <c r="BB3" s="1" t="s">
        <v>118</v>
      </c>
      <c r="BC3" s="1" t="s">
        <v>119</v>
      </c>
      <c r="BD3" s="1" t="s">
        <v>120</v>
      </c>
      <c r="BE3" s="1" t="s">
        <v>121</v>
      </c>
      <c r="BF3" s="1" t="s">
        <v>122</v>
      </c>
      <c r="BG3" s="1" t="s">
        <v>123</v>
      </c>
      <c r="BH3" s="1" t="s">
        <v>124</v>
      </c>
      <c r="BI3" s="1" t="s">
        <v>125</v>
      </c>
      <c r="BJ3" s="1" t="s">
        <v>126</v>
      </c>
      <c r="BK3" s="1" t="s">
        <v>127</v>
      </c>
      <c r="BL3" s="1" t="s">
        <v>128</v>
      </c>
      <c r="BM3" s="1" t="s">
        <v>129</v>
      </c>
      <c r="BN3" s="1" t="s">
        <v>131</v>
      </c>
      <c r="BO3" s="1" t="s">
        <v>132</v>
      </c>
      <c r="BP3" s="1" t="s">
        <v>133</v>
      </c>
      <c r="BQ3" s="1" t="s">
        <v>134</v>
      </c>
      <c r="BR3" s="1" t="s">
        <v>135</v>
      </c>
      <c r="BS3" s="1" t="s">
        <v>37</v>
      </c>
      <c r="BT3" s="1" t="s">
        <v>136</v>
      </c>
      <c r="BU3" s="288"/>
      <c r="BV3" s="288"/>
      <c r="BW3" s="288"/>
      <c r="BX3" s="288"/>
    </row>
    <row r="4" spans="1:76" ht="80.099999999999994" customHeight="1" x14ac:dyDescent="0.2">
      <c r="A4" s="250">
        <v>1</v>
      </c>
      <c r="B4" s="26"/>
      <c r="C4" s="251" t="s">
        <v>137</v>
      </c>
      <c r="D4" s="252">
        <v>28310092500254</v>
      </c>
      <c r="E4" s="253">
        <v>259</v>
      </c>
      <c r="F4" s="251"/>
      <c r="G4" s="251"/>
      <c r="H4" s="251"/>
      <c r="I4" s="251"/>
      <c r="J4" s="253">
        <v>365.6</v>
      </c>
      <c r="K4" s="253">
        <v>3.66</v>
      </c>
      <c r="L4" s="253">
        <v>7.31</v>
      </c>
      <c r="M4" s="253">
        <v>54.84</v>
      </c>
      <c r="N4" s="253">
        <v>10.97</v>
      </c>
      <c r="O4" s="253">
        <v>788.59</v>
      </c>
      <c r="P4" s="253">
        <v>55.2</v>
      </c>
      <c r="Q4" s="253">
        <v>123.5</v>
      </c>
      <c r="R4" s="251"/>
      <c r="S4" s="253">
        <v>967.29</v>
      </c>
      <c r="T4" s="251"/>
      <c r="U4" s="251"/>
      <c r="V4" s="253">
        <v>9.36</v>
      </c>
      <c r="W4" s="253">
        <v>140</v>
      </c>
      <c r="X4" s="251"/>
      <c r="Y4" s="251"/>
      <c r="Z4" s="251"/>
      <c r="AA4" s="251"/>
      <c r="AB4" s="251"/>
      <c r="AC4" s="253">
        <v>2.2200000000000002</v>
      </c>
      <c r="AD4" s="253">
        <v>151.58000000000001</v>
      </c>
      <c r="AE4" s="253">
        <v>1140.3599999999999</v>
      </c>
      <c r="AF4" s="253">
        <v>1140.3599999999999</v>
      </c>
      <c r="AG4" s="253">
        <v>11.4</v>
      </c>
      <c r="AH4" s="253">
        <v>171.05</v>
      </c>
      <c r="AI4" s="253">
        <v>34.21</v>
      </c>
      <c r="AJ4" s="253">
        <v>1412.31</v>
      </c>
      <c r="AK4" s="253">
        <v>3.66</v>
      </c>
      <c r="AL4" s="253">
        <v>7.31</v>
      </c>
      <c r="AM4" s="253">
        <v>54.84</v>
      </c>
      <c r="AN4" s="253">
        <v>10.97</v>
      </c>
      <c r="AO4" s="253">
        <v>36.56</v>
      </c>
      <c r="AP4" s="253">
        <v>3.66</v>
      </c>
      <c r="AQ4" s="253">
        <v>10.97</v>
      </c>
      <c r="AR4" s="253">
        <v>114.04</v>
      </c>
      <c r="AS4" s="253">
        <v>11.4</v>
      </c>
      <c r="AT4" s="253">
        <v>11.4</v>
      </c>
      <c r="AU4" s="253">
        <v>171.05</v>
      </c>
      <c r="AV4" s="253">
        <v>34.21</v>
      </c>
      <c r="AW4" s="251"/>
      <c r="AX4" s="251"/>
      <c r="AY4" s="253">
        <v>116.7</v>
      </c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3">
        <v>0.04</v>
      </c>
      <c r="BS4" s="253">
        <v>6.2</v>
      </c>
      <c r="BT4" s="251"/>
      <c r="BU4" s="253">
        <v>593.01</v>
      </c>
      <c r="BV4" s="253">
        <v>819.3</v>
      </c>
      <c r="BW4" s="251" t="s">
        <v>137</v>
      </c>
      <c r="BX4" s="251"/>
    </row>
    <row r="5" spans="1:76" ht="80.099999999999994" customHeight="1" x14ac:dyDescent="0.2">
      <c r="A5" s="250">
        <v>2</v>
      </c>
      <c r="B5" s="31"/>
      <c r="C5" s="251" t="s">
        <v>138</v>
      </c>
      <c r="D5" s="252">
        <v>28301132500091</v>
      </c>
      <c r="E5" s="253">
        <v>260</v>
      </c>
      <c r="F5" s="253">
        <v>219.37</v>
      </c>
      <c r="G5" s="251"/>
      <c r="H5" s="251"/>
      <c r="I5" s="251"/>
      <c r="J5" s="253">
        <v>367.01</v>
      </c>
      <c r="K5" s="253">
        <v>3.67</v>
      </c>
      <c r="L5" s="253">
        <v>7.34</v>
      </c>
      <c r="M5" s="253">
        <v>55.05</v>
      </c>
      <c r="N5" s="253">
        <v>11.01</v>
      </c>
      <c r="O5" s="253">
        <v>1312.11</v>
      </c>
      <c r="P5" s="253">
        <v>91.85</v>
      </c>
      <c r="Q5" s="253">
        <v>190</v>
      </c>
      <c r="R5" s="251"/>
      <c r="S5" s="253">
        <v>1593.96</v>
      </c>
      <c r="T5" s="251"/>
      <c r="U5" s="251"/>
      <c r="V5" s="253">
        <v>14.4</v>
      </c>
      <c r="W5" s="253">
        <v>50</v>
      </c>
      <c r="X5" s="251"/>
      <c r="Y5" s="251"/>
      <c r="Z5" s="251"/>
      <c r="AA5" s="251"/>
      <c r="AB5" s="251"/>
      <c r="AC5" s="253">
        <v>5.47</v>
      </c>
      <c r="AD5" s="253">
        <v>289.24</v>
      </c>
      <c r="AE5" s="253">
        <v>1466.19</v>
      </c>
      <c r="AF5" s="253">
        <v>1466.19</v>
      </c>
      <c r="AG5" s="253">
        <v>14.66</v>
      </c>
      <c r="AH5" s="253">
        <v>219.93</v>
      </c>
      <c r="AI5" s="253">
        <v>43.99</v>
      </c>
      <c r="AJ5" s="253">
        <v>2238.85</v>
      </c>
      <c r="AK5" s="253">
        <v>3.67</v>
      </c>
      <c r="AL5" s="253">
        <v>7.34</v>
      </c>
      <c r="AM5" s="253">
        <v>55.05</v>
      </c>
      <c r="AN5" s="253">
        <v>11.01</v>
      </c>
      <c r="AO5" s="253">
        <v>36.700000000000003</v>
      </c>
      <c r="AP5" s="253">
        <v>3.67</v>
      </c>
      <c r="AQ5" s="253">
        <v>11.01</v>
      </c>
      <c r="AR5" s="253">
        <v>146.62</v>
      </c>
      <c r="AS5" s="253">
        <v>14.66</v>
      </c>
      <c r="AT5" s="253">
        <v>14.66</v>
      </c>
      <c r="AU5" s="253">
        <v>219.93</v>
      </c>
      <c r="AV5" s="253">
        <v>43.99</v>
      </c>
      <c r="AW5" s="253">
        <v>5.26</v>
      </c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3">
        <v>12.05</v>
      </c>
      <c r="BT5" s="253">
        <v>5.83</v>
      </c>
      <c r="BU5" s="253">
        <v>591.45000000000005</v>
      </c>
      <c r="BV5" s="253">
        <v>1647.4</v>
      </c>
      <c r="BW5" s="251" t="s">
        <v>138</v>
      </c>
      <c r="BX5" s="251"/>
    </row>
    <row r="6" spans="1:76" ht="80.099999999999994" customHeight="1" x14ac:dyDescent="0.2">
      <c r="A6" s="250">
        <v>3</v>
      </c>
      <c r="B6" s="33"/>
      <c r="C6" s="251" t="s">
        <v>139</v>
      </c>
      <c r="D6" s="252">
        <v>27511172502659</v>
      </c>
      <c r="E6" s="253">
        <v>276</v>
      </c>
      <c r="F6" s="251"/>
      <c r="G6" s="251"/>
      <c r="H6" s="251"/>
      <c r="I6" s="251"/>
      <c r="J6" s="253">
        <v>389.6</v>
      </c>
      <c r="K6" s="253">
        <v>3.9</v>
      </c>
      <c r="L6" s="253">
        <v>7.79</v>
      </c>
      <c r="M6" s="253">
        <v>58.44</v>
      </c>
      <c r="N6" s="253">
        <v>11.69</v>
      </c>
      <c r="O6" s="253">
        <v>1306.4100000000001</v>
      </c>
      <c r="P6" s="253">
        <v>91.45</v>
      </c>
      <c r="Q6" s="253">
        <v>190</v>
      </c>
      <c r="R6" s="251"/>
      <c r="S6" s="253">
        <v>1587.86</v>
      </c>
      <c r="T6" s="251"/>
      <c r="U6" s="251"/>
      <c r="V6" s="253">
        <v>21</v>
      </c>
      <c r="W6" s="253">
        <v>140</v>
      </c>
      <c r="X6" s="251"/>
      <c r="Y6" s="251"/>
      <c r="Z6" s="251"/>
      <c r="AA6" s="251"/>
      <c r="AB6" s="253">
        <v>0.3</v>
      </c>
      <c r="AC6" s="253">
        <v>5.6</v>
      </c>
      <c r="AD6" s="253">
        <v>166.9</v>
      </c>
      <c r="AE6" s="253">
        <v>1225.1600000000001</v>
      </c>
      <c r="AF6" s="253">
        <v>1225.1600000000001</v>
      </c>
      <c r="AG6" s="253">
        <v>12.25</v>
      </c>
      <c r="AH6" s="253">
        <v>183.77</v>
      </c>
      <c r="AI6" s="253">
        <v>36.75</v>
      </c>
      <c r="AJ6" s="253">
        <v>2069.35</v>
      </c>
      <c r="AK6" s="253">
        <v>3.9</v>
      </c>
      <c r="AL6" s="253">
        <v>7.79</v>
      </c>
      <c r="AM6" s="253">
        <v>58.44</v>
      </c>
      <c r="AN6" s="253">
        <v>11.69</v>
      </c>
      <c r="AO6" s="253">
        <v>38.96</v>
      </c>
      <c r="AP6" s="253">
        <v>3.9</v>
      </c>
      <c r="AQ6" s="253">
        <v>11.69</v>
      </c>
      <c r="AR6" s="253">
        <v>122.52</v>
      </c>
      <c r="AS6" s="253">
        <v>12.25</v>
      </c>
      <c r="AT6" s="253">
        <v>12.25</v>
      </c>
      <c r="AU6" s="253">
        <v>183.77</v>
      </c>
      <c r="AV6" s="253">
        <v>36.75</v>
      </c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3">
        <v>11.25</v>
      </c>
      <c r="BT6" s="253">
        <v>4.24</v>
      </c>
      <c r="BU6" s="253">
        <v>519.4</v>
      </c>
      <c r="BV6" s="253">
        <v>1549.95</v>
      </c>
      <c r="BW6" s="251" t="s">
        <v>139</v>
      </c>
      <c r="BX6" s="251"/>
    </row>
    <row r="7" spans="1:76" ht="80.099999999999994" customHeight="1" x14ac:dyDescent="0.2">
      <c r="A7" s="250">
        <v>4</v>
      </c>
      <c r="B7" s="34"/>
      <c r="C7" s="251" t="s">
        <v>140</v>
      </c>
      <c r="D7" s="252">
        <v>28606128800361</v>
      </c>
      <c r="E7" s="253">
        <v>266</v>
      </c>
      <c r="F7" s="251"/>
      <c r="G7" s="253">
        <v>97</v>
      </c>
      <c r="H7" s="251"/>
      <c r="I7" s="251"/>
      <c r="J7" s="253">
        <v>375.48</v>
      </c>
      <c r="K7" s="253">
        <v>3.75</v>
      </c>
      <c r="L7" s="253">
        <v>7.51</v>
      </c>
      <c r="M7" s="253">
        <v>56.32</v>
      </c>
      <c r="N7" s="253">
        <v>11.26</v>
      </c>
      <c r="O7" s="253">
        <v>1273.81</v>
      </c>
      <c r="P7" s="253">
        <v>89.17</v>
      </c>
      <c r="Q7" s="253">
        <v>190</v>
      </c>
      <c r="R7" s="251"/>
      <c r="S7" s="253">
        <v>1552.98</v>
      </c>
      <c r="T7" s="251"/>
      <c r="U7" s="251"/>
      <c r="V7" s="253">
        <v>21</v>
      </c>
      <c r="W7" s="253">
        <v>50</v>
      </c>
      <c r="X7" s="251"/>
      <c r="Y7" s="251"/>
      <c r="Z7" s="251"/>
      <c r="AA7" s="251"/>
      <c r="AB7" s="251"/>
      <c r="AC7" s="253">
        <v>5.54</v>
      </c>
      <c r="AD7" s="253">
        <v>173.54</v>
      </c>
      <c r="AE7" s="253">
        <v>1301.04</v>
      </c>
      <c r="AF7" s="253">
        <v>1301.04</v>
      </c>
      <c r="AG7" s="253">
        <v>13.01</v>
      </c>
      <c r="AH7" s="253">
        <v>195.16</v>
      </c>
      <c r="AI7" s="253">
        <v>39.03</v>
      </c>
      <c r="AJ7" s="253">
        <v>2052.56</v>
      </c>
      <c r="AK7" s="253">
        <v>3.75</v>
      </c>
      <c r="AL7" s="253">
        <v>7.51</v>
      </c>
      <c r="AM7" s="253">
        <v>56.32</v>
      </c>
      <c r="AN7" s="253">
        <v>11.26</v>
      </c>
      <c r="AO7" s="253">
        <v>37.549999999999997</v>
      </c>
      <c r="AP7" s="253">
        <v>3.75</v>
      </c>
      <c r="AQ7" s="253">
        <v>11.26</v>
      </c>
      <c r="AR7" s="253">
        <v>130.1</v>
      </c>
      <c r="AS7" s="253">
        <v>13.01</v>
      </c>
      <c r="AT7" s="253">
        <v>13.01</v>
      </c>
      <c r="AU7" s="253">
        <v>195.16</v>
      </c>
      <c r="AV7" s="253">
        <v>39.03</v>
      </c>
      <c r="AW7" s="251"/>
      <c r="AX7" s="251"/>
      <c r="AY7" s="251"/>
      <c r="AZ7" s="253">
        <v>70</v>
      </c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3">
        <v>0.02</v>
      </c>
      <c r="BS7" s="253">
        <v>10.45</v>
      </c>
      <c r="BT7" s="253">
        <v>2.68</v>
      </c>
      <c r="BU7" s="253">
        <v>604.86</v>
      </c>
      <c r="BV7" s="253">
        <v>1447.7</v>
      </c>
      <c r="BW7" s="251" t="s">
        <v>140</v>
      </c>
      <c r="BX7" s="251"/>
    </row>
    <row r="8" spans="1:76" ht="80.099999999999994" customHeight="1" x14ac:dyDescent="0.2">
      <c r="A8" s="250">
        <v>5</v>
      </c>
      <c r="B8" s="33"/>
      <c r="C8" s="251" t="s">
        <v>141</v>
      </c>
      <c r="D8" s="252">
        <v>28312138800447</v>
      </c>
      <c r="E8" s="253">
        <v>268</v>
      </c>
      <c r="F8" s="251"/>
      <c r="G8" s="251"/>
      <c r="H8" s="251"/>
      <c r="I8" s="251"/>
      <c r="J8" s="253">
        <v>378.3</v>
      </c>
      <c r="K8" s="253">
        <v>3.78</v>
      </c>
      <c r="L8" s="253">
        <v>7.57</v>
      </c>
      <c r="M8" s="253">
        <v>56.75</v>
      </c>
      <c r="N8" s="253">
        <v>11.35</v>
      </c>
      <c r="O8" s="253">
        <v>1304.47</v>
      </c>
      <c r="P8" s="253">
        <v>91.31</v>
      </c>
      <c r="Q8" s="253">
        <v>190</v>
      </c>
      <c r="R8" s="251"/>
      <c r="S8" s="253">
        <v>1585.78</v>
      </c>
      <c r="T8" s="251"/>
      <c r="U8" s="251"/>
      <c r="V8" s="253">
        <v>21</v>
      </c>
      <c r="W8" s="253">
        <v>95</v>
      </c>
      <c r="X8" s="253">
        <v>19.2</v>
      </c>
      <c r="Y8" s="251"/>
      <c r="Z8" s="251"/>
      <c r="AA8" s="251"/>
      <c r="AB8" s="251"/>
      <c r="AC8" s="253">
        <v>5.68</v>
      </c>
      <c r="AD8" s="253">
        <v>140.88</v>
      </c>
      <c r="AE8" s="253">
        <v>1253.3599999999999</v>
      </c>
      <c r="AF8" s="253">
        <v>1253.3599999999999</v>
      </c>
      <c r="AG8" s="253">
        <v>12.53</v>
      </c>
      <c r="AH8" s="253">
        <v>188</v>
      </c>
      <c r="AI8" s="253">
        <v>37.6</v>
      </c>
      <c r="AJ8" s="253">
        <v>2044.24</v>
      </c>
      <c r="AK8" s="253">
        <v>3.78</v>
      </c>
      <c r="AL8" s="253">
        <v>7.57</v>
      </c>
      <c r="AM8" s="253">
        <v>56.75</v>
      </c>
      <c r="AN8" s="253">
        <v>11.35</v>
      </c>
      <c r="AO8" s="253">
        <v>37.83</v>
      </c>
      <c r="AP8" s="253">
        <v>3.78</v>
      </c>
      <c r="AQ8" s="253">
        <v>11.35</v>
      </c>
      <c r="AR8" s="253">
        <v>125.34</v>
      </c>
      <c r="AS8" s="253">
        <v>12.53</v>
      </c>
      <c r="AT8" s="253">
        <v>12.53</v>
      </c>
      <c r="AU8" s="253">
        <v>188</v>
      </c>
      <c r="AV8" s="253">
        <v>37.6</v>
      </c>
      <c r="AW8" s="253">
        <v>2.44</v>
      </c>
      <c r="AX8" s="251"/>
      <c r="AY8" s="251"/>
      <c r="AZ8" s="253">
        <v>70</v>
      </c>
      <c r="BA8" s="253">
        <v>1</v>
      </c>
      <c r="BB8" s="251"/>
      <c r="BC8" s="251"/>
      <c r="BD8" s="251"/>
      <c r="BE8" s="251"/>
      <c r="BF8" s="251"/>
      <c r="BG8" s="251"/>
      <c r="BH8" s="251"/>
      <c r="BI8" s="251"/>
      <c r="BJ8" s="251"/>
      <c r="BK8" s="251"/>
      <c r="BL8" s="251"/>
      <c r="BM8" s="251"/>
      <c r="BN8" s="251"/>
      <c r="BO8" s="251"/>
      <c r="BP8" s="251"/>
      <c r="BQ8" s="251"/>
      <c r="BR8" s="253">
        <v>0.02</v>
      </c>
      <c r="BS8" s="253">
        <v>10.45</v>
      </c>
      <c r="BT8" s="253">
        <v>2.72</v>
      </c>
      <c r="BU8" s="253">
        <v>595.04</v>
      </c>
      <c r="BV8" s="253">
        <v>1449.2</v>
      </c>
      <c r="BW8" s="251" t="s">
        <v>141</v>
      </c>
      <c r="BX8" s="251"/>
    </row>
    <row r="9" spans="1:76" ht="80.099999999999994" customHeight="1" x14ac:dyDescent="0.2">
      <c r="A9" s="254">
        <v>6</v>
      </c>
      <c r="B9" s="34"/>
      <c r="C9" s="255" t="s">
        <v>142</v>
      </c>
      <c r="D9" s="256">
        <v>28611162500168</v>
      </c>
      <c r="E9" s="257">
        <v>169.68</v>
      </c>
      <c r="F9" s="255"/>
      <c r="G9" s="255"/>
      <c r="H9" s="255"/>
      <c r="I9" s="255"/>
      <c r="J9" s="257">
        <v>239.51</v>
      </c>
      <c r="K9" s="255"/>
      <c r="L9" s="255"/>
      <c r="M9" s="255"/>
      <c r="N9" s="257">
        <v>7.19</v>
      </c>
      <c r="O9" s="257">
        <v>812.05</v>
      </c>
      <c r="P9" s="257">
        <v>56.84</v>
      </c>
      <c r="Q9" s="257">
        <v>122.58</v>
      </c>
      <c r="R9" s="255"/>
      <c r="S9" s="257">
        <v>991.47</v>
      </c>
      <c r="T9" s="255"/>
      <c r="U9" s="255"/>
      <c r="V9" s="257">
        <v>9.2899999999999991</v>
      </c>
      <c r="W9" s="255"/>
      <c r="X9" s="255"/>
      <c r="Y9" s="255"/>
      <c r="Z9" s="255"/>
      <c r="AA9" s="255"/>
      <c r="AB9" s="255"/>
      <c r="AC9" s="257">
        <v>3.55</v>
      </c>
      <c r="AD9" s="257">
        <v>12.84</v>
      </c>
      <c r="AE9" s="257">
        <v>764.8</v>
      </c>
      <c r="AF9" s="257">
        <v>764.8</v>
      </c>
      <c r="AG9" s="255"/>
      <c r="AH9" s="255"/>
      <c r="AI9" s="257">
        <v>22.94</v>
      </c>
      <c r="AJ9" s="257">
        <v>1199.93</v>
      </c>
      <c r="AK9" s="255"/>
      <c r="AL9" s="255"/>
      <c r="AM9" s="255"/>
      <c r="AN9" s="257">
        <v>7.19</v>
      </c>
      <c r="AO9" s="257">
        <v>23.95</v>
      </c>
      <c r="AP9" s="255"/>
      <c r="AQ9" s="255"/>
      <c r="AR9" s="257">
        <v>76.48</v>
      </c>
      <c r="AS9" s="257">
        <v>7.65</v>
      </c>
      <c r="AT9" s="255"/>
      <c r="AU9" s="255"/>
      <c r="AV9" s="257">
        <v>22.94</v>
      </c>
      <c r="AW9" s="255"/>
      <c r="AX9" s="255"/>
      <c r="AY9" s="255"/>
      <c r="AZ9" s="255"/>
      <c r="BA9" s="257">
        <v>1</v>
      </c>
      <c r="BB9" s="257">
        <v>2</v>
      </c>
      <c r="BC9" s="257">
        <v>2</v>
      </c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7">
        <v>0.04</v>
      </c>
      <c r="BS9" s="257">
        <v>5.8</v>
      </c>
      <c r="BT9" s="255"/>
      <c r="BU9" s="257">
        <v>324.13</v>
      </c>
      <c r="BV9" s="257">
        <v>875.8</v>
      </c>
      <c r="BW9" s="255" t="s">
        <v>142</v>
      </c>
      <c r="BX9" s="255"/>
    </row>
    <row r="10" spans="1:76" ht="80.099999999999994" customHeight="1" x14ac:dyDescent="0.2">
      <c r="A10" s="250">
        <v>7</v>
      </c>
      <c r="B10" s="33"/>
      <c r="C10" s="251" t="s">
        <v>143</v>
      </c>
      <c r="D10" s="252">
        <v>28712162500142</v>
      </c>
      <c r="E10" s="253">
        <v>260</v>
      </c>
      <c r="F10" s="253">
        <v>221.37</v>
      </c>
      <c r="G10" s="251"/>
      <c r="H10" s="251"/>
      <c r="I10" s="251"/>
      <c r="J10" s="253">
        <v>367.01</v>
      </c>
      <c r="K10" s="253">
        <v>3.67</v>
      </c>
      <c r="L10" s="253">
        <v>7.34</v>
      </c>
      <c r="M10" s="253">
        <v>55.05</v>
      </c>
      <c r="N10" s="253">
        <v>11.01</v>
      </c>
      <c r="O10" s="253">
        <v>1249.6300000000001</v>
      </c>
      <c r="P10" s="253">
        <v>87.47</v>
      </c>
      <c r="Q10" s="253">
        <v>190</v>
      </c>
      <c r="R10" s="251"/>
      <c r="S10" s="253">
        <v>1527.1</v>
      </c>
      <c r="T10" s="251"/>
      <c r="U10" s="251"/>
      <c r="V10" s="253">
        <v>14.4</v>
      </c>
      <c r="W10" s="253">
        <v>50</v>
      </c>
      <c r="X10" s="251"/>
      <c r="Y10" s="251"/>
      <c r="Z10" s="251"/>
      <c r="AA10" s="251"/>
      <c r="AB10" s="251"/>
      <c r="AC10" s="253">
        <v>5.47</v>
      </c>
      <c r="AD10" s="253">
        <v>291.24</v>
      </c>
      <c r="AE10" s="253">
        <v>1401.33</v>
      </c>
      <c r="AF10" s="253">
        <v>1401.33</v>
      </c>
      <c r="AG10" s="253">
        <v>14.01</v>
      </c>
      <c r="AH10" s="253">
        <v>210.2</v>
      </c>
      <c r="AI10" s="253">
        <v>42.04</v>
      </c>
      <c r="AJ10" s="253">
        <v>2161.66</v>
      </c>
      <c r="AK10" s="253">
        <v>3.67</v>
      </c>
      <c r="AL10" s="253">
        <v>7.34</v>
      </c>
      <c r="AM10" s="253">
        <v>55.05</v>
      </c>
      <c r="AN10" s="253">
        <v>11.01</v>
      </c>
      <c r="AO10" s="253">
        <v>36.700000000000003</v>
      </c>
      <c r="AP10" s="253">
        <v>3.67</v>
      </c>
      <c r="AQ10" s="253">
        <v>11.01</v>
      </c>
      <c r="AR10" s="253">
        <v>140.13</v>
      </c>
      <c r="AS10" s="253">
        <v>14.01</v>
      </c>
      <c r="AT10" s="253">
        <v>14.01</v>
      </c>
      <c r="AU10" s="253">
        <v>210.2</v>
      </c>
      <c r="AV10" s="253">
        <v>42.04</v>
      </c>
      <c r="AW10" s="251"/>
      <c r="AX10" s="251"/>
      <c r="AY10" s="251"/>
      <c r="AZ10" s="251"/>
      <c r="BA10" s="253">
        <v>1</v>
      </c>
      <c r="BB10" s="251"/>
      <c r="BC10" s="251"/>
      <c r="BD10" s="253">
        <v>2</v>
      </c>
      <c r="BE10" s="253">
        <v>1</v>
      </c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3">
        <v>0.02</v>
      </c>
      <c r="BS10" s="253">
        <v>11.65</v>
      </c>
      <c r="BT10" s="253">
        <v>5.05</v>
      </c>
      <c r="BU10" s="253">
        <v>569.55999999999995</v>
      </c>
      <c r="BV10" s="253">
        <v>1592.1</v>
      </c>
      <c r="BW10" s="251" t="s">
        <v>143</v>
      </c>
      <c r="BX10" s="251"/>
    </row>
    <row r="11" spans="1:76" ht="80.099999999999994" customHeight="1" x14ac:dyDescent="0.2">
      <c r="A11" s="250">
        <v>8</v>
      </c>
      <c r="B11" s="34"/>
      <c r="C11" s="251" t="s">
        <v>144</v>
      </c>
      <c r="D11" s="252">
        <v>28510032502061</v>
      </c>
      <c r="E11" s="253">
        <v>263</v>
      </c>
      <c r="F11" s="251"/>
      <c r="G11" s="251"/>
      <c r="H11" s="251"/>
      <c r="I11" s="251"/>
      <c r="J11" s="253">
        <v>371.25</v>
      </c>
      <c r="K11" s="253">
        <v>3.71</v>
      </c>
      <c r="L11" s="253">
        <v>7.42</v>
      </c>
      <c r="M11" s="253">
        <v>55.69</v>
      </c>
      <c r="N11" s="253">
        <v>11.14</v>
      </c>
      <c r="O11" s="253">
        <v>1264.77</v>
      </c>
      <c r="P11" s="253">
        <v>88.53</v>
      </c>
      <c r="Q11" s="253">
        <v>190</v>
      </c>
      <c r="R11" s="251"/>
      <c r="S11" s="253">
        <v>1543.3</v>
      </c>
      <c r="T11" s="251"/>
      <c r="U11" s="251"/>
      <c r="V11" s="253">
        <v>21</v>
      </c>
      <c r="W11" s="253">
        <v>140</v>
      </c>
      <c r="X11" s="251"/>
      <c r="Y11" s="251"/>
      <c r="Z11" s="251"/>
      <c r="AA11" s="251"/>
      <c r="AB11" s="251"/>
      <c r="AC11" s="253">
        <v>5.51</v>
      </c>
      <c r="AD11" s="253">
        <v>166.51</v>
      </c>
      <c r="AE11" s="253">
        <v>1198.56</v>
      </c>
      <c r="AF11" s="253">
        <v>1198.56</v>
      </c>
      <c r="AG11" s="253">
        <v>11.99</v>
      </c>
      <c r="AH11" s="253">
        <v>179.78</v>
      </c>
      <c r="AI11" s="253">
        <v>35.96</v>
      </c>
      <c r="AJ11" s="253">
        <v>2015.5</v>
      </c>
      <c r="AK11" s="253">
        <v>3.71</v>
      </c>
      <c r="AL11" s="253">
        <v>7.42</v>
      </c>
      <c r="AM11" s="253">
        <v>55.69</v>
      </c>
      <c r="AN11" s="253">
        <v>11.14</v>
      </c>
      <c r="AO11" s="253">
        <v>37.119999999999997</v>
      </c>
      <c r="AP11" s="253">
        <v>3.71</v>
      </c>
      <c r="AQ11" s="253">
        <v>11.14</v>
      </c>
      <c r="AR11" s="253">
        <v>119.86</v>
      </c>
      <c r="AS11" s="253">
        <v>11.99</v>
      </c>
      <c r="AT11" s="253">
        <v>11.99</v>
      </c>
      <c r="AU11" s="253">
        <v>179.78</v>
      </c>
      <c r="AV11" s="253">
        <v>35.96</v>
      </c>
      <c r="AW11" s="251"/>
      <c r="AX11" s="251"/>
      <c r="AY11" s="251"/>
      <c r="AZ11" s="251"/>
      <c r="BA11" s="251"/>
      <c r="BB11" s="251"/>
      <c r="BC11" s="251"/>
      <c r="BD11" s="251"/>
      <c r="BE11" s="251"/>
      <c r="BF11" s="253">
        <v>37.450000000000003</v>
      </c>
      <c r="BG11" s="253">
        <v>285</v>
      </c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3">
        <v>0.03</v>
      </c>
      <c r="BS11" s="253">
        <v>10.95</v>
      </c>
      <c r="BT11" s="253">
        <v>3.66</v>
      </c>
      <c r="BU11" s="253">
        <v>826.6</v>
      </c>
      <c r="BV11" s="253">
        <v>1188.9000000000001</v>
      </c>
      <c r="BW11" s="251" t="s">
        <v>144</v>
      </c>
      <c r="BX11" s="251"/>
    </row>
    <row r="12" spans="1:76" ht="80.099999999999994" customHeight="1" x14ac:dyDescent="0.2">
      <c r="A12" s="250">
        <v>9</v>
      </c>
      <c r="B12" s="33"/>
      <c r="C12" s="251" t="s">
        <v>145</v>
      </c>
      <c r="D12" s="252">
        <v>28806242500229</v>
      </c>
      <c r="E12" s="253">
        <v>260</v>
      </c>
      <c r="F12" s="253">
        <v>221.37</v>
      </c>
      <c r="G12" s="251"/>
      <c r="H12" s="251"/>
      <c r="I12" s="251"/>
      <c r="J12" s="253">
        <v>367.01</v>
      </c>
      <c r="K12" s="253">
        <v>3.67</v>
      </c>
      <c r="L12" s="253">
        <v>7.34</v>
      </c>
      <c r="M12" s="253">
        <v>55.05</v>
      </c>
      <c r="N12" s="253">
        <v>11.01</v>
      </c>
      <c r="O12" s="253">
        <v>1249.6300000000001</v>
      </c>
      <c r="P12" s="253">
        <v>87.47</v>
      </c>
      <c r="Q12" s="253">
        <v>190</v>
      </c>
      <c r="R12" s="251"/>
      <c r="S12" s="253">
        <v>1527.1</v>
      </c>
      <c r="T12" s="251"/>
      <c r="U12" s="251"/>
      <c r="V12" s="253">
        <v>14.4</v>
      </c>
      <c r="W12" s="253">
        <v>50</v>
      </c>
      <c r="X12" s="251"/>
      <c r="Y12" s="251"/>
      <c r="Z12" s="251"/>
      <c r="AA12" s="251"/>
      <c r="AB12" s="251"/>
      <c r="AC12" s="253">
        <v>5.47</v>
      </c>
      <c r="AD12" s="253">
        <v>291.24</v>
      </c>
      <c r="AE12" s="253">
        <v>1401.33</v>
      </c>
      <c r="AF12" s="253">
        <v>1401.33</v>
      </c>
      <c r="AG12" s="253">
        <v>14.01</v>
      </c>
      <c r="AH12" s="253">
        <v>210.2</v>
      </c>
      <c r="AI12" s="253">
        <v>42.04</v>
      </c>
      <c r="AJ12" s="253">
        <v>2161.66</v>
      </c>
      <c r="AK12" s="253">
        <v>3.67</v>
      </c>
      <c r="AL12" s="253">
        <v>7.34</v>
      </c>
      <c r="AM12" s="253">
        <v>55.05</v>
      </c>
      <c r="AN12" s="253">
        <v>11.01</v>
      </c>
      <c r="AO12" s="253">
        <v>36.700000000000003</v>
      </c>
      <c r="AP12" s="253">
        <v>3.67</v>
      </c>
      <c r="AQ12" s="253">
        <v>11.01</v>
      </c>
      <c r="AR12" s="253">
        <v>140.13</v>
      </c>
      <c r="AS12" s="253">
        <v>14.01</v>
      </c>
      <c r="AT12" s="253">
        <v>14.01</v>
      </c>
      <c r="AU12" s="253">
        <v>210.2</v>
      </c>
      <c r="AV12" s="253">
        <v>42.04</v>
      </c>
      <c r="AW12" s="251"/>
      <c r="AX12" s="251"/>
      <c r="AY12" s="251"/>
      <c r="AZ12" s="251"/>
      <c r="BA12" s="251"/>
      <c r="BB12" s="251"/>
      <c r="BC12" s="251"/>
      <c r="BD12" s="251"/>
      <c r="BE12" s="251"/>
      <c r="BF12" s="253">
        <v>30</v>
      </c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3">
        <v>0.02</v>
      </c>
      <c r="BS12" s="253">
        <v>11.65</v>
      </c>
      <c r="BT12" s="253">
        <v>5.05</v>
      </c>
      <c r="BU12" s="253">
        <v>595.55999999999995</v>
      </c>
      <c r="BV12" s="253">
        <v>1566.1</v>
      </c>
      <c r="BW12" s="251" t="s">
        <v>145</v>
      </c>
      <c r="BX12" s="251"/>
    </row>
    <row r="13" spans="1:76" ht="80.099999999999994" customHeight="1" x14ac:dyDescent="0.2">
      <c r="A13" s="250">
        <v>10</v>
      </c>
      <c r="B13" s="34"/>
      <c r="C13" s="251" t="s">
        <v>146</v>
      </c>
      <c r="D13" s="252">
        <v>28504252500204</v>
      </c>
      <c r="E13" s="253">
        <v>232.5</v>
      </c>
      <c r="F13" s="253">
        <v>184.45</v>
      </c>
      <c r="G13" s="251"/>
      <c r="H13" s="251"/>
      <c r="I13" s="251"/>
      <c r="J13" s="253">
        <v>328.19</v>
      </c>
      <c r="K13" s="253">
        <v>3.28</v>
      </c>
      <c r="L13" s="253">
        <v>6.56</v>
      </c>
      <c r="M13" s="253">
        <v>49.23</v>
      </c>
      <c r="N13" s="253">
        <v>9.85</v>
      </c>
      <c r="O13" s="253">
        <v>1164.97</v>
      </c>
      <c r="P13" s="253">
        <v>81.55</v>
      </c>
      <c r="Q13" s="253">
        <v>190</v>
      </c>
      <c r="R13" s="251"/>
      <c r="S13" s="253">
        <v>1436.52</v>
      </c>
      <c r="T13" s="251"/>
      <c r="U13" s="251"/>
      <c r="V13" s="253">
        <v>14.4</v>
      </c>
      <c r="W13" s="253">
        <v>50</v>
      </c>
      <c r="X13" s="251"/>
      <c r="Y13" s="251"/>
      <c r="Z13" s="251"/>
      <c r="AA13" s="251"/>
      <c r="AB13" s="251"/>
      <c r="AC13" s="253">
        <v>5.13</v>
      </c>
      <c r="AD13" s="253">
        <v>253.98</v>
      </c>
      <c r="AE13" s="253">
        <v>1312.31</v>
      </c>
      <c r="AF13" s="253">
        <v>1312.31</v>
      </c>
      <c r="AG13" s="253">
        <v>13.12</v>
      </c>
      <c r="AH13" s="253">
        <v>196.85</v>
      </c>
      <c r="AI13" s="253">
        <v>39.369999999999997</v>
      </c>
      <c r="AJ13" s="253">
        <v>2008.76</v>
      </c>
      <c r="AK13" s="253">
        <v>3.28</v>
      </c>
      <c r="AL13" s="253">
        <v>6.56</v>
      </c>
      <c r="AM13" s="253">
        <v>49.23</v>
      </c>
      <c r="AN13" s="253">
        <v>9.85</v>
      </c>
      <c r="AO13" s="253">
        <v>32.82</v>
      </c>
      <c r="AP13" s="253">
        <v>3.28</v>
      </c>
      <c r="AQ13" s="253">
        <v>9.85</v>
      </c>
      <c r="AR13" s="253">
        <v>131.22999999999999</v>
      </c>
      <c r="AS13" s="253">
        <v>13.12</v>
      </c>
      <c r="AT13" s="253">
        <v>13.12</v>
      </c>
      <c r="AU13" s="253">
        <v>196.85</v>
      </c>
      <c r="AV13" s="253">
        <v>39.369999999999997</v>
      </c>
      <c r="AW13" s="251"/>
      <c r="AX13" s="251"/>
      <c r="AY13" s="251"/>
      <c r="AZ13" s="253">
        <v>70</v>
      </c>
      <c r="BA13" s="253">
        <v>1</v>
      </c>
      <c r="BB13" s="251"/>
      <c r="BC13" s="251"/>
      <c r="BD13" s="253">
        <v>2</v>
      </c>
      <c r="BE13" s="253">
        <v>1</v>
      </c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3">
        <v>0.02</v>
      </c>
      <c r="BS13" s="253">
        <v>10.25</v>
      </c>
      <c r="BT13" s="253">
        <v>2.33</v>
      </c>
      <c r="BU13" s="253">
        <v>595.16</v>
      </c>
      <c r="BV13" s="253">
        <v>1413.6</v>
      </c>
      <c r="BW13" s="251" t="s">
        <v>146</v>
      </c>
      <c r="BX13" s="251"/>
    </row>
    <row r="14" spans="1:76" ht="80.099999999999994" customHeight="1" x14ac:dyDescent="0.2">
      <c r="A14" s="250">
        <v>11</v>
      </c>
      <c r="B14" s="33"/>
      <c r="C14" s="251" t="s">
        <v>147</v>
      </c>
      <c r="D14" s="252">
        <v>28604152500066</v>
      </c>
      <c r="E14" s="253">
        <v>260</v>
      </c>
      <c r="F14" s="251"/>
      <c r="G14" s="251"/>
      <c r="H14" s="251"/>
      <c r="I14" s="251"/>
      <c r="J14" s="253">
        <v>367.01</v>
      </c>
      <c r="K14" s="253">
        <v>3.67</v>
      </c>
      <c r="L14" s="253">
        <v>7.34</v>
      </c>
      <c r="M14" s="253">
        <v>55.05</v>
      </c>
      <c r="N14" s="253">
        <v>11.01</v>
      </c>
      <c r="O14" s="253">
        <v>1249.6300000000001</v>
      </c>
      <c r="P14" s="253">
        <v>87.47</v>
      </c>
      <c r="Q14" s="253">
        <v>190</v>
      </c>
      <c r="R14" s="251"/>
      <c r="S14" s="253">
        <v>1527.1</v>
      </c>
      <c r="T14" s="251"/>
      <c r="U14" s="251"/>
      <c r="V14" s="253">
        <v>14.4</v>
      </c>
      <c r="W14" s="253">
        <v>140</v>
      </c>
      <c r="X14" s="251"/>
      <c r="Y14" s="251"/>
      <c r="Z14" s="251"/>
      <c r="AA14" s="251"/>
      <c r="AB14" s="251"/>
      <c r="AC14" s="253">
        <v>5.47</v>
      </c>
      <c r="AD14" s="253">
        <v>159.87</v>
      </c>
      <c r="AE14" s="253">
        <v>1179.96</v>
      </c>
      <c r="AF14" s="253">
        <v>1179.96</v>
      </c>
      <c r="AG14" s="253">
        <v>11.8</v>
      </c>
      <c r="AH14" s="253">
        <v>176.99</v>
      </c>
      <c r="AI14" s="253">
        <v>35.4</v>
      </c>
      <c r="AJ14" s="253">
        <v>1988.23</v>
      </c>
      <c r="AK14" s="253">
        <v>3.67</v>
      </c>
      <c r="AL14" s="253">
        <v>7.34</v>
      </c>
      <c r="AM14" s="253">
        <v>55.05</v>
      </c>
      <c r="AN14" s="253">
        <v>11.01</v>
      </c>
      <c r="AO14" s="253">
        <v>36.700000000000003</v>
      </c>
      <c r="AP14" s="253">
        <v>3.67</v>
      </c>
      <c r="AQ14" s="253">
        <v>11.01</v>
      </c>
      <c r="AR14" s="253">
        <v>118</v>
      </c>
      <c r="AS14" s="253">
        <v>11.8</v>
      </c>
      <c r="AT14" s="253">
        <v>11.8</v>
      </c>
      <c r="AU14" s="253">
        <v>176.99</v>
      </c>
      <c r="AV14" s="253">
        <v>35.4</v>
      </c>
      <c r="AW14" s="251"/>
      <c r="AX14" s="251"/>
      <c r="AY14" s="251"/>
      <c r="AZ14" s="251"/>
      <c r="BA14" s="251"/>
      <c r="BB14" s="251"/>
      <c r="BC14" s="251"/>
      <c r="BD14" s="251"/>
      <c r="BE14" s="251"/>
      <c r="BF14" s="253">
        <v>37.450000000000003</v>
      </c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3">
        <v>0.04</v>
      </c>
      <c r="BS14" s="253">
        <v>10.85</v>
      </c>
      <c r="BT14" s="253">
        <v>3.45</v>
      </c>
      <c r="BU14" s="253">
        <v>534.23</v>
      </c>
      <c r="BV14" s="253">
        <v>1454</v>
      </c>
      <c r="BW14" s="251" t="s">
        <v>147</v>
      </c>
      <c r="BX14" s="251"/>
    </row>
    <row r="15" spans="1:76" ht="80.099999999999994" customHeight="1" x14ac:dyDescent="0.2">
      <c r="A15" s="250">
        <v>12</v>
      </c>
      <c r="B15" s="34"/>
      <c r="C15" s="251" t="s">
        <v>148</v>
      </c>
      <c r="D15" s="252">
        <v>28109162500128</v>
      </c>
      <c r="E15" s="253">
        <v>274</v>
      </c>
      <c r="F15" s="251"/>
      <c r="G15" s="251"/>
      <c r="H15" s="251"/>
      <c r="I15" s="251"/>
      <c r="J15" s="253">
        <v>386.77</v>
      </c>
      <c r="K15" s="253">
        <v>3.87</v>
      </c>
      <c r="L15" s="253">
        <v>7.74</v>
      </c>
      <c r="M15" s="253">
        <v>58.02</v>
      </c>
      <c r="N15" s="253">
        <v>11.6</v>
      </c>
      <c r="O15" s="253">
        <v>1306.4100000000001</v>
      </c>
      <c r="P15" s="253">
        <v>91.45</v>
      </c>
      <c r="Q15" s="253">
        <v>190</v>
      </c>
      <c r="R15" s="251"/>
      <c r="S15" s="253">
        <v>1587.86</v>
      </c>
      <c r="T15" s="251"/>
      <c r="U15" s="251"/>
      <c r="V15" s="253">
        <v>21</v>
      </c>
      <c r="W15" s="253">
        <v>50</v>
      </c>
      <c r="X15" s="251"/>
      <c r="Y15" s="251"/>
      <c r="Z15" s="251"/>
      <c r="AA15" s="251"/>
      <c r="AB15" s="251"/>
      <c r="AC15" s="253">
        <v>5.58</v>
      </c>
      <c r="AD15" s="253">
        <v>76.58</v>
      </c>
      <c r="AE15" s="253">
        <v>1227.67</v>
      </c>
      <c r="AF15" s="253">
        <v>1177.67</v>
      </c>
      <c r="AG15" s="253">
        <v>12.28</v>
      </c>
      <c r="AH15" s="253">
        <v>184.15</v>
      </c>
      <c r="AI15" s="253">
        <v>36.83</v>
      </c>
      <c r="AJ15" s="253">
        <v>1978.93</v>
      </c>
      <c r="AK15" s="253">
        <v>3.87</v>
      </c>
      <c r="AL15" s="253">
        <v>7.74</v>
      </c>
      <c r="AM15" s="253">
        <v>58.02</v>
      </c>
      <c r="AN15" s="253">
        <v>11.6</v>
      </c>
      <c r="AO15" s="253">
        <v>38.68</v>
      </c>
      <c r="AP15" s="253">
        <v>3.87</v>
      </c>
      <c r="AQ15" s="253">
        <v>11.6</v>
      </c>
      <c r="AR15" s="253">
        <v>122.77</v>
      </c>
      <c r="AS15" s="253">
        <v>12.28</v>
      </c>
      <c r="AT15" s="253">
        <v>12.28</v>
      </c>
      <c r="AU15" s="253">
        <v>184.15</v>
      </c>
      <c r="AV15" s="253">
        <v>36.83</v>
      </c>
      <c r="AW15" s="253">
        <v>3.04</v>
      </c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3">
        <v>0.01</v>
      </c>
      <c r="BS15" s="253">
        <v>10.55</v>
      </c>
      <c r="BT15" s="253">
        <v>2.94</v>
      </c>
      <c r="BU15" s="253">
        <v>520.23</v>
      </c>
      <c r="BV15" s="253">
        <v>1458.7</v>
      </c>
      <c r="BW15" s="251" t="s">
        <v>148</v>
      </c>
      <c r="BX15" s="251"/>
    </row>
    <row r="16" spans="1:76" ht="80.099999999999994" customHeight="1" x14ac:dyDescent="0.2">
      <c r="A16" s="250">
        <v>13</v>
      </c>
      <c r="B16" s="33"/>
      <c r="C16" s="251" t="s">
        <v>149</v>
      </c>
      <c r="D16" s="252">
        <v>27108062500783</v>
      </c>
      <c r="E16" s="253">
        <v>452.58</v>
      </c>
      <c r="F16" s="251"/>
      <c r="G16" s="251"/>
      <c r="H16" s="251"/>
      <c r="I16" s="251"/>
      <c r="J16" s="253">
        <v>638.85</v>
      </c>
      <c r="K16" s="253">
        <v>6.39</v>
      </c>
      <c r="L16" s="253">
        <v>12.78</v>
      </c>
      <c r="M16" s="253">
        <v>95.83</v>
      </c>
      <c r="N16" s="253">
        <v>19.170000000000002</v>
      </c>
      <c r="O16" s="253">
        <v>1875.49</v>
      </c>
      <c r="P16" s="253">
        <v>131.28</v>
      </c>
      <c r="Q16" s="253">
        <v>190</v>
      </c>
      <c r="R16" s="251"/>
      <c r="S16" s="253">
        <v>2196.77</v>
      </c>
      <c r="T16" s="251"/>
      <c r="U16" s="251"/>
      <c r="V16" s="253">
        <v>21</v>
      </c>
      <c r="W16" s="253">
        <v>150</v>
      </c>
      <c r="X16" s="251"/>
      <c r="Y16" s="251"/>
      <c r="Z16" s="251"/>
      <c r="AA16" s="251"/>
      <c r="AB16" s="253">
        <v>230.78</v>
      </c>
      <c r="AC16" s="253">
        <v>70.06</v>
      </c>
      <c r="AD16" s="253">
        <v>471.84</v>
      </c>
      <c r="AE16" s="253">
        <v>1879.76</v>
      </c>
      <c r="AF16" s="253">
        <v>1879.76</v>
      </c>
      <c r="AG16" s="253">
        <v>18.8</v>
      </c>
      <c r="AH16" s="253">
        <v>281.95999999999998</v>
      </c>
      <c r="AI16" s="253">
        <v>56.39</v>
      </c>
      <c r="AJ16" s="253">
        <v>3159.93</v>
      </c>
      <c r="AK16" s="253">
        <v>6.39</v>
      </c>
      <c r="AL16" s="253">
        <v>12.78</v>
      </c>
      <c r="AM16" s="253">
        <v>95.83</v>
      </c>
      <c r="AN16" s="253">
        <v>19.170000000000002</v>
      </c>
      <c r="AO16" s="253">
        <v>63.89</v>
      </c>
      <c r="AP16" s="253">
        <v>6.39</v>
      </c>
      <c r="AQ16" s="253">
        <v>19.170000000000002</v>
      </c>
      <c r="AR16" s="253">
        <v>187.98</v>
      </c>
      <c r="AS16" s="253">
        <v>18.8</v>
      </c>
      <c r="AT16" s="253">
        <v>18.8</v>
      </c>
      <c r="AU16" s="253">
        <v>281.95999999999998</v>
      </c>
      <c r="AV16" s="253">
        <v>56.39</v>
      </c>
      <c r="AW16" s="251"/>
      <c r="AX16" s="251"/>
      <c r="AY16" s="253">
        <v>116.7</v>
      </c>
      <c r="AZ16" s="251"/>
      <c r="BA16" s="253">
        <v>1</v>
      </c>
      <c r="BB16" s="253">
        <v>2</v>
      </c>
      <c r="BC16" s="251"/>
      <c r="BD16" s="251"/>
      <c r="BE16" s="253">
        <v>1</v>
      </c>
      <c r="BF16" s="253">
        <v>43.6</v>
      </c>
      <c r="BG16" s="251"/>
      <c r="BH16" s="253">
        <v>60</v>
      </c>
      <c r="BI16" s="251"/>
      <c r="BJ16" s="251"/>
      <c r="BK16" s="251"/>
      <c r="BL16" s="251"/>
      <c r="BM16" s="251"/>
      <c r="BN16" s="251"/>
      <c r="BO16" s="251"/>
      <c r="BP16" s="251"/>
      <c r="BQ16" s="251"/>
      <c r="BR16" s="253">
        <v>0.02</v>
      </c>
      <c r="BS16" s="253">
        <v>17.3</v>
      </c>
      <c r="BT16" s="253">
        <v>16.260000000000002</v>
      </c>
      <c r="BU16" s="253">
        <v>1045.43</v>
      </c>
      <c r="BV16" s="253">
        <v>2114.5</v>
      </c>
      <c r="BW16" s="251" t="s">
        <v>149</v>
      </c>
      <c r="BX16" s="251"/>
    </row>
    <row r="17" spans="1:76" ht="80.099999999999994" customHeight="1" x14ac:dyDescent="0.2">
      <c r="A17" s="250">
        <v>14</v>
      </c>
      <c r="B17" s="34"/>
      <c r="C17" s="251" t="s">
        <v>150</v>
      </c>
      <c r="D17" s="252">
        <v>27412022500064</v>
      </c>
      <c r="E17" s="253">
        <v>283</v>
      </c>
      <c r="F17" s="251"/>
      <c r="G17" s="251"/>
      <c r="H17" s="251"/>
      <c r="I17" s="251"/>
      <c r="J17" s="253">
        <v>399.48</v>
      </c>
      <c r="K17" s="253">
        <v>3.99</v>
      </c>
      <c r="L17" s="253">
        <v>7.99</v>
      </c>
      <c r="M17" s="253">
        <v>59.92</v>
      </c>
      <c r="N17" s="253">
        <v>11.98</v>
      </c>
      <c r="O17" s="253">
        <v>1306.4100000000001</v>
      </c>
      <c r="P17" s="253">
        <v>91.45</v>
      </c>
      <c r="Q17" s="253">
        <v>190</v>
      </c>
      <c r="R17" s="251"/>
      <c r="S17" s="253">
        <v>1587.86</v>
      </c>
      <c r="T17" s="251"/>
      <c r="U17" s="251"/>
      <c r="V17" s="253">
        <v>21</v>
      </c>
      <c r="W17" s="253">
        <v>145</v>
      </c>
      <c r="X17" s="251"/>
      <c r="Y17" s="251"/>
      <c r="Z17" s="251"/>
      <c r="AA17" s="251"/>
      <c r="AB17" s="253">
        <v>21.74</v>
      </c>
      <c r="AC17" s="253">
        <v>5.69</v>
      </c>
      <c r="AD17" s="253">
        <v>193.43</v>
      </c>
      <c r="AE17" s="253">
        <v>1236.81</v>
      </c>
      <c r="AF17" s="253">
        <v>1236.81</v>
      </c>
      <c r="AG17" s="253">
        <v>12.37</v>
      </c>
      <c r="AH17" s="253">
        <v>185.52</v>
      </c>
      <c r="AI17" s="253">
        <v>37.1</v>
      </c>
      <c r="AJ17" s="253">
        <v>2100.16</v>
      </c>
      <c r="AK17" s="253">
        <v>3.99</v>
      </c>
      <c r="AL17" s="253">
        <v>7.99</v>
      </c>
      <c r="AM17" s="253">
        <v>59.92</v>
      </c>
      <c r="AN17" s="253">
        <v>11.98</v>
      </c>
      <c r="AO17" s="253">
        <v>39.950000000000003</v>
      </c>
      <c r="AP17" s="253">
        <v>3.99</v>
      </c>
      <c r="AQ17" s="253">
        <v>11.98</v>
      </c>
      <c r="AR17" s="253">
        <v>123.68</v>
      </c>
      <c r="AS17" s="253">
        <v>12.37</v>
      </c>
      <c r="AT17" s="253">
        <v>12.37</v>
      </c>
      <c r="AU17" s="253">
        <v>185.52</v>
      </c>
      <c r="AV17" s="253">
        <v>37.1</v>
      </c>
      <c r="AW17" s="251"/>
      <c r="AX17" s="251"/>
      <c r="AY17" s="253">
        <v>186.7</v>
      </c>
      <c r="AZ17" s="251"/>
      <c r="BA17" s="251"/>
      <c r="BB17" s="251"/>
      <c r="BC17" s="251"/>
      <c r="BD17" s="251"/>
      <c r="BE17" s="251"/>
      <c r="BF17" s="253">
        <v>47</v>
      </c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3">
        <v>0.02</v>
      </c>
      <c r="BS17" s="253">
        <v>11.4</v>
      </c>
      <c r="BT17" s="253">
        <v>4.5999999999999996</v>
      </c>
      <c r="BU17" s="253">
        <v>760.56</v>
      </c>
      <c r="BV17" s="253">
        <v>1339.6</v>
      </c>
      <c r="BW17" s="251" t="s">
        <v>150</v>
      </c>
      <c r="BX17" s="251"/>
    </row>
    <row r="18" spans="1:76" ht="80.099999999999994" customHeight="1" x14ac:dyDescent="0.2">
      <c r="A18" s="250">
        <v>15</v>
      </c>
      <c r="B18" s="33"/>
      <c r="C18" s="251" t="s">
        <v>151</v>
      </c>
      <c r="D18" s="252">
        <v>27811202502229</v>
      </c>
      <c r="E18" s="253">
        <v>271</v>
      </c>
      <c r="F18" s="253">
        <v>235.17</v>
      </c>
      <c r="G18" s="251"/>
      <c r="H18" s="251"/>
      <c r="I18" s="251"/>
      <c r="J18" s="253">
        <v>382.54</v>
      </c>
      <c r="K18" s="253">
        <v>3.83</v>
      </c>
      <c r="L18" s="253">
        <v>7.65</v>
      </c>
      <c r="M18" s="253">
        <v>57.38</v>
      </c>
      <c r="N18" s="253">
        <v>11.48</v>
      </c>
      <c r="O18" s="253">
        <v>1314.07</v>
      </c>
      <c r="P18" s="253">
        <v>91.98</v>
      </c>
      <c r="Q18" s="253">
        <v>190</v>
      </c>
      <c r="R18" s="251"/>
      <c r="S18" s="253">
        <v>1596.05</v>
      </c>
      <c r="T18" s="251"/>
      <c r="U18" s="251"/>
      <c r="V18" s="253">
        <v>21</v>
      </c>
      <c r="W18" s="253">
        <v>95</v>
      </c>
      <c r="X18" s="251"/>
      <c r="Y18" s="251"/>
      <c r="Z18" s="251"/>
      <c r="AA18" s="251"/>
      <c r="AB18" s="253">
        <v>0.17</v>
      </c>
      <c r="AC18" s="253">
        <v>5.71</v>
      </c>
      <c r="AD18" s="253">
        <v>357.05</v>
      </c>
      <c r="AE18" s="253">
        <v>1475.56</v>
      </c>
      <c r="AF18" s="253">
        <v>1475.56</v>
      </c>
      <c r="AG18" s="253">
        <v>14.76</v>
      </c>
      <c r="AH18" s="253">
        <v>221.33</v>
      </c>
      <c r="AI18" s="253">
        <v>44.27</v>
      </c>
      <c r="AJ18" s="253">
        <v>2313.8000000000002</v>
      </c>
      <c r="AK18" s="253">
        <v>3.83</v>
      </c>
      <c r="AL18" s="253">
        <v>7.65</v>
      </c>
      <c r="AM18" s="253">
        <v>57.38</v>
      </c>
      <c r="AN18" s="253">
        <v>11.48</v>
      </c>
      <c r="AO18" s="253">
        <v>38.25</v>
      </c>
      <c r="AP18" s="253">
        <v>3.83</v>
      </c>
      <c r="AQ18" s="253">
        <v>11.48</v>
      </c>
      <c r="AR18" s="253">
        <v>147.56</v>
      </c>
      <c r="AS18" s="253">
        <v>14.76</v>
      </c>
      <c r="AT18" s="253">
        <v>14.76</v>
      </c>
      <c r="AU18" s="253">
        <v>221.33</v>
      </c>
      <c r="AV18" s="253">
        <v>44.27</v>
      </c>
      <c r="AW18" s="253">
        <v>14.28</v>
      </c>
      <c r="AX18" s="251"/>
      <c r="AY18" s="251"/>
      <c r="AZ18" s="253">
        <v>70</v>
      </c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  <c r="BP18" s="251"/>
      <c r="BQ18" s="251"/>
      <c r="BR18" s="253">
        <v>0.04</v>
      </c>
      <c r="BS18" s="253">
        <v>11.9</v>
      </c>
      <c r="BT18" s="253">
        <v>5.55</v>
      </c>
      <c r="BU18" s="253">
        <v>678.35</v>
      </c>
      <c r="BV18" s="253">
        <v>1635.45</v>
      </c>
      <c r="BW18" s="251" t="s">
        <v>151</v>
      </c>
      <c r="BX18" s="251"/>
    </row>
    <row r="19" spans="1:76" ht="80.099999999999994" customHeight="1" x14ac:dyDescent="0.2">
      <c r="A19" s="250">
        <v>16</v>
      </c>
      <c r="B19" s="34"/>
      <c r="C19" s="251" t="s">
        <v>152</v>
      </c>
      <c r="D19" s="252">
        <v>28009172501861</v>
      </c>
      <c r="E19" s="253">
        <v>278</v>
      </c>
      <c r="F19" s="251"/>
      <c r="G19" s="251"/>
      <c r="H19" s="251"/>
      <c r="I19" s="251"/>
      <c r="J19" s="253">
        <v>392.42</v>
      </c>
      <c r="K19" s="253">
        <v>3.92</v>
      </c>
      <c r="L19" s="253">
        <v>7.85</v>
      </c>
      <c r="M19" s="253">
        <v>58.86</v>
      </c>
      <c r="N19" s="253">
        <v>11.77</v>
      </c>
      <c r="O19" s="253">
        <v>1371.73</v>
      </c>
      <c r="P19" s="253">
        <v>96.02</v>
      </c>
      <c r="Q19" s="253">
        <v>190</v>
      </c>
      <c r="R19" s="251"/>
      <c r="S19" s="253">
        <v>1657.75</v>
      </c>
      <c r="T19" s="251"/>
      <c r="U19" s="251"/>
      <c r="V19" s="253">
        <v>21</v>
      </c>
      <c r="W19" s="253">
        <v>50</v>
      </c>
      <c r="X19" s="251"/>
      <c r="Y19" s="251"/>
      <c r="Z19" s="251"/>
      <c r="AA19" s="251"/>
      <c r="AB19" s="253">
        <v>2.69</v>
      </c>
      <c r="AC19" s="253">
        <v>5.63</v>
      </c>
      <c r="AD19" s="253">
        <v>79.319999999999993</v>
      </c>
      <c r="AE19" s="253">
        <v>1294.6500000000001</v>
      </c>
      <c r="AF19" s="253">
        <v>1294.6500000000001</v>
      </c>
      <c r="AG19" s="253">
        <v>12.95</v>
      </c>
      <c r="AH19" s="253">
        <v>194.2</v>
      </c>
      <c r="AI19" s="253">
        <v>38.840000000000003</v>
      </c>
      <c r="AJ19" s="253">
        <v>2065.46</v>
      </c>
      <c r="AK19" s="253">
        <v>3.92</v>
      </c>
      <c r="AL19" s="253">
        <v>7.85</v>
      </c>
      <c r="AM19" s="253">
        <v>58.86</v>
      </c>
      <c r="AN19" s="253">
        <v>11.77</v>
      </c>
      <c r="AO19" s="253">
        <v>39.24</v>
      </c>
      <c r="AP19" s="253">
        <v>3.92</v>
      </c>
      <c r="AQ19" s="253">
        <v>11.77</v>
      </c>
      <c r="AR19" s="253">
        <v>129.47</v>
      </c>
      <c r="AS19" s="253">
        <v>12.95</v>
      </c>
      <c r="AT19" s="253">
        <v>12.95</v>
      </c>
      <c r="AU19" s="253">
        <v>194.2</v>
      </c>
      <c r="AV19" s="253">
        <v>38.840000000000003</v>
      </c>
      <c r="AW19" s="251"/>
      <c r="AX19" s="251"/>
      <c r="AY19" s="251"/>
      <c r="AZ19" s="253">
        <v>80</v>
      </c>
      <c r="BA19" s="251"/>
      <c r="BB19" s="251"/>
      <c r="BC19" s="251"/>
      <c r="BD19" s="251"/>
      <c r="BE19" s="251"/>
      <c r="BF19" s="253">
        <v>53.3</v>
      </c>
      <c r="BG19" s="251"/>
      <c r="BH19" s="251"/>
      <c r="BI19" s="251"/>
      <c r="BJ19" s="251"/>
      <c r="BK19" s="251"/>
      <c r="BL19" s="251"/>
      <c r="BM19" s="251"/>
      <c r="BN19" s="251"/>
      <c r="BO19" s="251"/>
      <c r="BP19" s="251"/>
      <c r="BQ19" s="251"/>
      <c r="BR19" s="251"/>
      <c r="BS19" s="253">
        <v>10.45</v>
      </c>
      <c r="BT19" s="253">
        <v>2.67</v>
      </c>
      <c r="BU19" s="253">
        <v>672.16</v>
      </c>
      <c r="BV19" s="253">
        <v>1393.3</v>
      </c>
      <c r="BW19" s="251" t="s">
        <v>152</v>
      </c>
      <c r="BX19" s="251"/>
    </row>
    <row r="20" spans="1:76" ht="80.099999999999994" customHeight="1" x14ac:dyDescent="0.2">
      <c r="A20" s="250">
        <v>17</v>
      </c>
      <c r="B20" s="33"/>
      <c r="C20" s="251" t="s">
        <v>153</v>
      </c>
      <c r="D20" s="252">
        <v>28401292500181</v>
      </c>
      <c r="E20" s="253">
        <v>264</v>
      </c>
      <c r="F20" s="251"/>
      <c r="G20" s="251"/>
      <c r="H20" s="251"/>
      <c r="I20" s="251"/>
      <c r="J20" s="253">
        <v>372.66</v>
      </c>
      <c r="K20" s="253">
        <v>3.73</v>
      </c>
      <c r="L20" s="253">
        <v>7.45</v>
      </c>
      <c r="M20" s="253">
        <v>55.9</v>
      </c>
      <c r="N20" s="253">
        <v>11.18</v>
      </c>
      <c r="O20" s="253">
        <v>1299.0999999999999</v>
      </c>
      <c r="P20" s="253">
        <v>90.94</v>
      </c>
      <c r="Q20" s="253">
        <v>190</v>
      </c>
      <c r="R20" s="251"/>
      <c r="S20" s="253">
        <v>1580.04</v>
      </c>
      <c r="T20" s="251"/>
      <c r="U20" s="251"/>
      <c r="V20" s="253">
        <v>21</v>
      </c>
      <c r="W20" s="253">
        <v>145</v>
      </c>
      <c r="X20" s="251"/>
      <c r="Y20" s="251"/>
      <c r="Z20" s="251"/>
      <c r="AA20" s="251"/>
      <c r="AB20" s="251"/>
      <c r="AC20" s="253">
        <v>5.69</v>
      </c>
      <c r="AD20" s="253">
        <v>171.69</v>
      </c>
      <c r="AE20" s="253">
        <v>1234.07</v>
      </c>
      <c r="AF20" s="253">
        <v>1234.07</v>
      </c>
      <c r="AG20" s="253">
        <v>12.34</v>
      </c>
      <c r="AH20" s="253">
        <v>185.11</v>
      </c>
      <c r="AI20" s="253">
        <v>37.020000000000003</v>
      </c>
      <c r="AJ20" s="253">
        <v>2064.46</v>
      </c>
      <c r="AK20" s="253">
        <v>3.73</v>
      </c>
      <c r="AL20" s="253">
        <v>7.45</v>
      </c>
      <c r="AM20" s="253">
        <v>55.9</v>
      </c>
      <c r="AN20" s="253">
        <v>11.18</v>
      </c>
      <c r="AO20" s="253">
        <v>37.270000000000003</v>
      </c>
      <c r="AP20" s="253">
        <v>3.73</v>
      </c>
      <c r="AQ20" s="253">
        <v>11.18</v>
      </c>
      <c r="AR20" s="253">
        <v>123.41</v>
      </c>
      <c r="AS20" s="253">
        <v>12.34</v>
      </c>
      <c r="AT20" s="253">
        <v>12.34</v>
      </c>
      <c r="AU20" s="253">
        <v>185.11</v>
      </c>
      <c r="AV20" s="253">
        <v>37.020000000000003</v>
      </c>
      <c r="AW20" s="251"/>
      <c r="AX20" s="251"/>
      <c r="AY20" s="251"/>
      <c r="AZ20" s="253">
        <v>70</v>
      </c>
      <c r="BA20" s="253">
        <v>1</v>
      </c>
      <c r="BB20" s="251"/>
      <c r="BC20" s="251"/>
      <c r="BD20" s="253">
        <v>2</v>
      </c>
      <c r="BE20" s="253">
        <v>1</v>
      </c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3">
        <v>0.02</v>
      </c>
      <c r="BS20" s="253">
        <v>10.7</v>
      </c>
      <c r="BT20" s="253">
        <v>3.18</v>
      </c>
      <c r="BU20" s="253">
        <v>588.55999999999995</v>
      </c>
      <c r="BV20" s="253">
        <v>1475.9</v>
      </c>
      <c r="BW20" s="251" t="s">
        <v>153</v>
      </c>
      <c r="BX20" s="251"/>
    </row>
    <row r="21" spans="1:76" ht="80.099999999999994" customHeight="1" x14ac:dyDescent="0.2">
      <c r="A21" s="250">
        <v>18</v>
      </c>
      <c r="B21" s="34"/>
      <c r="C21" s="251" t="s">
        <v>154</v>
      </c>
      <c r="D21" s="252">
        <v>28302182500226</v>
      </c>
      <c r="E21" s="253">
        <v>274</v>
      </c>
      <c r="F21" s="251"/>
      <c r="G21" s="251"/>
      <c r="H21" s="251"/>
      <c r="I21" s="251"/>
      <c r="J21" s="253">
        <v>386.77</v>
      </c>
      <c r="K21" s="253">
        <v>3.87</v>
      </c>
      <c r="L21" s="253">
        <v>7.74</v>
      </c>
      <c r="M21" s="253">
        <v>58.02</v>
      </c>
      <c r="N21" s="253">
        <v>11.6</v>
      </c>
      <c r="O21" s="253">
        <v>1306.4100000000001</v>
      </c>
      <c r="P21" s="253">
        <v>91.45</v>
      </c>
      <c r="Q21" s="253">
        <v>190</v>
      </c>
      <c r="R21" s="251"/>
      <c r="S21" s="253">
        <v>1587.86</v>
      </c>
      <c r="T21" s="251"/>
      <c r="U21" s="251"/>
      <c r="V21" s="253">
        <v>21</v>
      </c>
      <c r="W21" s="253">
        <v>50</v>
      </c>
      <c r="X21" s="251"/>
      <c r="Y21" s="251"/>
      <c r="Z21" s="251"/>
      <c r="AA21" s="251"/>
      <c r="AB21" s="251"/>
      <c r="AC21" s="253">
        <v>5.64</v>
      </c>
      <c r="AD21" s="253">
        <v>76.64</v>
      </c>
      <c r="AE21" s="253">
        <v>1227.73</v>
      </c>
      <c r="AF21" s="253">
        <v>1227.73</v>
      </c>
      <c r="AG21" s="253">
        <v>12.28</v>
      </c>
      <c r="AH21" s="253">
        <v>184.16</v>
      </c>
      <c r="AI21" s="253">
        <v>36.83</v>
      </c>
      <c r="AJ21" s="253">
        <v>1979</v>
      </c>
      <c r="AK21" s="253">
        <v>3.87</v>
      </c>
      <c r="AL21" s="253">
        <v>7.74</v>
      </c>
      <c r="AM21" s="253">
        <v>58.02</v>
      </c>
      <c r="AN21" s="253">
        <v>11.6</v>
      </c>
      <c r="AO21" s="253">
        <v>38.68</v>
      </c>
      <c r="AP21" s="253">
        <v>3.87</v>
      </c>
      <c r="AQ21" s="253">
        <v>11.6</v>
      </c>
      <c r="AR21" s="253">
        <v>122.77</v>
      </c>
      <c r="AS21" s="253">
        <v>12.28</v>
      </c>
      <c r="AT21" s="253">
        <v>12.28</v>
      </c>
      <c r="AU21" s="253">
        <v>184.16</v>
      </c>
      <c r="AV21" s="253">
        <v>36.83</v>
      </c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3">
        <v>10.55</v>
      </c>
      <c r="BT21" s="253">
        <v>2.9</v>
      </c>
      <c r="BU21" s="253">
        <v>517.15</v>
      </c>
      <c r="BV21" s="253">
        <v>1461.85</v>
      </c>
      <c r="BW21" s="251" t="s">
        <v>154</v>
      </c>
      <c r="BX21" s="251"/>
    </row>
    <row r="22" spans="1:76" ht="80.099999999999994" customHeight="1" x14ac:dyDescent="0.2">
      <c r="A22" s="250">
        <v>19</v>
      </c>
      <c r="B22" s="33"/>
      <c r="C22" s="251" t="s">
        <v>155</v>
      </c>
      <c r="D22" s="252">
        <v>28009152500311</v>
      </c>
      <c r="E22" s="253">
        <v>270</v>
      </c>
      <c r="F22" s="251"/>
      <c r="G22" s="251"/>
      <c r="H22" s="251"/>
      <c r="I22" s="251"/>
      <c r="J22" s="253">
        <v>381.13</v>
      </c>
      <c r="K22" s="253">
        <v>3.81</v>
      </c>
      <c r="L22" s="253">
        <v>7.62</v>
      </c>
      <c r="M22" s="253">
        <v>57.17</v>
      </c>
      <c r="N22" s="253">
        <v>11.43</v>
      </c>
      <c r="O22" s="253">
        <v>1284.06</v>
      </c>
      <c r="P22" s="253">
        <v>89.88</v>
      </c>
      <c r="Q22" s="253">
        <v>190</v>
      </c>
      <c r="R22" s="251"/>
      <c r="S22" s="253">
        <v>1563.94</v>
      </c>
      <c r="T22" s="251"/>
      <c r="U22" s="251"/>
      <c r="V22" s="253">
        <v>21</v>
      </c>
      <c r="W22" s="253">
        <v>145</v>
      </c>
      <c r="X22" s="251"/>
      <c r="Y22" s="251"/>
      <c r="Z22" s="251"/>
      <c r="AA22" s="251"/>
      <c r="AB22" s="253">
        <v>0.9</v>
      </c>
      <c r="AC22" s="253">
        <v>5.53</v>
      </c>
      <c r="AD22" s="253">
        <v>172.43</v>
      </c>
      <c r="AE22" s="253">
        <v>1210.24</v>
      </c>
      <c r="AF22" s="253">
        <v>1210.24</v>
      </c>
      <c r="AG22" s="253">
        <v>12.1</v>
      </c>
      <c r="AH22" s="253">
        <v>181.54</v>
      </c>
      <c r="AI22" s="253">
        <v>36.31</v>
      </c>
      <c r="AJ22" s="253">
        <v>2046.35</v>
      </c>
      <c r="AK22" s="253">
        <v>3.81</v>
      </c>
      <c r="AL22" s="253">
        <v>7.62</v>
      </c>
      <c r="AM22" s="253">
        <v>57.17</v>
      </c>
      <c r="AN22" s="253">
        <v>11.43</v>
      </c>
      <c r="AO22" s="253">
        <v>38.11</v>
      </c>
      <c r="AP22" s="253">
        <v>3.81</v>
      </c>
      <c r="AQ22" s="253">
        <v>11.43</v>
      </c>
      <c r="AR22" s="253">
        <v>121.02</v>
      </c>
      <c r="AS22" s="253">
        <v>12.1</v>
      </c>
      <c r="AT22" s="253">
        <v>12.1</v>
      </c>
      <c r="AU22" s="253">
        <v>181.54</v>
      </c>
      <c r="AV22" s="253">
        <v>36.31</v>
      </c>
      <c r="AW22" s="251"/>
      <c r="AX22" s="253">
        <v>6.48</v>
      </c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  <c r="BP22" s="251"/>
      <c r="BQ22" s="251"/>
      <c r="BR22" s="253">
        <v>0.01</v>
      </c>
      <c r="BS22" s="253">
        <v>11.05</v>
      </c>
      <c r="BT22" s="253">
        <v>3.91</v>
      </c>
      <c r="BU22" s="253">
        <v>517.9</v>
      </c>
      <c r="BV22" s="253">
        <v>1528.45</v>
      </c>
      <c r="BW22" s="251" t="s">
        <v>155</v>
      </c>
      <c r="BX22" s="251"/>
    </row>
    <row r="23" spans="1:76" ht="80.099999999999994" customHeight="1" x14ac:dyDescent="0.2">
      <c r="A23" s="250">
        <v>20</v>
      </c>
      <c r="B23" s="34"/>
      <c r="C23" s="251" t="s">
        <v>156</v>
      </c>
      <c r="D23" s="252">
        <v>28511172500374</v>
      </c>
      <c r="E23" s="253">
        <v>263</v>
      </c>
      <c r="F23" s="251"/>
      <c r="G23" s="251"/>
      <c r="H23" s="251"/>
      <c r="I23" s="251"/>
      <c r="J23" s="253">
        <v>371.25</v>
      </c>
      <c r="K23" s="253">
        <v>3.71</v>
      </c>
      <c r="L23" s="253">
        <v>7.42</v>
      </c>
      <c r="M23" s="253">
        <v>55.69</v>
      </c>
      <c r="N23" s="253">
        <v>11.14</v>
      </c>
      <c r="O23" s="253">
        <v>1264.77</v>
      </c>
      <c r="P23" s="253">
        <v>88.53</v>
      </c>
      <c r="Q23" s="253">
        <v>190</v>
      </c>
      <c r="R23" s="251"/>
      <c r="S23" s="253">
        <v>1543.3</v>
      </c>
      <c r="T23" s="251"/>
      <c r="U23" s="251"/>
      <c r="V23" s="253">
        <v>21</v>
      </c>
      <c r="W23" s="253">
        <v>50</v>
      </c>
      <c r="X23" s="251"/>
      <c r="Y23" s="251"/>
      <c r="Z23" s="251"/>
      <c r="AA23" s="251"/>
      <c r="AB23" s="251"/>
      <c r="AC23" s="253">
        <v>5.51</v>
      </c>
      <c r="AD23" s="253">
        <v>76.510000000000005</v>
      </c>
      <c r="AE23" s="253">
        <v>1198.56</v>
      </c>
      <c r="AF23" s="253">
        <v>1198.56</v>
      </c>
      <c r="AG23" s="253">
        <v>11.99</v>
      </c>
      <c r="AH23" s="253">
        <v>179.78</v>
      </c>
      <c r="AI23" s="253">
        <v>35.96</v>
      </c>
      <c r="AJ23" s="253">
        <v>1925.5</v>
      </c>
      <c r="AK23" s="253">
        <v>3.71</v>
      </c>
      <c r="AL23" s="253">
        <v>7.42</v>
      </c>
      <c r="AM23" s="253">
        <v>55.69</v>
      </c>
      <c r="AN23" s="253">
        <v>11.14</v>
      </c>
      <c r="AO23" s="253">
        <v>37.119999999999997</v>
      </c>
      <c r="AP23" s="253">
        <v>3.71</v>
      </c>
      <c r="AQ23" s="253">
        <v>11.14</v>
      </c>
      <c r="AR23" s="253">
        <v>119.86</v>
      </c>
      <c r="AS23" s="253">
        <v>11.99</v>
      </c>
      <c r="AT23" s="253">
        <v>11.99</v>
      </c>
      <c r="AU23" s="253">
        <v>179.78</v>
      </c>
      <c r="AV23" s="253">
        <v>35.96</v>
      </c>
      <c r="AW23" s="251"/>
      <c r="AX23" s="251"/>
      <c r="AY23" s="251"/>
      <c r="AZ23" s="251"/>
      <c r="BA23" s="251"/>
      <c r="BB23" s="251"/>
      <c r="BC23" s="251"/>
      <c r="BD23" s="253">
        <v>2</v>
      </c>
      <c r="BE23" s="251"/>
      <c r="BF23" s="251"/>
      <c r="BG23" s="251"/>
      <c r="BH23" s="251"/>
      <c r="BI23" s="253">
        <v>3</v>
      </c>
      <c r="BJ23" s="251"/>
      <c r="BK23" s="251"/>
      <c r="BL23" s="251"/>
      <c r="BM23" s="251"/>
      <c r="BN23" s="251"/>
      <c r="BO23" s="251"/>
      <c r="BP23" s="251"/>
      <c r="BQ23" s="251"/>
      <c r="BR23" s="253">
        <v>0.02</v>
      </c>
      <c r="BS23" s="253">
        <v>10.25</v>
      </c>
      <c r="BT23" s="253">
        <v>2.3199999999999998</v>
      </c>
      <c r="BU23" s="253">
        <v>507.1</v>
      </c>
      <c r="BV23" s="253">
        <v>1418.4</v>
      </c>
      <c r="BW23" s="251" t="s">
        <v>156</v>
      </c>
      <c r="BX23" s="251"/>
    </row>
    <row r="24" spans="1:76" ht="80.099999999999994" customHeight="1" x14ac:dyDescent="0.2">
      <c r="A24" s="250">
        <v>21</v>
      </c>
      <c r="B24" s="33"/>
      <c r="C24" s="251" t="s">
        <v>157</v>
      </c>
      <c r="D24" s="252">
        <v>28710202500351</v>
      </c>
      <c r="E24" s="253">
        <v>263</v>
      </c>
      <c r="F24" s="253">
        <v>223.18</v>
      </c>
      <c r="G24" s="251"/>
      <c r="H24" s="251"/>
      <c r="I24" s="251"/>
      <c r="J24" s="253">
        <v>371.25</v>
      </c>
      <c r="K24" s="253">
        <v>3.71</v>
      </c>
      <c r="L24" s="253">
        <v>7.42</v>
      </c>
      <c r="M24" s="253">
        <v>55.69</v>
      </c>
      <c r="N24" s="253">
        <v>11.14</v>
      </c>
      <c r="O24" s="253">
        <v>1321.61</v>
      </c>
      <c r="P24" s="253">
        <v>92.51</v>
      </c>
      <c r="Q24" s="253">
        <v>190</v>
      </c>
      <c r="R24" s="251"/>
      <c r="S24" s="253">
        <v>1604.12</v>
      </c>
      <c r="T24" s="251"/>
      <c r="U24" s="251"/>
      <c r="V24" s="253">
        <v>14.4</v>
      </c>
      <c r="W24" s="253">
        <v>100</v>
      </c>
      <c r="X24" s="251"/>
      <c r="Y24" s="251"/>
      <c r="Z24" s="251"/>
      <c r="AA24" s="251"/>
      <c r="AB24" s="251"/>
      <c r="AC24" s="253">
        <v>5.51</v>
      </c>
      <c r="AD24" s="253">
        <v>343.09</v>
      </c>
      <c r="AE24" s="253">
        <v>1475.96</v>
      </c>
      <c r="AF24" s="253">
        <v>1475.96</v>
      </c>
      <c r="AG24" s="253">
        <v>14.76</v>
      </c>
      <c r="AH24" s="253">
        <v>221.39</v>
      </c>
      <c r="AI24" s="253">
        <v>44.28</v>
      </c>
      <c r="AJ24" s="253">
        <v>2305.6</v>
      </c>
      <c r="AK24" s="253">
        <v>3.71</v>
      </c>
      <c r="AL24" s="253">
        <v>7.42</v>
      </c>
      <c r="AM24" s="253">
        <v>55.69</v>
      </c>
      <c r="AN24" s="253">
        <v>11.14</v>
      </c>
      <c r="AO24" s="253">
        <v>37.119999999999997</v>
      </c>
      <c r="AP24" s="253">
        <v>3.71</v>
      </c>
      <c r="AQ24" s="253">
        <v>11.14</v>
      </c>
      <c r="AR24" s="253">
        <v>147.6</v>
      </c>
      <c r="AS24" s="253">
        <v>14.76</v>
      </c>
      <c r="AT24" s="253">
        <v>14.76</v>
      </c>
      <c r="AU24" s="253">
        <v>221.39</v>
      </c>
      <c r="AV24" s="253">
        <v>44.28</v>
      </c>
      <c r="AW24" s="251"/>
      <c r="AX24" s="251"/>
      <c r="AY24" s="251"/>
      <c r="AZ24" s="251"/>
      <c r="BA24" s="253">
        <v>1</v>
      </c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3">
        <v>12.55</v>
      </c>
      <c r="BT24" s="253">
        <v>6.83</v>
      </c>
      <c r="BU24" s="253">
        <v>593.1</v>
      </c>
      <c r="BV24" s="253">
        <v>1712.5</v>
      </c>
      <c r="BW24" s="251" t="s">
        <v>157</v>
      </c>
      <c r="BX24" s="251"/>
    </row>
    <row r="25" spans="1:76" ht="80.099999999999994" customHeight="1" x14ac:dyDescent="0.2">
      <c r="A25" s="250">
        <v>22</v>
      </c>
      <c r="B25" s="34"/>
      <c r="C25" s="251" t="s">
        <v>158</v>
      </c>
      <c r="D25" s="252">
        <v>28102032500229</v>
      </c>
      <c r="E25" s="253">
        <v>278</v>
      </c>
      <c r="F25" s="251"/>
      <c r="G25" s="251"/>
      <c r="H25" s="251"/>
      <c r="I25" s="251"/>
      <c r="J25" s="253">
        <v>392.42</v>
      </c>
      <c r="K25" s="253">
        <v>3.92</v>
      </c>
      <c r="L25" s="253">
        <v>7.85</v>
      </c>
      <c r="M25" s="253">
        <v>58.86</v>
      </c>
      <c r="N25" s="253">
        <v>11.77</v>
      </c>
      <c r="O25" s="253">
        <v>1371.73</v>
      </c>
      <c r="P25" s="253">
        <v>96.02</v>
      </c>
      <c r="Q25" s="253">
        <v>190</v>
      </c>
      <c r="R25" s="251"/>
      <c r="S25" s="253">
        <v>1657.75</v>
      </c>
      <c r="T25" s="251"/>
      <c r="U25" s="251"/>
      <c r="V25" s="253">
        <v>21</v>
      </c>
      <c r="W25" s="253">
        <v>50</v>
      </c>
      <c r="X25" s="251"/>
      <c r="Y25" s="251"/>
      <c r="Z25" s="251"/>
      <c r="AA25" s="251"/>
      <c r="AB25" s="253">
        <v>4.6900000000000004</v>
      </c>
      <c r="AC25" s="253">
        <v>5.63</v>
      </c>
      <c r="AD25" s="253">
        <v>81.319999999999993</v>
      </c>
      <c r="AE25" s="253">
        <v>1296.6500000000001</v>
      </c>
      <c r="AF25" s="253">
        <v>1296.6500000000001</v>
      </c>
      <c r="AG25" s="253">
        <v>12.97</v>
      </c>
      <c r="AH25" s="253">
        <v>194.5</v>
      </c>
      <c r="AI25" s="253">
        <v>38.9</v>
      </c>
      <c r="AJ25" s="253">
        <v>2067.84</v>
      </c>
      <c r="AK25" s="253">
        <v>3.92</v>
      </c>
      <c r="AL25" s="253">
        <v>7.85</v>
      </c>
      <c r="AM25" s="253">
        <v>58.86</v>
      </c>
      <c r="AN25" s="253">
        <v>11.77</v>
      </c>
      <c r="AO25" s="253">
        <v>39.24</v>
      </c>
      <c r="AP25" s="253">
        <v>3.92</v>
      </c>
      <c r="AQ25" s="253">
        <v>11.77</v>
      </c>
      <c r="AR25" s="253">
        <v>129.66999999999999</v>
      </c>
      <c r="AS25" s="253">
        <v>12.97</v>
      </c>
      <c r="AT25" s="253">
        <v>12.97</v>
      </c>
      <c r="AU25" s="253">
        <v>194.5</v>
      </c>
      <c r="AV25" s="253">
        <v>38.9</v>
      </c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3">
        <v>0.01</v>
      </c>
      <c r="BS25" s="253">
        <v>11.05</v>
      </c>
      <c r="BT25" s="253">
        <v>3.89</v>
      </c>
      <c r="BU25" s="253">
        <v>541.29</v>
      </c>
      <c r="BV25" s="253">
        <v>1526.55</v>
      </c>
      <c r="BW25" s="251" t="s">
        <v>158</v>
      </c>
      <c r="BX25" s="251"/>
    </row>
    <row r="26" spans="1:76" ht="80.099999999999994" customHeight="1" x14ac:dyDescent="0.2">
      <c r="A26" s="250">
        <v>23</v>
      </c>
      <c r="B26" s="33"/>
      <c r="C26" s="251" t="s">
        <v>159</v>
      </c>
      <c r="D26" s="252">
        <v>29208022500243</v>
      </c>
      <c r="E26" s="253">
        <v>246</v>
      </c>
      <c r="F26" s="251"/>
      <c r="G26" s="251"/>
      <c r="H26" s="251"/>
      <c r="I26" s="251"/>
      <c r="J26" s="253">
        <v>347.25</v>
      </c>
      <c r="K26" s="253">
        <v>3.47</v>
      </c>
      <c r="L26" s="253">
        <v>6.94</v>
      </c>
      <c r="M26" s="253">
        <v>52.09</v>
      </c>
      <c r="N26" s="253">
        <v>10.42</v>
      </c>
      <c r="O26" s="253">
        <v>1074.4000000000001</v>
      </c>
      <c r="P26" s="253">
        <v>75.209999999999994</v>
      </c>
      <c r="Q26" s="253">
        <v>190</v>
      </c>
      <c r="R26" s="251"/>
      <c r="S26" s="253">
        <v>1339.61</v>
      </c>
      <c r="T26" s="251"/>
      <c r="U26" s="251"/>
      <c r="V26" s="253">
        <v>14.4</v>
      </c>
      <c r="W26" s="253">
        <v>50</v>
      </c>
      <c r="X26" s="251"/>
      <c r="Y26" s="251"/>
      <c r="Z26" s="251"/>
      <c r="AA26" s="251"/>
      <c r="AB26" s="251"/>
      <c r="AC26" s="253">
        <v>5.08</v>
      </c>
      <c r="AD26" s="253">
        <v>69.48</v>
      </c>
      <c r="AE26" s="253">
        <v>1011.84</v>
      </c>
      <c r="AF26" s="253">
        <v>1011.84</v>
      </c>
      <c r="AG26" s="253">
        <v>10.119999999999999</v>
      </c>
      <c r="AH26" s="253">
        <v>151.78</v>
      </c>
      <c r="AI26" s="253">
        <v>30.36</v>
      </c>
      <c r="AJ26" s="253">
        <v>1674.27</v>
      </c>
      <c r="AK26" s="253">
        <v>3.47</v>
      </c>
      <c r="AL26" s="253">
        <v>6.94</v>
      </c>
      <c r="AM26" s="253">
        <v>52.09</v>
      </c>
      <c r="AN26" s="253">
        <v>10.42</v>
      </c>
      <c r="AO26" s="253">
        <v>34.72</v>
      </c>
      <c r="AP26" s="253">
        <v>3.47</v>
      </c>
      <c r="AQ26" s="253">
        <v>10.42</v>
      </c>
      <c r="AR26" s="253">
        <v>101.18</v>
      </c>
      <c r="AS26" s="253">
        <v>10.119999999999999</v>
      </c>
      <c r="AT26" s="253">
        <v>10.119999999999999</v>
      </c>
      <c r="AU26" s="253">
        <v>151.78</v>
      </c>
      <c r="AV26" s="253">
        <v>30.36</v>
      </c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3">
        <v>0.03</v>
      </c>
      <c r="BS26" s="253">
        <v>8.9</v>
      </c>
      <c r="BT26" s="251"/>
      <c r="BU26" s="253">
        <v>434.02</v>
      </c>
      <c r="BV26" s="253">
        <v>1240.25</v>
      </c>
      <c r="BW26" s="251" t="s">
        <v>159</v>
      </c>
      <c r="BX26" s="251"/>
    </row>
    <row r="27" spans="1:76" ht="80.099999999999994" customHeight="1" x14ac:dyDescent="0.2">
      <c r="A27" s="250">
        <v>24</v>
      </c>
      <c r="B27" s="34"/>
      <c r="C27" s="251" t="s">
        <v>160</v>
      </c>
      <c r="D27" s="252">
        <v>28606212500276</v>
      </c>
      <c r="E27" s="253">
        <v>263</v>
      </c>
      <c r="F27" s="251"/>
      <c r="G27" s="251"/>
      <c r="H27" s="251"/>
      <c r="I27" s="251"/>
      <c r="J27" s="253">
        <v>371.25</v>
      </c>
      <c r="K27" s="253">
        <v>3.71</v>
      </c>
      <c r="L27" s="253">
        <v>7.42</v>
      </c>
      <c r="M27" s="253">
        <v>55.69</v>
      </c>
      <c r="N27" s="253">
        <v>11.14</v>
      </c>
      <c r="O27" s="253">
        <v>1321.61</v>
      </c>
      <c r="P27" s="253">
        <v>92.51</v>
      </c>
      <c r="Q27" s="253">
        <v>190</v>
      </c>
      <c r="R27" s="251"/>
      <c r="S27" s="253">
        <v>1604.12</v>
      </c>
      <c r="T27" s="251"/>
      <c r="U27" s="251"/>
      <c r="V27" s="253">
        <v>14.4</v>
      </c>
      <c r="W27" s="253">
        <v>50</v>
      </c>
      <c r="X27" s="251"/>
      <c r="Y27" s="251"/>
      <c r="Z27" s="251"/>
      <c r="AA27" s="251"/>
      <c r="AB27" s="251"/>
      <c r="AC27" s="253">
        <v>5.51</v>
      </c>
      <c r="AD27" s="253">
        <v>69.91</v>
      </c>
      <c r="AE27" s="253">
        <v>1252.78</v>
      </c>
      <c r="AF27" s="253">
        <v>1252.78</v>
      </c>
      <c r="AG27" s="253">
        <v>12.53</v>
      </c>
      <c r="AH27" s="253">
        <v>187.92</v>
      </c>
      <c r="AI27" s="253">
        <v>37.58</v>
      </c>
      <c r="AJ27" s="253">
        <v>1990.02</v>
      </c>
      <c r="AK27" s="253">
        <v>3.71</v>
      </c>
      <c r="AL27" s="253">
        <v>7.42</v>
      </c>
      <c r="AM27" s="253">
        <v>55.69</v>
      </c>
      <c r="AN27" s="253">
        <v>11.14</v>
      </c>
      <c r="AO27" s="253">
        <v>37.119999999999997</v>
      </c>
      <c r="AP27" s="253">
        <v>3.71</v>
      </c>
      <c r="AQ27" s="253">
        <v>11.14</v>
      </c>
      <c r="AR27" s="253">
        <v>125.28</v>
      </c>
      <c r="AS27" s="253">
        <v>12.53</v>
      </c>
      <c r="AT27" s="253">
        <v>12.53</v>
      </c>
      <c r="AU27" s="253">
        <v>187.92</v>
      </c>
      <c r="AV27" s="253">
        <v>37.58</v>
      </c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  <c r="BL27" s="251"/>
      <c r="BM27" s="251"/>
      <c r="BN27" s="251"/>
      <c r="BO27" s="251"/>
      <c r="BP27" s="251"/>
      <c r="BQ27" s="251"/>
      <c r="BR27" s="253">
        <v>0.02</v>
      </c>
      <c r="BS27" s="253">
        <v>10.65</v>
      </c>
      <c r="BT27" s="253">
        <v>3.13</v>
      </c>
      <c r="BU27" s="253">
        <v>519.57000000000005</v>
      </c>
      <c r="BV27" s="253">
        <v>1470.45</v>
      </c>
      <c r="BW27" s="251" t="s">
        <v>160</v>
      </c>
      <c r="BX27" s="251"/>
    </row>
    <row r="28" spans="1:76" ht="80.099999999999994" customHeight="1" x14ac:dyDescent="0.2">
      <c r="A28" s="250">
        <v>25</v>
      </c>
      <c r="B28" s="33"/>
      <c r="C28" s="251" t="s">
        <v>223</v>
      </c>
      <c r="D28" s="252">
        <v>28211082500321</v>
      </c>
      <c r="E28" s="253">
        <v>252</v>
      </c>
      <c r="F28" s="251"/>
      <c r="G28" s="251"/>
      <c r="H28" s="251"/>
      <c r="I28" s="251"/>
      <c r="J28" s="253">
        <v>355.72</v>
      </c>
      <c r="K28" s="253">
        <v>3.56</v>
      </c>
      <c r="L28" s="253">
        <v>7.11</v>
      </c>
      <c r="M28" s="253">
        <v>53.36</v>
      </c>
      <c r="N28" s="253">
        <v>10.67</v>
      </c>
      <c r="O28" s="253">
        <v>1089.04</v>
      </c>
      <c r="P28" s="253">
        <v>76.23</v>
      </c>
      <c r="Q28" s="253">
        <v>190</v>
      </c>
      <c r="R28" s="251"/>
      <c r="S28" s="253">
        <v>1355.27</v>
      </c>
      <c r="T28" s="251"/>
      <c r="U28" s="251"/>
      <c r="V28" s="253">
        <v>14.4</v>
      </c>
      <c r="W28" s="251"/>
      <c r="X28" s="251"/>
      <c r="Y28" s="251"/>
      <c r="Z28" s="251"/>
      <c r="AA28" s="251"/>
      <c r="AB28" s="251"/>
      <c r="AC28" s="253">
        <v>5.0999999999999996</v>
      </c>
      <c r="AD28" s="253">
        <v>19.5</v>
      </c>
      <c r="AE28" s="253">
        <v>1019.05</v>
      </c>
      <c r="AF28" s="253">
        <v>1019.05</v>
      </c>
      <c r="AG28" s="253">
        <v>10.19</v>
      </c>
      <c r="AH28" s="253">
        <v>152.86000000000001</v>
      </c>
      <c r="AI28" s="253">
        <v>30.57</v>
      </c>
      <c r="AJ28" s="253">
        <v>1643.09</v>
      </c>
      <c r="AK28" s="253">
        <v>3.56</v>
      </c>
      <c r="AL28" s="253">
        <v>7.11</v>
      </c>
      <c r="AM28" s="253">
        <v>53.36</v>
      </c>
      <c r="AN28" s="253">
        <v>10.67</v>
      </c>
      <c r="AO28" s="253">
        <v>35.57</v>
      </c>
      <c r="AP28" s="253">
        <v>3.56</v>
      </c>
      <c r="AQ28" s="253">
        <v>10.67</v>
      </c>
      <c r="AR28" s="253">
        <v>101.91</v>
      </c>
      <c r="AS28" s="253">
        <v>10.19</v>
      </c>
      <c r="AT28" s="253">
        <v>10.19</v>
      </c>
      <c r="AU28" s="253">
        <v>152.86000000000001</v>
      </c>
      <c r="AV28" s="253">
        <v>30.57</v>
      </c>
      <c r="AW28" s="251"/>
      <c r="AX28" s="251"/>
      <c r="AY28" s="253">
        <v>46.7</v>
      </c>
      <c r="AZ28" s="251"/>
      <c r="BA28" s="251"/>
      <c r="BB28" s="251"/>
      <c r="BC28" s="251"/>
      <c r="BD28" s="251"/>
      <c r="BE28" s="251"/>
      <c r="BF28" s="251"/>
      <c r="BG28" s="251"/>
      <c r="BH28" s="253">
        <v>50</v>
      </c>
      <c r="BI28" s="251"/>
      <c r="BJ28" s="251"/>
      <c r="BK28" s="251"/>
      <c r="BL28" s="251"/>
      <c r="BM28" s="251"/>
      <c r="BN28" s="251"/>
      <c r="BO28" s="251"/>
      <c r="BP28" s="251"/>
      <c r="BQ28" s="251"/>
      <c r="BR28" s="253">
        <v>0.02</v>
      </c>
      <c r="BS28" s="253">
        <v>8.65</v>
      </c>
      <c r="BT28" s="251"/>
      <c r="BU28" s="253">
        <v>535.59</v>
      </c>
      <c r="BV28" s="253">
        <v>1107.5</v>
      </c>
      <c r="BW28" s="251" t="s">
        <v>223</v>
      </c>
      <c r="BX28" s="251"/>
    </row>
    <row r="29" spans="1:76" ht="80.099999999999994" customHeight="1" x14ac:dyDescent="0.2">
      <c r="A29" s="250">
        <v>26</v>
      </c>
      <c r="B29" s="34"/>
      <c r="C29" s="251" t="s">
        <v>161</v>
      </c>
      <c r="D29" s="252">
        <v>27808192500183</v>
      </c>
      <c r="E29" s="253">
        <v>278</v>
      </c>
      <c r="F29" s="251"/>
      <c r="G29" s="251"/>
      <c r="H29" s="251"/>
      <c r="I29" s="251"/>
      <c r="J29" s="253">
        <v>392.42</v>
      </c>
      <c r="K29" s="253">
        <v>3.92</v>
      </c>
      <c r="L29" s="253">
        <v>7.85</v>
      </c>
      <c r="M29" s="253">
        <v>58.86</v>
      </c>
      <c r="N29" s="253">
        <v>11.77</v>
      </c>
      <c r="O29" s="253">
        <v>1312.5</v>
      </c>
      <c r="P29" s="253">
        <v>91.87</v>
      </c>
      <c r="Q29" s="253">
        <v>190</v>
      </c>
      <c r="R29" s="251"/>
      <c r="S29" s="253">
        <v>1594.37</v>
      </c>
      <c r="T29" s="251"/>
      <c r="U29" s="251"/>
      <c r="V29" s="253">
        <v>21</v>
      </c>
      <c r="W29" s="253">
        <v>50</v>
      </c>
      <c r="X29" s="251"/>
      <c r="Y29" s="251"/>
      <c r="Z29" s="251"/>
      <c r="AA29" s="251"/>
      <c r="AB29" s="253">
        <v>5.39</v>
      </c>
      <c r="AC29" s="253">
        <v>5.63</v>
      </c>
      <c r="AD29" s="253">
        <v>82.02</v>
      </c>
      <c r="AE29" s="253">
        <v>1233.97</v>
      </c>
      <c r="AF29" s="253">
        <v>1233.97</v>
      </c>
      <c r="AG29" s="253">
        <v>12.34</v>
      </c>
      <c r="AH29" s="253">
        <v>185.1</v>
      </c>
      <c r="AI29" s="253">
        <v>37.020000000000003</v>
      </c>
      <c r="AJ29" s="253">
        <v>1993.25</v>
      </c>
      <c r="AK29" s="253">
        <v>3.92</v>
      </c>
      <c r="AL29" s="253">
        <v>7.85</v>
      </c>
      <c r="AM29" s="253">
        <v>58.86</v>
      </c>
      <c r="AN29" s="253">
        <v>11.77</v>
      </c>
      <c r="AO29" s="253">
        <v>39.24</v>
      </c>
      <c r="AP29" s="253">
        <v>3.92</v>
      </c>
      <c r="AQ29" s="253">
        <v>11.77</v>
      </c>
      <c r="AR29" s="253">
        <v>123.4</v>
      </c>
      <c r="AS29" s="253">
        <v>12.34</v>
      </c>
      <c r="AT29" s="253">
        <v>12.34</v>
      </c>
      <c r="AU29" s="253">
        <v>185.1</v>
      </c>
      <c r="AV29" s="253">
        <v>37.020000000000003</v>
      </c>
      <c r="AW29" s="251"/>
      <c r="AX29" s="251"/>
      <c r="AY29" s="253">
        <v>116.7</v>
      </c>
      <c r="AZ29" s="251"/>
      <c r="BA29" s="253">
        <v>1</v>
      </c>
      <c r="BB29" s="251"/>
      <c r="BC29" s="251"/>
      <c r="BD29" s="251"/>
      <c r="BE29" s="251"/>
      <c r="BF29" s="251"/>
      <c r="BG29" s="251"/>
      <c r="BH29" s="251"/>
      <c r="BI29" s="251"/>
      <c r="BJ29" s="251"/>
      <c r="BK29" s="251"/>
      <c r="BL29" s="251"/>
      <c r="BM29" s="251"/>
      <c r="BN29" s="251"/>
      <c r="BO29" s="251"/>
      <c r="BP29" s="251"/>
      <c r="BQ29" s="251"/>
      <c r="BR29" s="253">
        <v>0.01</v>
      </c>
      <c r="BS29" s="253">
        <v>10.65</v>
      </c>
      <c r="BT29" s="253">
        <v>3.06</v>
      </c>
      <c r="BU29" s="253">
        <v>638.95000000000005</v>
      </c>
      <c r="BV29" s="253">
        <v>1354.3</v>
      </c>
      <c r="BW29" s="251" t="s">
        <v>161</v>
      </c>
      <c r="BX29" s="251"/>
    </row>
    <row r="30" spans="1:76" ht="80.099999999999994" customHeight="1" x14ac:dyDescent="0.2">
      <c r="A30" s="250">
        <v>27</v>
      </c>
      <c r="B30" s="33"/>
      <c r="C30" s="251" t="s">
        <v>162</v>
      </c>
      <c r="D30" s="252">
        <v>28110182500181</v>
      </c>
      <c r="E30" s="253">
        <v>263</v>
      </c>
      <c r="F30" s="253">
        <v>223.18</v>
      </c>
      <c r="G30" s="251"/>
      <c r="H30" s="251"/>
      <c r="I30" s="251"/>
      <c r="J30" s="253">
        <v>371.25</v>
      </c>
      <c r="K30" s="253">
        <v>3.71</v>
      </c>
      <c r="L30" s="253">
        <v>7.42</v>
      </c>
      <c r="M30" s="253">
        <v>55.69</v>
      </c>
      <c r="N30" s="253">
        <v>11.14</v>
      </c>
      <c r="O30" s="253">
        <v>1321.61</v>
      </c>
      <c r="P30" s="253">
        <v>92.51</v>
      </c>
      <c r="Q30" s="253">
        <v>190</v>
      </c>
      <c r="R30" s="251"/>
      <c r="S30" s="253">
        <v>1604.12</v>
      </c>
      <c r="T30" s="251"/>
      <c r="U30" s="251"/>
      <c r="V30" s="253">
        <v>14.4</v>
      </c>
      <c r="W30" s="253">
        <v>50</v>
      </c>
      <c r="X30" s="251"/>
      <c r="Y30" s="251"/>
      <c r="Z30" s="251"/>
      <c r="AA30" s="251"/>
      <c r="AB30" s="251"/>
      <c r="AC30" s="253">
        <v>5.51</v>
      </c>
      <c r="AD30" s="253">
        <v>293.08999999999997</v>
      </c>
      <c r="AE30" s="253">
        <v>1475.96</v>
      </c>
      <c r="AF30" s="253">
        <v>1475.96</v>
      </c>
      <c r="AG30" s="253">
        <v>14.76</v>
      </c>
      <c r="AH30" s="253">
        <v>221.39</v>
      </c>
      <c r="AI30" s="253">
        <v>44.28</v>
      </c>
      <c r="AJ30" s="253">
        <v>2255.6</v>
      </c>
      <c r="AK30" s="253">
        <v>3.71</v>
      </c>
      <c r="AL30" s="253">
        <v>7.42</v>
      </c>
      <c r="AM30" s="253">
        <v>55.69</v>
      </c>
      <c r="AN30" s="253">
        <v>11.14</v>
      </c>
      <c r="AO30" s="253">
        <v>37.119999999999997</v>
      </c>
      <c r="AP30" s="253">
        <v>3.71</v>
      </c>
      <c r="AQ30" s="253">
        <v>11.14</v>
      </c>
      <c r="AR30" s="253">
        <v>147.6</v>
      </c>
      <c r="AS30" s="253">
        <v>14.76</v>
      </c>
      <c r="AT30" s="253">
        <v>14.76</v>
      </c>
      <c r="AU30" s="253">
        <v>221.39</v>
      </c>
      <c r="AV30" s="253">
        <v>44.28</v>
      </c>
      <c r="AW30" s="251"/>
      <c r="AX30" s="251"/>
      <c r="AY30" s="251"/>
      <c r="AZ30" s="251"/>
      <c r="BA30" s="251"/>
      <c r="BB30" s="251"/>
      <c r="BC30" s="251"/>
      <c r="BD30" s="251"/>
      <c r="BE30" s="251"/>
      <c r="BF30" s="253">
        <v>37.450000000000003</v>
      </c>
      <c r="BG30" s="251"/>
      <c r="BH30" s="251"/>
      <c r="BI30" s="251"/>
      <c r="BJ30" s="251"/>
      <c r="BK30" s="251"/>
      <c r="BL30" s="251"/>
      <c r="BM30" s="251"/>
      <c r="BN30" s="251"/>
      <c r="BO30" s="251"/>
      <c r="BP30" s="251"/>
      <c r="BQ30" s="251"/>
      <c r="BR30" s="253">
        <v>0.04</v>
      </c>
      <c r="BS30" s="253">
        <v>12.15</v>
      </c>
      <c r="BT30" s="253">
        <v>6.09</v>
      </c>
      <c r="BU30" s="253">
        <v>628.45000000000005</v>
      </c>
      <c r="BV30" s="253">
        <v>1627.15</v>
      </c>
      <c r="BW30" s="251" t="s">
        <v>162</v>
      </c>
      <c r="BX30" s="251"/>
    </row>
    <row r="31" spans="1:76" ht="80.099999999999994" customHeight="1" x14ac:dyDescent="0.2">
      <c r="A31" s="250">
        <v>28</v>
      </c>
      <c r="B31" s="34"/>
      <c r="C31" s="251" t="s">
        <v>163</v>
      </c>
      <c r="D31" s="252">
        <v>28209102500301</v>
      </c>
      <c r="E31" s="253">
        <v>267</v>
      </c>
      <c r="F31" s="251"/>
      <c r="G31" s="253">
        <v>63.05</v>
      </c>
      <c r="H31" s="251"/>
      <c r="I31" s="251"/>
      <c r="J31" s="253">
        <v>376.89</v>
      </c>
      <c r="K31" s="253">
        <v>3.77</v>
      </c>
      <c r="L31" s="253">
        <v>7.54</v>
      </c>
      <c r="M31" s="253">
        <v>56.53</v>
      </c>
      <c r="N31" s="253">
        <v>11.31</v>
      </c>
      <c r="O31" s="253">
        <v>832.6</v>
      </c>
      <c r="P31" s="253">
        <v>58.28</v>
      </c>
      <c r="Q31" s="253">
        <v>123.5</v>
      </c>
      <c r="R31" s="251"/>
      <c r="S31" s="253">
        <v>1014.38</v>
      </c>
      <c r="T31" s="251"/>
      <c r="U31" s="251"/>
      <c r="V31" s="253">
        <v>13.65</v>
      </c>
      <c r="W31" s="253">
        <v>95</v>
      </c>
      <c r="X31" s="251"/>
      <c r="Y31" s="251"/>
      <c r="Z31" s="251"/>
      <c r="AA31" s="251"/>
      <c r="AB31" s="251"/>
      <c r="AC31" s="253">
        <v>2.3199999999999998</v>
      </c>
      <c r="AD31" s="253">
        <v>174.02</v>
      </c>
      <c r="AE31" s="253">
        <v>1271.31</v>
      </c>
      <c r="AF31" s="253">
        <v>1271.31</v>
      </c>
      <c r="AG31" s="253">
        <v>12.71</v>
      </c>
      <c r="AH31" s="253">
        <v>190.7</v>
      </c>
      <c r="AI31" s="253">
        <v>38.14</v>
      </c>
      <c r="AJ31" s="253">
        <v>1509.1</v>
      </c>
      <c r="AK31" s="253">
        <v>3.77</v>
      </c>
      <c r="AL31" s="253">
        <v>7.54</v>
      </c>
      <c r="AM31" s="253">
        <v>56.53</v>
      </c>
      <c r="AN31" s="253">
        <v>11.31</v>
      </c>
      <c r="AO31" s="253">
        <v>37.69</v>
      </c>
      <c r="AP31" s="253">
        <v>3.77</v>
      </c>
      <c r="AQ31" s="253">
        <v>11.31</v>
      </c>
      <c r="AR31" s="253">
        <v>127.13</v>
      </c>
      <c r="AS31" s="253">
        <v>12.71</v>
      </c>
      <c r="AT31" s="253">
        <v>12.71</v>
      </c>
      <c r="AU31" s="253">
        <v>190.7</v>
      </c>
      <c r="AV31" s="253">
        <v>38.14</v>
      </c>
      <c r="AW31" s="251"/>
      <c r="AX31" s="251"/>
      <c r="AY31" s="251"/>
      <c r="AZ31" s="251"/>
      <c r="BA31" s="251"/>
      <c r="BB31" s="251"/>
      <c r="BC31" s="251"/>
      <c r="BD31" s="251"/>
      <c r="BE31" s="251"/>
      <c r="BF31" s="251"/>
      <c r="BG31" s="251"/>
      <c r="BH31" s="251"/>
      <c r="BI31" s="251"/>
      <c r="BJ31" s="251"/>
      <c r="BK31" s="251"/>
      <c r="BL31" s="251"/>
      <c r="BM31" s="251"/>
      <c r="BN31" s="251"/>
      <c r="BO31" s="251"/>
      <c r="BP31" s="251"/>
      <c r="BQ31" s="251"/>
      <c r="BR31" s="253">
        <v>0.04</v>
      </c>
      <c r="BS31" s="253">
        <v>6.55</v>
      </c>
      <c r="BT31" s="251"/>
      <c r="BU31" s="253">
        <v>519.9</v>
      </c>
      <c r="BV31" s="253">
        <v>989.2</v>
      </c>
      <c r="BW31" s="251" t="s">
        <v>163</v>
      </c>
      <c r="BX31" s="251"/>
    </row>
    <row r="32" spans="1:76" ht="80.099999999999994" customHeight="1" x14ac:dyDescent="0.2">
      <c r="A32" s="250">
        <v>29</v>
      </c>
      <c r="B32" s="33"/>
      <c r="C32" s="251" t="s">
        <v>164</v>
      </c>
      <c r="D32" s="252">
        <v>28412312500207</v>
      </c>
      <c r="E32" s="253">
        <v>270</v>
      </c>
      <c r="F32" s="251"/>
      <c r="G32" s="251"/>
      <c r="H32" s="251"/>
      <c r="I32" s="251"/>
      <c r="J32" s="253">
        <v>381.13</v>
      </c>
      <c r="K32" s="253">
        <v>3.81</v>
      </c>
      <c r="L32" s="253">
        <v>7.62</v>
      </c>
      <c r="M32" s="253">
        <v>57.17</v>
      </c>
      <c r="N32" s="253">
        <v>11.43</v>
      </c>
      <c r="O32" s="253">
        <v>1284.06</v>
      </c>
      <c r="P32" s="253">
        <v>89.88</v>
      </c>
      <c r="Q32" s="253">
        <v>190</v>
      </c>
      <c r="R32" s="251"/>
      <c r="S32" s="253">
        <v>1563.94</v>
      </c>
      <c r="T32" s="251"/>
      <c r="U32" s="251"/>
      <c r="V32" s="253">
        <v>21</v>
      </c>
      <c r="W32" s="253">
        <v>95</v>
      </c>
      <c r="X32" s="251"/>
      <c r="Y32" s="251"/>
      <c r="Z32" s="251"/>
      <c r="AA32" s="251"/>
      <c r="AB32" s="251"/>
      <c r="AC32" s="253">
        <v>5.53</v>
      </c>
      <c r="AD32" s="253">
        <v>121.53</v>
      </c>
      <c r="AE32" s="253">
        <v>1209.3399999999999</v>
      </c>
      <c r="AF32" s="253">
        <v>1209.3399999999999</v>
      </c>
      <c r="AG32" s="253">
        <v>12.09</v>
      </c>
      <c r="AH32" s="253">
        <v>181.4</v>
      </c>
      <c r="AI32" s="253">
        <v>36.28</v>
      </c>
      <c r="AJ32" s="253">
        <v>1995.27</v>
      </c>
      <c r="AK32" s="253">
        <v>3.81</v>
      </c>
      <c r="AL32" s="253">
        <v>7.62</v>
      </c>
      <c r="AM32" s="253">
        <v>57.17</v>
      </c>
      <c r="AN32" s="253">
        <v>11.43</v>
      </c>
      <c r="AO32" s="253">
        <v>38.11</v>
      </c>
      <c r="AP32" s="253">
        <v>3.81</v>
      </c>
      <c r="AQ32" s="253">
        <v>11.43</v>
      </c>
      <c r="AR32" s="253">
        <v>120.93</v>
      </c>
      <c r="AS32" s="253">
        <v>12.09</v>
      </c>
      <c r="AT32" s="253">
        <v>12.09</v>
      </c>
      <c r="AU32" s="253">
        <v>181.4</v>
      </c>
      <c r="AV32" s="253">
        <v>36.28</v>
      </c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  <c r="BG32" s="251"/>
      <c r="BH32" s="251"/>
      <c r="BI32" s="251"/>
      <c r="BJ32" s="251"/>
      <c r="BK32" s="251"/>
      <c r="BL32" s="251"/>
      <c r="BM32" s="251"/>
      <c r="BN32" s="251"/>
      <c r="BO32" s="251"/>
      <c r="BP32" s="251"/>
      <c r="BQ32" s="251"/>
      <c r="BR32" s="251"/>
      <c r="BS32" s="253">
        <v>10.75</v>
      </c>
      <c r="BT32" s="253">
        <v>3.25</v>
      </c>
      <c r="BU32" s="253">
        <v>510.17</v>
      </c>
      <c r="BV32" s="253">
        <v>1485.1</v>
      </c>
      <c r="BW32" s="251" t="s">
        <v>164</v>
      </c>
      <c r="BX32" s="251"/>
    </row>
    <row r="33" spans="1:76" ht="80.099999999999994" customHeight="1" x14ac:dyDescent="0.2">
      <c r="A33" s="250">
        <v>30</v>
      </c>
      <c r="B33" s="34"/>
      <c r="C33" s="251" t="s">
        <v>165</v>
      </c>
      <c r="D33" s="252">
        <v>28110092500107</v>
      </c>
      <c r="E33" s="253">
        <v>263</v>
      </c>
      <c r="F33" s="253">
        <v>225.18</v>
      </c>
      <c r="G33" s="251"/>
      <c r="H33" s="251"/>
      <c r="I33" s="251"/>
      <c r="J33" s="253">
        <v>371.25</v>
      </c>
      <c r="K33" s="253">
        <v>3.71</v>
      </c>
      <c r="L33" s="253">
        <v>7.42</v>
      </c>
      <c r="M33" s="253">
        <v>55.69</v>
      </c>
      <c r="N33" s="253">
        <v>11.14</v>
      </c>
      <c r="O33" s="253">
        <v>1321.61</v>
      </c>
      <c r="P33" s="253">
        <v>92.51</v>
      </c>
      <c r="Q33" s="253">
        <v>190</v>
      </c>
      <c r="R33" s="251"/>
      <c r="S33" s="253">
        <v>1604.12</v>
      </c>
      <c r="T33" s="251"/>
      <c r="U33" s="251"/>
      <c r="V33" s="253">
        <v>14.4</v>
      </c>
      <c r="W33" s="253">
        <v>50</v>
      </c>
      <c r="X33" s="251"/>
      <c r="Y33" s="253">
        <v>14.4</v>
      </c>
      <c r="Z33" s="251"/>
      <c r="AA33" s="251"/>
      <c r="AB33" s="251"/>
      <c r="AC33" s="253">
        <v>5.51</v>
      </c>
      <c r="AD33" s="253">
        <v>309.49</v>
      </c>
      <c r="AE33" s="253">
        <v>1492.36</v>
      </c>
      <c r="AF33" s="253">
        <v>1492.36</v>
      </c>
      <c r="AG33" s="253">
        <v>14.92</v>
      </c>
      <c r="AH33" s="253">
        <v>223.85</v>
      </c>
      <c r="AI33" s="253">
        <v>44.77</v>
      </c>
      <c r="AJ33" s="253">
        <v>2275.11</v>
      </c>
      <c r="AK33" s="253">
        <v>3.71</v>
      </c>
      <c r="AL33" s="253">
        <v>7.42</v>
      </c>
      <c r="AM33" s="253">
        <v>55.69</v>
      </c>
      <c r="AN33" s="253">
        <v>11.14</v>
      </c>
      <c r="AO33" s="253">
        <v>37.119999999999997</v>
      </c>
      <c r="AP33" s="253">
        <v>3.71</v>
      </c>
      <c r="AQ33" s="253">
        <v>11.14</v>
      </c>
      <c r="AR33" s="253">
        <v>149.24</v>
      </c>
      <c r="AS33" s="253">
        <v>14.92</v>
      </c>
      <c r="AT33" s="253">
        <v>14.92</v>
      </c>
      <c r="AU33" s="253">
        <v>223.85</v>
      </c>
      <c r="AV33" s="253">
        <v>44.77</v>
      </c>
      <c r="AW33" s="253">
        <v>7.54</v>
      </c>
      <c r="AX33" s="251"/>
      <c r="AY33" s="251"/>
      <c r="AZ33" s="253">
        <v>70</v>
      </c>
      <c r="BA33" s="251"/>
      <c r="BB33" s="251"/>
      <c r="BC33" s="251"/>
      <c r="BD33" s="251"/>
      <c r="BE33" s="251"/>
      <c r="BF33" s="251"/>
      <c r="BG33" s="251"/>
      <c r="BH33" s="251"/>
      <c r="BI33" s="251"/>
      <c r="BJ33" s="251"/>
      <c r="BK33" s="251"/>
      <c r="BL33" s="251"/>
      <c r="BM33" s="251"/>
      <c r="BN33" s="251"/>
      <c r="BO33" s="251"/>
      <c r="BP33" s="251"/>
      <c r="BQ33" s="251"/>
      <c r="BR33" s="253">
        <v>0.04</v>
      </c>
      <c r="BS33" s="253">
        <v>11.7</v>
      </c>
      <c r="BT33" s="253">
        <v>5.15</v>
      </c>
      <c r="BU33" s="253">
        <v>672.06</v>
      </c>
      <c r="BV33" s="253">
        <v>1603.05</v>
      </c>
      <c r="BW33" s="251" t="s">
        <v>165</v>
      </c>
      <c r="BX33" s="251"/>
    </row>
    <row r="34" spans="1:76" ht="80.099999999999994" customHeight="1" x14ac:dyDescent="0.2">
      <c r="A34" s="250">
        <v>31</v>
      </c>
      <c r="B34" s="33"/>
      <c r="C34" s="251" t="s">
        <v>166</v>
      </c>
      <c r="D34" s="252">
        <v>28303132500264</v>
      </c>
      <c r="E34" s="253">
        <v>260</v>
      </c>
      <c r="F34" s="251"/>
      <c r="G34" s="251"/>
      <c r="H34" s="251"/>
      <c r="I34" s="251"/>
      <c r="J34" s="253">
        <v>367.01</v>
      </c>
      <c r="K34" s="253">
        <v>3.67</v>
      </c>
      <c r="L34" s="253">
        <v>7.34</v>
      </c>
      <c r="M34" s="253">
        <v>55.05</v>
      </c>
      <c r="N34" s="253">
        <v>11.01</v>
      </c>
      <c r="O34" s="253">
        <v>1249.6300000000001</v>
      </c>
      <c r="P34" s="253">
        <v>87.47</v>
      </c>
      <c r="Q34" s="253">
        <v>190</v>
      </c>
      <c r="R34" s="251"/>
      <c r="S34" s="253">
        <v>1527.1</v>
      </c>
      <c r="T34" s="251"/>
      <c r="U34" s="251"/>
      <c r="V34" s="253">
        <v>14.4</v>
      </c>
      <c r="W34" s="253">
        <v>50</v>
      </c>
      <c r="X34" s="251"/>
      <c r="Y34" s="251"/>
      <c r="Z34" s="251"/>
      <c r="AA34" s="251"/>
      <c r="AB34" s="251"/>
      <c r="AC34" s="253">
        <v>5.47</v>
      </c>
      <c r="AD34" s="253">
        <v>69.87</v>
      </c>
      <c r="AE34" s="253">
        <v>1179.96</v>
      </c>
      <c r="AF34" s="253">
        <v>1179.96</v>
      </c>
      <c r="AG34" s="253">
        <v>11.8</v>
      </c>
      <c r="AH34" s="253">
        <v>176.99</v>
      </c>
      <c r="AI34" s="253">
        <v>35.4</v>
      </c>
      <c r="AJ34" s="253">
        <v>1898.23</v>
      </c>
      <c r="AK34" s="253">
        <v>3.67</v>
      </c>
      <c r="AL34" s="253">
        <v>7.34</v>
      </c>
      <c r="AM34" s="253">
        <v>55.05</v>
      </c>
      <c r="AN34" s="253">
        <v>11.01</v>
      </c>
      <c r="AO34" s="253">
        <v>36.700000000000003</v>
      </c>
      <c r="AP34" s="253">
        <v>3.67</v>
      </c>
      <c r="AQ34" s="253">
        <v>11.01</v>
      </c>
      <c r="AR34" s="253">
        <v>118</v>
      </c>
      <c r="AS34" s="253">
        <v>11.8</v>
      </c>
      <c r="AT34" s="253">
        <v>11.8</v>
      </c>
      <c r="AU34" s="253">
        <v>176.99</v>
      </c>
      <c r="AV34" s="253">
        <v>35.4</v>
      </c>
      <c r="AW34" s="251"/>
      <c r="AX34" s="251"/>
      <c r="AY34" s="251"/>
      <c r="AZ34" s="253">
        <v>70</v>
      </c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3">
        <v>0.02</v>
      </c>
      <c r="BS34" s="253">
        <v>9.65</v>
      </c>
      <c r="BT34" s="253">
        <v>1.07</v>
      </c>
      <c r="BU34" s="253">
        <v>563.17999999999995</v>
      </c>
      <c r="BV34" s="253">
        <v>1335.05</v>
      </c>
      <c r="BW34" s="251" t="s">
        <v>166</v>
      </c>
      <c r="BX34" s="251"/>
    </row>
    <row r="35" spans="1:76" ht="80.099999999999994" customHeight="1" x14ac:dyDescent="0.2">
      <c r="A35" s="250">
        <v>32</v>
      </c>
      <c r="B35" s="34"/>
      <c r="C35" s="251" t="s">
        <v>167</v>
      </c>
      <c r="D35" s="252">
        <v>28309012505066</v>
      </c>
      <c r="E35" s="253">
        <v>264</v>
      </c>
      <c r="F35" s="253">
        <v>226.45</v>
      </c>
      <c r="G35" s="251"/>
      <c r="H35" s="251"/>
      <c r="I35" s="251"/>
      <c r="J35" s="253">
        <v>372.66</v>
      </c>
      <c r="K35" s="253">
        <v>3.73</v>
      </c>
      <c r="L35" s="253">
        <v>7.45</v>
      </c>
      <c r="M35" s="253">
        <v>55.9</v>
      </c>
      <c r="N35" s="253">
        <v>11.18</v>
      </c>
      <c r="O35" s="253">
        <v>1323.96</v>
      </c>
      <c r="P35" s="253">
        <v>92.68</v>
      </c>
      <c r="Q35" s="253">
        <v>190</v>
      </c>
      <c r="R35" s="251"/>
      <c r="S35" s="253">
        <v>1606.64</v>
      </c>
      <c r="T35" s="251"/>
      <c r="U35" s="251"/>
      <c r="V35" s="253">
        <v>14.4</v>
      </c>
      <c r="W35" s="253">
        <v>145</v>
      </c>
      <c r="X35" s="251"/>
      <c r="Y35" s="251"/>
      <c r="Z35" s="251"/>
      <c r="AA35" s="251"/>
      <c r="AB35" s="251"/>
      <c r="AC35" s="253">
        <v>5.52</v>
      </c>
      <c r="AD35" s="253">
        <v>391.37</v>
      </c>
      <c r="AE35" s="253">
        <v>1480.35</v>
      </c>
      <c r="AF35" s="253">
        <v>1480.35</v>
      </c>
      <c r="AG35" s="253">
        <v>14.8</v>
      </c>
      <c r="AH35" s="253">
        <v>222.05</v>
      </c>
      <c r="AI35" s="253">
        <v>44.41</v>
      </c>
      <c r="AJ35" s="253">
        <v>2357.5300000000002</v>
      </c>
      <c r="AK35" s="253">
        <v>3.73</v>
      </c>
      <c r="AL35" s="253">
        <v>7.45</v>
      </c>
      <c r="AM35" s="253">
        <v>55.9</v>
      </c>
      <c r="AN35" s="253">
        <v>11.18</v>
      </c>
      <c r="AO35" s="253">
        <v>37.270000000000003</v>
      </c>
      <c r="AP35" s="253">
        <v>3.73</v>
      </c>
      <c r="AQ35" s="253">
        <v>11.18</v>
      </c>
      <c r="AR35" s="253">
        <v>148.03</v>
      </c>
      <c r="AS35" s="253">
        <v>14.8</v>
      </c>
      <c r="AT35" s="253">
        <v>14.8</v>
      </c>
      <c r="AU35" s="253">
        <v>222.05</v>
      </c>
      <c r="AV35" s="253">
        <v>44.41</v>
      </c>
      <c r="AW35" s="253">
        <v>9.06</v>
      </c>
      <c r="AX35" s="251"/>
      <c r="AY35" s="251"/>
      <c r="AZ35" s="253">
        <v>70</v>
      </c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1"/>
      <c r="BR35" s="253">
        <v>0.04</v>
      </c>
      <c r="BS35" s="253">
        <v>12.3</v>
      </c>
      <c r="BT35" s="253">
        <v>6.4</v>
      </c>
      <c r="BU35" s="253">
        <v>672.33</v>
      </c>
      <c r="BV35" s="253">
        <v>1685.2</v>
      </c>
      <c r="BW35" s="251" t="s">
        <v>167</v>
      </c>
      <c r="BX35" s="251"/>
    </row>
    <row r="36" spans="1:76" ht="80.099999999999994" customHeight="1" x14ac:dyDescent="0.2">
      <c r="A36" s="250">
        <v>33</v>
      </c>
      <c r="B36" s="33"/>
      <c r="C36" s="251" t="s">
        <v>224</v>
      </c>
      <c r="D36" s="252">
        <v>28208012502643</v>
      </c>
      <c r="E36" s="253">
        <v>260</v>
      </c>
      <c r="F36" s="253">
        <v>241.37</v>
      </c>
      <c r="G36" s="251"/>
      <c r="H36" s="251"/>
      <c r="I36" s="251"/>
      <c r="J36" s="253">
        <v>367.01</v>
      </c>
      <c r="K36" s="253">
        <v>3.67</v>
      </c>
      <c r="L36" s="253">
        <v>7.34</v>
      </c>
      <c r="M36" s="253">
        <v>55.05</v>
      </c>
      <c r="N36" s="253">
        <v>11.01</v>
      </c>
      <c r="O36" s="253">
        <v>1249.6300000000001</v>
      </c>
      <c r="P36" s="253">
        <v>87.47</v>
      </c>
      <c r="Q36" s="253">
        <v>190</v>
      </c>
      <c r="R36" s="251"/>
      <c r="S36" s="253">
        <v>1527.1</v>
      </c>
      <c r="T36" s="251"/>
      <c r="U36" s="251"/>
      <c r="V36" s="253">
        <v>14.4</v>
      </c>
      <c r="W36" s="253">
        <v>150</v>
      </c>
      <c r="X36" s="251"/>
      <c r="Y36" s="251"/>
      <c r="Z36" s="251"/>
      <c r="AA36" s="251"/>
      <c r="AB36" s="251"/>
      <c r="AC36" s="253">
        <v>5.47</v>
      </c>
      <c r="AD36" s="253">
        <v>411.24</v>
      </c>
      <c r="AE36" s="253">
        <v>1421.33</v>
      </c>
      <c r="AF36" s="253">
        <v>1421.33</v>
      </c>
      <c r="AG36" s="253">
        <v>14.21</v>
      </c>
      <c r="AH36" s="253">
        <v>213.2</v>
      </c>
      <c r="AI36" s="253">
        <v>42.64</v>
      </c>
      <c r="AJ36" s="253">
        <v>2285.46</v>
      </c>
      <c r="AK36" s="253">
        <v>3.67</v>
      </c>
      <c r="AL36" s="253">
        <v>7.34</v>
      </c>
      <c r="AM36" s="253">
        <v>55.05</v>
      </c>
      <c r="AN36" s="253">
        <v>11.01</v>
      </c>
      <c r="AO36" s="253">
        <v>36.700000000000003</v>
      </c>
      <c r="AP36" s="253">
        <v>3.67</v>
      </c>
      <c r="AQ36" s="253">
        <v>11.01</v>
      </c>
      <c r="AR36" s="253">
        <v>142.13</v>
      </c>
      <c r="AS36" s="253">
        <v>14.21</v>
      </c>
      <c r="AT36" s="253">
        <v>14.21</v>
      </c>
      <c r="AU36" s="253">
        <v>213.2</v>
      </c>
      <c r="AV36" s="253">
        <v>42.64</v>
      </c>
      <c r="AW36" s="253">
        <v>17.440000000000001</v>
      </c>
      <c r="AX36" s="251"/>
      <c r="AY36" s="253">
        <v>223.9</v>
      </c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  <c r="BL36" s="251"/>
      <c r="BM36" s="251"/>
      <c r="BN36" s="251"/>
      <c r="BO36" s="251"/>
      <c r="BP36" s="251"/>
      <c r="BQ36" s="251"/>
      <c r="BR36" s="253">
        <v>0.04</v>
      </c>
      <c r="BS36" s="253">
        <v>12.4</v>
      </c>
      <c r="BT36" s="253">
        <v>6.54</v>
      </c>
      <c r="BU36" s="253">
        <v>815.16</v>
      </c>
      <c r="BV36" s="253">
        <v>1470.3</v>
      </c>
      <c r="BW36" s="251" t="s">
        <v>224</v>
      </c>
      <c r="BX36" s="251"/>
    </row>
    <row r="37" spans="1:76" ht="80.099999999999994" customHeight="1" x14ac:dyDescent="0.2">
      <c r="A37" s="250">
        <v>34</v>
      </c>
      <c r="B37" s="34"/>
      <c r="C37" s="251" t="s">
        <v>168</v>
      </c>
      <c r="D37" s="252">
        <v>26804232500107</v>
      </c>
      <c r="E37" s="253">
        <v>462.98</v>
      </c>
      <c r="F37" s="251"/>
      <c r="G37" s="251"/>
      <c r="H37" s="251"/>
      <c r="I37" s="251"/>
      <c r="J37" s="253">
        <v>653.53</v>
      </c>
      <c r="K37" s="253">
        <v>6.54</v>
      </c>
      <c r="L37" s="253">
        <v>13.07</v>
      </c>
      <c r="M37" s="253">
        <v>98.03</v>
      </c>
      <c r="N37" s="253">
        <v>19.61</v>
      </c>
      <c r="O37" s="253">
        <v>1853.47</v>
      </c>
      <c r="P37" s="253">
        <v>129.74</v>
      </c>
      <c r="Q37" s="253">
        <v>190</v>
      </c>
      <c r="R37" s="251"/>
      <c r="S37" s="253">
        <v>2173.21</v>
      </c>
      <c r="T37" s="251"/>
      <c r="U37" s="251"/>
      <c r="V37" s="253">
        <v>28.5</v>
      </c>
      <c r="W37" s="253">
        <v>150</v>
      </c>
      <c r="X37" s="251"/>
      <c r="Y37" s="251"/>
      <c r="Z37" s="251"/>
      <c r="AA37" s="251"/>
      <c r="AB37" s="253">
        <v>284.01</v>
      </c>
      <c r="AC37" s="253">
        <v>71.38</v>
      </c>
      <c r="AD37" s="253">
        <v>533.89</v>
      </c>
      <c r="AE37" s="253">
        <v>1903.57</v>
      </c>
      <c r="AF37" s="253">
        <v>1903.57</v>
      </c>
      <c r="AG37" s="253">
        <v>19.04</v>
      </c>
      <c r="AH37" s="253">
        <v>285.54000000000002</v>
      </c>
      <c r="AI37" s="253">
        <v>57.11</v>
      </c>
      <c r="AJ37" s="253">
        <v>3206.04</v>
      </c>
      <c r="AK37" s="253">
        <v>6.54</v>
      </c>
      <c r="AL37" s="253">
        <v>13.07</v>
      </c>
      <c r="AM37" s="253">
        <v>98.03</v>
      </c>
      <c r="AN37" s="253">
        <v>19.61</v>
      </c>
      <c r="AO37" s="253">
        <v>65.349999999999994</v>
      </c>
      <c r="AP37" s="253">
        <v>6.54</v>
      </c>
      <c r="AQ37" s="253">
        <v>19.61</v>
      </c>
      <c r="AR37" s="253">
        <v>190.36</v>
      </c>
      <c r="AS37" s="253">
        <v>19.04</v>
      </c>
      <c r="AT37" s="253">
        <v>19.04</v>
      </c>
      <c r="AU37" s="253">
        <v>285.54000000000002</v>
      </c>
      <c r="AV37" s="253">
        <v>57.11</v>
      </c>
      <c r="AW37" s="251"/>
      <c r="AX37" s="251"/>
      <c r="AY37" s="253">
        <v>344.45</v>
      </c>
      <c r="AZ37" s="251"/>
      <c r="BA37" s="251"/>
      <c r="BB37" s="251"/>
      <c r="BC37" s="251"/>
      <c r="BD37" s="251"/>
      <c r="BE37" s="251"/>
      <c r="BF37" s="253">
        <v>124.65</v>
      </c>
      <c r="BG37" s="251"/>
      <c r="BH37" s="253">
        <v>60</v>
      </c>
      <c r="BI37" s="251"/>
      <c r="BJ37" s="253">
        <v>33.270000000000003</v>
      </c>
      <c r="BK37" s="251"/>
      <c r="BL37" s="251"/>
      <c r="BM37" s="251"/>
      <c r="BN37" s="251"/>
      <c r="BO37" s="251"/>
      <c r="BP37" s="251"/>
      <c r="BQ37" s="251"/>
      <c r="BR37" s="253">
        <v>0.03</v>
      </c>
      <c r="BS37" s="253">
        <v>17.5</v>
      </c>
      <c r="BT37" s="253">
        <v>16.649999999999999</v>
      </c>
      <c r="BU37" s="253">
        <v>1396.39</v>
      </c>
      <c r="BV37" s="253">
        <v>1809.65</v>
      </c>
      <c r="BW37" s="251" t="s">
        <v>168</v>
      </c>
      <c r="BX37" s="251"/>
    </row>
    <row r="38" spans="1:76" ht="80.099999999999994" customHeight="1" x14ac:dyDescent="0.2">
      <c r="A38" s="250">
        <v>35</v>
      </c>
      <c r="B38" s="33"/>
      <c r="C38" s="251" t="s">
        <v>170</v>
      </c>
      <c r="D38" s="252">
        <v>28008042500107</v>
      </c>
      <c r="E38" s="253">
        <v>263</v>
      </c>
      <c r="F38" s="253">
        <v>223.18</v>
      </c>
      <c r="G38" s="251"/>
      <c r="H38" s="251"/>
      <c r="I38" s="251"/>
      <c r="J38" s="253">
        <v>371.25</v>
      </c>
      <c r="K38" s="253">
        <v>3.71</v>
      </c>
      <c r="L38" s="253">
        <v>7.42</v>
      </c>
      <c r="M38" s="253">
        <v>55.69</v>
      </c>
      <c r="N38" s="253">
        <v>11.14</v>
      </c>
      <c r="O38" s="253">
        <v>1321.61</v>
      </c>
      <c r="P38" s="253">
        <v>92.51</v>
      </c>
      <c r="Q38" s="253">
        <v>190</v>
      </c>
      <c r="R38" s="251"/>
      <c r="S38" s="253">
        <v>1604.12</v>
      </c>
      <c r="T38" s="251"/>
      <c r="U38" s="251"/>
      <c r="V38" s="253">
        <v>14.4</v>
      </c>
      <c r="W38" s="253">
        <v>50</v>
      </c>
      <c r="X38" s="251"/>
      <c r="Y38" s="251"/>
      <c r="Z38" s="251"/>
      <c r="AA38" s="251"/>
      <c r="AB38" s="251"/>
      <c r="AC38" s="253">
        <v>5.51</v>
      </c>
      <c r="AD38" s="253">
        <v>293.08999999999997</v>
      </c>
      <c r="AE38" s="253">
        <v>1475.96</v>
      </c>
      <c r="AF38" s="253">
        <v>1475.96</v>
      </c>
      <c r="AG38" s="253">
        <v>14.76</v>
      </c>
      <c r="AH38" s="253">
        <v>221.39</v>
      </c>
      <c r="AI38" s="253">
        <v>44.28</v>
      </c>
      <c r="AJ38" s="253">
        <v>2255.6</v>
      </c>
      <c r="AK38" s="253">
        <v>3.71</v>
      </c>
      <c r="AL38" s="253">
        <v>7.42</v>
      </c>
      <c r="AM38" s="253">
        <v>55.69</v>
      </c>
      <c r="AN38" s="253">
        <v>11.14</v>
      </c>
      <c r="AO38" s="253">
        <v>37.119999999999997</v>
      </c>
      <c r="AP38" s="253">
        <v>3.71</v>
      </c>
      <c r="AQ38" s="253">
        <v>11.14</v>
      </c>
      <c r="AR38" s="253">
        <v>147.6</v>
      </c>
      <c r="AS38" s="253">
        <v>14.76</v>
      </c>
      <c r="AT38" s="253">
        <v>14.76</v>
      </c>
      <c r="AU38" s="253">
        <v>221.39</v>
      </c>
      <c r="AV38" s="253">
        <v>44.28</v>
      </c>
      <c r="AW38" s="253">
        <v>10.69</v>
      </c>
      <c r="AX38" s="251"/>
      <c r="AY38" s="253">
        <v>258.35000000000002</v>
      </c>
      <c r="AZ38" s="251"/>
      <c r="BA38" s="251"/>
      <c r="BB38" s="251"/>
      <c r="BC38" s="251"/>
      <c r="BD38" s="251"/>
      <c r="BE38" s="251"/>
      <c r="BF38" s="253">
        <v>37.450000000000003</v>
      </c>
      <c r="BG38" s="251"/>
      <c r="BH38" s="253">
        <v>60</v>
      </c>
      <c r="BI38" s="251"/>
      <c r="BJ38" s="251"/>
      <c r="BK38" s="253">
        <v>10</v>
      </c>
      <c r="BL38" s="251"/>
      <c r="BM38" s="251"/>
      <c r="BN38" s="251"/>
      <c r="BO38" s="251"/>
      <c r="BP38" s="251"/>
      <c r="BQ38" s="251"/>
      <c r="BR38" s="253">
        <v>0.01</v>
      </c>
      <c r="BS38" s="253">
        <v>12.1</v>
      </c>
      <c r="BT38" s="253">
        <v>5.93</v>
      </c>
      <c r="BU38" s="253">
        <v>967.25</v>
      </c>
      <c r="BV38" s="253">
        <v>1288.3499999999999</v>
      </c>
      <c r="BW38" s="251" t="s">
        <v>170</v>
      </c>
      <c r="BX38" s="251"/>
    </row>
    <row r="39" spans="1:76" ht="80.099999999999994" customHeight="1" x14ac:dyDescent="0.2">
      <c r="A39" s="250">
        <v>36</v>
      </c>
      <c r="B39" s="34"/>
      <c r="C39" s="251" t="s">
        <v>171</v>
      </c>
      <c r="D39" s="252">
        <v>28308012503041</v>
      </c>
      <c r="E39" s="253">
        <v>270</v>
      </c>
      <c r="F39" s="251"/>
      <c r="G39" s="251"/>
      <c r="H39" s="251"/>
      <c r="I39" s="251"/>
      <c r="J39" s="253">
        <v>381.13</v>
      </c>
      <c r="K39" s="253">
        <v>3.81</v>
      </c>
      <c r="L39" s="253">
        <v>7.62</v>
      </c>
      <c r="M39" s="253">
        <v>57.17</v>
      </c>
      <c r="N39" s="253">
        <v>11.43</v>
      </c>
      <c r="O39" s="253">
        <v>1284.06</v>
      </c>
      <c r="P39" s="253">
        <v>89.88</v>
      </c>
      <c r="Q39" s="253">
        <v>190</v>
      </c>
      <c r="R39" s="251"/>
      <c r="S39" s="253">
        <v>1563.94</v>
      </c>
      <c r="T39" s="251"/>
      <c r="U39" s="251"/>
      <c r="V39" s="253">
        <v>21</v>
      </c>
      <c r="W39" s="253">
        <v>50</v>
      </c>
      <c r="X39" s="251"/>
      <c r="Y39" s="251"/>
      <c r="Z39" s="251"/>
      <c r="AA39" s="251"/>
      <c r="AB39" s="251"/>
      <c r="AC39" s="253">
        <v>5.53</v>
      </c>
      <c r="AD39" s="253">
        <v>76.53</v>
      </c>
      <c r="AE39" s="253">
        <v>1209.3399999999999</v>
      </c>
      <c r="AF39" s="253">
        <v>1209.3399999999999</v>
      </c>
      <c r="AG39" s="253">
        <v>12.09</v>
      </c>
      <c r="AH39" s="253">
        <v>181.4</v>
      </c>
      <c r="AI39" s="253">
        <v>36.28</v>
      </c>
      <c r="AJ39" s="253">
        <v>1950.27</v>
      </c>
      <c r="AK39" s="253">
        <v>3.81</v>
      </c>
      <c r="AL39" s="253">
        <v>7.62</v>
      </c>
      <c r="AM39" s="253">
        <v>57.17</v>
      </c>
      <c r="AN39" s="253">
        <v>11.43</v>
      </c>
      <c r="AO39" s="253">
        <v>38.11</v>
      </c>
      <c r="AP39" s="253">
        <v>3.81</v>
      </c>
      <c r="AQ39" s="253">
        <v>11.43</v>
      </c>
      <c r="AR39" s="253">
        <v>120.93</v>
      </c>
      <c r="AS39" s="253">
        <v>12.09</v>
      </c>
      <c r="AT39" s="253">
        <v>12.09</v>
      </c>
      <c r="AU39" s="253">
        <v>181.4</v>
      </c>
      <c r="AV39" s="253">
        <v>36.28</v>
      </c>
      <c r="AW39" s="251"/>
      <c r="AX39" s="251"/>
      <c r="AY39" s="253">
        <v>116.7</v>
      </c>
      <c r="AZ39" s="253">
        <v>70</v>
      </c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3">
        <v>381.55</v>
      </c>
      <c r="BM39" s="251"/>
      <c r="BN39" s="251"/>
      <c r="BO39" s="251"/>
      <c r="BP39" s="251"/>
      <c r="BQ39" s="251"/>
      <c r="BR39" s="253">
        <v>0.01</v>
      </c>
      <c r="BS39" s="253">
        <v>9.85</v>
      </c>
      <c r="BT39" s="253">
        <v>1.54</v>
      </c>
      <c r="BU39" s="253">
        <v>1075.82</v>
      </c>
      <c r="BV39" s="253">
        <v>874.45</v>
      </c>
      <c r="BW39" s="251" t="s">
        <v>171</v>
      </c>
      <c r="BX39" s="251"/>
    </row>
    <row r="40" spans="1:76" ht="80.099999999999994" customHeight="1" x14ac:dyDescent="0.2">
      <c r="A40" s="250">
        <v>37</v>
      </c>
      <c r="B40" s="33"/>
      <c r="C40" s="251" t="s">
        <v>172</v>
      </c>
      <c r="D40" s="252">
        <v>28402062500227</v>
      </c>
      <c r="E40" s="253">
        <v>271</v>
      </c>
      <c r="F40" s="251"/>
      <c r="G40" s="251"/>
      <c r="H40" s="251"/>
      <c r="I40" s="251"/>
      <c r="J40" s="253">
        <v>382.54</v>
      </c>
      <c r="K40" s="253">
        <v>3.83</v>
      </c>
      <c r="L40" s="253">
        <v>7.65</v>
      </c>
      <c r="M40" s="253">
        <v>57.38</v>
      </c>
      <c r="N40" s="253">
        <v>11.48</v>
      </c>
      <c r="O40" s="253">
        <v>1306.4100000000001</v>
      </c>
      <c r="P40" s="253">
        <v>91.45</v>
      </c>
      <c r="Q40" s="253">
        <v>190</v>
      </c>
      <c r="R40" s="251"/>
      <c r="S40" s="253">
        <v>1587.86</v>
      </c>
      <c r="T40" s="251"/>
      <c r="U40" s="251"/>
      <c r="V40" s="253">
        <v>21</v>
      </c>
      <c r="W40" s="253">
        <v>140</v>
      </c>
      <c r="X40" s="251"/>
      <c r="Y40" s="251"/>
      <c r="Z40" s="251"/>
      <c r="AA40" s="251"/>
      <c r="AB40" s="251"/>
      <c r="AC40" s="253">
        <v>5.71</v>
      </c>
      <c r="AD40" s="253">
        <v>166.71</v>
      </c>
      <c r="AE40" s="253">
        <v>1232.03</v>
      </c>
      <c r="AF40" s="253">
        <v>1232.03</v>
      </c>
      <c r="AG40" s="253">
        <v>12.32</v>
      </c>
      <c r="AH40" s="253">
        <v>184.8</v>
      </c>
      <c r="AI40" s="253">
        <v>36.96</v>
      </c>
      <c r="AJ40" s="253">
        <v>2068.9899999999998</v>
      </c>
      <c r="AK40" s="253">
        <v>3.83</v>
      </c>
      <c r="AL40" s="253">
        <v>7.65</v>
      </c>
      <c r="AM40" s="253">
        <v>57.38</v>
      </c>
      <c r="AN40" s="253">
        <v>11.48</v>
      </c>
      <c r="AO40" s="253">
        <v>38.25</v>
      </c>
      <c r="AP40" s="253">
        <v>3.83</v>
      </c>
      <c r="AQ40" s="253">
        <v>11.48</v>
      </c>
      <c r="AR40" s="253">
        <v>123.2</v>
      </c>
      <c r="AS40" s="253">
        <v>12.32</v>
      </c>
      <c r="AT40" s="253">
        <v>12.32</v>
      </c>
      <c r="AU40" s="253">
        <v>184.8</v>
      </c>
      <c r="AV40" s="253">
        <v>36.96</v>
      </c>
      <c r="AW40" s="251"/>
      <c r="AX40" s="251"/>
      <c r="AY40" s="251"/>
      <c r="AZ40" s="253">
        <v>70</v>
      </c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1"/>
      <c r="BR40" s="253">
        <v>0.04</v>
      </c>
      <c r="BS40" s="253">
        <v>10.7</v>
      </c>
      <c r="BT40" s="253">
        <v>3.2</v>
      </c>
      <c r="BU40" s="253">
        <v>587.44000000000005</v>
      </c>
      <c r="BV40" s="253">
        <v>1481.55</v>
      </c>
      <c r="BW40" s="251" t="s">
        <v>172</v>
      </c>
      <c r="BX40" s="251"/>
    </row>
    <row r="41" spans="1:76" ht="80.099999999999994" customHeight="1" x14ac:dyDescent="0.2">
      <c r="A41" s="250">
        <v>38</v>
      </c>
      <c r="B41" s="34"/>
      <c r="C41" s="251" t="s">
        <v>173</v>
      </c>
      <c r="D41" s="252">
        <v>28311190104789</v>
      </c>
      <c r="E41" s="253">
        <v>246</v>
      </c>
      <c r="F41" s="251"/>
      <c r="G41" s="251"/>
      <c r="H41" s="251"/>
      <c r="I41" s="251"/>
      <c r="J41" s="253">
        <v>347.25</v>
      </c>
      <c r="K41" s="253">
        <v>3.47</v>
      </c>
      <c r="L41" s="253">
        <v>6.94</v>
      </c>
      <c r="M41" s="253">
        <v>52.09</v>
      </c>
      <c r="N41" s="253">
        <v>10.42</v>
      </c>
      <c r="O41" s="253">
        <v>1019</v>
      </c>
      <c r="P41" s="253">
        <v>71.33</v>
      </c>
      <c r="Q41" s="253">
        <v>190</v>
      </c>
      <c r="R41" s="251"/>
      <c r="S41" s="253">
        <v>1280.33</v>
      </c>
      <c r="T41" s="251"/>
      <c r="U41" s="251"/>
      <c r="V41" s="253">
        <v>14.4</v>
      </c>
      <c r="W41" s="253">
        <v>145</v>
      </c>
      <c r="X41" s="251"/>
      <c r="Y41" s="251"/>
      <c r="Z41" s="251"/>
      <c r="AA41" s="251"/>
      <c r="AB41" s="251"/>
      <c r="AC41" s="251"/>
      <c r="AD41" s="253">
        <v>159.4</v>
      </c>
      <c r="AE41" s="253">
        <v>947.48</v>
      </c>
      <c r="AF41" s="253">
        <v>947.48</v>
      </c>
      <c r="AG41" s="253">
        <v>9.4700000000000006</v>
      </c>
      <c r="AH41" s="253">
        <v>142.12</v>
      </c>
      <c r="AI41" s="253">
        <v>28.42</v>
      </c>
      <c r="AJ41" s="253">
        <v>1692.66</v>
      </c>
      <c r="AK41" s="253">
        <v>3.47</v>
      </c>
      <c r="AL41" s="253">
        <v>6.94</v>
      </c>
      <c r="AM41" s="253">
        <v>52.09</v>
      </c>
      <c r="AN41" s="253">
        <v>10.42</v>
      </c>
      <c r="AO41" s="253">
        <v>34.72</v>
      </c>
      <c r="AP41" s="253">
        <v>3.47</v>
      </c>
      <c r="AQ41" s="253">
        <v>10.42</v>
      </c>
      <c r="AR41" s="253">
        <v>94.75</v>
      </c>
      <c r="AS41" s="253">
        <v>9.4700000000000006</v>
      </c>
      <c r="AT41" s="253">
        <v>9.4700000000000006</v>
      </c>
      <c r="AU41" s="253">
        <v>142.12</v>
      </c>
      <c r="AV41" s="253">
        <v>28.42</v>
      </c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51"/>
      <c r="BR41" s="253">
        <v>0.01</v>
      </c>
      <c r="BS41" s="253">
        <v>9.1999999999999993</v>
      </c>
      <c r="BT41" s="253">
        <v>0.19</v>
      </c>
      <c r="BU41" s="253">
        <v>415.16</v>
      </c>
      <c r="BV41" s="253">
        <v>1277.5</v>
      </c>
      <c r="BW41" s="251" t="s">
        <v>173</v>
      </c>
      <c r="BX41" s="251"/>
    </row>
    <row r="42" spans="1:76" ht="80.099999999999994" customHeight="1" x14ac:dyDescent="0.2">
      <c r="A42" s="250">
        <v>39</v>
      </c>
      <c r="B42" s="33"/>
      <c r="C42" s="251" t="s">
        <v>174</v>
      </c>
      <c r="D42" s="252">
        <v>29005272502634</v>
      </c>
      <c r="E42" s="253">
        <v>250</v>
      </c>
      <c r="F42" s="251"/>
      <c r="G42" s="251"/>
      <c r="H42" s="251"/>
      <c r="I42" s="251"/>
      <c r="J42" s="253">
        <v>352.9</v>
      </c>
      <c r="K42" s="253">
        <v>3.53</v>
      </c>
      <c r="L42" s="253">
        <v>7.06</v>
      </c>
      <c r="M42" s="253">
        <v>52.93</v>
      </c>
      <c r="N42" s="253">
        <v>10.59</v>
      </c>
      <c r="O42" s="253">
        <v>1187.8599999999999</v>
      </c>
      <c r="P42" s="253">
        <v>83.15</v>
      </c>
      <c r="Q42" s="253">
        <v>190</v>
      </c>
      <c r="R42" s="251"/>
      <c r="S42" s="253">
        <v>1461.01</v>
      </c>
      <c r="T42" s="251"/>
      <c r="U42" s="251"/>
      <c r="V42" s="253">
        <v>14.4</v>
      </c>
      <c r="W42" s="253">
        <v>50</v>
      </c>
      <c r="X42" s="251"/>
      <c r="Y42" s="251"/>
      <c r="Z42" s="251"/>
      <c r="AA42" s="251"/>
      <c r="AB42" s="251"/>
      <c r="AC42" s="253">
        <v>5.24</v>
      </c>
      <c r="AD42" s="253">
        <v>69.64</v>
      </c>
      <c r="AE42" s="253">
        <v>1127.75</v>
      </c>
      <c r="AF42" s="253">
        <v>1127.75</v>
      </c>
      <c r="AG42" s="253">
        <v>11.28</v>
      </c>
      <c r="AH42" s="253">
        <v>169.16</v>
      </c>
      <c r="AI42" s="253">
        <v>33.83</v>
      </c>
      <c r="AJ42" s="253">
        <v>1819.03</v>
      </c>
      <c r="AK42" s="253">
        <v>3.53</v>
      </c>
      <c r="AL42" s="253">
        <v>7.06</v>
      </c>
      <c r="AM42" s="253">
        <v>52.93</v>
      </c>
      <c r="AN42" s="253">
        <v>10.59</v>
      </c>
      <c r="AO42" s="253">
        <v>35.29</v>
      </c>
      <c r="AP42" s="253">
        <v>3.53</v>
      </c>
      <c r="AQ42" s="253">
        <v>10.59</v>
      </c>
      <c r="AR42" s="253">
        <v>112.78</v>
      </c>
      <c r="AS42" s="253">
        <v>11.28</v>
      </c>
      <c r="AT42" s="253">
        <v>11.28</v>
      </c>
      <c r="AU42" s="253">
        <v>169.16</v>
      </c>
      <c r="AV42" s="253">
        <v>33.83</v>
      </c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1"/>
      <c r="BR42" s="253">
        <v>0.04</v>
      </c>
      <c r="BS42" s="253">
        <v>9.6999999999999993</v>
      </c>
      <c r="BT42" s="253">
        <v>1.24</v>
      </c>
      <c r="BU42" s="253">
        <v>472.83</v>
      </c>
      <c r="BV42" s="253">
        <v>1346.2</v>
      </c>
      <c r="BW42" s="251" t="s">
        <v>174</v>
      </c>
      <c r="BX42" s="251"/>
    </row>
    <row r="43" spans="1:76" ht="80.099999999999994" customHeight="1" x14ac:dyDescent="0.2">
      <c r="A43" s="250">
        <v>40</v>
      </c>
      <c r="B43" s="34"/>
      <c r="C43" s="251" t="s">
        <v>1</v>
      </c>
      <c r="D43" s="252">
        <v>27706242500131</v>
      </c>
      <c r="E43" s="253">
        <v>258</v>
      </c>
      <c r="F43" s="251"/>
      <c r="G43" s="251"/>
      <c r="H43" s="251"/>
      <c r="I43" s="251"/>
      <c r="J43" s="253">
        <v>364.19</v>
      </c>
      <c r="K43" s="253">
        <v>3.64</v>
      </c>
      <c r="L43" s="253">
        <v>7.28</v>
      </c>
      <c r="M43" s="253">
        <v>54.63</v>
      </c>
      <c r="N43" s="253">
        <v>10.93</v>
      </c>
      <c r="O43" s="253">
        <v>1185.1400000000001</v>
      </c>
      <c r="P43" s="253">
        <v>82.96</v>
      </c>
      <c r="Q43" s="253">
        <v>190</v>
      </c>
      <c r="R43" s="251"/>
      <c r="S43" s="253">
        <v>1458.1</v>
      </c>
      <c r="T43" s="251"/>
      <c r="U43" s="251"/>
      <c r="V43" s="253">
        <v>14.4</v>
      </c>
      <c r="W43" s="253">
        <v>145</v>
      </c>
      <c r="X43" s="251"/>
      <c r="Y43" s="251"/>
      <c r="Z43" s="251"/>
      <c r="AA43" s="251"/>
      <c r="AB43" s="251"/>
      <c r="AC43" s="253">
        <v>5.1100000000000003</v>
      </c>
      <c r="AD43" s="253">
        <v>164.51</v>
      </c>
      <c r="AE43" s="253">
        <v>1113.42</v>
      </c>
      <c r="AF43" s="253">
        <v>1113.42</v>
      </c>
      <c r="AG43" s="253">
        <v>11.13</v>
      </c>
      <c r="AH43" s="253">
        <v>167.01</v>
      </c>
      <c r="AI43" s="253">
        <v>33.4</v>
      </c>
      <c r="AJ43" s="253">
        <v>1910.63</v>
      </c>
      <c r="AK43" s="253">
        <v>3.64</v>
      </c>
      <c r="AL43" s="253">
        <v>7.28</v>
      </c>
      <c r="AM43" s="253">
        <v>54.63</v>
      </c>
      <c r="AN43" s="253">
        <v>10.93</v>
      </c>
      <c r="AO43" s="253">
        <v>36.42</v>
      </c>
      <c r="AP43" s="253">
        <v>3.64</v>
      </c>
      <c r="AQ43" s="253">
        <v>10.93</v>
      </c>
      <c r="AR43" s="253">
        <v>111.34</v>
      </c>
      <c r="AS43" s="253">
        <v>11.13</v>
      </c>
      <c r="AT43" s="253">
        <v>11.13</v>
      </c>
      <c r="AU43" s="253">
        <v>167.01</v>
      </c>
      <c r="AV43" s="253">
        <v>33.4</v>
      </c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51"/>
      <c r="BR43" s="253">
        <v>0.04</v>
      </c>
      <c r="BS43" s="253">
        <v>10.4</v>
      </c>
      <c r="BT43" s="253">
        <v>2.61</v>
      </c>
      <c r="BU43" s="253">
        <v>474.53</v>
      </c>
      <c r="BV43" s="253">
        <v>1436.1</v>
      </c>
      <c r="BW43" s="251" t="s">
        <v>1</v>
      </c>
      <c r="BX43" s="251"/>
    </row>
    <row r="44" spans="1:76" ht="80.099999999999994" customHeight="1" x14ac:dyDescent="0.2">
      <c r="A44" s="250">
        <v>41</v>
      </c>
      <c r="B44" s="33"/>
      <c r="C44" s="251" t="s">
        <v>175</v>
      </c>
      <c r="D44" s="252">
        <v>28410222500183</v>
      </c>
      <c r="E44" s="253">
        <v>263</v>
      </c>
      <c r="F44" s="251"/>
      <c r="G44" s="251"/>
      <c r="H44" s="251"/>
      <c r="I44" s="251"/>
      <c r="J44" s="253">
        <v>371.25</v>
      </c>
      <c r="K44" s="253">
        <v>3.71</v>
      </c>
      <c r="L44" s="253">
        <v>7.42</v>
      </c>
      <c r="M44" s="253">
        <v>55.69</v>
      </c>
      <c r="N44" s="253">
        <v>11.14</v>
      </c>
      <c r="O44" s="253">
        <v>1269.6500000000001</v>
      </c>
      <c r="P44" s="253">
        <v>88.88</v>
      </c>
      <c r="Q44" s="253">
        <v>190</v>
      </c>
      <c r="R44" s="251"/>
      <c r="S44" s="253">
        <v>1548.53</v>
      </c>
      <c r="T44" s="251"/>
      <c r="U44" s="251"/>
      <c r="V44" s="253">
        <v>21</v>
      </c>
      <c r="W44" s="253">
        <v>95</v>
      </c>
      <c r="X44" s="251"/>
      <c r="Y44" s="251"/>
      <c r="Z44" s="251"/>
      <c r="AA44" s="251"/>
      <c r="AB44" s="251"/>
      <c r="AC44" s="253">
        <v>5.51</v>
      </c>
      <c r="AD44" s="253">
        <v>121.51</v>
      </c>
      <c r="AE44" s="253">
        <v>1203.79</v>
      </c>
      <c r="AF44" s="253">
        <v>1203.79</v>
      </c>
      <c r="AG44" s="253">
        <v>12.04</v>
      </c>
      <c r="AH44" s="253">
        <v>180.57</v>
      </c>
      <c r="AI44" s="253">
        <v>36.11</v>
      </c>
      <c r="AJ44" s="253">
        <v>1976.72</v>
      </c>
      <c r="AK44" s="253">
        <v>3.71</v>
      </c>
      <c r="AL44" s="253">
        <v>7.42</v>
      </c>
      <c r="AM44" s="253">
        <v>55.69</v>
      </c>
      <c r="AN44" s="253">
        <v>11.14</v>
      </c>
      <c r="AO44" s="253">
        <v>37.119999999999997</v>
      </c>
      <c r="AP44" s="253">
        <v>3.71</v>
      </c>
      <c r="AQ44" s="253">
        <v>11.14</v>
      </c>
      <c r="AR44" s="253">
        <v>120.38</v>
      </c>
      <c r="AS44" s="253">
        <v>12.04</v>
      </c>
      <c r="AT44" s="253">
        <v>12.04</v>
      </c>
      <c r="AU44" s="253">
        <v>180.57</v>
      </c>
      <c r="AV44" s="253">
        <v>36.11</v>
      </c>
      <c r="AW44" s="251"/>
      <c r="AX44" s="251"/>
      <c r="AY44" s="251"/>
      <c r="AZ44" s="251"/>
      <c r="BA44" s="253">
        <v>1</v>
      </c>
      <c r="BB44" s="251"/>
      <c r="BC44" s="251"/>
      <c r="BD44" s="253">
        <v>2</v>
      </c>
      <c r="BE44" s="251"/>
      <c r="BF44" s="251"/>
      <c r="BG44" s="251"/>
      <c r="BH44" s="251"/>
      <c r="BI44" s="251"/>
      <c r="BJ44" s="251"/>
      <c r="BK44" s="251"/>
      <c r="BL44" s="251"/>
      <c r="BM44" s="251"/>
      <c r="BN44" s="251"/>
      <c r="BO44" s="251"/>
      <c r="BP44" s="251"/>
      <c r="BQ44" s="251"/>
      <c r="BR44" s="253">
        <v>0.04</v>
      </c>
      <c r="BS44" s="253">
        <v>10.65</v>
      </c>
      <c r="BT44" s="253">
        <v>3.06</v>
      </c>
      <c r="BU44" s="253">
        <v>507.82</v>
      </c>
      <c r="BV44" s="253">
        <v>1468.9</v>
      </c>
      <c r="BW44" s="251" t="s">
        <v>175</v>
      </c>
      <c r="BX44" s="251"/>
    </row>
    <row r="45" spans="1:76" ht="80.099999999999994" customHeight="1" x14ac:dyDescent="0.2">
      <c r="A45" s="250">
        <v>42</v>
      </c>
      <c r="B45" s="34"/>
      <c r="C45" s="251" t="s">
        <v>176</v>
      </c>
      <c r="D45" s="252">
        <v>28607031900244</v>
      </c>
      <c r="E45" s="253">
        <v>257</v>
      </c>
      <c r="F45" s="251"/>
      <c r="G45" s="251"/>
      <c r="H45" s="251"/>
      <c r="I45" s="251"/>
      <c r="J45" s="253">
        <v>362.78</v>
      </c>
      <c r="K45" s="253">
        <v>3.63</v>
      </c>
      <c r="L45" s="253">
        <v>7.26</v>
      </c>
      <c r="M45" s="253">
        <v>54.42</v>
      </c>
      <c r="N45" s="253">
        <v>10.88</v>
      </c>
      <c r="O45" s="253">
        <v>1240.6099999999999</v>
      </c>
      <c r="P45" s="253">
        <v>86.84</v>
      </c>
      <c r="Q45" s="253">
        <v>190</v>
      </c>
      <c r="R45" s="251"/>
      <c r="S45" s="253">
        <v>1517.45</v>
      </c>
      <c r="T45" s="251"/>
      <c r="U45" s="251"/>
      <c r="V45" s="253">
        <v>14.4</v>
      </c>
      <c r="W45" s="253">
        <v>140</v>
      </c>
      <c r="X45" s="251"/>
      <c r="Y45" s="251"/>
      <c r="Z45" s="251"/>
      <c r="AA45" s="251"/>
      <c r="AB45" s="251"/>
      <c r="AC45" s="253">
        <v>5.43</v>
      </c>
      <c r="AD45" s="253">
        <v>159.83000000000001</v>
      </c>
      <c r="AE45" s="253">
        <v>1174.5</v>
      </c>
      <c r="AF45" s="253">
        <v>1174.5</v>
      </c>
      <c r="AG45" s="253">
        <v>11.75</v>
      </c>
      <c r="AH45" s="253">
        <v>176.17</v>
      </c>
      <c r="AI45" s="253">
        <v>35.229999999999997</v>
      </c>
      <c r="AJ45" s="253">
        <v>1976.62</v>
      </c>
      <c r="AK45" s="253">
        <v>3.63</v>
      </c>
      <c r="AL45" s="253">
        <v>7.26</v>
      </c>
      <c r="AM45" s="253">
        <v>54.42</v>
      </c>
      <c r="AN45" s="253">
        <v>10.88</v>
      </c>
      <c r="AO45" s="253">
        <v>36.28</v>
      </c>
      <c r="AP45" s="253">
        <v>3.63</v>
      </c>
      <c r="AQ45" s="253">
        <v>10.88</v>
      </c>
      <c r="AR45" s="253">
        <v>117.45</v>
      </c>
      <c r="AS45" s="253">
        <v>11.75</v>
      </c>
      <c r="AT45" s="253">
        <v>11.75</v>
      </c>
      <c r="AU45" s="253">
        <v>176.17</v>
      </c>
      <c r="AV45" s="253">
        <v>35.229999999999997</v>
      </c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1"/>
      <c r="BR45" s="253">
        <v>0.01</v>
      </c>
      <c r="BS45" s="253">
        <v>10.75</v>
      </c>
      <c r="BT45" s="253">
        <v>3.33</v>
      </c>
      <c r="BU45" s="253">
        <v>493.42</v>
      </c>
      <c r="BV45" s="253">
        <v>1483.2</v>
      </c>
      <c r="BW45" s="251" t="s">
        <v>176</v>
      </c>
      <c r="BX45" s="251"/>
    </row>
    <row r="46" spans="1:76" ht="80.099999999999994" customHeight="1" x14ac:dyDescent="0.2">
      <c r="A46" s="250">
        <v>43</v>
      </c>
      <c r="B46" s="33"/>
      <c r="C46" s="251" t="s">
        <v>177</v>
      </c>
      <c r="D46" s="252">
        <v>26712062501837</v>
      </c>
      <c r="E46" s="253">
        <v>257</v>
      </c>
      <c r="F46" s="253">
        <v>221.56</v>
      </c>
      <c r="G46" s="251"/>
      <c r="H46" s="251"/>
      <c r="I46" s="251"/>
      <c r="J46" s="253">
        <v>362.78</v>
      </c>
      <c r="K46" s="253">
        <v>3.63</v>
      </c>
      <c r="L46" s="253">
        <v>7.26</v>
      </c>
      <c r="M46" s="253">
        <v>54.42</v>
      </c>
      <c r="N46" s="253">
        <v>10.88</v>
      </c>
      <c r="O46" s="253">
        <v>1240.6099999999999</v>
      </c>
      <c r="P46" s="253">
        <v>86.84</v>
      </c>
      <c r="Q46" s="253">
        <v>190</v>
      </c>
      <c r="R46" s="251"/>
      <c r="S46" s="253">
        <v>1517.45</v>
      </c>
      <c r="T46" s="251"/>
      <c r="U46" s="251"/>
      <c r="V46" s="253">
        <v>14.4</v>
      </c>
      <c r="W46" s="253">
        <v>145</v>
      </c>
      <c r="X46" s="251"/>
      <c r="Y46" s="253">
        <v>14.4</v>
      </c>
      <c r="Z46" s="251"/>
      <c r="AA46" s="251"/>
      <c r="AB46" s="251"/>
      <c r="AC46" s="253">
        <v>5.43</v>
      </c>
      <c r="AD46" s="253">
        <v>400.79</v>
      </c>
      <c r="AE46" s="253">
        <v>1410.46</v>
      </c>
      <c r="AF46" s="253">
        <v>1410.46</v>
      </c>
      <c r="AG46" s="253">
        <v>14.1</v>
      </c>
      <c r="AH46" s="253">
        <v>211.57</v>
      </c>
      <c r="AI46" s="253">
        <v>42.31</v>
      </c>
      <c r="AJ46" s="253">
        <v>2262.41</v>
      </c>
      <c r="AK46" s="253">
        <v>3.63</v>
      </c>
      <c r="AL46" s="253">
        <v>7.26</v>
      </c>
      <c r="AM46" s="253">
        <v>54.42</v>
      </c>
      <c r="AN46" s="253">
        <v>10.88</v>
      </c>
      <c r="AO46" s="253">
        <v>36.28</v>
      </c>
      <c r="AP46" s="253">
        <v>3.63</v>
      </c>
      <c r="AQ46" s="253">
        <v>10.88</v>
      </c>
      <c r="AR46" s="253">
        <v>141.05000000000001</v>
      </c>
      <c r="AS46" s="253">
        <v>14.1</v>
      </c>
      <c r="AT46" s="253">
        <v>14.1</v>
      </c>
      <c r="AU46" s="253">
        <v>211.57</v>
      </c>
      <c r="AV46" s="253">
        <v>42.31</v>
      </c>
      <c r="AW46" s="253">
        <v>34.03</v>
      </c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3">
        <v>12.1</v>
      </c>
      <c r="BT46" s="253">
        <v>6.02</v>
      </c>
      <c r="BU46" s="253">
        <v>602.26</v>
      </c>
      <c r="BV46" s="253">
        <v>1660.15</v>
      </c>
      <c r="BW46" s="251" t="s">
        <v>177</v>
      </c>
      <c r="BX46" s="251"/>
    </row>
    <row r="47" spans="1:76" ht="80.099999999999994" customHeight="1" x14ac:dyDescent="0.2">
      <c r="A47" s="250">
        <v>44</v>
      </c>
      <c r="B47" s="34"/>
      <c r="C47" s="251" t="s">
        <v>178</v>
      </c>
      <c r="D47" s="252">
        <v>28707062500061</v>
      </c>
      <c r="E47" s="253">
        <v>254</v>
      </c>
      <c r="F47" s="251"/>
      <c r="G47" s="251"/>
      <c r="H47" s="251"/>
      <c r="I47" s="251"/>
      <c r="J47" s="253">
        <v>358.54</v>
      </c>
      <c r="K47" s="253">
        <v>3.59</v>
      </c>
      <c r="L47" s="253">
        <v>7.17</v>
      </c>
      <c r="M47" s="253">
        <v>53.78</v>
      </c>
      <c r="N47" s="253">
        <v>10.76</v>
      </c>
      <c r="O47" s="253">
        <v>1231.58</v>
      </c>
      <c r="P47" s="253">
        <v>86.21</v>
      </c>
      <c r="Q47" s="253">
        <v>190</v>
      </c>
      <c r="R47" s="251"/>
      <c r="S47" s="253">
        <v>1507.79</v>
      </c>
      <c r="T47" s="251"/>
      <c r="U47" s="251"/>
      <c r="V47" s="253">
        <v>14.4</v>
      </c>
      <c r="W47" s="253">
        <v>50</v>
      </c>
      <c r="X47" s="251"/>
      <c r="Y47" s="251"/>
      <c r="Z47" s="251"/>
      <c r="AA47" s="251"/>
      <c r="AB47" s="251"/>
      <c r="AC47" s="253">
        <v>5.45</v>
      </c>
      <c r="AD47" s="253">
        <v>69.849999999999994</v>
      </c>
      <c r="AE47" s="253">
        <v>1169.0999999999999</v>
      </c>
      <c r="AF47" s="253">
        <v>1169.0999999999999</v>
      </c>
      <c r="AG47" s="253">
        <v>11.69</v>
      </c>
      <c r="AH47" s="253">
        <v>175.36</v>
      </c>
      <c r="AI47" s="253">
        <v>35.07</v>
      </c>
      <c r="AJ47" s="253">
        <v>1875.06</v>
      </c>
      <c r="AK47" s="253">
        <v>3.59</v>
      </c>
      <c r="AL47" s="253">
        <v>7.17</v>
      </c>
      <c r="AM47" s="253">
        <v>53.78</v>
      </c>
      <c r="AN47" s="253">
        <v>10.76</v>
      </c>
      <c r="AO47" s="253">
        <v>35.85</v>
      </c>
      <c r="AP47" s="253">
        <v>3.59</v>
      </c>
      <c r="AQ47" s="253">
        <v>10.76</v>
      </c>
      <c r="AR47" s="253">
        <v>116.91</v>
      </c>
      <c r="AS47" s="253">
        <v>11.69</v>
      </c>
      <c r="AT47" s="253">
        <v>11.69</v>
      </c>
      <c r="AU47" s="253">
        <v>175.36</v>
      </c>
      <c r="AV47" s="253">
        <v>35.07</v>
      </c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1"/>
      <c r="BR47" s="253">
        <v>0.03</v>
      </c>
      <c r="BS47" s="253">
        <v>10.050000000000001</v>
      </c>
      <c r="BT47" s="253">
        <v>1.86</v>
      </c>
      <c r="BU47" s="253">
        <v>488.16</v>
      </c>
      <c r="BV47" s="253">
        <v>1386.9</v>
      </c>
      <c r="BW47" s="251" t="s">
        <v>178</v>
      </c>
      <c r="BX47" s="251"/>
    </row>
    <row r="48" spans="1:76" ht="80.099999999999994" customHeight="1" x14ac:dyDescent="0.2">
      <c r="A48" s="250">
        <v>45</v>
      </c>
      <c r="B48" s="33"/>
      <c r="C48" s="251" t="s">
        <v>179</v>
      </c>
      <c r="D48" s="252">
        <v>26106032500111</v>
      </c>
      <c r="E48" s="253">
        <v>288</v>
      </c>
      <c r="F48" s="251"/>
      <c r="G48" s="251"/>
      <c r="H48" s="251"/>
      <c r="I48" s="251"/>
      <c r="J48" s="253">
        <v>406.54</v>
      </c>
      <c r="K48" s="253">
        <v>4.07</v>
      </c>
      <c r="L48" s="253">
        <v>8.1300000000000008</v>
      </c>
      <c r="M48" s="253">
        <v>60.98</v>
      </c>
      <c r="N48" s="253">
        <v>12.2</v>
      </c>
      <c r="O48" s="253">
        <v>1306.4100000000001</v>
      </c>
      <c r="P48" s="253">
        <v>91.45</v>
      </c>
      <c r="Q48" s="253">
        <v>190</v>
      </c>
      <c r="R48" s="251"/>
      <c r="S48" s="253">
        <v>1587.86</v>
      </c>
      <c r="T48" s="251"/>
      <c r="U48" s="251"/>
      <c r="V48" s="253">
        <v>21</v>
      </c>
      <c r="W48" s="253">
        <v>150</v>
      </c>
      <c r="X48" s="251"/>
      <c r="Y48" s="251"/>
      <c r="Z48" s="251"/>
      <c r="AA48" s="251"/>
      <c r="AB48" s="253">
        <v>65.680000000000007</v>
      </c>
      <c r="AC48" s="253">
        <v>5.98</v>
      </c>
      <c r="AD48" s="253">
        <v>242.66</v>
      </c>
      <c r="AE48" s="253">
        <v>1273.98</v>
      </c>
      <c r="AF48" s="253">
        <v>1273.98</v>
      </c>
      <c r="AG48" s="253">
        <v>12.74</v>
      </c>
      <c r="AH48" s="253">
        <v>191.1</v>
      </c>
      <c r="AI48" s="253">
        <v>38.22</v>
      </c>
      <c r="AJ48" s="253">
        <v>2157.96</v>
      </c>
      <c r="AK48" s="253">
        <v>4.07</v>
      </c>
      <c r="AL48" s="253">
        <v>8.1300000000000008</v>
      </c>
      <c r="AM48" s="253">
        <v>60.98</v>
      </c>
      <c r="AN48" s="253">
        <v>12.2</v>
      </c>
      <c r="AO48" s="253">
        <v>40.65</v>
      </c>
      <c r="AP48" s="253">
        <v>4.07</v>
      </c>
      <c r="AQ48" s="253">
        <v>12.2</v>
      </c>
      <c r="AR48" s="253">
        <v>127.4</v>
      </c>
      <c r="AS48" s="253">
        <v>12.74</v>
      </c>
      <c r="AT48" s="253">
        <v>12.74</v>
      </c>
      <c r="AU48" s="253">
        <v>191.1</v>
      </c>
      <c r="AV48" s="253">
        <v>38.22</v>
      </c>
      <c r="AW48" s="251"/>
      <c r="AX48" s="251"/>
      <c r="AY48" s="253">
        <v>93.35</v>
      </c>
      <c r="AZ48" s="251"/>
      <c r="BA48" s="253">
        <v>1</v>
      </c>
      <c r="BB48" s="251"/>
      <c r="BC48" s="251"/>
      <c r="BD48" s="253">
        <v>2</v>
      </c>
      <c r="BE48" s="253">
        <v>1</v>
      </c>
      <c r="BF48" s="251"/>
      <c r="BG48" s="251"/>
      <c r="BH48" s="251"/>
      <c r="BI48" s="251"/>
      <c r="BJ48" s="251"/>
      <c r="BK48" s="251"/>
      <c r="BL48" s="251"/>
      <c r="BM48" s="253">
        <v>345.15</v>
      </c>
      <c r="BN48" s="251"/>
      <c r="BO48" s="251"/>
      <c r="BP48" s="251"/>
      <c r="BQ48" s="251"/>
      <c r="BR48" s="251"/>
      <c r="BS48" s="253">
        <v>11.75</v>
      </c>
      <c r="BT48" s="253">
        <v>5.26</v>
      </c>
      <c r="BU48" s="253">
        <v>984.01</v>
      </c>
      <c r="BV48" s="253">
        <v>1173.95</v>
      </c>
      <c r="BW48" s="251" t="s">
        <v>179</v>
      </c>
      <c r="BX48" s="251"/>
    </row>
    <row r="49" spans="1:76" ht="80.099999999999994" customHeight="1" x14ac:dyDescent="0.2">
      <c r="A49" s="250">
        <v>46</v>
      </c>
      <c r="B49" s="34"/>
      <c r="C49" s="251" t="s">
        <v>180</v>
      </c>
      <c r="D49" s="252">
        <v>27203062500221</v>
      </c>
      <c r="E49" s="253">
        <v>274</v>
      </c>
      <c r="F49" s="251"/>
      <c r="G49" s="251"/>
      <c r="H49" s="251"/>
      <c r="I49" s="251"/>
      <c r="J49" s="253">
        <v>386.77</v>
      </c>
      <c r="K49" s="253">
        <v>3.87</v>
      </c>
      <c r="L49" s="253">
        <v>7.74</v>
      </c>
      <c r="M49" s="253">
        <v>58.02</v>
      </c>
      <c r="N49" s="253">
        <v>11.6</v>
      </c>
      <c r="O49" s="253">
        <v>1371.73</v>
      </c>
      <c r="P49" s="253">
        <v>96.02</v>
      </c>
      <c r="Q49" s="253">
        <v>190</v>
      </c>
      <c r="R49" s="251"/>
      <c r="S49" s="253">
        <v>1657.75</v>
      </c>
      <c r="T49" s="251"/>
      <c r="U49" s="251"/>
      <c r="V49" s="253">
        <v>21</v>
      </c>
      <c r="W49" s="253">
        <v>50</v>
      </c>
      <c r="X49" s="251"/>
      <c r="Y49" s="251"/>
      <c r="Z49" s="251"/>
      <c r="AA49" s="251"/>
      <c r="AB49" s="251"/>
      <c r="AC49" s="253">
        <v>5.64</v>
      </c>
      <c r="AD49" s="253">
        <v>76.64</v>
      </c>
      <c r="AE49" s="253">
        <v>1297.6199999999999</v>
      </c>
      <c r="AF49" s="253">
        <v>1297.6199999999999</v>
      </c>
      <c r="AG49" s="253">
        <v>12.98</v>
      </c>
      <c r="AH49" s="253">
        <v>194.64</v>
      </c>
      <c r="AI49" s="253">
        <v>38.93</v>
      </c>
      <c r="AJ49" s="253">
        <v>2062.17</v>
      </c>
      <c r="AK49" s="253">
        <v>3.87</v>
      </c>
      <c r="AL49" s="253">
        <v>7.74</v>
      </c>
      <c r="AM49" s="253">
        <v>58.02</v>
      </c>
      <c r="AN49" s="253">
        <v>11.6</v>
      </c>
      <c r="AO49" s="253">
        <v>38.68</v>
      </c>
      <c r="AP49" s="253">
        <v>3.87</v>
      </c>
      <c r="AQ49" s="253">
        <v>11.6</v>
      </c>
      <c r="AR49" s="253">
        <v>129.76</v>
      </c>
      <c r="AS49" s="253">
        <v>12.98</v>
      </c>
      <c r="AT49" s="253">
        <v>12.98</v>
      </c>
      <c r="AU49" s="253">
        <v>194.64</v>
      </c>
      <c r="AV49" s="253">
        <v>38.93</v>
      </c>
      <c r="AW49" s="253">
        <v>49.96</v>
      </c>
      <c r="AX49" s="251"/>
      <c r="AY49" s="251"/>
      <c r="AZ49" s="253">
        <v>70</v>
      </c>
      <c r="BA49" s="251"/>
      <c r="BB49" s="251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  <c r="BP49" s="251"/>
      <c r="BQ49" s="251"/>
      <c r="BR49" s="251"/>
      <c r="BS49" s="253">
        <v>10.1</v>
      </c>
      <c r="BT49" s="253">
        <v>2.04</v>
      </c>
      <c r="BU49" s="253">
        <v>656.77</v>
      </c>
      <c r="BV49" s="253">
        <v>1405.4</v>
      </c>
      <c r="BW49" s="251" t="s">
        <v>180</v>
      </c>
      <c r="BX49" s="251"/>
    </row>
    <row r="50" spans="1:76" ht="80.099999999999994" customHeight="1" x14ac:dyDescent="0.2">
      <c r="A50" s="250">
        <v>47</v>
      </c>
      <c r="B50" s="33"/>
      <c r="C50" s="251" t="s">
        <v>181</v>
      </c>
      <c r="D50" s="252">
        <v>28505012500157</v>
      </c>
      <c r="E50" s="253">
        <v>278</v>
      </c>
      <c r="F50" s="251"/>
      <c r="G50" s="251"/>
      <c r="H50" s="251"/>
      <c r="I50" s="251"/>
      <c r="J50" s="253">
        <v>392.42</v>
      </c>
      <c r="K50" s="253">
        <v>3.92</v>
      </c>
      <c r="L50" s="253">
        <v>7.85</v>
      </c>
      <c r="M50" s="253">
        <v>58.86</v>
      </c>
      <c r="N50" s="253">
        <v>11.77</v>
      </c>
      <c r="O50" s="253">
        <v>1312.5</v>
      </c>
      <c r="P50" s="253">
        <v>91.87</v>
      </c>
      <c r="Q50" s="253">
        <v>190</v>
      </c>
      <c r="R50" s="251"/>
      <c r="S50" s="253">
        <v>1594.37</v>
      </c>
      <c r="T50" s="251"/>
      <c r="U50" s="251"/>
      <c r="V50" s="253">
        <v>21</v>
      </c>
      <c r="W50" s="253">
        <v>95</v>
      </c>
      <c r="X50" s="251"/>
      <c r="Y50" s="251"/>
      <c r="Z50" s="251"/>
      <c r="AA50" s="251"/>
      <c r="AB50" s="253">
        <v>7.39</v>
      </c>
      <c r="AC50" s="253">
        <v>5.63</v>
      </c>
      <c r="AD50" s="253">
        <v>129.02000000000001</v>
      </c>
      <c r="AE50" s="253">
        <v>1235.97</v>
      </c>
      <c r="AF50" s="253">
        <v>1235.97</v>
      </c>
      <c r="AG50" s="253">
        <v>12.36</v>
      </c>
      <c r="AH50" s="253">
        <v>185.4</v>
      </c>
      <c r="AI50" s="253">
        <v>37.08</v>
      </c>
      <c r="AJ50" s="253">
        <v>2040.63</v>
      </c>
      <c r="AK50" s="253">
        <v>3.92</v>
      </c>
      <c r="AL50" s="253">
        <v>7.85</v>
      </c>
      <c r="AM50" s="253">
        <v>58.86</v>
      </c>
      <c r="AN50" s="253">
        <v>11.77</v>
      </c>
      <c r="AO50" s="253">
        <v>39.24</v>
      </c>
      <c r="AP50" s="253">
        <v>3.92</v>
      </c>
      <c r="AQ50" s="253">
        <v>11.77</v>
      </c>
      <c r="AR50" s="253">
        <v>123.6</v>
      </c>
      <c r="AS50" s="253">
        <v>12.36</v>
      </c>
      <c r="AT50" s="253">
        <v>12.36</v>
      </c>
      <c r="AU50" s="253">
        <v>185.4</v>
      </c>
      <c r="AV50" s="253">
        <v>37.08</v>
      </c>
      <c r="AW50" s="251"/>
      <c r="AX50" s="251"/>
      <c r="AY50" s="251"/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J50" s="251"/>
      <c r="BK50" s="251"/>
      <c r="BL50" s="251"/>
      <c r="BM50" s="251"/>
      <c r="BN50" s="251"/>
      <c r="BO50" s="251"/>
      <c r="BP50" s="251"/>
      <c r="BQ50" s="251"/>
      <c r="BR50" s="251"/>
      <c r="BS50" s="253">
        <v>11</v>
      </c>
      <c r="BT50" s="253">
        <v>3.75</v>
      </c>
      <c r="BU50" s="253">
        <v>522.88</v>
      </c>
      <c r="BV50" s="253">
        <v>1517.75</v>
      </c>
      <c r="BW50" s="251" t="s">
        <v>181</v>
      </c>
      <c r="BX50" s="251"/>
    </row>
    <row r="51" spans="1:76" ht="80.099999999999994" customHeight="1" x14ac:dyDescent="0.2">
      <c r="A51" s="250">
        <v>48</v>
      </c>
      <c r="B51" s="34"/>
      <c r="C51" s="251" t="s">
        <v>182</v>
      </c>
      <c r="D51" s="252">
        <v>28206262500473</v>
      </c>
      <c r="E51" s="253">
        <v>274</v>
      </c>
      <c r="F51" s="251"/>
      <c r="G51" s="251"/>
      <c r="H51" s="251"/>
      <c r="I51" s="251"/>
      <c r="J51" s="253">
        <v>386.77</v>
      </c>
      <c r="K51" s="253">
        <v>3.87</v>
      </c>
      <c r="L51" s="253">
        <v>7.74</v>
      </c>
      <c r="M51" s="253">
        <v>58.02</v>
      </c>
      <c r="N51" s="253">
        <v>11.6</v>
      </c>
      <c r="O51" s="253">
        <v>1306.4100000000001</v>
      </c>
      <c r="P51" s="253">
        <v>91.45</v>
      </c>
      <c r="Q51" s="253">
        <v>190</v>
      </c>
      <c r="R51" s="251"/>
      <c r="S51" s="253">
        <v>1587.86</v>
      </c>
      <c r="T51" s="251"/>
      <c r="U51" s="251"/>
      <c r="V51" s="253">
        <v>21</v>
      </c>
      <c r="W51" s="253">
        <v>95</v>
      </c>
      <c r="X51" s="251"/>
      <c r="Y51" s="253">
        <v>21</v>
      </c>
      <c r="Z51" s="251"/>
      <c r="AA51" s="251"/>
      <c r="AB51" s="251"/>
      <c r="AC51" s="253">
        <v>5.58</v>
      </c>
      <c r="AD51" s="253">
        <v>142.58000000000001</v>
      </c>
      <c r="AE51" s="253">
        <v>1248.67</v>
      </c>
      <c r="AF51" s="253">
        <v>1248.67</v>
      </c>
      <c r="AG51" s="253">
        <v>12.49</v>
      </c>
      <c r="AH51" s="253">
        <v>187.3</v>
      </c>
      <c r="AI51" s="253">
        <v>37.46</v>
      </c>
      <c r="AJ51" s="253">
        <v>2048.92</v>
      </c>
      <c r="AK51" s="253">
        <v>3.87</v>
      </c>
      <c r="AL51" s="253">
        <v>7.74</v>
      </c>
      <c r="AM51" s="253">
        <v>58.02</v>
      </c>
      <c r="AN51" s="253">
        <v>11.6</v>
      </c>
      <c r="AO51" s="253">
        <v>38.68</v>
      </c>
      <c r="AP51" s="253">
        <v>3.87</v>
      </c>
      <c r="AQ51" s="253">
        <v>11.6</v>
      </c>
      <c r="AR51" s="253">
        <v>124.87</v>
      </c>
      <c r="AS51" s="253">
        <v>12.49</v>
      </c>
      <c r="AT51" s="253">
        <v>12.49</v>
      </c>
      <c r="AU51" s="253">
        <v>187.3</v>
      </c>
      <c r="AV51" s="253">
        <v>37.46</v>
      </c>
      <c r="AW51" s="251"/>
      <c r="AX51" s="251"/>
      <c r="AY51" s="253">
        <v>56.25</v>
      </c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251"/>
      <c r="BL51" s="251"/>
      <c r="BM51" s="251"/>
      <c r="BN51" s="251"/>
      <c r="BO51" s="251"/>
      <c r="BP51" s="251"/>
      <c r="BQ51" s="251"/>
      <c r="BR51" s="253">
        <v>0.03</v>
      </c>
      <c r="BS51" s="253">
        <v>11.05</v>
      </c>
      <c r="BT51" s="253">
        <v>3.85</v>
      </c>
      <c r="BU51" s="253">
        <v>581.16999999999996</v>
      </c>
      <c r="BV51" s="253">
        <v>1467.75</v>
      </c>
      <c r="BW51" s="251" t="s">
        <v>182</v>
      </c>
      <c r="BX51" s="251"/>
    </row>
    <row r="52" spans="1:76" ht="80.099999999999994" customHeight="1" x14ac:dyDescent="0.2">
      <c r="A52" s="250">
        <v>49</v>
      </c>
      <c r="B52" s="33"/>
      <c r="C52" s="251" t="s">
        <v>183</v>
      </c>
      <c r="D52" s="252">
        <v>28307182502212</v>
      </c>
      <c r="E52" s="253">
        <v>260</v>
      </c>
      <c r="F52" s="253">
        <v>221.37</v>
      </c>
      <c r="G52" s="251"/>
      <c r="H52" s="251"/>
      <c r="I52" s="251"/>
      <c r="J52" s="253">
        <v>367.01</v>
      </c>
      <c r="K52" s="253">
        <v>3.67</v>
      </c>
      <c r="L52" s="253">
        <v>7.34</v>
      </c>
      <c r="M52" s="253">
        <v>55.05</v>
      </c>
      <c r="N52" s="253">
        <v>11.01</v>
      </c>
      <c r="O52" s="253">
        <v>1249.6300000000001</v>
      </c>
      <c r="P52" s="253">
        <v>87.47</v>
      </c>
      <c r="Q52" s="253">
        <v>190</v>
      </c>
      <c r="R52" s="251"/>
      <c r="S52" s="253">
        <v>1527.1</v>
      </c>
      <c r="T52" s="251"/>
      <c r="U52" s="251"/>
      <c r="V52" s="253">
        <v>14.4</v>
      </c>
      <c r="W52" s="253">
        <v>50</v>
      </c>
      <c r="X52" s="251"/>
      <c r="Y52" s="251"/>
      <c r="Z52" s="251"/>
      <c r="AA52" s="251"/>
      <c r="AB52" s="251"/>
      <c r="AC52" s="253">
        <v>5.47</v>
      </c>
      <c r="AD52" s="253">
        <v>291.24</v>
      </c>
      <c r="AE52" s="253">
        <v>1401.33</v>
      </c>
      <c r="AF52" s="253">
        <v>1401.33</v>
      </c>
      <c r="AG52" s="253">
        <v>14.01</v>
      </c>
      <c r="AH52" s="253">
        <v>210.2</v>
      </c>
      <c r="AI52" s="253">
        <v>42.04</v>
      </c>
      <c r="AJ52" s="253">
        <v>2161.66</v>
      </c>
      <c r="AK52" s="253">
        <v>3.67</v>
      </c>
      <c r="AL52" s="253">
        <v>7.34</v>
      </c>
      <c r="AM52" s="253">
        <v>55.05</v>
      </c>
      <c r="AN52" s="253">
        <v>11.01</v>
      </c>
      <c r="AO52" s="253">
        <v>36.700000000000003</v>
      </c>
      <c r="AP52" s="253">
        <v>3.67</v>
      </c>
      <c r="AQ52" s="253">
        <v>11.01</v>
      </c>
      <c r="AR52" s="253">
        <v>140.13</v>
      </c>
      <c r="AS52" s="253">
        <v>14.01</v>
      </c>
      <c r="AT52" s="253">
        <v>14.01</v>
      </c>
      <c r="AU52" s="253">
        <v>210.2</v>
      </c>
      <c r="AV52" s="253">
        <v>42.04</v>
      </c>
      <c r="AW52" s="253">
        <v>16</v>
      </c>
      <c r="AX52" s="251"/>
      <c r="AY52" s="253">
        <v>116.7</v>
      </c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3">
        <v>0.01</v>
      </c>
      <c r="BS52" s="253">
        <v>11.5</v>
      </c>
      <c r="BT52" s="253">
        <v>4.8099999999999996</v>
      </c>
      <c r="BU52" s="253">
        <v>697.86</v>
      </c>
      <c r="BV52" s="253">
        <v>1463.8</v>
      </c>
      <c r="BW52" s="251" t="s">
        <v>183</v>
      </c>
      <c r="BX52" s="251"/>
    </row>
    <row r="53" spans="1:76" ht="80.099999999999994" customHeight="1" x14ac:dyDescent="0.2">
      <c r="A53" s="250">
        <v>50</v>
      </c>
      <c r="B53" s="34"/>
      <c r="C53" s="251" t="s">
        <v>184</v>
      </c>
      <c r="D53" s="252">
        <v>28507012500494</v>
      </c>
      <c r="E53" s="253">
        <v>257</v>
      </c>
      <c r="F53" s="253">
        <v>217.56</v>
      </c>
      <c r="G53" s="253">
        <v>97</v>
      </c>
      <c r="H53" s="251"/>
      <c r="I53" s="251"/>
      <c r="J53" s="253">
        <v>362.78</v>
      </c>
      <c r="K53" s="253">
        <v>3.63</v>
      </c>
      <c r="L53" s="253">
        <v>7.26</v>
      </c>
      <c r="M53" s="253">
        <v>54.42</v>
      </c>
      <c r="N53" s="253">
        <v>10.88</v>
      </c>
      <c r="O53" s="253">
        <v>1240.6099999999999</v>
      </c>
      <c r="P53" s="253">
        <v>86.84</v>
      </c>
      <c r="Q53" s="253">
        <v>190</v>
      </c>
      <c r="R53" s="251"/>
      <c r="S53" s="253">
        <v>1517.45</v>
      </c>
      <c r="T53" s="251"/>
      <c r="U53" s="251"/>
      <c r="V53" s="253">
        <v>14.4</v>
      </c>
      <c r="W53" s="253">
        <v>100</v>
      </c>
      <c r="X53" s="251"/>
      <c r="Y53" s="253">
        <v>14.4</v>
      </c>
      <c r="Z53" s="251"/>
      <c r="AA53" s="251"/>
      <c r="AB53" s="251"/>
      <c r="AC53" s="253">
        <v>5.43</v>
      </c>
      <c r="AD53" s="253">
        <v>448.79</v>
      </c>
      <c r="AE53" s="253">
        <v>1503.46</v>
      </c>
      <c r="AF53" s="253">
        <v>1503.46</v>
      </c>
      <c r="AG53" s="253">
        <v>15.03</v>
      </c>
      <c r="AH53" s="253">
        <v>225.52</v>
      </c>
      <c r="AI53" s="253">
        <v>45.1</v>
      </c>
      <c r="AJ53" s="253">
        <v>2328.08</v>
      </c>
      <c r="AK53" s="253">
        <v>3.63</v>
      </c>
      <c r="AL53" s="253">
        <v>7.26</v>
      </c>
      <c r="AM53" s="253">
        <v>54.42</v>
      </c>
      <c r="AN53" s="253">
        <v>10.88</v>
      </c>
      <c r="AO53" s="253">
        <v>36.28</v>
      </c>
      <c r="AP53" s="253">
        <v>3.63</v>
      </c>
      <c r="AQ53" s="253">
        <v>10.88</v>
      </c>
      <c r="AR53" s="253">
        <v>150.35</v>
      </c>
      <c r="AS53" s="253">
        <v>15.03</v>
      </c>
      <c r="AT53" s="253">
        <v>15.03</v>
      </c>
      <c r="AU53" s="253">
        <v>225.52</v>
      </c>
      <c r="AV53" s="253">
        <v>45.1</v>
      </c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3">
        <v>0.03</v>
      </c>
      <c r="BS53" s="253">
        <v>12.65</v>
      </c>
      <c r="BT53" s="253">
        <v>7.09</v>
      </c>
      <c r="BU53" s="253">
        <v>597.78</v>
      </c>
      <c r="BV53" s="253">
        <v>1730.3</v>
      </c>
      <c r="BW53" s="251" t="s">
        <v>184</v>
      </c>
      <c r="BX53" s="251"/>
    </row>
    <row r="54" spans="1:76" ht="80.099999999999994" customHeight="1" x14ac:dyDescent="0.2">
      <c r="A54" s="250">
        <v>51</v>
      </c>
      <c r="B54" s="33"/>
      <c r="C54" s="251" t="s">
        <v>185</v>
      </c>
      <c r="D54" s="252">
        <v>28112020101791</v>
      </c>
      <c r="E54" s="253">
        <v>255</v>
      </c>
      <c r="F54" s="253">
        <v>215.21</v>
      </c>
      <c r="G54" s="253">
        <v>58.2</v>
      </c>
      <c r="H54" s="251"/>
      <c r="I54" s="251"/>
      <c r="J54" s="253">
        <v>359.95</v>
      </c>
      <c r="K54" s="253">
        <v>3.6</v>
      </c>
      <c r="L54" s="253">
        <v>7.2</v>
      </c>
      <c r="M54" s="253">
        <v>53.99</v>
      </c>
      <c r="N54" s="253">
        <v>10.8</v>
      </c>
      <c r="O54" s="253">
        <v>765.1</v>
      </c>
      <c r="P54" s="253">
        <v>53.56</v>
      </c>
      <c r="Q54" s="253">
        <v>123.5</v>
      </c>
      <c r="R54" s="251"/>
      <c r="S54" s="253">
        <v>942.16</v>
      </c>
      <c r="T54" s="251"/>
      <c r="U54" s="251"/>
      <c r="V54" s="253">
        <v>9.36</v>
      </c>
      <c r="W54" s="253">
        <v>150</v>
      </c>
      <c r="X54" s="251"/>
      <c r="Y54" s="253">
        <v>9.36</v>
      </c>
      <c r="Z54" s="251"/>
      <c r="AA54" s="251"/>
      <c r="AB54" s="251"/>
      <c r="AC54" s="253">
        <v>3.44</v>
      </c>
      <c r="AD54" s="253">
        <v>445.57</v>
      </c>
      <c r="AE54" s="253">
        <v>1544.25</v>
      </c>
      <c r="AF54" s="253">
        <v>1544.25</v>
      </c>
      <c r="AG54" s="253">
        <v>15.44</v>
      </c>
      <c r="AH54" s="253">
        <v>231.64</v>
      </c>
      <c r="AI54" s="253">
        <v>46.33</v>
      </c>
      <c r="AJ54" s="253">
        <v>1756.73</v>
      </c>
      <c r="AK54" s="253">
        <v>3.6</v>
      </c>
      <c r="AL54" s="253">
        <v>7.2</v>
      </c>
      <c r="AM54" s="253">
        <v>53.99</v>
      </c>
      <c r="AN54" s="253">
        <v>10.8</v>
      </c>
      <c r="AO54" s="253">
        <v>36</v>
      </c>
      <c r="AP54" s="253">
        <v>3.6</v>
      </c>
      <c r="AQ54" s="253">
        <v>10.8</v>
      </c>
      <c r="AR54" s="253">
        <v>154.43</v>
      </c>
      <c r="AS54" s="253">
        <v>15.44</v>
      </c>
      <c r="AT54" s="253">
        <v>15.44</v>
      </c>
      <c r="AU54" s="253">
        <v>231.64</v>
      </c>
      <c r="AV54" s="253">
        <v>46.33</v>
      </c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3">
        <v>0.01</v>
      </c>
      <c r="BS54" s="253">
        <v>8.35</v>
      </c>
      <c r="BT54" s="251"/>
      <c r="BU54" s="253">
        <v>597.63</v>
      </c>
      <c r="BV54" s="253">
        <v>1159.0999999999999</v>
      </c>
      <c r="BW54" s="251" t="s">
        <v>185</v>
      </c>
      <c r="BX54" s="251"/>
    </row>
    <row r="55" spans="1:76" ht="80.099999999999994" customHeight="1" x14ac:dyDescent="0.2">
      <c r="A55" s="250">
        <v>52</v>
      </c>
      <c r="B55" s="34"/>
      <c r="C55" s="251" t="s">
        <v>186</v>
      </c>
      <c r="D55" s="252">
        <v>27912222500339</v>
      </c>
      <c r="E55" s="253">
        <v>284</v>
      </c>
      <c r="F55" s="251"/>
      <c r="G55" s="253">
        <v>97</v>
      </c>
      <c r="H55" s="253">
        <v>200</v>
      </c>
      <c r="I55" s="251"/>
      <c r="J55" s="253">
        <v>400.89</v>
      </c>
      <c r="K55" s="253">
        <v>4.01</v>
      </c>
      <c r="L55" s="253">
        <v>8.02</v>
      </c>
      <c r="M55" s="253">
        <v>60.13</v>
      </c>
      <c r="N55" s="253">
        <v>12.03</v>
      </c>
      <c r="O55" s="253">
        <v>1306.4100000000001</v>
      </c>
      <c r="P55" s="253">
        <v>91.45</v>
      </c>
      <c r="Q55" s="253">
        <v>190</v>
      </c>
      <c r="R55" s="251"/>
      <c r="S55" s="253">
        <v>1587.86</v>
      </c>
      <c r="T55" s="251"/>
      <c r="U55" s="251"/>
      <c r="V55" s="253">
        <v>21</v>
      </c>
      <c r="W55" s="253">
        <v>145</v>
      </c>
      <c r="X55" s="251"/>
      <c r="Y55" s="251"/>
      <c r="Z55" s="251"/>
      <c r="AA55" s="251"/>
      <c r="AB55" s="253">
        <v>29.66</v>
      </c>
      <c r="AC55" s="253">
        <v>5.7</v>
      </c>
      <c r="AD55" s="253">
        <v>498.36</v>
      </c>
      <c r="AE55" s="253">
        <v>1540.33</v>
      </c>
      <c r="AF55" s="253">
        <v>1540.33</v>
      </c>
      <c r="AG55" s="253">
        <v>15.4</v>
      </c>
      <c r="AH55" s="253">
        <v>231.05</v>
      </c>
      <c r="AI55" s="253">
        <v>46.21</v>
      </c>
      <c r="AJ55" s="253">
        <v>2463.0700000000002</v>
      </c>
      <c r="AK55" s="253">
        <v>4.01</v>
      </c>
      <c r="AL55" s="253">
        <v>8.02</v>
      </c>
      <c r="AM55" s="253">
        <v>60.13</v>
      </c>
      <c r="AN55" s="253">
        <v>12.03</v>
      </c>
      <c r="AO55" s="253">
        <v>40.090000000000003</v>
      </c>
      <c r="AP55" s="253">
        <v>4.01</v>
      </c>
      <c r="AQ55" s="253">
        <v>12.03</v>
      </c>
      <c r="AR55" s="253">
        <v>154.03</v>
      </c>
      <c r="AS55" s="253">
        <v>15.4</v>
      </c>
      <c r="AT55" s="253">
        <v>15.4</v>
      </c>
      <c r="AU55" s="253">
        <v>231.05</v>
      </c>
      <c r="AV55" s="253">
        <v>46.21</v>
      </c>
      <c r="AW55" s="251"/>
      <c r="AX55" s="251"/>
      <c r="AY55" s="251"/>
      <c r="AZ55" s="251"/>
      <c r="BA55" s="253">
        <v>1</v>
      </c>
      <c r="BB55" s="251"/>
      <c r="BC55" s="251"/>
      <c r="BD55" s="253">
        <v>2</v>
      </c>
      <c r="BE55" s="253">
        <v>1</v>
      </c>
      <c r="BF55" s="253">
        <v>43.6</v>
      </c>
      <c r="BG55" s="251"/>
      <c r="BH55" s="251"/>
      <c r="BI55" s="251"/>
      <c r="BJ55" s="251"/>
      <c r="BK55" s="251"/>
      <c r="BL55" s="251"/>
      <c r="BM55" s="251"/>
      <c r="BN55" s="251"/>
      <c r="BO55" s="251"/>
      <c r="BP55" s="251"/>
      <c r="BQ55" s="251"/>
      <c r="BR55" s="253">
        <v>0.02</v>
      </c>
      <c r="BS55" s="253">
        <v>13.45</v>
      </c>
      <c r="BT55" s="253">
        <v>8.64</v>
      </c>
      <c r="BU55" s="253">
        <v>672.12</v>
      </c>
      <c r="BV55" s="253">
        <v>1790.95</v>
      </c>
      <c r="BW55" s="251" t="s">
        <v>186</v>
      </c>
      <c r="BX55" s="251"/>
    </row>
    <row r="56" spans="1:76" ht="80.099999999999994" customHeight="1" x14ac:dyDescent="0.2">
      <c r="A56" s="250">
        <v>53</v>
      </c>
      <c r="B56" s="33"/>
      <c r="C56" s="251" t="s">
        <v>188</v>
      </c>
      <c r="D56" s="252">
        <v>27909242500041</v>
      </c>
      <c r="E56" s="253">
        <v>270</v>
      </c>
      <c r="F56" s="251"/>
      <c r="G56" s="251"/>
      <c r="H56" s="251"/>
      <c r="I56" s="251"/>
      <c r="J56" s="253">
        <v>381.13</v>
      </c>
      <c r="K56" s="253">
        <v>3.81</v>
      </c>
      <c r="L56" s="253">
        <v>7.62</v>
      </c>
      <c r="M56" s="253">
        <v>57.17</v>
      </c>
      <c r="N56" s="253">
        <v>11.43</v>
      </c>
      <c r="O56" s="253">
        <v>1284.06</v>
      </c>
      <c r="P56" s="253">
        <v>89.88</v>
      </c>
      <c r="Q56" s="253">
        <v>190</v>
      </c>
      <c r="R56" s="251"/>
      <c r="S56" s="253">
        <v>1563.94</v>
      </c>
      <c r="T56" s="251"/>
      <c r="U56" s="251"/>
      <c r="V56" s="253">
        <v>21</v>
      </c>
      <c r="W56" s="253">
        <v>145</v>
      </c>
      <c r="X56" s="251"/>
      <c r="Y56" s="251"/>
      <c r="Z56" s="251"/>
      <c r="AA56" s="251"/>
      <c r="AB56" s="251"/>
      <c r="AC56" s="253">
        <v>5.53</v>
      </c>
      <c r="AD56" s="253">
        <v>171.53</v>
      </c>
      <c r="AE56" s="253">
        <v>1209.3399999999999</v>
      </c>
      <c r="AF56" s="253">
        <v>1209.3399999999999</v>
      </c>
      <c r="AG56" s="253">
        <v>12.09</v>
      </c>
      <c r="AH56" s="253">
        <v>181.4</v>
      </c>
      <c r="AI56" s="253">
        <v>36.28</v>
      </c>
      <c r="AJ56" s="253">
        <v>2045.27</v>
      </c>
      <c r="AK56" s="253">
        <v>3.81</v>
      </c>
      <c r="AL56" s="253">
        <v>7.62</v>
      </c>
      <c r="AM56" s="253">
        <v>57.17</v>
      </c>
      <c r="AN56" s="253">
        <v>11.43</v>
      </c>
      <c r="AO56" s="253">
        <v>38.11</v>
      </c>
      <c r="AP56" s="253">
        <v>3.81</v>
      </c>
      <c r="AQ56" s="253">
        <v>11.43</v>
      </c>
      <c r="AR56" s="253">
        <v>120.93</v>
      </c>
      <c r="AS56" s="253">
        <v>12.09</v>
      </c>
      <c r="AT56" s="253">
        <v>12.09</v>
      </c>
      <c r="AU56" s="253">
        <v>181.4</v>
      </c>
      <c r="AV56" s="253">
        <v>36.28</v>
      </c>
      <c r="AW56" s="251"/>
      <c r="AX56" s="251"/>
      <c r="AY56" s="251"/>
      <c r="AZ56" s="253">
        <v>70</v>
      </c>
      <c r="BA56" s="251"/>
      <c r="BB56" s="251"/>
      <c r="BC56" s="251"/>
      <c r="BD56" s="251"/>
      <c r="BE56" s="251"/>
      <c r="BF56" s="253">
        <v>67.5</v>
      </c>
      <c r="BG56" s="251"/>
      <c r="BH56" s="251"/>
      <c r="BI56" s="251"/>
      <c r="BJ56" s="251"/>
      <c r="BK56" s="251"/>
      <c r="BL56" s="253">
        <v>240.66</v>
      </c>
      <c r="BM56" s="251"/>
      <c r="BN56" s="251"/>
      <c r="BO56" s="251"/>
      <c r="BP56" s="251"/>
      <c r="BQ56" s="251"/>
      <c r="BR56" s="253">
        <v>0.03</v>
      </c>
      <c r="BS56" s="253">
        <v>10.6</v>
      </c>
      <c r="BT56" s="253">
        <v>2.96</v>
      </c>
      <c r="BU56" s="253">
        <v>887.92</v>
      </c>
      <c r="BV56" s="253">
        <v>1157.3499999999999</v>
      </c>
      <c r="BW56" s="251" t="s">
        <v>188</v>
      </c>
      <c r="BX56" s="251"/>
    </row>
    <row r="57" spans="1:76" ht="80.099999999999994" customHeight="1" x14ac:dyDescent="0.2">
      <c r="A57" s="250">
        <v>54</v>
      </c>
      <c r="B57" s="34"/>
      <c r="C57" s="251" t="s">
        <v>189</v>
      </c>
      <c r="D57" s="252">
        <v>28004262500242</v>
      </c>
      <c r="E57" s="253">
        <v>274</v>
      </c>
      <c r="F57" s="251"/>
      <c r="G57" s="251"/>
      <c r="H57" s="251"/>
      <c r="I57" s="251"/>
      <c r="J57" s="253">
        <v>386.77</v>
      </c>
      <c r="K57" s="253">
        <v>3.87</v>
      </c>
      <c r="L57" s="253">
        <v>7.74</v>
      </c>
      <c r="M57" s="253">
        <v>58.02</v>
      </c>
      <c r="N57" s="253">
        <v>11.6</v>
      </c>
      <c r="O57" s="253">
        <v>1371.73</v>
      </c>
      <c r="P57" s="253">
        <v>96.02</v>
      </c>
      <c r="Q57" s="253">
        <v>190</v>
      </c>
      <c r="R57" s="251"/>
      <c r="S57" s="253">
        <v>1657.75</v>
      </c>
      <c r="T57" s="251"/>
      <c r="U57" s="251"/>
      <c r="V57" s="253">
        <v>21</v>
      </c>
      <c r="W57" s="253">
        <v>100</v>
      </c>
      <c r="X57" s="251"/>
      <c r="Y57" s="251"/>
      <c r="Z57" s="253">
        <v>11</v>
      </c>
      <c r="AA57" s="251"/>
      <c r="AB57" s="251"/>
      <c r="AC57" s="253">
        <v>5.58</v>
      </c>
      <c r="AD57" s="253">
        <v>137.58000000000001</v>
      </c>
      <c r="AE57" s="253">
        <v>1308.56</v>
      </c>
      <c r="AF57" s="253">
        <v>1308.56</v>
      </c>
      <c r="AG57" s="253">
        <v>13.09</v>
      </c>
      <c r="AH57" s="253">
        <v>196.28</v>
      </c>
      <c r="AI57" s="253">
        <v>39.26</v>
      </c>
      <c r="AJ57" s="253">
        <v>2125.19</v>
      </c>
      <c r="AK57" s="253">
        <v>3.87</v>
      </c>
      <c r="AL57" s="253">
        <v>7.74</v>
      </c>
      <c r="AM57" s="253">
        <v>58.02</v>
      </c>
      <c r="AN57" s="253">
        <v>11.6</v>
      </c>
      <c r="AO57" s="253">
        <v>38.68</v>
      </c>
      <c r="AP57" s="253">
        <v>3.87</v>
      </c>
      <c r="AQ57" s="253">
        <v>11.6</v>
      </c>
      <c r="AR57" s="253">
        <v>130.86000000000001</v>
      </c>
      <c r="AS57" s="253">
        <v>13.09</v>
      </c>
      <c r="AT57" s="253">
        <v>13.09</v>
      </c>
      <c r="AU57" s="253">
        <v>196.28</v>
      </c>
      <c r="AV57" s="253">
        <v>39.26</v>
      </c>
      <c r="AW57" s="253">
        <v>5.19</v>
      </c>
      <c r="AX57" s="251"/>
      <c r="AY57" s="253">
        <v>186.7</v>
      </c>
      <c r="AZ57" s="253">
        <v>70</v>
      </c>
      <c r="BA57" s="253">
        <v>1</v>
      </c>
      <c r="BB57" s="251"/>
      <c r="BC57" s="251"/>
      <c r="BD57" s="251"/>
      <c r="BE57" s="251"/>
      <c r="BF57" s="253">
        <v>43.6</v>
      </c>
      <c r="BG57" s="251"/>
      <c r="BH57" s="251"/>
      <c r="BI57" s="251"/>
      <c r="BJ57" s="251"/>
      <c r="BK57" s="253">
        <v>20</v>
      </c>
      <c r="BL57" s="251"/>
      <c r="BM57" s="251"/>
      <c r="BN57" s="251"/>
      <c r="BO57" s="251"/>
      <c r="BP57" s="251"/>
      <c r="BQ57" s="251"/>
      <c r="BR57" s="253">
        <v>0.04</v>
      </c>
      <c r="BS57" s="253">
        <v>10.9</v>
      </c>
      <c r="BT57" s="253">
        <v>3.6</v>
      </c>
      <c r="BU57" s="253">
        <v>868.99</v>
      </c>
      <c r="BV57" s="253">
        <v>1256.2</v>
      </c>
      <c r="BW57" s="251" t="s">
        <v>189</v>
      </c>
      <c r="BX57" s="251"/>
    </row>
    <row r="58" spans="1:76" ht="80.099999999999994" customHeight="1" x14ac:dyDescent="0.2">
      <c r="A58" s="250">
        <v>55</v>
      </c>
      <c r="B58" s="33"/>
      <c r="C58" s="251" t="s">
        <v>190</v>
      </c>
      <c r="D58" s="252">
        <v>28603178800223</v>
      </c>
      <c r="E58" s="253">
        <v>266</v>
      </c>
      <c r="F58" s="253">
        <v>228.99</v>
      </c>
      <c r="G58" s="251"/>
      <c r="H58" s="251"/>
      <c r="I58" s="251"/>
      <c r="J58" s="253">
        <v>375.48</v>
      </c>
      <c r="K58" s="253">
        <v>3.75</v>
      </c>
      <c r="L58" s="253">
        <v>7.51</v>
      </c>
      <c r="M58" s="253">
        <v>56.32</v>
      </c>
      <c r="N58" s="253">
        <v>11.26</v>
      </c>
      <c r="O58" s="253">
        <v>1278.69</v>
      </c>
      <c r="P58" s="253">
        <v>89.51</v>
      </c>
      <c r="Q58" s="253">
        <v>190</v>
      </c>
      <c r="R58" s="251"/>
      <c r="S58" s="253">
        <v>1558.2</v>
      </c>
      <c r="T58" s="251"/>
      <c r="U58" s="251"/>
      <c r="V58" s="253">
        <v>21</v>
      </c>
      <c r="W58" s="253">
        <v>50</v>
      </c>
      <c r="X58" s="251"/>
      <c r="Y58" s="251"/>
      <c r="Z58" s="251"/>
      <c r="AA58" s="251"/>
      <c r="AB58" s="251"/>
      <c r="AC58" s="253">
        <v>5.54</v>
      </c>
      <c r="AD58" s="253">
        <v>305.52999999999997</v>
      </c>
      <c r="AE58" s="253">
        <v>1438.25</v>
      </c>
      <c r="AF58" s="253">
        <v>1438.25</v>
      </c>
      <c r="AG58" s="253">
        <v>14.38</v>
      </c>
      <c r="AH58" s="253">
        <v>215.74</v>
      </c>
      <c r="AI58" s="253">
        <v>43.15</v>
      </c>
      <c r="AJ58" s="253">
        <v>2215.84</v>
      </c>
      <c r="AK58" s="253">
        <v>3.75</v>
      </c>
      <c r="AL58" s="253">
        <v>7.51</v>
      </c>
      <c r="AM58" s="253">
        <v>56.32</v>
      </c>
      <c r="AN58" s="253">
        <v>11.26</v>
      </c>
      <c r="AO58" s="253">
        <v>37.549999999999997</v>
      </c>
      <c r="AP58" s="253">
        <v>3.75</v>
      </c>
      <c r="AQ58" s="253">
        <v>11.26</v>
      </c>
      <c r="AR58" s="253">
        <v>143.83000000000001</v>
      </c>
      <c r="AS58" s="253">
        <v>14.38</v>
      </c>
      <c r="AT58" s="253">
        <v>14.38</v>
      </c>
      <c r="AU58" s="253">
        <v>215.74</v>
      </c>
      <c r="AV58" s="253">
        <v>43.15</v>
      </c>
      <c r="AW58" s="251"/>
      <c r="AX58" s="251"/>
      <c r="AY58" s="251"/>
      <c r="AZ58" s="251"/>
      <c r="BA58" s="251"/>
      <c r="BB58" s="251"/>
      <c r="BC58" s="251"/>
      <c r="BD58" s="251"/>
      <c r="BE58" s="251"/>
      <c r="BF58" s="251"/>
      <c r="BG58" s="251"/>
      <c r="BH58" s="253">
        <v>50</v>
      </c>
      <c r="BI58" s="251"/>
      <c r="BJ58" s="251"/>
      <c r="BK58" s="251"/>
      <c r="BL58" s="251"/>
      <c r="BM58" s="251"/>
      <c r="BN58" s="251"/>
      <c r="BO58" s="251"/>
      <c r="BP58" s="251"/>
      <c r="BQ58" s="251"/>
      <c r="BR58" s="253">
        <v>0.01</v>
      </c>
      <c r="BS58" s="253">
        <v>11.9</v>
      </c>
      <c r="BT58" s="253">
        <v>5.55</v>
      </c>
      <c r="BU58" s="253">
        <v>630.34</v>
      </c>
      <c r="BV58" s="253">
        <v>1585.5</v>
      </c>
      <c r="BW58" s="251" t="s">
        <v>190</v>
      </c>
      <c r="BX58" s="251"/>
    </row>
    <row r="59" spans="1:76" ht="80.099999999999994" customHeight="1" x14ac:dyDescent="0.2">
      <c r="A59" s="250">
        <v>56</v>
      </c>
      <c r="B59" s="34"/>
      <c r="C59" s="251" t="s">
        <v>191</v>
      </c>
      <c r="D59" s="252">
        <v>28612082503685</v>
      </c>
      <c r="E59" s="253">
        <v>260</v>
      </c>
      <c r="F59" s="253">
        <v>163.9</v>
      </c>
      <c r="G59" s="251"/>
      <c r="H59" s="251"/>
      <c r="I59" s="251"/>
      <c r="J59" s="253">
        <v>367.01</v>
      </c>
      <c r="K59" s="253">
        <v>3.67</v>
      </c>
      <c r="L59" s="253">
        <v>7.34</v>
      </c>
      <c r="M59" s="253">
        <v>55.05</v>
      </c>
      <c r="N59" s="253">
        <v>11.01</v>
      </c>
      <c r="O59" s="253">
        <v>1249.6300000000001</v>
      </c>
      <c r="P59" s="253">
        <v>87.47</v>
      </c>
      <c r="Q59" s="253">
        <v>190</v>
      </c>
      <c r="R59" s="251"/>
      <c r="S59" s="253">
        <v>1527.1</v>
      </c>
      <c r="T59" s="251"/>
      <c r="U59" s="251"/>
      <c r="V59" s="253">
        <v>14.4</v>
      </c>
      <c r="W59" s="253">
        <v>50</v>
      </c>
      <c r="X59" s="253">
        <v>19.2</v>
      </c>
      <c r="Y59" s="251"/>
      <c r="Z59" s="251"/>
      <c r="AA59" s="251"/>
      <c r="AB59" s="251"/>
      <c r="AC59" s="253">
        <v>5.47</v>
      </c>
      <c r="AD59" s="253">
        <v>252.97</v>
      </c>
      <c r="AE59" s="253">
        <v>1363.06</v>
      </c>
      <c r="AF59" s="253">
        <v>1363.06</v>
      </c>
      <c r="AG59" s="253">
        <v>13.63</v>
      </c>
      <c r="AH59" s="253">
        <v>204.46</v>
      </c>
      <c r="AI59" s="253">
        <v>40.89</v>
      </c>
      <c r="AJ59" s="253">
        <v>2116.12</v>
      </c>
      <c r="AK59" s="253">
        <v>3.67</v>
      </c>
      <c r="AL59" s="253">
        <v>7.34</v>
      </c>
      <c r="AM59" s="253">
        <v>55.05</v>
      </c>
      <c r="AN59" s="253">
        <v>11.01</v>
      </c>
      <c r="AO59" s="253">
        <v>36.700000000000003</v>
      </c>
      <c r="AP59" s="253">
        <v>3.67</v>
      </c>
      <c r="AQ59" s="253">
        <v>11.01</v>
      </c>
      <c r="AR59" s="253">
        <v>136.31</v>
      </c>
      <c r="AS59" s="253">
        <v>13.63</v>
      </c>
      <c r="AT59" s="253">
        <v>13.63</v>
      </c>
      <c r="AU59" s="253">
        <v>204.46</v>
      </c>
      <c r="AV59" s="253">
        <v>40.89</v>
      </c>
      <c r="AW59" s="251"/>
      <c r="AX59" s="251"/>
      <c r="AY59" s="251"/>
      <c r="AZ59" s="251"/>
      <c r="BA59" s="253">
        <v>1</v>
      </c>
      <c r="BB59" s="251"/>
      <c r="BC59" s="251"/>
      <c r="BD59" s="251"/>
      <c r="BE59" s="251"/>
      <c r="BF59" s="251"/>
      <c r="BG59" s="251"/>
      <c r="BH59" s="251"/>
      <c r="BI59" s="251"/>
      <c r="BJ59" s="251"/>
      <c r="BK59" s="251"/>
      <c r="BL59" s="251"/>
      <c r="BM59" s="251"/>
      <c r="BN59" s="251"/>
      <c r="BO59" s="251"/>
      <c r="BP59" s="251"/>
      <c r="BQ59" s="251"/>
      <c r="BR59" s="253">
        <v>0.01</v>
      </c>
      <c r="BS59" s="253">
        <v>11.4</v>
      </c>
      <c r="BT59" s="253">
        <v>4.54</v>
      </c>
      <c r="BU59" s="253">
        <v>554.32000000000005</v>
      </c>
      <c r="BV59" s="253">
        <v>1561.8</v>
      </c>
      <c r="BW59" s="251" t="s">
        <v>191</v>
      </c>
      <c r="BX59" s="251"/>
    </row>
    <row r="60" spans="1:76" ht="80.099999999999994" customHeight="1" x14ac:dyDescent="0.2">
      <c r="A60" s="250">
        <v>57</v>
      </c>
      <c r="B60" s="33"/>
      <c r="C60" s="251" t="s">
        <v>192</v>
      </c>
      <c r="D60" s="252">
        <v>28508292500032</v>
      </c>
      <c r="E60" s="253">
        <v>252</v>
      </c>
      <c r="F60" s="253">
        <v>209.09</v>
      </c>
      <c r="G60" s="251"/>
      <c r="H60" s="251"/>
      <c r="I60" s="251"/>
      <c r="J60" s="253">
        <v>355.72</v>
      </c>
      <c r="K60" s="253">
        <v>3.56</v>
      </c>
      <c r="L60" s="253">
        <v>7.11</v>
      </c>
      <c r="M60" s="253">
        <v>53.36</v>
      </c>
      <c r="N60" s="253">
        <v>10.67</v>
      </c>
      <c r="O60" s="253">
        <v>1169.01</v>
      </c>
      <c r="P60" s="253">
        <v>81.83</v>
      </c>
      <c r="Q60" s="253">
        <v>190</v>
      </c>
      <c r="R60" s="251"/>
      <c r="S60" s="253">
        <v>1440.84</v>
      </c>
      <c r="T60" s="251"/>
      <c r="U60" s="251"/>
      <c r="V60" s="253">
        <v>14.4</v>
      </c>
      <c r="W60" s="253">
        <v>50</v>
      </c>
      <c r="X60" s="251"/>
      <c r="Y60" s="253">
        <v>14.4</v>
      </c>
      <c r="Z60" s="251"/>
      <c r="AA60" s="251"/>
      <c r="AB60" s="251"/>
      <c r="AC60" s="253">
        <v>5.0999999999999996</v>
      </c>
      <c r="AD60" s="253">
        <v>292.99</v>
      </c>
      <c r="AE60" s="253">
        <v>1328.11</v>
      </c>
      <c r="AF60" s="253">
        <v>1328.11</v>
      </c>
      <c r="AG60" s="253">
        <v>13.28</v>
      </c>
      <c r="AH60" s="253">
        <v>199.22</v>
      </c>
      <c r="AI60" s="253">
        <v>39.840000000000003</v>
      </c>
      <c r="AJ60" s="253">
        <v>2060.87</v>
      </c>
      <c r="AK60" s="253">
        <v>3.56</v>
      </c>
      <c r="AL60" s="253">
        <v>7.11</v>
      </c>
      <c r="AM60" s="253">
        <v>53.36</v>
      </c>
      <c r="AN60" s="253">
        <v>10.67</v>
      </c>
      <c r="AO60" s="253">
        <v>35.57</v>
      </c>
      <c r="AP60" s="253">
        <v>3.56</v>
      </c>
      <c r="AQ60" s="253">
        <v>10.67</v>
      </c>
      <c r="AR60" s="253">
        <v>132.81</v>
      </c>
      <c r="AS60" s="253">
        <v>13.28</v>
      </c>
      <c r="AT60" s="253">
        <v>13.28</v>
      </c>
      <c r="AU60" s="253">
        <v>199.22</v>
      </c>
      <c r="AV60" s="253">
        <v>39.840000000000003</v>
      </c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3">
        <v>38.5</v>
      </c>
      <c r="BO60" s="251"/>
      <c r="BP60" s="251"/>
      <c r="BQ60" s="251"/>
      <c r="BR60" s="253">
        <v>0.01</v>
      </c>
      <c r="BS60" s="253">
        <v>11.05</v>
      </c>
      <c r="BT60" s="253">
        <v>3.93</v>
      </c>
      <c r="BU60" s="253">
        <v>576.41999999999996</v>
      </c>
      <c r="BV60" s="253">
        <v>1484.45</v>
      </c>
      <c r="BW60" s="251" t="s">
        <v>192</v>
      </c>
      <c r="BX60" s="251"/>
    </row>
    <row r="61" spans="1:76" ht="80.099999999999994" customHeight="1" x14ac:dyDescent="0.2">
      <c r="A61" s="250">
        <v>58</v>
      </c>
      <c r="B61" s="34"/>
      <c r="C61" s="251" t="s">
        <v>193</v>
      </c>
      <c r="D61" s="252">
        <v>28109172500291</v>
      </c>
      <c r="E61" s="253">
        <v>260</v>
      </c>
      <c r="F61" s="253">
        <v>219.37</v>
      </c>
      <c r="G61" s="251"/>
      <c r="H61" s="251"/>
      <c r="I61" s="251"/>
      <c r="J61" s="253">
        <v>367.01</v>
      </c>
      <c r="K61" s="253">
        <v>3.67</v>
      </c>
      <c r="L61" s="253">
        <v>7.34</v>
      </c>
      <c r="M61" s="253">
        <v>55.05</v>
      </c>
      <c r="N61" s="253">
        <v>11.01</v>
      </c>
      <c r="O61" s="253">
        <v>1249.6300000000001</v>
      </c>
      <c r="P61" s="253">
        <v>87.47</v>
      </c>
      <c r="Q61" s="253">
        <v>190</v>
      </c>
      <c r="R61" s="251"/>
      <c r="S61" s="253">
        <v>1527.1</v>
      </c>
      <c r="T61" s="251"/>
      <c r="U61" s="251"/>
      <c r="V61" s="253">
        <v>14.4</v>
      </c>
      <c r="W61" s="253">
        <v>50</v>
      </c>
      <c r="X61" s="251"/>
      <c r="Y61" s="251"/>
      <c r="Z61" s="251"/>
      <c r="AA61" s="251"/>
      <c r="AB61" s="251"/>
      <c r="AC61" s="253">
        <v>5.47</v>
      </c>
      <c r="AD61" s="253">
        <v>289.24</v>
      </c>
      <c r="AE61" s="253">
        <v>1399.33</v>
      </c>
      <c r="AF61" s="253">
        <v>1399.33</v>
      </c>
      <c r="AG61" s="253">
        <v>13.99</v>
      </c>
      <c r="AH61" s="253">
        <v>209.9</v>
      </c>
      <c r="AI61" s="253">
        <v>41.98</v>
      </c>
      <c r="AJ61" s="253">
        <v>2159.2800000000002</v>
      </c>
      <c r="AK61" s="253">
        <v>3.67</v>
      </c>
      <c r="AL61" s="253">
        <v>7.34</v>
      </c>
      <c r="AM61" s="253">
        <v>55.05</v>
      </c>
      <c r="AN61" s="253">
        <v>11.01</v>
      </c>
      <c r="AO61" s="253">
        <v>36.700000000000003</v>
      </c>
      <c r="AP61" s="253">
        <v>3.67</v>
      </c>
      <c r="AQ61" s="253">
        <v>11.01</v>
      </c>
      <c r="AR61" s="253">
        <v>139.93</v>
      </c>
      <c r="AS61" s="253">
        <v>13.99</v>
      </c>
      <c r="AT61" s="253">
        <v>13.99</v>
      </c>
      <c r="AU61" s="253">
        <v>209.9</v>
      </c>
      <c r="AV61" s="253">
        <v>41.98</v>
      </c>
      <c r="AW61" s="251"/>
      <c r="AX61" s="251"/>
      <c r="AY61" s="251"/>
      <c r="AZ61" s="251"/>
      <c r="BA61" s="251"/>
      <c r="BB61" s="251"/>
      <c r="BC61" s="251"/>
      <c r="BD61" s="251"/>
      <c r="BE61" s="251"/>
      <c r="BF61" s="251"/>
      <c r="BG61" s="251"/>
      <c r="BH61" s="251"/>
      <c r="BI61" s="251"/>
      <c r="BJ61" s="251"/>
      <c r="BK61" s="251"/>
      <c r="BL61" s="251"/>
      <c r="BM61" s="251"/>
      <c r="BN61" s="251"/>
      <c r="BO61" s="251"/>
      <c r="BP61" s="251"/>
      <c r="BQ61" s="251"/>
      <c r="BR61" s="253">
        <v>0.02</v>
      </c>
      <c r="BS61" s="253">
        <v>11.6</v>
      </c>
      <c r="BT61" s="253">
        <v>5.0199999999999996</v>
      </c>
      <c r="BU61" s="253">
        <v>564.88</v>
      </c>
      <c r="BV61" s="253">
        <v>1594.4</v>
      </c>
      <c r="BW61" s="251" t="s">
        <v>193</v>
      </c>
      <c r="BX61" s="251"/>
    </row>
    <row r="62" spans="1:76" ht="80.099999999999994" customHeight="1" x14ac:dyDescent="0.2">
      <c r="A62" s="250">
        <v>59</v>
      </c>
      <c r="B62" s="33"/>
      <c r="C62" s="251" t="s">
        <v>194</v>
      </c>
      <c r="D62" s="252">
        <v>28801012517392</v>
      </c>
      <c r="E62" s="253">
        <v>254</v>
      </c>
      <c r="F62" s="253">
        <v>213.75</v>
      </c>
      <c r="G62" s="251"/>
      <c r="H62" s="251"/>
      <c r="I62" s="251"/>
      <c r="J62" s="253">
        <v>358.54</v>
      </c>
      <c r="K62" s="253">
        <v>3.59</v>
      </c>
      <c r="L62" s="253">
        <v>7.17</v>
      </c>
      <c r="M62" s="253">
        <v>53.78</v>
      </c>
      <c r="N62" s="253">
        <v>10.76</v>
      </c>
      <c r="O62" s="253">
        <v>1231.58</v>
      </c>
      <c r="P62" s="253">
        <v>86.21</v>
      </c>
      <c r="Q62" s="253">
        <v>190</v>
      </c>
      <c r="R62" s="251"/>
      <c r="S62" s="253">
        <v>1507.79</v>
      </c>
      <c r="T62" s="251"/>
      <c r="U62" s="251"/>
      <c r="V62" s="253">
        <v>14.4</v>
      </c>
      <c r="W62" s="253">
        <v>100</v>
      </c>
      <c r="X62" s="251"/>
      <c r="Y62" s="251"/>
      <c r="Z62" s="251"/>
      <c r="AA62" s="251"/>
      <c r="AB62" s="251"/>
      <c r="AC62" s="253">
        <v>5.45</v>
      </c>
      <c r="AD62" s="253">
        <v>333.6</v>
      </c>
      <c r="AE62" s="253">
        <v>1382.85</v>
      </c>
      <c r="AF62" s="253">
        <v>1382.85</v>
      </c>
      <c r="AG62" s="253">
        <v>13.83</v>
      </c>
      <c r="AH62" s="253">
        <v>207.43</v>
      </c>
      <c r="AI62" s="253">
        <v>41.49</v>
      </c>
      <c r="AJ62" s="253">
        <v>2179.44</v>
      </c>
      <c r="AK62" s="253">
        <v>3.59</v>
      </c>
      <c r="AL62" s="253">
        <v>7.17</v>
      </c>
      <c r="AM62" s="253">
        <v>53.78</v>
      </c>
      <c r="AN62" s="253">
        <v>10.76</v>
      </c>
      <c r="AO62" s="253">
        <v>35.85</v>
      </c>
      <c r="AP62" s="253">
        <v>3.59</v>
      </c>
      <c r="AQ62" s="253">
        <v>10.76</v>
      </c>
      <c r="AR62" s="253">
        <v>138.28</v>
      </c>
      <c r="AS62" s="253">
        <v>13.83</v>
      </c>
      <c r="AT62" s="253">
        <v>13.83</v>
      </c>
      <c r="AU62" s="253">
        <v>207.43</v>
      </c>
      <c r="AV62" s="253">
        <v>41.49</v>
      </c>
      <c r="AW62" s="251"/>
      <c r="AX62" s="251"/>
      <c r="AY62" s="251"/>
      <c r="AZ62" s="251"/>
      <c r="BA62" s="251"/>
      <c r="BB62" s="251"/>
      <c r="BC62" s="251"/>
      <c r="BD62" s="251"/>
      <c r="BE62" s="251"/>
      <c r="BF62" s="251"/>
      <c r="BG62" s="251"/>
      <c r="BH62" s="251"/>
      <c r="BI62" s="251"/>
      <c r="BJ62" s="251"/>
      <c r="BK62" s="251"/>
      <c r="BL62" s="251"/>
      <c r="BM62" s="251"/>
      <c r="BN62" s="251"/>
      <c r="BO62" s="251"/>
      <c r="BP62" s="251"/>
      <c r="BQ62" s="251"/>
      <c r="BR62" s="253">
        <v>0.04</v>
      </c>
      <c r="BS62" s="253">
        <v>11.85</v>
      </c>
      <c r="BT62" s="253">
        <v>5.44</v>
      </c>
      <c r="BU62" s="253">
        <v>557.69000000000005</v>
      </c>
      <c r="BV62" s="253">
        <v>1621.75</v>
      </c>
      <c r="BW62" s="251" t="s">
        <v>194</v>
      </c>
      <c r="BX62" s="251"/>
    </row>
    <row r="63" spans="1:76" ht="80.099999999999994" customHeight="1" x14ac:dyDescent="0.2">
      <c r="A63" s="250">
        <v>60</v>
      </c>
      <c r="B63" s="34"/>
      <c r="C63" s="251" t="s">
        <v>195</v>
      </c>
      <c r="D63" s="252">
        <v>28301222500171</v>
      </c>
      <c r="E63" s="253">
        <v>260</v>
      </c>
      <c r="F63" s="253">
        <v>223.37</v>
      </c>
      <c r="G63" s="251"/>
      <c r="H63" s="251"/>
      <c r="I63" s="251"/>
      <c r="J63" s="253">
        <v>367.01</v>
      </c>
      <c r="K63" s="253">
        <v>3.67</v>
      </c>
      <c r="L63" s="253">
        <v>7.34</v>
      </c>
      <c r="M63" s="253">
        <v>55.05</v>
      </c>
      <c r="N63" s="253">
        <v>11.01</v>
      </c>
      <c r="O63" s="253">
        <v>1312.11</v>
      </c>
      <c r="P63" s="253">
        <v>91.85</v>
      </c>
      <c r="Q63" s="253">
        <v>190</v>
      </c>
      <c r="R63" s="251"/>
      <c r="S63" s="253">
        <v>1593.96</v>
      </c>
      <c r="T63" s="251"/>
      <c r="U63" s="251"/>
      <c r="V63" s="253">
        <v>14.4</v>
      </c>
      <c r="W63" s="253">
        <v>50</v>
      </c>
      <c r="X63" s="251"/>
      <c r="Y63" s="251"/>
      <c r="Z63" s="251"/>
      <c r="AA63" s="251"/>
      <c r="AB63" s="251"/>
      <c r="AC63" s="253">
        <v>5.47</v>
      </c>
      <c r="AD63" s="253">
        <v>293.24</v>
      </c>
      <c r="AE63" s="253">
        <v>1470.19</v>
      </c>
      <c r="AF63" s="253">
        <v>1470.19</v>
      </c>
      <c r="AG63" s="253">
        <v>14.7</v>
      </c>
      <c r="AH63" s="253">
        <v>220.53</v>
      </c>
      <c r="AI63" s="253">
        <v>44.11</v>
      </c>
      <c r="AJ63" s="253">
        <v>2243.61</v>
      </c>
      <c r="AK63" s="253">
        <v>3.67</v>
      </c>
      <c r="AL63" s="253">
        <v>7.34</v>
      </c>
      <c r="AM63" s="253">
        <v>55.05</v>
      </c>
      <c r="AN63" s="253">
        <v>11.01</v>
      </c>
      <c r="AO63" s="253">
        <v>36.700000000000003</v>
      </c>
      <c r="AP63" s="253">
        <v>3.67</v>
      </c>
      <c r="AQ63" s="253">
        <v>11.01</v>
      </c>
      <c r="AR63" s="253">
        <v>147.02000000000001</v>
      </c>
      <c r="AS63" s="253">
        <v>14.7</v>
      </c>
      <c r="AT63" s="253">
        <v>14.7</v>
      </c>
      <c r="AU63" s="253">
        <v>220.53</v>
      </c>
      <c r="AV63" s="253">
        <v>44.11</v>
      </c>
      <c r="AW63" s="253">
        <v>5.1100000000000003</v>
      </c>
      <c r="AX63" s="251"/>
      <c r="AY63" s="253">
        <v>116.7</v>
      </c>
      <c r="AZ63" s="251"/>
      <c r="BA63" s="253">
        <v>1</v>
      </c>
      <c r="BB63" s="251"/>
      <c r="BC63" s="251"/>
      <c r="BD63" s="253">
        <v>2</v>
      </c>
      <c r="BE63" s="253">
        <v>1</v>
      </c>
      <c r="BF63" s="253">
        <v>60</v>
      </c>
      <c r="BG63" s="251"/>
      <c r="BH63" s="251"/>
      <c r="BI63" s="251"/>
      <c r="BJ63" s="251"/>
      <c r="BK63" s="251"/>
      <c r="BL63" s="251"/>
      <c r="BM63" s="251"/>
      <c r="BN63" s="251"/>
      <c r="BO63" s="251"/>
      <c r="BP63" s="251"/>
      <c r="BQ63" s="251"/>
      <c r="BR63" s="253">
        <v>0.01</v>
      </c>
      <c r="BS63" s="253">
        <v>12.05</v>
      </c>
      <c r="BT63" s="253">
        <v>5.88</v>
      </c>
      <c r="BU63" s="253">
        <v>773.26</v>
      </c>
      <c r="BV63" s="253">
        <v>1470.35</v>
      </c>
      <c r="BW63" s="251" t="s">
        <v>195</v>
      </c>
      <c r="BX63" s="251"/>
    </row>
    <row r="64" spans="1:76" ht="80.099999999999994" customHeight="1" x14ac:dyDescent="0.2">
      <c r="A64" s="250">
        <v>61</v>
      </c>
      <c r="B64" s="33"/>
      <c r="C64" s="251" t="s">
        <v>196</v>
      </c>
      <c r="D64" s="252">
        <v>28309102500411</v>
      </c>
      <c r="E64" s="253">
        <v>255</v>
      </c>
      <c r="F64" s="253">
        <v>203.59</v>
      </c>
      <c r="G64" s="251"/>
      <c r="H64" s="251"/>
      <c r="I64" s="251"/>
      <c r="J64" s="253">
        <v>359.95</v>
      </c>
      <c r="K64" s="253">
        <v>3.6</v>
      </c>
      <c r="L64" s="253">
        <v>7.2</v>
      </c>
      <c r="M64" s="253">
        <v>53.99</v>
      </c>
      <c r="N64" s="253">
        <v>10.8</v>
      </c>
      <c r="O64" s="253">
        <v>1177.08</v>
      </c>
      <c r="P64" s="253">
        <v>82.4</v>
      </c>
      <c r="Q64" s="253">
        <v>190</v>
      </c>
      <c r="R64" s="251"/>
      <c r="S64" s="253">
        <v>1449.48</v>
      </c>
      <c r="T64" s="251"/>
      <c r="U64" s="251"/>
      <c r="V64" s="253">
        <v>14.4</v>
      </c>
      <c r="W64" s="253">
        <v>145</v>
      </c>
      <c r="X64" s="251"/>
      <c r="Y64" s="251"/>
      <c r="Z64" s="251"/>
      <c r="AA64" s="251"/>
      <c r="AB64" s="251"/>
      <c r="AC64" s="253">
        <v>5.14</v>
      </c>
      <c r="AD64" s="253">
        <v>368.13</v>
      </c>
      <c r="AE64" s="253">
        <v>1312.66</v>
      </c>
      <c r="AF64" s="253">
        <v>1312.66</v>
      </c>
      <c r="AG64" s="253">
        <v>13.13</v>
      </c>
      <c r="AH64" s="253">
        <v>196.9</v>
      </c>
      <c r="AI64" s="253">
        <v>39.380000000000003</v>
      </c>
      <c r="AJ64" s="253">
        <v>2142.61</v>
      </c>
      <c r="AK64" s="253">
        <v>3.6</v>
      </c>
      <c r="AL64" s="253">
        <v>7.2</v>
      </c>
      <c r="AM64" s="253">
        <v>53.99</v>
      </c>
      <c r="AN64" s="253">
        <v>10.8</v>
      </c>
      <c r="AO64" s="253">
        <v>36</v>
      </c>
      <c r="AP64" s="253">
        <v>3.6</v>
      </c>
      <c r="AQ64" s="253">
        <v>10.8</v>
      </c>
      <c r="AR64" s="253">
        <v>131.27000000000001</v>
      </c>
      <c r="AS64" s="253">
        <v>13.13</v>
      </c>
      <c r="AT64" s="253">
        <v>13.13</v>
      </c>
      <c r="AU64" s="253">
        <v>196.9</v>
      </c>
      <c r="AV64" s="253">
        <v>39.380000000000003</v>
      </c>
      <c r="AW64" s="251"/>
      <c r="AX64" s="251"/>
      <c r="AY64" s="251"/>
      <c r="AZ64" s="251"/>
      <c r="BA64" s="251"/>
      <c r="BB64" s="251"/>
      <c r="BC64" s="251"/>
      <c r="BD64" s="251"/>
      <c r="BE64" s="251"/>
      <c r="BF64" s="251"/>
      <c r="BG64" s="251"/>
      <c r="BH64" s="251"/>
      <c r="BI64" s="251"/>
      <c r="BJ64" s="251"/>
      <c r="BK64" s="251"/>
      <c r="BL64" s="251"/>
      <c r="BM64" s="251"/>
      <c r="BN64" s="251"/>
      <c r="BO64" s="251"/>
      <c r="BP64" s="251"/>
      <c r="BQ64" s="251"/>
      <c r="BR64" s="253">
        <v>0.01</v>
      </c>
      <c r="BS64" s="253">
        <v>11.7</v>
      </c>
      <c r="BT64" s="253">
        <v>5.2</v>
      </c>
      <c r="BU64" s="253">
        <v>536.71</v>
      </c>
      <c r="BV64" s="253">
        <v>1605.9</v>
      </c>
      <c r="BW64" s="251" t="s">
        <v>196</v>
      </c>
      <c r="BX64" s="251"/>
    </row>
    <row r="65" spans="1:76" ht="80.099999999999994" customHeight="1" x14ac:dyDescent="0.2">
      <c r="A65" s="250">
        <v>62</v>
      </c>
      <c r="B65" s="34"/>
      <c r="C65" s="251" t="s">
        <v>197</v>
      </c>
      <c r="D65" s="252">
        <v>28409242500254</v>
      </c>
      <c r="E65" s="253">
        <v>260</v>
      </c>
      <c r="F65" s="251"/>
      <c r="G65" s="251"/>
      <c r="H65" s="251"/>
      <c r="I65" s="251"/>
      <c r="J65" s="253">
        <v>367.01</v>
      </c>
      <c r="K65" s="253">
        <v>3.67</v>
      </c>
      <c r="L65" s="253">
        <v>7.34</v>
      </c>
      <c r="M65" s="253">
        <v>55.05</v>
      </c>
      <c r="N65" s="253">
        <v>11.01</v>
      </c>
      <c r="O65" s="253">
        <v>1249.6300000000001</v>
      </c>
      <c r="P65" s="253">
        <v>87.47</v>
      </c>
      <c r="Q65" s="253">
        <v>190</v>
      </c>
      <c r="R65" s="251"/>
      <c r="S65" s="253">
        <v>1527.1</v>
      </c>
      <c r="T65" s="251"/>
      <c r="U65" s="251"/>
      <c r="V65" s="253">
        <v>14.4</v>
      </c>
      <c r="W65" s="253">
        <v>50</v>
      </c>
      <c r="X65" s="251"/>
      <c r="Y65" s="251"/>
      <c r="Z65" s="251"/>
      <c r="AA65" s="251"/>
      <c r="AB65" s="251"/>
      <c r="AC65" s="253">
        <v>5.47</v>
      </c>
      <c r="AD65" s="253">
        <v>69.87</v>
      </c>
      <c r="AE65" s="253">
        <v>1179.96</v>
      </c>
      <c r="AF65" s="253">
        <v>1179.96</v>
      </c>
      <c r="AG65" s="253">
        <v>11.8</v>
      </c>
      <c r="AH65" s="253">
        <v>176.99</v>
      </c>
      <c r="AI65" s="253">
        <v>35.4</v>
      </c>
      <c r="AJ65" s="253">
        <v>1898.23</v>
      </c>
      <c r="AK65" s="253">
        <v>3.67</v>
      </c>
      <c r="AL65" s="253">
        <v>7.34</v>
      </c>
      <c r="AM65" s="253">
        <v>55.05</v>
      </c>
      <c r="AN65" s="253">
        <v>11.01</v>
      </c>
      <c r="AO65" s="253">
        <v>36.700000000000003</v>
      </c>
      <c r="AP65" s="253">
        <v>3.67</v>
      </c>
      <c r="AQ65" s="253">
        <v>11.01</v>
      </c>
      <c r="AR65" s="253">
        <v>118</v>
      </c>
      <c r="AS65" s="253">
        <v>11.8</v>
      </c>
      <c r="AT65" s="253">
        <v>11.8</v>
      </c>
      <c r="AU65" s="253">
        <v>176.99</v>
      </c>
      <c r="AV65" s="253">
        <v>35.4</v>
      </c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3">
        <v>0.03</v>
      </c>
      <c r="BS65" s="253">
        <v>10.15</v>
      </c>
      <c r="BT65" s="253">
        <v>2.11</v>
      </c>
      <c r="BU65" s="253">
        <v>494.73</v>
      </c>
      <c r="BV65" s="253">
        <v>1403.5</v>
      </c>
      <c r="BW65" s="251" t="s">
        <v>197</v>
      </c>
      <c r="BX65" s="251"/>
    </row>
    <row r="66" spans="1:76" ht="80.099999999999994" customHeight="1" x14ac:dyDescent="0.2">
      <c r="A66" s="250">
        <v>63</v>
      </c>
      <c r="B66" s="33"/>
      <c r="C66" s="251" t="s">
        <v>198</v>
      </c>
      <c r="D66" s="252">
        <v>28604012504878</v>
      </c>
      <c r="E66" s="253">
        <v>260</v>
      </c>
      <c r="F66" s="251"/>
      <c r="G66" s="251"/>
      <c r="H66" s="251"/>
      <c r="I66" s="253">
        <v>225.37</v>
      </c>
      <c r="J66" s="253">
        <v>367.01</v>
      </c>
      <c r="K66" s="253">
        <v>3.67</v>
      </c>
      <c r="L66" s="253">
        <v>7.34</v>
      </c>
      <c r="M66" s="253">
        <v>55.05</v>
      </c>
      <c r="N66" s="253">
        <v>11.01</v>
      </c>
      <c r="O66" s="253">
        <v>1249.6300000000001</v>
      </c>
      <c r="P66" s="253">
        <v>87.47</v>
      </c>
      <c r="Q66" s="253">
        <v>190</v>
      </c>
      <c r="R66" s="251"/>
      <c r="S66" s="253">
        <v>1527.1</v>
      </c>
      <c r="T66" s="251"/>
      <c r="U66" s="251"/>
      <c r="V66" s="253">
        <v>14.4</v>
      </c>
      <c r="W66" s="253">
        <v>145</v>
      </c>
      <c r="X66" s="251"/>
      <c r="Y66" s="251"/>
      <c r="Z66" s="251"/>
      <c r="AA66" s="251"/>
      <c r="AB66" s="251"/>
      <c r="AC66" s="253">
        <v>5.47</v>
      </c>
      <c r="AD66" s="253">
        <v>390.24</v>
      </c>
      <c r="AE66" s="253">
        <v>1405.33</v>
      </c>
      <c r="AF66" s="253">
        <v>1405.33</v>
      </c>
      <c r="AG66" s="253">
        <v>14.05</v>
      </c>
      <c r="AH66" s="253">
        <v>210.8</v>
      </c>
      <c r="AI66" s="253">
        <v>42.16</v>
      </c>
      <c r="AJ66" s="253">
        <v>2261.42</v>
      </c>
      <c r="AK66" s="253">
        <v>3.67</v>
      </c>
      <c r="AL66" s="253">
        <v>7.34</v>
      </c>
      <c r="AM66" s="253">
        <v>55.05</v>
      </c>
      <c r="AN66" s="253">
        <v>11.01</v>
      </c>
      <c r="AO66" s="253">
        <v>36.700000000000003</v>
      </c>
      <c r="AP66" s="253">
        <v>3.67</v>
      </c>
      <c r="AQ66" s="253">
        <v>11.01</v>
      </c>
      <c r="AR66" s="253">
        <v>140.53</v>
      </c>
      <c r="AS66" s="253">
        <v>14.05</v>
      </c>
      <c r="AT66" s="253">
        <v>14.05</v>
      </c>
      <c r="AU66" s="253">
        <v>210.8</v>
      </c>
      <c r="AV66" s="253">
        <v>42.16</v>
      </c>
      <c r="AW66" s="251"/>
      <c r="AX66" s="251"/>
      <c r="AY66" s="253">
        <v>128.35</v>
      </c>
      <c r="AZ66" s="251"/>
      <c r="BA66" s="251"/>
      <c r="BB66" s="251"/>
      <c r="BC66" s="251"/>
      <c r="BD66" s="251"/>
      <c r="BE66" s="251"/>
      <c r="BF66" s="251"/>
      <c r="BG66" s="251"/>
      <c r="BH66" s="251"/>
      <c r="BI66" s="251"/>
      <c r="BJ66" s="251"/>
      <c r="BK66" s="251"/>
      <c r="BL66" s="251"/>
      <c r="BM66" s="251"/>
      <c r="BN66" s="251"/>
      <c r="BO66" s="251"/>
      <c r="BP66" s="251"/>
      <c r="BQ66" s="251"/>
      <c r="BR66" s="253">
        <v>0.02</v>
      </c>
      <c r="BS66" s="253">
        <v>12.35</v>
      </c>
      <c r="BT66" s="253">
        <v>6.51</v>
      </c>
      <c r="BU66" s="253">
        <v>697.27</v>
      </c>
      <c r="BV66" s="253">
        <v>1564.15</v>
      </c>
      <c r="BW66" s="251" t="s">
        <v>198</v>
      </c>
      <c r="BX66" s="251"/>
    </row>
    <row r="67" spans="1:76" ht="80.099999999999994" customHeight="1" x14ac:dyDescent="0.2">
      <c r="A67" s="250">
        <v>64</v>
      </c>
      <c r="B67" s="34"/>
      <c r="C67" s="251" t="s">
        <v>199</v>
      </c>
      <c r="D67" s="252">
        <v>28602042500319</v>
      </c>
      <c r="E67" s="253">
        <v>256</v>
      </c>
      <c r="F67" s="251"/>
      <c r="G67" s="251"/>
      <c r="H67" s="251"/>
      <c r="I67" s="251"/>
      <c r="J67" s="253">
        <v>361.36</v>
      </c>
      <c r="K67" s="253">
        <v>3.61</v>
      </c>
      <c r="L67" s="253">
        <v>7.23</v>
      </c>
      <c r="M67" s="253">
        <v>54.2</v>
      </c>
      <c r="N67" s="253">
        <v>10.84</v>
      </c>
      <c r="O67" s="253">
        <v>1204.77</v>
      </c>
      <c r="P67" s="253">
        <v>84.33</v>
      </c>
      <c r="Q67" s="253">
        <v>190</v>
      </c>
      <c r="R67" s="251"/>
      <c r="S67" s="253">
        <v>1479.1</v>
      </c>
      <c r="T67" s="251"/>
      <c r="U67" s="251"/>
      <c r="V67" s="253">
        <v>14.4</v>
      </c>
      <c r="W67" s="253">
        <v>50</v>
      </c>
      <c r="X67" s="251"/>
      <c r="Y67" s="251"/>
      <c r="Z67" s="251"/>
      <c r="AA67" s="251"/>
      <c r="AB67" s="251"/>
      <c r="AC67" s="253">
        <v>5.26</v>
      </c>
      <c r="AD67" s="253">
        <v>69.66</v>
      </c>
      <c r="AE67" s="253">
        <v>1137.4000000000001</v>
      </c>
      <c r="AF67" s="253">
        <v>1137.4000000000001</v>
      </c>
      <c r="AG67" s="253">
        <v>11.37</v>
      </c>
      <c r="AH67" s="253">
        <v>170.61</v>
      </c>
      <c r="AI67" s="253">
        <v>34.119999999999997</v>
      </c>
      <c r="AJ67" s="253">
        <v>1840.74</v>
      </c>
      <c r="AK67" s="253">
        <v>3.61</v>
      </c>
      <c r="AL67" s="253">
        <v>7.23</v>
      </c>
      <c r="AM67" s="253">
        <v>54.2</v>
      </c>
      <c r="AN67" s="253">
        <v>10.84</v>
      </c>
      <c r="AO67" s="253">
        <v>36.14</v>
      </c>
      <c r="AP67" s="253">
        <v>3.61</v>
      </c>
      <c r="AQ67" s="253">
        <v>10.84</v>
      </c>
      <c r="AR67" s="253">
        <v>113.74</v>
      </c>
      <c r="AS67" s="253">
        <v>11.37</v>
      </c>
      <c r="AT67" s="253">
        <v>11.37</v>
      </c>
      <c r="AU67" s="253">
        <v>170.61</v>
      </c>
      <c r="AV67" s="253">
        <v>34.119999999999997</v>
      </c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1"/>
      <c r="BK67" s="251"/>
      <c r="BL67" s="251"/>
      <c r="BM67" s="251"/>
      <c r="BN67" s="251"/>
      <c r="BO67" s="251"/>
      <c r="BP67" s="251"/>
      <c r="BQ67" s="251"/>
      <c r="BR67" s="253">
        <v>0.03</v>
      </c>
      <c r="BS67" s="253">
        <v>9.85</v>
      </c>
      <c r="BT67" s="253">
        <v>1.48</v>
      </c>
      <c r="BU67" s="253">
        <v>479.04</v>
      </c>
      <c r="BV67" s="253">
        <v>1361.7</v>
      </c>
      <c r="BW67" s="251" t="s">
        <v>199</v>
      </c>
      <c r="BX67" s="251"/>
    </row>
    <row r="68" spans="1:76" ht="80.099999999999994" customHeight="1" x14ac:dyDescent="0.2">
      <c r="A68" s="250">
        <v>65</v>
      </c>
      <c r="B68" s="33"/>
      <c r="C68" s="251" t="s">
        <v>200</v>
      </c>
      <c r="D68" s="252">
        <v>27804112500107</v>
      </c>
      <c r="E68" s="253">
        <v>419.47</v>
      </c>
      <c r="F68" s="251"/>
      <c r="G68" s="251"/>
      <c r="H68" s="251"/>
      <c r="I68" s="251"/>
      <c r="J68" s="253">
        <v>592.12</v>
      </c>
      <c r="K68" s="253">
        <v>5.92</v>
      </c>
      <c r="L68" s="253">
        <v>11.84</v>
      </c>
      <c r="M68" s="253">
        <v>88.82</v>
      </c>
      <c r="N68" s="253">
        <v>17.760000000000002</v>
      </c>
      <c r="O68" s="253">
        <v>1778.17</v>
      </c>
      <c r="P68" s="253">
        <v>124.47</v>
      </c>
      <c r="Q68" s="253">
        <v>190</v>
      </c>
      <c r="R68" s="251"/>
      <c r="S68" s="253">
        <v>2092.64</v>
      </c>
      <c r="T68" s="251"/>
      <c r="U68" s="251"/>
      <c r="V68" s="253">
        <v>21</v>
      </c>
      <c r="W68" s="253">
        <v>50</v>
      </c>
      <c r="X68" s="251"/>
      <c r="Y68" s="251"/>
      <c r="Z68" s="251"/>
      <c r="AA68" s="251"/>
      <c r="AB68" s="253">
        <v>188.74</v>
      </c>
      <c r="AC68" s="253">
        <v>56.73</v>
      </c>
      <c r="AD68" s="253">
        <v>316.47000000000003</v>
      </c>
      <c r="AE68" s="253">
        <v>1766.99</v>
      </c>
      <c r="AF68" s="253">
        <v>1766.99</v>
      </c>
      <c r="AG68" s="253">
        <v>17.670000000000002</v>
      </c>
      <c r="AH68" s="253">
        <v>265.05</v>
      </c>
      <c r="AI68" s="253">
        <v>53.01</v>
      </c>
      <c r="AJ68" s="253">
        <v>2869.18</v>
      </c>
      <c r="AK68" s="253">
        <v>5.92</v>
      </c>
      <c r="AL68" s="253">
        <v>11.84</v>
      </c>
      <c r="AM68" s="253">
        <v>88.82</v>
      </c>
      <c r="AN68" s="253">
        <v>17.760000000000002</v>
      </c>
      <c r="AO68" s="253">
        <v>59.21</v>
      </c>
      <c r="AP68" s="253">
        <v>5.92</v>
      </c>
      <c r="AQ68" s="253">
        <v>17.760000000000002</v>
      </c>
      <c r="AR68" s="253">
        <v>176.7</v>
      </c>
      <c r="AS68" s="253">
        <v>17.670000000000002</v>
      </c>
      <c r="AT68" s="253">
        <v>17.670000000000002</v>
      </c>
      <c r="AU68" s="253">
        <v>265.05</v>
      </c>
      <c r="AV68" s="253">
        <v>53.01</v>
      </c>
      <c r="AW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3">
        <v>50</v>
      </c>
      <c r="BI68" s="251"/>
      <c r="BJ68" s="251"/>
      <c r="BK68" s="251"/>
      <c r="BL68" s="251"/>
      <c r="BM68" s="251"/>
      <c r="BN68" s="251"/>
      <c r="BO68" s="253">
        <v>3</v>
      </c>
      <c r="BP68" s="253">
        <v>27.46</v>
      </c>
      <c r="BQ68" s="251"/>
      <c r="BR68" s="253">
        <v>0.02</v>
      </c>
      <c r="BS68" s="253">
        <v>15.5</v>
      </c>
      <c r="BT68" s="253">
        <v>12.67</v>
      </c>
      <c r="BU68" s="253">
        <v>845.98</v>
      </c>
      <c r="BV68" s="253">
        <v>2023.2</v>
      </c>
      <c r="BW68" s="251" t="s">
        <v>200</v>
      </c>
      <c r="BX68" s="251"/>
    </row>
    <row r="69" spans="1:76" ht="80.099999999999994" customHeight="1" x14ac:dyDescent="0.2">
      <c r="A69" s="250">
        <v>66</v>
      </c>
      <c r="B69" s="34"/>
      <c r="C69" s="251" t="s">
        <v>201</v>
      </c>
      <c r="D69" s="252">
        <v>28607162500063</v>
      </c>
      <c r="E69" s="253">
        <v>260</v>
      </c>
      <c r="F69" s="251"/>
      <c r="G69" s="251"/>
      <c r="H69" s="251"/>
      <c r="I69" s="251"/>
      <c r="J69" s="253">
        <v>367.01</v>
      </c>
      <c r="K69" s="253">
        <v>3.67</v>
      </c>
      <c r="L69" s="253">
        <v>7.34</v>
      </c>
      <c r="M69" s="253">
        <v>55.05</v>
      </c>
      <c r="N69" s="253">
        <v>11.01</v>
      </c>
      <c r="O69" s="253">
        <v>1249.6300000000001</v>
      </c>
      <c r="P69" s="253">
        <v>87.47</v>
      </c>
      <c r="Q69" s="253">
        <v>190</v>
      </c>
      <c r="R69" s="251"/>
      <c r="S69" s="253">
        <v>1527.1</v>
      </c>
      <c r="T69" s="251"/>
      <c r="U69" s="251"/>
      <c r="V69" s="253">
        <v>14.4</v>
      </c>
      <c r="W69" s="253">
        <v>50</v>
      </c>
      <c r="X69" s="251"/>
      <c r="Y69" s="251"/>
      <c r="Z69" s="251"/>
      <c r="AA69" s="251"/>
      <c r="AB69" s="251"/>
      <c r="AC69" s="253">
        <v>5.47</v>
      </c>
      <c r="AD69" s="253">
        <v>69.87</v>
      </c>
      <c r="AE69" s="253">
        <v>1179.96</v>
      </c>
      <c r="AF69" s="253">
        <v>1179.96</v>
      </c>
      <c r="AG69" s="253">
        <v>11.8</v>
      </c>
      <c r="AH69" s="253">
        <v>176.99</v>
      </c>
      <c r="AI69" s="253">
        <v>35.4</v>
      </c>
      <c r="AJ69" s="253">
        <v>1898.23</v>
      </c>
      <c r="AK69" s="253">
        <v>3.67</v>
      </c>
      <c r="AL69" s="253">
        <v>7.34</v>
      </c>
      <c r="AM69" s="253">
        <v>55.05</v>
      </c>
      <c r="AN69" s="253">
        <v>11.01</v>
      </c>
      <c r="AO69" s="253">
        <v>36.700000000000003</v>
      </c>
      <c r="AP69" s="253">
        <v>3.67</v>
      </c>
      <c r="AQ69" s="253">
        <v>11.01</v>
      </c>
      <c r="AR69" s="253">
        <v>118</v>
      </c>
      <c r="AS69" s="253">
        <v>11.8</v>
      </c>
      <c r="AT69" s="253">
        <v>11.8</v>
      </c>
      <c r="AU69" s="253">
        <v>176.99</v>
      </c>
      <c r="AV69" s="253">
        <v>35.4</v>
      </c>
      <c r="AW69" s="251"/>
      <c r="AX69" s="251"/>
      <c r="AY69" s="251"/>
      <c r="AZ69" s="253">
        <v>70</v>
      </c>
      <c r="BA69" s="251"/>
      <c r="BB69" s="251"/>
      <c r="BC69" s="251"/>
      <c r="BD69" s="251"/>
      <c r="BE69" s="251"/>
      <c r="BF69" s="251"/>
      <c r="BG69" s="251"/>
      <c r="BH69" s="251"/>
      <c r="BI69" s="251"/>
      <c r="BJ69" s="251"/>
      <c r="BK69" s="251"/>
      <c r="BL69" s="251"/>
      <c r="BM69" s="251"/>
      <c r="BN69" s="251"/>
      <c r="BO69" s="251"/>
      <c r="BP69" s="251"/>
      <c r="BQ69" s="251"/>
      <c r="BR69" s="253">
        <v>0.02</v>
      </c>
      <c r="BS69" s="253">
        <v>9.65</v>
      </c>
      <c r="BT69" s="253">
        <v>1.07</v>
      </c>
      <c r="BU69" s="253">
        <v>563.17999999999995</v>
      </c>
      <c r="BV69" s="253">
        <v>1335.05</v>
      </c>
      <c r="BW69" s="251" t="s">
        <v>201</v>
      </c>
      <c r="BX69" s="251"/>
    </row>
    <row r="70" spans="1:76" ht="80.099999999999994" customHeight="1" x14ac:dyDescent="0.2">
      <c r="A70" s="250">
        <v>67</v>
      </c>
      <c r="B70" s="33"/>
      <c r="C70" s="251" t="s">
        <v>202</v>
      </c>
      <c r="D70" s="252">
        <v>28501142500382</v>
      </c>
      <c r="E70" s="253">
        <v>260</v>
      </c>
      <c r="F70" s="251"/>
      <c r="G70" s="251"/>
      <c r="H70" s="251"/>
      <c r="I70" s="251"/>
      <c r="J70" s="253">
        <v>367.01</v>
      </c>
      <c r="K70" s="253">
        <v>3.67</v>
      </c>
      <c r="L70" s="253">
        <v>7.34</v>
      </c>
      <c r="M70" s="253">
        <v>55.05</v>
      </c>
      <c r="N70" s="253">
        <v>11.01</v>
      </c>
      <c r="O70" s="253">
        <v>1249.6300000000001</v>
      </c>
      <c r="P70" s="253">
        <v>87.47</v>
      </c>
      <c r="Q70" s="253">
        <v>190</v>
      </c>
      <c r="R70" s="251"/>
      <c r="S70" s="253">
        <v>1527.1</v>
      </c>
      <c r="T70" s="251"/>
      <c r="U70" s="251"/>
      <c r="V70" s="253">
        <v>14.4</v>
      </c>
      <c r="W70" s="253">
        <v>50</v>
      </c>
      <c r="X70" s="251"/>
      <c r="Y70" s="251"/>
      <c r="Z70" s="251"/>
      <c r="AA70" s="251"/>
      <c r="AB70" s="251"/>
      <c r="AC70" s="253">
        <v>5.47</v>
      </c>
      <c r="AD70" s="253">
        <v>69.87</v>
      </c>
      <c r="AE70" s="253">
        <v>1179.96</v>
      </c>
      <c r="AF70" s="253">
        <v>1179.96</v>
      </c>
      <c r="AG70" s="253">
        <v>11.8</v>
      </c>
      <c r="AH70" s="253">
        <v>176.99</v>
      </c>
      <c r="AI70" s="253">
        <v>35.4</v>
      </c>
      <c r="AJ70" s="253">
        <v>1898.23</v>
      </c>
      <c r="AK70" s="253">
        <v>3.67</v>
      </c>
      <c r="AL70" s="253">
        <v>7.34</v>
      </c>
      <c r="AM70" s="253">
        <v>55.05</v>
      </c>
      <c r="AN70" s="253">
        <v>11.01</v>
      </c>
      <c r="AO70" s="253">
        <v>36.700000000000003</v>
      </c>
      <c r="AP70" s="253">
        <v>3.67</v>
      </c>
      <c r="AQ70" s="253">
        <v>11.01</v>
      </c>
      <c r="AR70" s="253">
        <v>118</v>
      </c>
      <c r="AS70" s="253">
        <v>11.8</v>
      </c>
      <c r="AT70" s="253">
        <v>11.8</v>
      </c>
      <c r="AU70" s="253">
        <v>176.99</v>
      </c>
      <c r="AV70" s="253">
        <v>35.4</v>
      </c>
      <c r="AW70" s="251"/>
      <c r="AX70" s="251"/>
      <c r="AY70" s="253">
        <v>56.25</v>
      </c>
      <c r="AZ70" s="253">
        <v>70</v>
      </c>
      <c r="BA70" s="251"/>
      <c r="BB70" s="251"/>
      <c r="BC70" s="251"/>
      <c r="BD70" s="251"/>
      <c r="BE70" s="251"/>
      <c r="BF70" s="251"/>
      <c r="BG70" s="251"/>
      <c r="BH70" s="251"/>
      <c r="BI70" s="251"/>
      <c r="BJ70" s="251"/>
      <c r="BK70" s="251"/>
      <c r="BL70" s="251"/>
      <c r="BM70" s="251"/>
      <c r="BN70" s="251"/>
      <c r="BO70" s="251"/>
      <c r="BP70" s="251"/>
      <c r="BQ70" s="251"/>
      <c r="BR70" s="253">
        <v>0.02</v>
      </c>
      <c r="BS70" s="253">
        <v>9.65</v>
      </c>
      <c r="BT70" s="253">
        <v>1.07</v>
      </c>
      <c r="BU70" s="253">
        <v>619.42999999999995</v>
      </c>
      <c r="BV70" s="253">
        <v>1278.8</v>
      </c>
      <c r="BW70" s="251" t="s">
        <v>202</v>
      </c>
      <c r="BX70" s="251"/>
    </row>
    <row r="71" spans="1:76" ht="80.099999999999994" customHeight="1" x14ac:dyDescent="0.2">
      <c r="A71" s="250">
        <v>68</v>
      </c>
      <c r="B71" s="34"/>
      <c r="C71" s="251" t="s">
        <v>203</v>
      </c>
      <c r="D71" s="252">
        <v>28201032504214</v>
      </c>
      <c r="E71" s="253">
        <v>274</v>
      </c>
      <c r="F71" s="251"/>
      <c r="G71" s="251"/>
      <c r="H71" s="251"/>
      <c r="I71" s="251"/>
      <c r="J71" s="253">
        <v>386.77</v>
      </c>
      <c r="K71" s="253">
        <v>3.87</v>
      </c>
      <c r="L71" s="253">
        <v>7.74</v>
      </c>
      <c r="M71" s="253">
        <v>58.02</v>
      </c>
      <c r="N71" s="253">
        <v>11.6</v>
      </c>
      <c r="O71" s="253">
        <v>1371.73</v>
      </c>
      <c r="P71" s="253">
        <v>96.02</v>
      </c>
      <c r="Q71" s="253">
        <v>190</v>
      </c>
      <c r="R71" s="251"/>
      <c r="S71" s="253">
        <v>1657.75</v>
      </c>
      <c r="T71" s="251"/>
      <c r="U71" s="251"/>
      <c r="V71" s="253">
        <v>21</v>
      </c>
      <c r="W71" s="253">
        <v>100</v>
      </c>
      <c r="X71" s="251"/>
      <c r="Y71" s="251"/>
      <c r="Z71" s="251"/>
      <c r="AA71" s="251"/>
      <c r="AB71" s="251"/>
      <c r="AC71" s="253">
        <v>5.58</v>
      </c>
      <c r="AD71" s="253">
        <v>126.58</v>
      </c>
      <c r="AE71" s="253">
        <v>1297.56</v>
      </c>
      <c r="AF71" s="253">
        <v>1297.56</v>
      </c>
      <c r="AG71" s="253">
        <v>12.98</v>
      </c>
      <c r="AH71" s="253">
        <v>194.63</v>
      </c>
      <c r="AI71" s="253">
        <v>38.93</v>
      </c>
      <c r="AJ71" s="253">
        <v>2112.1</v>
      </c>
      <c r="AK71" s="253">
        <v>3.87</v>
      </c>
      <c r="AL71" s="253">
        <v>7.74</v>
      </c>
      <c r="AM71" s="253">
        <v>58.02</v>
      </c>
      <c r="AN71" s="253">
        <v>11.6</v>
      </c>
      <c r="AO71" s="253">
        <v>38.68</v>
      </c>
      <c r="AP71" s="253">
        <v>3.87</v>
      </c>
      <c r="AQ71" s="253">
        <v>11.6</v>
      </c>
      <c r="AR71" s="253">
        <v>129.76</v>
      </c>
      <c r="AS71" s="253">
        <v>12.98</v>
      </c>
      <c r="AT71" s="253">
        <v>12.98</v>
      </c>
      <c r="AU71" s="253">
        <v>194.63</v>
      </c>
      <c r="AV71" s="253">
        <v>38.93</v>
      </c>
      <c r="AW71" s="251"/>
      <c r="AX71" s="251"/>
      <c r="AY71" s="251"/>
      <c r="AZ71" s="251"/>
      <c r="BA71" s="251"/>
      <c r="BB71" s="251"/>
      <c r="BC71" s="251"/>
      <c r="BD71" s="251"/>
      <c r="BE71" s="251"/>
      <c r="BF71" s="251"/>
      <c r="BG71" s="251"/>
      <c r="BH71" s="251"/>
      <c r="BI71" s="253">
        <v>3</v>
      </c>
      <c r="BJ71" s="251"/>
      <c r="BK71" s="251"/>
      <c r="BL71" s="251"/>
      <c r="BM71" s="251"/>
      <c r="BN71" s="251"/>
      <c r="BO71" s="251"/>
      <c r="BP71" s="251"/>
      <c r="BQ71" s="251"/>
      <c r="BR71" s="253">
        <v>0.02</v>
      </c>
      <c r="BS71" s="253">
        <v>11.4</v>
      </c>
      <c r="BT71" s="253">
        <v>4.57</v>
      </c>
      <c r="BU71" s="253">
        <v>543.65</v>
      </c>
      <c r="BV71" s="253">
        <v>1568.45</v>
      </c>
      <c r="BW71" s="251" t="s">
        <v>203</v>
      </c>
      <c r="BX71" s="251"/>
    </row>
    <row r="72" spans="1:76" ht="80.099999999999994" customHeight="1" x14ac:dyDescent="0.2">
      <c r="A72" s="250">
        <v>69</v>
      </c>
      <c r="B72" s="33"/>
      <c r="C72" s="251" t="s">
        <v>204</v>
      </c>
      <c r="D72" s="252">
        <v>28403242500051</v>
      </c>
      <c r="E72" s="253">
        <v>263</v>
      </c>
      <c r="F72" s="253">
        <v>223.18</v>
      </c>
      <c r="G72" s="251"/>
      <c r="H72" s="251"/>
      <c r="I72" s="251"/>
      <c r="J72" s="253">
        <v>371.25</v>
      </c>
      <c r="K72" s="253">
        <v>3.71</v>
      </c>
      <c r="L72" s="253">
        <v>7.42</v>
      </c>
      <c r="M72" s="253">
        <v>55.69</v>
      </c>
      <c r="N72" s="253">
        <v>11.14</v>
      </c>
      <c r="O72" s="253">
        <v>1321.61</v>
      </c>
      <c r="P72" s="253">
        <v>92.51</v>
      </c>
      <c r="Q72" s="253">
        <v>190</v>
      </c>
      <c r="R72" s="251"/>
      <c r="S72" s="253">
        <v>1604.12</v>
      </c>
      <c r="T72" s="251"/>
      <c r="U72" s="251"/>
      <c r="V72" s="253">
        <v>14.4</v>
      </c>
      <c r="W72" s="253">
        <v>95</v>
      </c>
      <c r="X72" s="251"/>
      <c r="Y72" s="251"/>
      <c r="Z72" s="251"/>
      <c r="AA72" s="251"/>
      <c r="AB72" s="251"/>
      <c r="AC72" s="253">
        <v>5.51</v>
      </c>
      <c r="AD72" s="253">
        <v>338.09</v>
      </c>
      <c r="AE72" s="253">
        <v>1475.96</v>
      </c>
      <c r="AF72" s="253">
        <v>1475.96</v>
      </c>
      <c r="AG72" s="253">
        <v>14.76</v>
      </c>
      <c r="AH72" s="253">
        <v>221.39</v>
      </c>
      <c r="AI72" s="253">
        <v>44.28</v>
      </c>
      <c r="AJ72" s="253">
        <v>2300.6</v>
      </c>
      <c r="AK72" s="253">
        <v>3.71</v>
      </c>
      <c r="AL72" s="253">
        <v>7.42</v>
      </c>
      <c r="AM72" s="253">
        <v>55.69</v>
      </c>
      <c r="AN72" s="253">
        <v>11.14</v>
      </c>
      <c r="AO72" s="253">
        <v>37.119999999999997</v>
      </c>
      <c r="AP72" s="253">
        <v>3.71</v>
      </c>
      <c r="AQ72" s="253">
        <v>11.14</v>
      </c>
      <c r="AR72" s="253">
        <v>147.6</v>
      </c>
      <c r="AS72" s="253">
        <v>14.76</v>
      </c>
      <c r="AT72" s="253">
        <v>14.76</v>
      </c>
      <c r="AU72" s="253">
        <v>221.39</v>
      </c>
      <c r="AV72" s="253">
        <v>44.28</v>
      </c>
      <c r="AW72" s="251"/>
      <c r="AX72" s="251"/>
      <c r="AY72" s="251"/>
      <c r="AZ72" s="251"/>
      <c r="BA72" s="251"/>
      <c r="BB72" s="251"/>
      <c r="BC72" s="251"/>
      <c r="BD72" s="251"/>
      <c r="BE72" s="251"/>
      <c r="BF72" s="251"/>
      <c r="BG72" s="251"/>
      <c r="BH72" s="251"/>
      <c r="BI72" s="251"/>
      <c r="BJ72" s="251"/>
      <c r="BK72" s="251"/>
      <c r="BL72" s="251"/>
      <c r="BM72" s="251"/>
      <c r="BN72" s="251"/>
      <c r="BO72" s="251"/>
      <c r="BP72" s="251"/>
      <c r="BQ72" s="251"/>
      <c r="BR72" s="253">
        <v>0.02</v>
      </c>
      <c r="BS72" s="253">
        <v>12.5</v>
      </c>
      <c r="BT72" s="253">
        <v>6.76</v>
      </c>
      <c r="BU72" s="253">
        <v>592</v>
      </c>
      <c r="BV72" s="253">
        <v>1708.6</v>
      </c>
      <c r="BW72" s="251" t="s">
        <v>204</v>
      </c>
      <c r="BX72" s="251"/>
    </row>
    <row r="73" spans="1:76" ht="80.099999999999994" customHeight="1" x14ac:dyDescent="0.2">
      <c r="A73" s="250">
        <v>70</v>
      </c>
      <c r="B73" s="34"/>
      <c r="C73" s="251" t="s">
        <v>205</v>
      </c>
      <c r="D73" s="252">
        <v>27807022501821</v>
      </c>
      <c r="E73" s="253">
        <v>280</v>
      </c>
      <c r="F73" s="251"/>
      <c r="G73" s="251"/>
      <c r="H73" s="251"/>
      <c r="I73" s="251"/>
      <c r="J73" s="253">
        <v>395.24</v>
      </c>
      <c r="K73" s="253">
        <v>3.95</v>
      </c>
      <c r="L73" s="253">
        <v>7.9</v>
      </c>
      <c r="M73" s="253">
        <v>59.29</v>
      </c>
      <c r="N73" s="253">
        <v>11.86</v>
      </c>
      <c r="O73" s="253">
        <v>1371.73</v>
      </c>
      <c r="P73" s="253">
        <v>96.02</v>
      </c>
      <c r="Q73" s="253">
        <v>190</v>
      </c>
      <c r="R73" s="251"/>
      <c r="S73" s="253">
        <v>1657.75</v>
      </c>
      <c r="T73" s="251"/>
      <c r="U73" s="251"/>
      <c r="V73" s="253">
        <v>21</v>
      </c>
      <c r="W73" s="253">
        <v>95</v>
      </c>
      <c r="X73" s="251"/>
      <c r="Y73" s="251"/>
      <c r="Z73" s="251"/>
      <c r="AA73" s="251"/>
      <c r="AB73" s="253">
        <v>34.42</v>
      </c>
      <c r="AC73" s="253">
        <v>5.82</v>
      </c>
      <c r="AD73" s="253">
        <v>156.24</v>
      </c>
      <c r="AE73" s="253">
        <v>1323.75</v>
      </c>
      <c r="AF73" s="253">
        <v>1323.75</v>
      </c>
      <c r="AG73" s="253">
        <v>13.24</v>
      </c>
      <c r="AH73" s="253">
        <v>198.56</v>
      </c>
      <c r="AI73" s="253">
        <v>39.71</v>
      </c>
      <c r="AJ73" s="253">
        <v>2148.5</v>
      </c>
      <c r="AK73" s="253">
        <v>3.95</v>
      </c>
      <c r="AL73" s="253">
        <v>7.9</v>
      </c>
      <c r="AM73" s="253">
        <v>59.29</v>
      </c>
      <c r="AN73" s="253">
        <v>11.86</v>
      </c>
      <c r="AO73" s="253">
        <v>39.520000000000003</v>
      </c>
      <c r="AP73" s="253">
        <v>3.95</v>
      </c>
      <c r="AQ73" s="253">
        <v>11.86</v>
      </c>
      <c r="AR73" s="253">
        <v>132.38</v>
      </c>
      <c r="AS73" s="253">
        <v>13.24</v>
      </c>
      <c r="AT73" s="253">
        <v>13.24</v>
      </c>
      <c r="AU73" s="253">
        <v>198.56</v>
      </c>
      <c r="AV73" s="253">
        <v>39.71</v>
      </c>
      <c r="AW73" s="253">
        <v>8.44</v>
      </c>
      <c r="AX73" s="251"/>
      <c r="AY73" s="251"/>
      <c r="AZ73" s="251"/>
      <c r="BA73" s="251"/>
      <c r="BB73" s="251"/>
      <c r="BC73" s="251"/>
      <c r="BD73" s="251"/>
      <c r="BE73" s="251"/>
      <c r="BF73" s="253">
        <v>30</v>
      </c>
      <c r="BG73" s="251"/>
      <c r="BH73" s="251"/>
      <c r="BI73" s="251"/>
      <c r="BJ73" s="251"/>
      <c r="BK73" s="251"/>
      <c r="BL73" s="251"/>
      <c r="BM73" s="253">
        <v>115.03</v>
      </c>
      <c r="BN73" s="251"/>
      <c r="BO73" s="251"/>
      <c r="BP73" s="251"/>
      <c r="BQ73" s="251"/>
      <c r="BR73" s="253">
        <v>0.04</v>
      </c>
      <c r="BS73" s="253">
        <v>11.5</v>
      </c>
      <c r="BT73" s="253">
        <v>4.83</v>
      </c>
      <c r="BU73" s="253">
        <v>705.3</v>
      </c>
      <c r="BV73" s="253">
        <v>1443.2</v>
      </c>
      <c r="BW73" s="251" t="s">
        <v>205</v>
      </c>
      <c r="BX73" s="251"/>
    </row>
    <row r="74" spans="1:76" ht="80.099999999999994" customHeight="1" x14ac:dyDescent="0.2">
      <c r="A74" s="250">
        <v>71</v>
      </c>
      <c r="B74" s="33"/>
      <c r="C74" s="251" t="s">
        <v>206</v>
      </c>
      <c r="D74" s="252">
        <v>28409202500227</v>
      </c>
      <c r="E74" s="253">
        <v>260</v>
      </c>
      <c r="F74" s="251"/>
      <c r="G74" s="251"/>
      <c r="H74" s="251"/>
      <c r="I74" s="251"/>
      <c r="J74" s="253">
        <v>367.01</v>
      </c>
      <c r="K74" s="253">
        <v>3.67</v>
      </c>
      <c r="L74" s="253">
        <v>7.34</v>
      </c>
      <c r="M74" s="253">
        <v>55.05</v>
      </c>
      <c r="N74" s="253">
        <v>11.01</v>
      </c>
      <c r="O74" s="253">
        <v>1249.6300000000001</v>
      </c>
      <c r="P74" s="253">
        <v>87.47</v>
      </c>
      <c r="Q74" s="253">
        <v>190</v>
      </c>
      <c r="R74" s="251"/>
      <c r="S74" s="253">
        <v>1527.1</v>
      </c>
      <c r="T74" s="251"/>
      <c r="U74" s="251"/>
      <c r="V74" s="253">
        <v>14.4</v>
      </c>
      <c r="W74" s="253">
        <v>50</v>
      </c>
      <c r="X74" s="251"/>
      <c r="Y74" s="251"/>
      <c r="Z74" s="251"/>
      <c r="AA74" s="251"/>
      <c r="AB74" s="251"/>
      <c r="AC74" s="253">
        <v>3.56</v>
      </c>
      <c r="AD74" s="253">
        <v>67.959999999999994</v>
      </c>
      <c r="AE74" s="253">
        <v>1178.05</v>
      </c>
      <c r="AF74" s="253">
        <v>1178.05</v>
      </c>
      <c r="AG74" s="253">
        <v>11.78</v>
      </c>
      <c r="AH74" s="253">
        <v>176.71</v>
      </c>
      <c r="AI74" s="253">
        <v>35.340000000000003</v>
      </c>
      <c r="AJ74" s="253">
        <v>1895.96</v>
      </c>
      <c r="AK74" s="253">
        <v>3.67</v>
      </c>
      <c r="AL74" s="253">
        <v>7.34</v>
      </c>
      <c r="AM74" s="253">
        <v>55.05</v>
      </c>
      <c r="AN74" s="253">
        <v>11.01</v>
      </c>
      <c r="AO74" s="253">
        <v>36.700000000000003</v>
      </c>
      <c r="AP74" s="253">
        <v>3.67</v>
      </c>
      <c r="AQ74" s="253">
        <v>11.01</v>
      </c>
      <c r="AR74" s="253">
        <v>117.81</v>
      </c>
      <c r="AS74" s="253">
        <v>11.78</v>
      </c>
      <c r="AT74" s="253">
        <v>11.78</v>
      </c>
      <c r="AU74" s="253">
        <v>176.71</v>
      </c>
      <c r="AV74" s="253">
        <v>35.340000000000003</v>
      </c>
      <c r="AW74" s="251"/>
      <c r="AX74" s="251"/>
      <c r="AY74" s="251"/>
      <c r="AZ74" s="251"/>
      <c r="BA74" s="253">
        <v>1</v>
      </c>
      <c r="BB74" s="251"/>
      <c r="BC74" s="251"/>
      <c r="BD74" s="251"/>
      <c r="BE74" s="251"/>
      <c r="BF74" s="251"/>
      <c r="BG74" s="251"/>
      <c r="BH74" s="253">
        <v>50</v>
      </c>
      <c r="BI74" s="251"/>
      <c r="BJ74" s="251"/>
      <c r="BK74" s="251"/>
      <c r="BL74" s="251"/>
      <c r="BM74" s="251"/>
      <c r="BN74" s="251"/>
      <c r="BO74" s="251"/>
      <c r="BP74" s="251"/>
      <c r="BQ74" s="251"/>
      <c r="BR74" s="251"/>
      <c r="BS74" s="253">
        <v>10.15</v>
      </c>
      <c r="BT74" s="253">
        <v>2.09</v>
      </c>
      <c r="BU74" s="253">
        <v>545.11</v>
      </c>
      <c r="BV74" s="253">
        <v>1350.85</v>
      </c>
      <c r="BW74" s="251" t="s">
        <v>206</v>
      </c>
      <c r="BX74" s="251"/>
    </row>
    <row r="75" spans="1:76" ht="80.099999999999994" customHeight="1" x14ac:dyDescent="0.2">
      <c r="A75" s="250">
        <v>72</v>
      </c>
      <c r="B75" s="34"/>
      <c r="C75" s="251" t="s">
        <v>207</v>
      </c>
      <c r="D75" s="252">
        <v>28003102503168</v>
      </c>
      <c r="E75" s="253">
        <v>255</v>
      </c>
      <c r="F75" s="253">
        <v>215.02</v>
      </c>
      <c r="G75" s="251"/>
      <c r="H75" s="251"/>
      <c r="I75" s="251"/>
      <c r="J75" s="253">
        <v>359.95</v>
      </c>
      <c r="K75" s="253">
        <v>3.6</v>
      </c>
      <c r="L75" s="253">
        <v>7.2</v>
      </c>
      <c r="M75" s="253">
        <v>53.99</v>
      </c>
      <c r="N75" s="253">
        <v>10.8</v>
      </c>
      <c r="O75" s="253">
        <v>1177.08</v>
      </c>
      <c r="P75" s="253">
        <v>82.4</v>
      </c>
      <c r="Q75" s="253">
        <v>190</v>
      </c>
      <c r="R75" s="251"/>
      <c r="S75" s="253">
        <v>1449.48</v>
      </c>
      <c r="T75" s="251"/>
      <c r="U75" s="251"/>
      <c r="V75" s="253">
        <v>14.4</v>
      </c>
      <c r="W75" s="253">
        <v>100</v>
      </c>
      <c r="X75" s="251"/>
      <c r="Y75" s="251"/>
      <c r="Z75" s="251"/>
      <c r="AA75" s="251"/>
      <c r="AB75" s="251"/>
      <c r="AC75" s="253">
        <v>5.14</v>
      </c>
      <c r="AD75" s="253">
        <v>334.56</v>
      </c>
      <c r="AE75" s="253">
        <v>1324.09</v>
      </c>
      <c r="AF75" s="253">
        <v>1324.09</v>
      </c>
      <c r="AG75" s="253">
        <v>13.24</v>
      </c>
      <c r="AH75" s="253">
        <v>198.61</v>
      </c>
      <c r="AI75" s="253">
        <v>39.72</v>
      </c>
      <c r="AJ75" s="253">
        <v>2111.1999999999998</v>
      </c>
      <c r="AK75" s="253">
        <v>3.6</v>
      </c>
      <c r="AL75" s="253">
        <v>7.2</v>
      </c>
      <c r="AM75" s="253">
        <v>53.99</v>
      </c>
      <c r="AN75" s="253">
        <v>10.8</v>
      </c>
      <c r="AO75" s="253">
        <v>36</v>
      </c>
      <c r="AP75" s="253">
        <v>3.6</v>
      </c>
      <c r="AQ75" s="253">
        <v>10.8</v>
      </c>
      <c r="AR75" s="253">
        <v>132.41</v>
      </c>
      <c r="AS75" s="253">
        <v>13.24</v>
      </c>
      <c r="AT75" s="253">
        <v>13.24</v>
      </c>
      <c r="AU75" s="253">
        <v>198.61</v>
      </c>
      <c r="AV75" s="253">
        <v>39.72</v>
      </c>
      <c r="AW75" s="253">
        <v>60</v>
      </c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BO75" s="251"/>
      <c r="BP75" s="251"/>
      <c r="BQ75" s="251"/>
      <c r="BR75" s="253">
        <v>0.01</v>
      </c>
      <c r="BS75" s="253">
        <v>11</v>
      </c>
      <c r="BT75" s="253">
        <v>3.78</v>
      </c>
      <c r="BU75" s="253">
        <v>598</v>
      </c>
      <c r="BV75" s="253">
        <v>1513.2</v>
      </c>
      <c r="BW75" s="251" t="s">
        <v>207</v>
      </c>
      <c r="BX75" s="251"/>
    </row>
    <row r="76" spans="1:76" ht="80.099999999999994" customHeight="1" x14ac:dyDescent="0.2">
      <c r="A76" s="250">
        <v>73</v>
      </c>
      <c r="B76" s="33"/>
      <c r="C76" s="251" t="s">
        <v>208</v>
      </c>
      <c r="D76" s="252">
        <v>27806222500083</v>
      </c>
      <c r="E76" s="253">
        <v>283</v>
      </c>
      <c r="F76" s="251"/>
      <c r="G76" s="251"/>
      <c r="H76" s="251"/>
      <c r="I76" s="251"/>
      <c r="J76" s="253">
        <v>399.48</v>
      </c>
      <c r="K76" s="253">
        <v>3.99</v>
      </c>
      <c r="L76" s="253">
        <v>7.99</v>
      </c>
      <c r="M76" s="253">
        <v>59.92</v>
      </c>
      <c r="N76" s="253">
        <v>11.98</v>
      </c>
      <c r="O76" s="253">
        <v>1306.4100000000001</v>
      </c>
      <c r="P76" s="253">
        <v>91.45</v>
      </c>
      <c r="Q76" s="253">
        <v>190</v>
      </c>
      <c r="R76" s="251"/>
      <c r="S76" s="253">
        <v>1587.86</v>
      </c>
      <c r="T76" s="251"/>
      <c r="U76" s="251"/>
      <c r="V76" s="253">
        <v>21</v>
      </c>
      <c r="W76" s="253">
        <v>50</v>
      </c>
      <c r="X76" s="251"/>
      <c r="Y76" s="251"/>
      <c r="Z76" s="251"/>
      <c r="AA76" s="251"/>
      <c r="AB76" s="253">
        <v>19.739999999999998</v>
      </c>
      <c r="AC76" s="253">
        <v>5.69</v>
      </c>
      <c r="AD76" s="253">
        <v>96.43</v>
      </c>
      <c r="AE76" s="253">
        <v>1234.81</v>
      </c>
      <c r="AF76" s="253">
        <v>1234.81</v>
      </c>
      <c r="AG76" s="253">
        <v>12.35</v>
      </c>
      <c r="AH76" s="253">
        <v>185.22</v>
      </c>
      <c r="AI76" s="253">
        <v>37.04</v>
      </c>
      <c r="AJ76" s="253">
        <v>2002.78</v>
      </c>
      <c r="AK76" s="253">
        <v>3.99</v>
      </c>
      <c r="AL76" s="253">
        <v>7.99</v>
      </c>
      <c r="AM76" s="253">
        <v>59.92</v>
      </c>
      <c r="AN76" s="253">
        <v>11.98</v>
      </c>
      <c r="AO76" s="253">
        <v>39.950000000000003</v>
      </c>
      <c r="AP76" s="253">
        <v>3.99</v>
      </c>
      <c r="AQ76" s="253">
        <v>11.98</v>
      </c>
      <c r="AR76" s="253">
        <v>123.48</v>
      </c>
      <c r="AS76" s="253">
        <v>12.35</v>
      </c>
      <c r="AT76" s="253">
        <v>12.35</v>
      </c>
      <c r="AU76" s="253">
        <v>185.22</v>
      </c>
      <c r="AV76" s="253">
        <v>37.04</v>
      </c>
      <c r="AW76" s="251"/>
      <c r="AX76" s="251"/>
      <c r="AY76" s="251"/>
      <c r="AZ76" s="253">
        <v>70</v>
      </c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BO76" s="251"/>
      <c r="BP76" s="251"/>
      <c r="BQ76" s="251"/>
      <c r="BR76" s="253">
        <v>0.03</v>
      </c>
      <c r="BS76" s="253">
        <v>10.15</v>
      </c>
      <c r="BT76" s="253">
        <v>2.11</v>
      </c>
      <c r="BU76" s="253">
        <v>592.53</v>
      </c>
      <c r="BV76" s="253">
        <v>1410.25</v>
      </c>
      <c r="BW76" s="251" t="s">
        <v>208</v>
      </c>
      <c r="BX76" s="251"/>
    </row>
    <row r="77" spans="1:76" ht="80.099999999999994" customHeight="1" x14ac:dyDescent="0.2">
      <c r="A77" s="250">
        <v>74</v>
      </c>
      <c r="B77" s="34"/>
      <c r="C77" s="251" t="s">
        <v>209</v>
      </c>
      <c r="D77" s="252">
        <v>27512112500165</v>
      </c>
      <c r="E77" s="253">
        <v>288</v>
      </c>
      <c r="F77" s="251"/>
      <c r="G77" s="251"/>
      <c r="H77" s="251"/>
      <c r="I77" s="251"/>
      <c r="J77" s="253">
        <v>406.54</v>
      </c>
      <c r="K77" s="253">
        <v>4.07</v>
      </c>
      <c r="L77" s="253">
        <v>8.1300000000000008</v>
      </c>
      <c r="M77" s="253">
        <v>60.98</v>
      </c>
      <c r="N77" s="253">
        <v>12.2</v>
      </c>
      <c r="O77" s="253">
        <v>1306.4100000000001</v>
      </c>
      <c r="P77" s="253">
        <v>91.45</v>
      </c>
      <c r="Q77" s="253">
        <v>190</v>
      </c>
      <c r="R77" s="251"/>
      <c r="S77" s="253">
        <v>1587.86</v>
      </c>
      <c r="T77" s="251"/>
      <c r="U77" s="251"/>
      <c r="V77" s="253">
        <v>21</v>
      </c>
      <c r="W77" s="253">
        <v>150</v>
      </c>
      <c r="X77" s="251"/>
      <c r="Y77" s="251"/>
      <c r="Z77" s="251"/>
      <c r="AA77" s="251"/>
      <c r="AB77" s="253">
        <v>61.68</v>
      </c>
      <c r="AC77" s="253">
        <v>5.92</v>
      </c>
      <c r="AD77" s="253">
        <v>238.6</v>
      </c>
      <c r="AE77" s="253">
        <v>1269.92</v>
      </c>
      <c r="AF77" s="253">
        <v>1269.92</v>
      </c>
      <c r="AG77" s="253">
        <v>12.7</v>
      </c>
      <c r="AH77" s="253">
        <v>190.49</v>
      </c>
      <c r="AI77" s="253">
        <v>38.1</v>
      </c>
      <c r="AJ77" s="253">
        <v>2153.13</v>
      </c>
      <c r="AK77" s="253">
        <v>4.07</v>
      </c>
      <c r="AL77" s="253">
        <v>8.1300000000000008</v>
      </c>
      <c r="AM77" s="253">
        <v>60.98</v>
      </c>
      <c r="AN77" s="253">
        <v>12.2</v>
      </c>
      <c r="AO77" s="253">
        <v>40.65</v>
      </c>
      <c r="AP77" s="253">
        <v>4.07</v>
      </c>
      <c r="AQ77" s="253">
        <v>12.2</v>
      </c>
      <c r="AR77" s="253">
        <v>126.99</v>
      </c>
      <c r="AS77" s="253">
        <v>12.7</v>
      </c>
      <c r="AT77" s="253">
        <v>12.7</v>
      </c>
      <c r="AU77" s="253">
        <v>190.49</v>
      </c>
      <c r="AV77" s="253">
        <v>38.1</v>
      </c>
      <c r="AW77" s="253">
        <v>5.52</v>
      </c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3">
        <v>0.01</v>
      </c>
      <c r="BS77" s="253">
        <v>11.65</v>
      </c>
      <c r="BT77" s="253">
        <v>5.12</v>
      </c>
      <c r="BU77" s="253">
        <v>545.58000000000004</v>
      </c>
      <c r="BV77" s="253">
        <v>1607.55</v>
      </c>
      <c r="BW77" s="251" t="s">
        <v>209</v>
      </c>
      <c r="BX77" s="251"/>
    </row>
    <row r="78" spans="1:76" ht="80.099999999999994" customHeight="1" x14ac:dyDescent="0.2">
      <c r="A78" s="250">
        <v>75</v>
      </c>
      <c r="B78" s="33"/>
      <c r="C78" s="251" t="s">
        <v>210</v>
      </c>
      <c r="D78" s="252">
        <v>28108052500126</v>
      </c>
      <c r="E78" s="253">
        <v>275</v>
      </c>
      <c r="F78" s="251"/>
      <c r="G78" s="251"/>
      <c r="H78" s="251"/>
      <c r="I78" s="251"/>
      <c r="J78" s="253">
        <v>388.18</v>
      </c>
      <c r="K78" s="253">
        <v>3.88</v>
      </c>
      <c r="L78" s="253">
        <v>7.76</v>
      </c>
      <c r="M78" s="253">
        <v>58.23</v>
      </c>
      <c r="N78" s="253">
        <v>11.65</v>
      </c>
      <c r="O78" s="253">
        <v>1386.15</v>
      </c>
      <c r="P78" s="253">
        <v>97.03</v>
      </c>
      <c r="Q78" s="253">
        <v>190</v>
      </c>
      <c r="R78" s="251"/>
      <c r="S78" s="253">
        <v>1673.18</v>
      </c>
      <c r="T78" s="251"/>
      <c r="U78" s="251"/>
      <c r="V78" s="253">
        <v>21</v>
      </c>
      <c r="W78" s="253">
        <v>50</v>
      </c>
      <c r="X78" s="251"/>
      <c r="Y78" s="251"/>
      <c r="Z78" s="251"/>
      <c r="AA78" s="251"/>
      <c r="AB78" s="253">
        <v>5.25</v>
      </c>
      <c r="AC78" s="253">
        <v>5.7</v>
      </c>
      <c r="AD78" s="253">
        <v>81.95</v>
      </c>
      <c r="AE78" s="253">
        <v>1316.95</v>
      </c>
      <c r="AF78" s="253">
        <v>1316.95</v>
      </c>
      <c r="AG78" s="253">
        <v>13.17</v>
      </c>
      <c r="AH78" s="253">
        <v>197.54</v>
      </c>
      <c r="AI78" s="253">
        <v>39.51</v>
      </c>
      <c r="AJ78" s="253">
        <v>2086.87</v>
      </c>
      <c r="AK78" s="253">
        <v>3.88</v>
      </c>
      <c r="AL78" s="253">
        <v>7.76</v>
      </c>
      <c r="AM78" s="253">
        <v>58.23</v>
      </c>
      <c r="AN78" s="253">
        <v>11.65</v>
      </c>
      <c r="AO78" s="253">
        <v>38.82</v>
      </c>
      <c r="AP78" s="253">
        <v>3.88</v>
      </c>
      <c r="AQ78" s="253">
        <v>11.65</v>
      </c>
      <c r="AR78" s="253">
        <v>131.69999999999999</v>
      </c>
      <c r="AS78" s="253">
        <v>13.17</v>
      </c>
      <c r="AT78" s="253">
        <v>13.17</v>
      </c>
      <c r="AU78" s="253">
        <v>197.54</v>
      </c>
      <c r="AV78" s="253">
        <v>39.51</v>
      </c>
      <c r="AW78" s="253">
        <v>2.5299999999999998</v>
      </c>
      <c r="AX78" s="251"/>
      <c r="AY78" s="251"/>
      <c r="AZ78" s="251"/>
      <c r="BA78" s="251"/>
      <c r="BB78" s="251"/>
      <c r="BC78" s="251"/>
      <c r="BD78" s="251"/>
      <c r="BE78" s="251"/>
      <c r="BF78" s="253">
        <v>37.450000000000003</v>
      </c>
      <c r="BG78" s="251"/>
      <c r="BH78" s="253">
        <v>50</v>
      </c>
      <c r="BI78" s="251"/>
      <c r="BJ78" s="251"/>
      <c r="BK78" s="251"/>
      <c r="BL78" s="251"/>
      <c r="BM78" s="251"/>
      <c r="BN78" s="251"/>
      <c r="BO78" s="251"/>
      <c r="BP78" s="251"/>
      <c r="BQ78" s="251"/>
      <c r="BR78" s="253">
        <v>0.02</v>
      </c>
      <c r="BS78" s="253">
        <v>11.15</v>
      </c>
      <c r="BT78" s="253">
        <v>4.0599999999999996</v>
      </c>
      <c r="BU78" s="253">
        <v>636.16999999999996</v>
      </c>
      <c r="BV78" s="253">
        <v>1450.7</v>
      </c>
      <c r="BW78" s="251" t="s">
        <v>210</v>
      </c>
      <c r="BX78" s="251"/>
    </row>
    <row r="79" spans="1:76" ht="80.099999999999994" customHeight="1" x14ac:dyDescent="0.2">
      <c r="A79" s="250">
        <v>76</v>
      </c>
      <c r="B79" s="34"/>
      <c r="C79" s="251" t="s">
        <v>211</v>
      </c>
      <c r="D79" s="252">
        <v>26701012500404</v>
      </c>
      <c r="E79" s="253">
        <v>278</v>
      </c>
      <c r="F79" s="251"/>
      <c r="G79" s="251"/>
      <c r="H79" s="251"/>
      <c r="I79" s="251"/>
      <c r="J79" s="253">
        <v>392.42</v>
      </c>
      <c r="K79" s="253">
        <v>3.92</v>
      </c>
      <c r="L79" s="253">
        <v>7.85</v>
      </c>
      <c r="M79" s="253">
        <v>58.86</v>
      </c>
      <c r="N79" s="253">
        <v>11.77</v>
      </c>
      <c r="O79" s="253">
        <v>1371.73</v>
      </c>
      <c r="P79" s="253">
        <v>96.02</v>
      </c>
      <c r="Q79" s="253">
        <v>190</v>
      </c>
      <c r="R79" s="251"/>
      <c r="S79" s="253">
        <v>1657.75</v>
      </c>
      <c r="T79" s="251"/>
      <c r="U79" s="251"/>
      <c r="V79" s="253">
        <v>21</v>
      </c>
      <c r="W79" s="253">
        <v>50</v>
      </c>
      <c r="X79" s="251"/>
      <c r="Y79" s="251"/>
      <c r="Z79" s="251"/>
      <c r="AA79" s="251"/>
      <c r="AB79" s="253">
        <v>2.69</v>
      </c>
      <c r="AC79" s="253">
        <v>5.63</v>
      </c>
      <c r="AD79" s="253">
        <v>79.319999999999993</v>
      </c>
      <c r="AE79" s="253">
        <v>1294.6500000000001</v>
      </c>
      <c r="AF79" s="253">
        <v>1294.6500000000001</v>
      </c>
      <c r="AG79" s="253">
        <v>12.95</v>
      </c>
      <c r="AH79" s="253">
        <v>194.2</v>
      </c>
      <c r="AI79" s="253">
        <v>38.840000000000003</v>
      </c>
      <c r="AJ79" s="253">
        <v>2065.46</v>
      </c>
      <c r="AK79" s="253">
        <v>3.92</v>
      </c>
      <c r="AL79" s="253">
        <v>7.85</v>
      </c>
      <c r="AM79" s="253">
        <v>58.86</v>
      </c>
      <c r="AN79" s="253">
        <v>11.77</v>
      </c>
      <c r="AO79" s="253">
        <v>39.24</v>
      </c>
      <c r="AP79" s="253">
        <v>3.92</v>
      </c>
      <c r="AQ79" s="253">
        <v>11.77</v>
      </c>
      <c r="AR79" s="253">
        <v>129.47</v>
      </c>
      <c r="AS79" s="253">
        <v>12.95</v>
      </c>
      <c r="AT79" s="253">
        <v>12.95</v>
      </c>
      <c r="AU79" s="253">
        <v>194.2</v>
      </c>
      <c r="AV79" s="253">
        <v>38.840000000000003</v>
      </c>
      <c r="AW79" s="253">
        <v>29.76</v>
      </c>
      <c r="AX79" s="251"/>
      <c r="AY79" s="251"/>
      <c r="AZ79" s="251"/>
      <c r="BA79" s="251"/>
      <c r="BB79" s="251"/>
      <c r="BC79" s="251"/>
      <c r="BD79" s="253">
        <v>2</v>
      </c>
      <c r="BE79" s="253">
        <v>1</v>
      </c>
      <c r="BF79" s="251"/>
      <c r="BG79" s="251"/>
      <c r="BH79" s="251"/>
      <c r="BI79" s="251"/>
      <c r="BJ79" s="251"/>
      <c r="BK79" s="251"/>
      <c r="BL79" s="251"/>
      <c r="BM79" s="251"/>
      <c r="BN79" s="251"/>
      <c r="BO79" s="251"/>
      <c r="BP79" s="251"/>
      <c r="BQ79" s="251"/>
      <c r="BR79" s="253">
        <v>0.04</v>
      </c>
      <c r="BS79" s="253">
        <v>10.8</v>
      </c>
      <c r="BT79" s="253">
        <v>3.42</v>
      </c>
      <c r="BU79" s="253">
        <v>572.76</v>
      </c>
      <c r="BV79" s="253">
        <v>1492.7</v>
      </c>
      <c r="BW79" s="251" t="s">
        <v>211</v>
      </c>
      <c r="BX79" s="251"/>
    </row>
    <row r="80" spans="1:76" ht="80.099999999999994" customHeight="1" x14ac:dyDescent="0.2">
      <c r="A80" s="254">
        <v>77</v>
      </c>
      <c r="B80" s="33"/>
      <c r="C80" s="255" t="s">
        <v>225</v>
      </c>
      <c r="D80" s="256">
        <v>28703012500285</v>
      </c>
      <c r="E80" s="257">
        <v>246.77</v>
      </c>
      <c r="F80" s="255"/>
      <c r="G80" s="255"/>
      <c r="H80" s="255"/>
      <c r="I80" s="255"/>
      <c r="J80" s="257">
        <v>348.34</v>
      </c>
      <c r="K80" s="255"/>
      <c r="L80" s="255"/>
      <c r="M80" s="255"/>
      <c r="N80" s="257">
        <v>10.45</v>
      </c>
      <c r="O80" s="257">
        <v>1139.0999999999999</v>
      </c>
      <c r="P80" s="257">
        <v>79.739999999999995</v>
      </c>
      <c r="Q80" s="257">
        <v>183.87</v>
      </c>
      <c r="R80" s="255"/>
      <c r="S80" s="257">
        <v>1402.71</v>
      </c>
      <c r="T80" s="255"/>
      <c r="U80" s="255"/>
      <c r="V80" s="257">
        <v>27.87</v>
      </c>
      <c r="W80" s="255"/>
      <c r="X80" s="255"/>
      <c r="Y80" s="255"/>
      <c r="Z80" s="255"/>
      <c r="AA80" s="255"/>
      <c r="AB80" s="255"/>
      <c r="AC80" s="257">
        <v>4.97</v>
      </c>
      <c r="AD80" s="257">
        <v>32.840000000000003</v>
      </c>
      <c r="AE80" s="257">
        <v>1087.21</v>
      </c>
      <c r="AF80" s="257">
        <v>1087.21</v>
      </c>
      <c r="AG80" s="255"/>
      <c r="AH80" s="255"/>
      <c r="AI80" s="257">
        <v>32.619999999999997</v>
      </c>
      <c r="AJ80" s="257">
        <v>1715.27</v>
      </c>
      <c r="AK80" s="255"/>
      <c r="AL80" s="255"/>
      <c r="AM80" s="255"/>
      <c r="AN80" s="257">
        <v>10.45</v>
      </c>
      <c r="AO80" s="257">
        <v>34.83</v>
      </c>
      <c r="AP80" s="255"/>
      <c r="AQ80" s="255"/>
      <c r="AR80" s="257">
        <v>108.72</v>
      </c>
      <c r="AS80" s="257">
        <v>10.87</v>
      </c>
      <c r="AT80" s="255"/>
      <c r="AU80" s="255"/>
      <c r="AV80" s="257">
        <v>32.619999999999997</v>
      </c>
      <c r="AW80" s="255"/>
      <c r="AX80" s="255"/>
      <c r="AY80" s="255"/>
      <c r="AZ80" s="255"/>
      <c r="BA80" s="255"/>
      <c r="BB80" s="255"/>
      <c r="BC80" s="255"/>
      <c r="BD80" s="255"/>
      <c r="BE80" s="255"/>
      <c r="BF80" s="255"/>
      <c r="BG80" s="255"/>
      <c r="BH80" s="255"/>
      <c r="BI80" s="255"/>
      <c r="BJ80" s="255"/>
      <c r="BK80" s="255"/>
      <c r="BL80" s="255"/>
      <c r="BM80" s="255"/>
      <c r="BN80" s="255"/>
      <c r="BO80" s="255"/>
      <c r="BP80" s="255"/>
      <c r="BQ80" s="255"/>
      <c r="BR80" s="255"/>
      <c r="BS80" s="257">
        <v>8.9499999999999993</v>
      </c>
      <c r="BT80" s="255"/>
      <c r="BU80" s="257">
        <v>457.02</v>
      </c>
      <c r="BV80" s="257">
        <v>1258.25</v>
      </c>
      <c r="BW80" s="255" t="s">
        <v>225</v>
      </c>
      <c r="BX80" s="255"/>
    </row>
    <row r="81" spans="1:76" ht="80.099999999999994" customHeight="1" x14ac:dyDescent="0.2">
      <c r="A81" s="250">
        <v>78</v>
      </c>
      <c r="B81" s="34"/>
      <c r="C81" s="251" t="s">
        <v>212</v>
      </c>
      <c r="D81" s="252">
        <v>28409082500082</v>
      </c>
      <c r="E81" s="253">
        <v>274</v>
      </c>
      <c r="F81" s="251"/>
      <c r="G81" s="251"/>
      <c r="H81" s="251"/>
      <c r="I81" s="251"/>
      <c r="J81" s="253">
        <v>386.77</v>
      </c>
      <c r="K81" s="253">
        <v>3.87</v>
      </c>
      <c r="L81" s="253">
        <v>7.74</v>
      </c>
      <c r="M81" s="253">
        <v>58.02</v>
      </c>
      <c r="N81" s="253">
        <v>11.6</v>
      </c>
      <c r="O81" s="253">
        <v>1306.4100000000001</v>
      </c>
      <c r="P81" s="253">
        <v>91.45</v>
      </c>
      <c r="Q81" s="253">
        <v>190</v>
      </c>
      <c r="R81" s="251"/>
      <c r="S81" s="253">
        <v>1587.86</v>
      </c>
      <c r="T81" s="251"/>
      <c r="U81" s="251"/>
      <c r="V81" s="253">
        <v>21</v>
      </c>
      <c r="W81" s="253">
        <v>95</v>
      </c>
      <c r="X81" s="251"/>
      <c r="Y81" s="251"/>
      <c r="Z81" s="251"/>
      <c r="AA81" s="251"/>
      <c r="AB81" s="251"/>
      <c r="AC81" s="253">
        <v>3.63</v>
      </c>
      <c r="AD81" s="253">
        <v>119.63</v>
      </c>
      <c r="AE81" s="253">
        <v>1225.72</v>
      </c>
      <c r="AF81" s="253">
        <v>1225.72</v>
      </c>
      <c r="AG81" s="253">
        <v>12.26</v>
      </c>
      <c r="AH81" s="253">
        <v>183.86</v>
      </c>
      <c r="AI81" s="253">
        <v>36.770000000000003</v>
      </c>
      <c r="AJ81" s="253">
        <v>2021.61</v>
      </c>
      <c r="AK81" s="253">
        <v>3.87</v>
      </c>
      <c r="AL81" s="253">
        <v>7.74</v>
      </c>
      <c r="AM81" s="253">
        <v>58.02</v>
      </c>
      <c r="AN81" s="253">
        <v>11.6</v>
      </c>
      <c r="AO81" s="253">
        <v>38.68</v>
      </c>
      <c r="AP81" s="253">
        <v>3.87</v>
      </c>
      <c r="AQ81" s="253">
        <v>11.6</v>
      </c>
      <c r="AR81" s="253">
        <v>122.57</v>
      </c>
      <c r="AS81" s="253">
        <v>12.26</v>
      </c>
      <c r="AT81" s="253">
        <v>12.26</v>
      </c>
      <c r="AU81" s="253">
        <v>183.86</v>
      </c>
      <c r="AV81" s="253">
        <v>36.770000000000003</v>
      </c>
      <c r="AW81" s="251"/>
      <c r="AX81" s="251"/>
      <c r="AY81" s="251"/>
      <c r="AZ81" s="253">
        <v>70</v>
      </c>
      <c r="BA81" s="251"/>
      <c r="BB81" s="251"/>
      <c r="BC81" s="251"/>
      <c r="BD81" s="253">
        <v>2</v>
      </c>
      <c r="BE81" s="253">
        <v>1</v>
      </c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1"/>
      <c r="BR81" s="253">
        <v>0.01</v>
      </c>
      <c r="BS81" s="253">
        <v>10.35</v>
      </c>
      <c r="BT81" s="253">
        <v>2.5</v>
      </c>
      <c r="BU81" s="253">
        <v>588.96</v>
      </c>
      <c r="BV81" s="253">
        <v>1432.65</v>
      </c>
      <c r="BW81" s="251" t="s">
        <v>212</v>
      </c>
      <c r="BX81" s="251"/>
    </row>
    <row r="82" spans="1:76" ht="80.099999999999994" customHeight="1" x14ac:dyDescent="0.2">
      <c r="A82" s="250">
        <v>79</v>
      </c>
      <c r="B82" s="33"/>
      <c r="C82" s="251" t="s">
        <v>213</v>
      </c>
      <c r="D82" s="252">
        <v>28310112500426</v>
      </c>
      <c r="E82" s="253">
        <v>249</v>
      </c>
      <c r="F82" s="253">
        <v>205.4</v>
      </c>
      <c r="G82" s="253">
        <v>100</v>
      </c>
      <c r="H82" s="251"/>
      <c r="I82" s="251"/>
      <c r="J82" s="253">
        <v>351.48</v>
      </c>
      <c r="K82" s="253">
        <v>3.51</v>
      </c>
      <c r="L82" s="253">
        <v>7.03</v>
      </c>
      <c r="M82" s="253">
        <v>52.72</v>
      </c>
      <c r="N82" s="253">
        <v>10.54</v>
      </c>
      <c r="O82" s="253">
        <v>1160.94</v>
      </c>
      <c r="P82" s="253">
        <v>81.27</v>
      </c>
      <c r="Q82" s="253">
        <v>190</v>
      </c>
      <c r="R82" s="251"/>
      <c r="S82" s="253">
        <v>1432.21</v>
      </c>
      <c r="T82" s="251"/>
      <c r="U82" s="251"/>
      <c r="V82" s="253">
        <v>14.4</v>
      </c>
      <c r="W82" s="253">
        <v>50</v>
      </c>
      <c r="X82" s="251"/>
      <c r="Y82" s="251"/>
      <c r="Z82" s="251"/>
      <c r="AA82" s="251"/>
      <c r="AB82" s="251"/>
      <c r="AC82" s="253">
        <v>5.12</v>
      </c>
      <c r="AD82" s="253">
        <v>374.92</v>
      </c>
      <c r="AE82" s="253">
        <v>1405.65</v>
      </c>
      <c r="AF82" s="253">
        <v>1405.65</v>
      </c>
      <c r="AG82" s="253">
        <v>14.06</v>
      </c>
      <c r="AH82" s="253">
        <v>210.85</v>
      </c>
      <c r="AI82" s="253">
        <v>42.17</v>
      </c>
      <c r="AJ82" s="253">
        <v>2148.0100000000002</v>
      </c>
      <c r="AK82" s="253">
        <v>3.51</v>
      </c>
      <c r="AL82" s="253">
        <v>7.03</v>
      </c>
      <c r="AM82" s="253">
        <v>52.72</v>
      </c>
      <c r="AN82" s="253">
        <v>10.54</v>
      </c>
      <c r="AO82" s="253">
        <v>35.15</v>
      </c>
      <c r="AP82" s="253">
        <v>3.51</v>
      </c>
      <c r="AQ82" s="253">
        <v>10.54</v>
      </c>
      <c r="AR82" s="253">
        <v>140.57</v>
      </c>
      <c r="AS82" s="253">
        <v>14.06</v>
      </c>
      <c r="AT82" s="253">
        <v>14.06</v>
      </c>
      <c r="AU82" s="253">
        <v>210.85</v>
      </c>
      <c r="AV82" s="253">
        <v>42.17</v>
      </c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3">
        <v>54.92</v>
      </c>
      <c r="BQ82" s="251"/>
      <c r="BR82" s="253">
        <v>0.03</v>
      </c>
      <c r="BS82" s="253">
        <v>11.55</v>
      </c>
      <c r="BT82" s="253">
        <v>4.9000000000000004</v>
      </c>
      <c r="BU82" s="253">
        <v>616.11</v>
      </c>
      <c r="BV82" s="253">
        <v>1531.9</v>
      </c>
      <c r="BW82" s="251" t="s">
        <v>213</v>
      </c>
      <c r="BX82" s="251"/>
    </row>
    <row r="83" spans="1:76" ht="80.099999999999994" customHeight="1" x14ac:dyDescent="0.2">
      <c r="A83" s="250">
        <v>80</v>
      </c>
      <c r="B83" s="34"/>
      <c r="C83" s="251" t="s">
        <v>214</v>
      </c>
      <c r="D83" s="252">
        <v>28712152500268</v>
      </c>
      <c r="E83" s="253">
        <v>255</v>
      </c>
      <c r="F83" s="251"/>
      <c r="G83" s="251"/>
      <c r="H83" s="251"/>
      <c r="I83" s="251"/>
      <c r="J83" s="253">
        <v>359.95</v>
      </c>
      <c r="K83" s="253">
        <v>3.6</v>
      </c>
      <c r="L83" s="253">
        <v>7.2</v>
      </c>
      <c r="M83" s="253">
        <v>53.99</v>
      </c>
      <c r="N83" s="253">
        <v>10.8</v>
      </c>
      <c r="O83" s="253">
        <v>1096.3599999999999</v>
      </c>
      <c r="P83" s="253">
        <v>76.75</v>
      </c>
      <c r="Q83" s="253">
        <v>190</v>
      </c>
      <c r="R83" s="251"/>
      <c r="S83" s="253">
        <v>1363.11</v>
      </c>
      <c r="T83" s="251"/>
      <c r="U83" s="251"/>
      <c r="V83" s="253">
        <v>14.4</v>
      </c>
      <c r="W83" s="253">
        <v>50</v>
      </c>
      <c r="X83" s="251"/>
      <c r="Y83" s="251"/>
      <c r="Z83" s="251"/>
      <c r="AA83" s="253">
        <v>14.4</v>
      </c>
      <c r="AB83" s="251"/>
      <c r="AC83" s="253">
        <v>5.14</v>
      </c>
      <c r="AD83" s="253">
        <v>83.94</v>
      </c>
      <c r="AE83" s="253">
        <v>1037.0999999999999</v>
      </c>
      <c r="AF83" s="253">
        <v>1037.0999999999999</v>
      </c>
      <c r="AG83" s="253">
        <v>10.37</v>
      </c>
      <c r="AH83" s="253">
        <v>155.56</v>
      </c>
      <c r="AI83" s="253">
        <v>31.11</v>
      </c>
      <c r="AJ83" s="253">
        <v>1719.68</v>
      </c>
      <c r="AK83" s="253">
        <v>3.6</v>
      </c>
      <c r="AL83" s="253">
        <v>7.2</v>
      </c>
      <c r="AM83" s="253">
        <v>53.99</v>
      </c>
      <c r="AN83" s="253">
        <v>10.8</v>
      </c>
      <c r="AO83" s="253">
        <v>36</v>
      </c>
      <c r="AP83" s="253">
        <v>3.6</v>
      </c>
      <c r="AQ83" s="253">
        <v>10.8</v>
      </c>
      <c r="AR83" s="253">
        <v>103.71</v>
      </c>
      <c r="AS83" s="253">
        <v>10.37</v>
      </c>
      <c r="AT83" s="253">
        <v>10.37</v>
      </c>
      <c r="AU83" s="253">
        <v>155.56</v>
      </c>
      <c r="AV83" s="253">
        <v>31.11</v>
      </c>
      <c r="AW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1"/>
      <c r="BH83" s="251"/>
      <c r="BI83" s="251"/>
      <c r="BJ83" s="251"/>
      <c r="BK83" s="251"/>
      <c r="BL83" s="251"/>
      <c r="BM83" s="251"/>
      <c r="BN83" s="251"/>
      <c r="BO83" s="251"/>
      <c r="BP83" s="251"/>
      <c r="BQ83" s="251"/>
      <c r="BR83" s="253">
        <v>0.04</v>
      </c>
      <c r="BS83" s="253">
        <v>9.15</v>
      </c>
      <c r="BT83" s="253">
        <v>0.13</v>
      </c>
      <c r="BU83" s="253">
        <v>446.43</v>
      </c>
      <c r="BV83" s="253">
        <v>1273.25</v>
      </c>
      <c r="BW83" s="251" t="s">
        <v>214</v>
      </c>
      <c r="BX83" s="251"/>
    </row>
    <row r="84" spans="1:76" ht="80.099999999999994" customHeight="1" x14ac:dyDescent="0.2">
      <c r="A84" s="250">
        <v>81</v>
      </c>
      <c r="B84" s="33"/>
      <c r="C84" s="251" t="s">
        <v>215</v>
      </c>
      <c r="D84" s="252">
        <v>28708232500181</v>
      </c>
      <c r="E84" s="253">
        <v>255</v>
      </c>
      <c r="F84" s="253">
        <v>213.02</v>
      </c>
      <c r="G84" s="251"/>
      <c r="H84" s="251"/>
      <c r="I84" s="251"/>
      <c r="J84" s="253">
        <v>359.95</v>
      </c>
      <c r="K84" s="253">
        <v>3.6</v>
      </c>
      <c r="L84" s="253">
        <v>7.2</v>
      </c>
      <c r="M84" s="253">
        <v>53.99</v>
      </c>
      <c r="N84" s="253">
        <v>10.8</v>
      </c>
      <c r="O84" s="253">
        <v>1177.08</v>
      </c>
      <c r="P84" s="253">
        <v>82.4</v>
      </c>
      <c r="Q84" s="253">
        <v>190</v>
      </c>
      <c r="R84" s="251"/>
      <c r="S84" s="253">
        <v>1449.48</v>
      </c>
      <c r="T84" s="251"/>
      <c r="U84" s="251"/>
      <c r="V84" s="253">
        <v>14.4</v>
      </c>
      <c r="W84" s="253">
        <v>50</v>
      </c>
      <c r="X84" s="251"/>
      <c r="Y84" s="251"/>
      <c r="Z84" s="251"/>
      <c r="AA84" s="251"/>
      <c r="AB84" s="251"/>
      <c r="AC84" s="253">
        <v>5.14</v>
      </c>
      <c r="AD84" s="253">
        <v>282.56</v>
      </c>
      <c r="AE84" s="253">
        <v>1322.09</v>
      </c>
      <c r="AF84" s="253">
        <v>1322.09</v>
      </c>
      <c r="AG84" s="253">
        <v>13.22</v>
      </c>
      <c r="AH84" s="253">
        <v>198.31</v>
      </c>
      <c r="AI84" s="253">
        <v>39.659999999999997</v>
      </c>
      <c r="AJ84" s="253">
        <v>2058.8200000000002</v>
      </c>
      <c r="AK84" s="253">
        <v>3.6</v>
      </c>
      <c r="AL84" s="253">
        <v>7.2</v>
      </c>
      <c r="AM84" s="253">
        <v>53.99</v>
      </c>
      <c r="AN84" s="253">
        <v>10.8</v>
      </c>
      <c r="AO84" s="253">
        <v>36</v>
      </c>
      <c r="AP84" s="253">
        <v>3.6</v>
      </c>
      <c r="AQ84" s="253">
        <v>10.8</v>
      </c>
      <c r="AR84" s="253">
        <v>132.21</v>
      </c>
      <c r="AS84" s="253">
        <v>13.22</v>
      </c>
      <c r="AT84" s="253">
        <v>13.22</v>
      </c>
      <c r="AU84" s="253">
        <v>198.31</v>
      </c>
      <c r="AV84" s="253">
        <v>39.659999999999997</v>
      </c>
      <c r="AW84" s="251"/>
      <c r="AX84" s="251"/>
      <c r="AY84" s="251"/>
      <c r="AZ84" s="253">
        <v>70</v>
      </c>
      <c r="BA84" s="253">
        <v>1</v>
      </c>
      <c r="BB84" s="251"/>
      <c r="BC84" s="251"/>
      <c r="BD84" s="253">
        <v>2</v>
      </c>
      <c r="BE84" s="253">
        <v>1</v>
      </c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3">
        <v>10.55</v>
      </c>
      <c r="BT84" s="253">
        <v>2.86</v>
      </c>
      <c r="BU84" s="253">
        <v>610.02</v>
      </c>
      <c r="BV84" s="253">
        <v>1448.8</v>
      </c>
      <c r="BW84" s="251" t="s">
        <v>215</v>
      </c>
      <c r="BX84" s="251"/>
    </row>
    <row r="85" spans="1:76" ht="80.099999999999994" customHeight="1" x14ac:dyDescent="0.2">
      <c r="A85" s="250">
        <v>82</v>
      </c>
      <c r="B85" s="34"/>
      <c r="C85" s="251" t="s">
        <v>216</v>
      </c>
      <c r="D85" s="252">
        <v>28309202500125</v>
      </c>
      <c r="E85" s="253">
        <v>275</v>
      </c>
      <c r="F85" s="251"/>
      <c r="G85" s="251"/>
      <c r="H85" s="251"/>
      <c r="I85" s="251"/>
      <c r="J85" s="253">
        <v>388.18</v>
      </c>
      <c r="K85" s="253">
        <v>3.88</v>
      </c>
      <c r="L85" s="253">
        <v>7.76</v>
      </c>
      <c r="M85" s="253">
        <v>58.23</v>
      </c>
      <c r="N85" s="253">
        <v>11.65</v>
      </c>
      <c r="O85" s="253">
        <v>1320.14</v>
      </c>
      <c r="P85" s="253">
        <v>92.41</v>
      </c>
      <c r="Q85" s="253">
        <v>190</v>
      </c>
      <c r="R85" s="251"/>
      <c r="S85" s="253">
        <v>1602.55</v>
      </c>
      <c r="T85" s="251"/>
      <c r="U85" s="251"/>
      <c r="V85" s="253">
        <v>21</v>
      </c>
      <c r="W85" s="253">
        <v>50</v>
      </c>
      <c r="X85" s="251"/>
      <c r="Y85" s="251"/>
      <c r="Z85" s="251"/>
      <c r="AA85" s="251"/>
      <c r="AB85" s="253">
        <v>5.25</v>
      </c>
      <c r="AC85" s="253">
        <v>5.7</v>
      </c>
      <c r="AD85" s="253">
        <v>81.95</v>
      </c>
      <c r="AE85" s="253">
        <v>1246.32</v>
      </c>
      <c r="AF85" s="253">
        <v>1246.32</v>
      </c>
      <c r="AG85" s="253">
        <v>12.46</v>
      </c>
      <c r="AH85" s="253">
        <v>186.95</v>
      </c>
      <c r="AI85" s="253">
        <v>37.39</v>
      </c>
      <c r="AJ85" s="253">
        <v>2002.82</v>
      </c>
      <c r="AK85" s="253">
        <v>3.88</v>
      </c>
      <c r="AL85" s="253">
        <v>7.76</v>
      </c>
      <c r="AM85" s="253">
        <v>58.23</v>
      </c>
      <c r="AN85" s="253">
        <v>11.65</v>
      </c>
      <c r="AO85" s="253">
        <v>38.82</v>
      </c>
      <c r="AP85" s="253">
        <v>3.88</v>
      </c>
      <c r="AQ85" s="253">
        <v>11.65</v>
      </c>
      <c r="AR85" s="253">
        <v>124.63</v>
      </c>
      <c r="AS85" s="253">
        <v>12.46</v>
      </c>
      <c r="AT85" s="253">
        <v>12.46</v>
      </c>
      <c r="AU85" s="253">
        <v>186.95</v>
      </c>
      <c r="AV85" s="253">
        <v>37.39</v>
      </c>
      <c r="AW85" s="251"/>
      <c r="AX85" s="251"/>
      <c r="AY85" s="251"/>
      <c r="AZ85" s="251"/>
      <c r="BA85" s="251"/>
      <c r="BB85" s="251"/>
      <c r="BC85" s="251"/>
      <c r="BD85" s="251"/>
      <c r="BE85" s="251"/>
      <c r="BF85" s="251"/>
      <c r="BG85" s="251"/>
      <c r="BH85" s="251"/>
      <c r="BI85" s="251"/>
      <c r="BJ85" s="251"/>
      <c r="BK85" s="251"/>
      <c r="BL85" s="251"/>
      <c r="BM85" s="251"/>
      <c r="BN85" s="251"/>
      <c r="BO85" s="251"/>
      <c r="BP85" s="251"/>
      <c r="BQ85" s="251"/>
      <c r="BR85" s="251"/>
      <c r="BS85" s="253">
        <v>10.7</v>
      </c>
      <c r="BT85" s="253">
        <v>3.16</v>
      </c>
      <c r="BU85" s="253">
        <v>523.62</v>
      </c>
      <c r="BV85" s="253">
        <v>1479.2</v>
      </c>
      <c r="BW85" s="251" t="s">
        <v>216</v>
      </c>
      <c r="BX85" s="251"/>
    </row>
    <row r="86" spans="1:76" ht="80.099999999999994" customHeight="1" x14ac:dyDescent="0.2">
      <c r="A86" s="250">
        <v>83</v>
      </c>
      <c r="B86" s="33"/>
      <c r="C86" s="251" t="s">
        <v>217</v>
      </c>
      <c r="D86" s="252">
        <v>28204210100288</v>
      </c>
      <c r="E86" s="253">
        <v>263</v>
      </c>
      <c r="F86" s="251"/>
      <c r="G86" s="251"/>
      <c r="H86" s="251"/>
      <c r="I86" s="251"/>
      <c r="J86" s="253">
        <v>371.25</v>
      </c>
      <c r="K86" s="253">
        <v>3.71</v>
      </c>
      <c r="L86" s="253">
        <v>7.42</v>
      </c>
      <c r="M86" s="253">
        <v>55.69</v>
      </c>
      <c r="N86" s="253">
        <v>11.14</v>
      </c>
      <c r="O86" s="253">
        <v>1321.61</v>
      </c>
      <c r="P86" s="253">
        <v>92.51</v>
      </c>
      <c r="Q86" s="253">
        <v>190</v>
      </c>
      <c r="R86" s="251"/>
      <c r="S86" s="253">
        <v>1604.12</v>
      </c>
      <c r="T86" s="251"/>
      <c r="U86" s="251"/>
      <c r="V86" s="253">
        <v>19.2</v>
      </c>
      <c r="W86" s="251"/>
      <c r="X86" s="251"/>
      <c r="Y86" s="251"/>
      <c r="Z86" s="251"/>
      <c r="AA86" s="251"/>
      <c r="AB86" s="251"/>
      <c r="AC86" s="253">
        <v>5.51</v>
      </c>
      <c r="AD86" s="253">
        <v>24.71</v>
      </c>
      <c r="AE86" s="253">
        <v>1257.58</v>
      </c>
      <c r="AF86" s="253">
        <v>1257.58</v>
      </c>
      <c r="AG86" s="253">
        <v>12.58</v>
      </c>
      <c r="AH86" s="253">
        <v>188.64</v>
      </c>
      <c r="AI86" s="253">
        <v>37.729999999999997</v>
      </c>
      <c r="AJ86" s="253">
        <v>1945.74</v>
      </c>
      <c r="AK86" s="253">
        <v>3.71</v>
      </c>
      <c r="AL86" s="253">
        <v>7.42</v>
      </c>
      <c r="AM86" s="253">
        <v>55.69</v>
      </c>
      <c r="AN86" s="253">
        <v>11.14</v>
      </c>
      <c r="AO86" s="253">
        <v>37.119999999999997</v>
      </c>
      <c r="AP86" s="253">
        <v>3.71</v>
      </c>
      <c r="AQ86" s="253">
        <v>11.14</v>
      </c>
      <c r="AR86" s="253">
        <v>125.76</v>
      </c>
      <c r="AS86" s="253">
        <v>12.58</v>
      </c>
      <c r="AT86" s="253">
        <v>12.58</v>
      </c>
      <c r="AU86" s="253">
        <v>188.64</v>
      </c>
      <c r="AV86" s="253">
        <v>37.729999999999997</v>
      </c>
      <c r="AW86" s="251"/>
      <c r="AX86" s="251"/>
      <c r="AY86" s="251"/>
      <c r="AZ86" s="253">
        <v>70</v>
      </c>
      <c r="BA86" s="251"/>
      <c r="BB86" s="251"/>
      <c r="BC86" s="251"/>
      <c r="BD86" s="251"/>
      <c r="BE86" s="251"/>
      <c r="BF86" s="251"/>
      <c r="BG86" s="251"/>
      <c r="BH86" s="251"/>
      <c r="BI86" s="251"/>
      <c r="BJ86" s="251"/>
      <c r="BK86" s="251"/>
      <c r="BL86" s="251"/>
      <c r="BM86" s="251"/>
      <c r="BN86" s="251"/>
      <c r="BO86" s="251"/>
      <c r="BP86" s="251"/>
      <c r="BQ86" s="251"/>
      <c r="BR86" s="253">
        <v>0.03</v>
      </c>
      <c r="BS86" s="253">
        <v>9.75</v>
      </c>
      <c r="BT86" s="253">
        <v>1.34</v>
      </c>
      <c r="BU86" s="253">
        <v>588.34</v>
      </c>
      <c r="BV86" s="253">
        <v>1357.4</v>
      </c>
      <c r="BW86" s="251" t="s">
        <v>217</v>
      </c>
      <c r="BX86" s="251"/>
    </row>
    <row r="87" spans="1:76" ht="80.099999999999994" customHeight="1" x14ac:dyDescent="0.2">
      <c r="A87" s="250">
        <v>84</v>
      </c>
      <c r="B87" s="34"/>
      <c r="C87" s="251" t="s">
        <v>218</v>
      </c>
      <c r="D87" s="252">
        <v>28707172500121</v>
      </c>
      <c r="E87" s="253">
        <v>260</v>
      </c>
      <c r="F87" s="253">
        <v>221.37</v>
      </c>
      <c r="G87" s="251"/>
      <c r="H87" s="251"/>
      <c r="I87" s="251"/>
      <c r="J87" s="253">
        <v>367.01</v>
      </c>
      <c r="K87" s="253">
        <v>3.67</v>
      </c>
      <c r="L87" s="253">
        <v>7.34</v>
      </c>
      <c r="M87" s="253">
        <v>55.05</v>
      </c>
      <c r="N87" s="253">
        <v>11.01</v>
      </c>
      <c r="O87" s="253">
        <v>1249.6300000000001</v>
      </c>
      <c r="P87" s="253">
        <v>87.47</v>
      </c>
      <c r="Q87" s="253">
        <v>190</v>
      </c>
      <c r="R87" s="251"/>
      <c r="S87" s="253">
        <v>1527.1</v>
      </c>
      <c r="T87" s="251"/>
      <c r="U87" s="251"/>
      <c r="V87" s="253">
        <v>14.4</v>
      </c>
      <c r="W87" s="253">
        <v>50</v>
      </c>
      <c r="X87" s="251"/>
      <c r="Y87" s="251"/>
      <c r="Z87" s="251"/>
      <c r="AA87" s="251"/>
      <c r="AB87" s="251"/>
      <c r="AC87" s="253">
        <v>5.47</v>
      </c>
      <c r="AD87" s="253">
        <v>291.24</v>
      </c>
      <c r="AE87" s="253">
        <v>1401.33</v>
      </c>
      <c r="AF87" s="253">
        <v>1401.33</v>
      </c>
      <c r="AG87" s="253">
        <v>14.01</v>
      </c>
      <c r="AH87" s="253">
        <v>210.2</v>
      </c>
      <c r="AI87" s="253">
        <v>42.04</v>
      </c>
      <c r="AJ87" s="253">
        <v>2161.66</v>
      </c>
      <c r="AK87" s="253">
        <v>3.67</v>
      </c>
      <c r="AL87" s="253">
        <v>7.34</v>
      </c>
      <c r="AM87" s="253">
        <v>55.05</v>
      </c>
      <c r="AN87" s="253">
        <v>11.01</v>
      </c>
      <c r="AO87" s="253">
        <v>36.700000000000003</v>
      </c>
      <c r="AP87" s="253">
        <v>3.67</v>
      </c>
      <c r="AQ87" s="253">
        <v>11.01</v>
      </c>
      <c r="AR87" s="253">
        <v>140.13</v>
      </c>
      <c r="AS87" s="253">
        <v>14.01</v>
      </c>
      <c r="AT87" s="253">
        <v>14.01</v>
      </c>
      <c r="AU87" s="253">
        <v>210.2</v>
      </c>
      <c r="AV87" s="253">
        <v>42.04</v>
      </c>
      <c r="AW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3">
        <v>60</v>
      </c>
      <c r="BI87" s="251"/>
      <c r="BJ87" s="251"/>
      <c r="BK87" s="251"/>
      <c r="BL87" s="251"/>
      <c r="BM87" s="251"/>
      <c r="BN87" s="251"/>
      <c r="BO87" s="251"/>
      <c r="BP87" s="251"/>
      <c r="BQ87" s="251"/>
      <c r="BR87" s="253">
        <v>0.02</v>
      </c>
      <c r="BS87" s="253">
        <v>11.65</v>
      </c>
      <c r="BT87" s="253">
        <v>5.05</v>
      </c>
      <c r="BU87" s="253">
        <v>625.55999999999995</v>
      </c>
      <c r="BV87" s="253">
        <v>1536.1</v>
      </c>
      <c r="BW87" s="251" t="s">
        <v>218</v>
      </c>
      <c r="BX87" s="251"/>
    </row>
    <row r="88" spans="1:76" ht="80.099999999999994" customHeight="1" x14ac:dyDescent="0.2">
      <c r="A88" s="250">
        <v>85</v>
      </c>
      <c r="B88" s="33"/>
      <c r="C88" s="251" t="s">
        <v>226</v>
      </c>
      <c r="D88" s="252">
        <v>28611122500122</v>
      </c>
      <c r="E88" s="253">
        <v>119.23</v>
      </c>
      <c r="F88" s="253">
        <v>226.45</v>
      </c>
      <c r="G88" s="251"/>
      <c r="H88" s="251"/>
      <c r="I88" s="251"/>
      <c r="J88" s="253">
        <v>168.3</v>
      </c>
      <c r="K88" s="253">
        <v>1.68</v>
      </c>
      <c r="L88" s="253">
        <v>3.37</v>
      </c>
      <c r="M88" s="253">
        <v>25.24</v>
      </c>
      <c r="N88" s="253">
        <v>5.05</v>
      </c>
      <c r="O88" s="253">
        <v>569.20000000000005</v>
      </c>
      <c r="P88" s="253">
        <v>39.840000000000003</v>
      </c>
      <c r="Q88" s="253">
        <v>85.8</v>
      </c>
      <c r="R88" s="251"/>
      <c r="S88" s="253">
        <v>694.84</v>
      </c>
      <c r="T88" s="251"/>
      <c r="U88" s="251"/>
      <c r="V88" s="253">
        <v>6.5</v>
      </c>
      <c r="W88" s="251"/>
      <c r="X88" s="251"/>
      <c r="Y88" s="251"/>
      <c r="Z88" s="251"/>
      <c r="AA88" s="251"/>
      <c r="AB88" s="251"/>
      <c r="AC88" s="253">
        <v>2.4900000000000002</v>
      </c>
      <c r="AD88" s="253">
        <v>235.44</v>
      </c>
      <c r="AE88" s="253">
        <v>761.98</v>
      </c>
      <c r="AF88" s="253">
        <v>761.98</v>
      </c>
      <c r="AG88" s="253">
        <v>7.62</v>
      </c>
      <c r="AH88" s="253">
        <v>114.3</v>
      </c>
      <c r="AI88" s="253">
        <v>22.86</v>
      </c>
      <c r="AJ88" s="253">
        <v>1110.4000000000001</v>
      </c>
      <c r="AK88" s="253">
        <v>1.68</v>
      </c>
      <c r="AL88" s="253">
        <v>3.37</v>
      </c>
      <c r="AM88" s="253">
        <v>25.24</v>
      </c>
      <c r="AN88" s="253">
        <v>5.05</v>
      </c>
      <c r="AO88" s="253">
        <v>16.829999999999998</v>
      </c>
      <c r="AP88" s="253">
        <v>1.68</v>
      </c>
      <c r="AQ88" s="253">
        <v>5.05</v>
      </c>
      <c r="AR88" s="253">
        <v>76.2</v>
      </c>
      <c r="AS88" s="253">
        <v>7.62</v>
      </c>
      <c r="AT88" s="253">
        <v>7.62</v>
      </c>
      <c r="AU88" s="253">
        <v>114.3</v>
      </c>
      <c r="AV88" s="253">
        <v>22.86</v>
      </c>
      <c r="AW88" s="251"/>
      <c r="AX88" s="251"/>
      <c r="AY88" s="251"/>
      <c r="AZ88" s="251"/>
      <c r="BA88" s="251"/>
      <c r="BB88" s="251"/>
      <c r="BC88" s="251"/>
      <c r="BD88" s="251"/>
      <c r="BE88" s="251"/>
      <c r="BF88" s="251"/>
      <c r="BG88" s="251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3">
        <v>652.95000000000005</v>
      </c>
      <c r="BS88" s="253">
        <v>5.4</v>
      </c>
      <c r="BT88" s="251"/>
      <c r="BU88" s="253">
        <v>945.85</v>
      </c>
      <c r="BV88" s="253">
        <v>164.55</v>
      </c>
      <c r="BW88" s="251" t="s">
        <v>226</v>
      </c>
      <c r="BX88" s="251"/>
    </row>
    <row r="89" spans="1:76" ht="80.099999999999994" customHeight="1" x14ac:dyDescent="0.2">
      <c r="A89" s="250">
        <v>86</v>
      </c>
      <c r="B89" s="34"/>
      <c r="C89" s="251" t="s">
        <v>219</v>
      </c>
      <c r="D89" s="252">
        <v>28703202500168</v>
      </c>
      <c r="E89" s="253">
        <v>260</v>
      </c>
      <c r="F89" s="253">
        <v>221.37</v>
      </c>
      <c r="G89" s="251"/>
      <c r="H89" s="251"/>
      <c r="I89" s="251"/>
      <c r="J89" s="253">
        <v>367.01</v>
      </c>
      <c r="K89" s="253">
        <v>3.67</v>
      </c>
      <c r="L89" s="253">
        <v>7.34</v>
      </c>
      <c r="M89" s="253">
        <v>55.05</v>
      </c>
      <c r="N89" s="253">
        <v>11.01</v>
      </c>
      <c r="O89" s="253">
        <v>1312.11</v>
      </c>
      <c r="P89" s="253">
        <v>91.85</v>
      </c>
      <c r="Q89" s="253">
        <v>190</v>
      </c>
      <c r="R89" s="251"/>
      <c r="S89" s="253">
        <v>1593.96</v>
      </c>
      <c r="T89" s="251"/>
      <c r="U89" s="251"/>
      <c r="V89" s="253">
        <v>14.4</v>
      </c>
      <c r="W89" s="253">
        <v>100</v>
      </c>
      <c r="X89" s="251"/>
      <c r="Y89" s="251"/>
      <c r="Z89" s="251"/>
      <c r="AA89" s="251"/>
      <c r="AB89" s="251"/>
      <c r="AC89" s="253">
        <v>5.47</v>
      </c>
      <c r="AD89" s="253">
        <v>341.24</v>
      </c>
      <c r="AE89" s="253">
        <v>1468.19</v>
      </c>
      <c r="AF89" s="253">
        <v>1468.19</v>
      </c>
      <c r="AG89" s="253">
        <v>14.68</v>
      </c>
      <c r="AH89" s="253">
        <v>220.23</v>
      </c>
      <c r="AI89" s="253">
        <v>44.05</v>
      </c>
      <c r="AJ89" s="253">
        <v>2291.23</v>
      </c>
      <c r="AK89" s="253">
        <v>3.67</v>
      </c>
      <c r="AL89" s="253">
        <v>7.34</v>
      </c>
      <c r="AM89" s="253">
        <v>55.05</v>
      </c>
      <c r="AN89" s="253">
        <v>11.01</v>
      </c>
      <c r="AO89" s="253">
        <v>36.700000000000003</v>
      </c>
      <c r="AP89" s="253">
        <v>3.67</v>
      </c>
      <c r="AQ89" s="253">
        <v>11.01</v>
      </c>
      <c r="AR89" s="253">
        <v>146.82</v>
      </c>
      <c r="AS89" s="253">
        <v>14.68</v>
      </c>
      <c r="AT89" s="253">
        <v>14.68</v>
      </c>
      <c r="AU89" s="253">
        <v>220.23</v>
      </c>
      <c r="AV89" s="253">
        <v>44.05</v>
      </c>
      <c r="AW89" s="251"/>
      <c r="AX89" s="251"/>
      <c r="AY89" s="251"/>
      <c r="AZ89" s="251"/>
      <c r="BA89" s="251"/>
      <c r="BB89" s="251"/>
      <c r="BC89" s="251"/>
      <c r="BD89" s="251"/>
      <c r="BE89" s="251"/>
      <c r="BF89" s="251"/>
      <c r="BG89" s="251"/>
      <c r="BH89" s="251"/>
      <c r="BI89" s="251"/>
      <c r="BJ89" s="251"/>
      <c r="BK89" s="251"/>
      <c r="BL89" s="251"/>
      <c r="BM89" s="251"/>
      <c r="BN89" s="251"/>
      <c r="BO89" s="251"/>
      <c r="BP89" s="251"/>
      <c r="BQ89" s="251"/>
      <c r="BR89" s="253">
        <v>0.04</v>
      </c>
      <c r="BS89" s="253">
        <v>12.45</v>
      </c>
      <c r="BT89" s="253">
        <v>6.68</v>
      </c>
      <c r="BU89" s="253">
        <v>588.08000000000004</v>
      </c>
      <c r="BV89" s="253">
        <v>1703.15</v>
      </c>
      <c r="BW89" s="251" t="s">
        <v>219</v>
      </c>
      <c r="BX89" s="251"/>
    </row>
    <row r="90" spans="1:76" ht="80.099999999999994" customHeight="1" x14ac:dyDescent="0.2">
      <c r="A90" s="250">
        <v>87</v>
      </c>
      <c r="B90" s="33"/>
      <c r="C90" s="251" t="s">
        <v>220</v>
      </c>
      <c r="D90" s="252">
        <v>28607202503745</v>
      </c>
      <c r="E90" s="253">
        <v>260</v>
      </c>
      <c r="F90" s="253">
        <v>221.37</v>
      </c>
      <c r="G90" s="251"/>
      <c r="H90" s="251"/>
      <c r="I90" s="251"/>
      <c r="J90" s="253">
        <v>367.01</v>
      </c>
      <c r="K90" s="253">
        <v>3.67</v>
      </c>
      <c r="L90" s="253">
        <v>7.34</v>
      </c>
      <c r="M90" s="253">
        <v>55.05</v>
      </c>
      <c r="N90" s="253">
        <v>11.01</v>
      </c>
      <c r="O90" s="253">
        <v>1312.11</v>
      </c>
      <c r="P90" s="253">
        <v>91.85</v>
      </c>
      <c r="Q90" s="253">
        <v>190</v>
      </c>
      <c r="R90" s="251"/>
      <c r="S90" s="253">
        <v>1593.96</v>
      </c>
      <c r="T90" s="251"/>
      <c r="U90" s="251"/>
      <c r="V90" s="253">
        <v>14.4</v>
      </c>
      <c r="W90" s="253">
        <v>50</v>
      </c>
      <c r="X90" s="251"/>
      <c r="Y90" s="251"/>
      <c r="Z90" s="251"/>
      <c r="AA90" s="251"/>
      <c r="AB90" s="251"/>
      <c r="AC90" s="253">
        <v>5.47</v>
      </c>
      <c r="AD90" s="253">
        <v>291.24</v>
      </c>
      <c r="AE90" s="253">
        <v>1468.19</v>
      </c>
      <c r="AF90" s="253">
        <v>1468.19</v>
      </c>
      <c r="AG90" s="253">
        <v>14.68</v>
      </c>
      <c r="AH90" s="253">
        <v>220.23</v>
      </c>
      <c r="AI90" s="253">
        <v>44.05</v>
      </c>
      <c r="AJ90" s="253">
        <v>2241.23</v>
      </c>
      <c r="AK90" s="253">
        <v>3.67</v>
      </c>
      <c r="AL90" s="253">
        <v>7.34</v>
      </c>
      <c r="AM90" s="253">
        <v>55.05</v>
      </c>
      <c r="AN90" s="253">
        <v>11.01</v>
      </c>
      <c r="AO90" s="253">
        <v>36.700000000000003</v>
      </c>
      <c r="AP90" s="253">
        <v>3.67</v>
      </c>
      <c r="AQ90" s="253">
        <v>11.01</v>
      </c>
      <c r="AR90" s="253">
        <v>146.82</v>
      </c>
      <c r="AS90" s="253">
        <v>14.68</v>
      </c>
      <c r="AT90" s="253">
        <v>14.68</v>
      </c>
      <c r="AU90" s="253">
        <v>220.23</v>
      </c>
      <c r="AV90" s="253">
        <v>44.05</v>
      </c>
      <c r="AW90" s="251"/>
      <c r="AX90" s="251"/>
      <c r="AY90" s="251"/>
      <c r="AZ90" s="253">
        <v>70</v>
      </c>
      <c r="BA90" s="251"/>
      <c r="BB90" s="251"/>
      <c r="BC90" s="251"/>
      <c r="BD90" s="251"/>
      <c r="BE90" s="251"/>
      <c r="BF90" s="251"/>
      <c r="BG90" s="251"/>
      <c r="BH90" s="251"/>
      <c r="BI90" s="251"/>
      <c r="BJ90" s="251"/>
      <c r="BK90" s="251"/>
      <c r="BL90" s="251"/>
      <c r="BM90" s="251"/>
      <c r="BN90" s="251"/>
      <c r="BO90" s="251"/>
      <c r="BP90" s="251"/>
      <c r="BQ90" s="251"/>
      <c r="BR90" s="253">
        <v>0.03</v>
      </c>
      <c r="BS90" s="253">
        <v>11.55</v>
      </c>
      <c r="BT90" s="253">
        <v>4.8899999999999997</v>
      </c>
      <c r="BU90" s="253">
        <v>655.38</v>
      </c>
      <c r="BV90" s="253">
        <v>1585.85</v>
      </c>
      <c r="BW90" s="251" t="s">
        <v>220</v>
      </c>
      <c r="BX90" s="251"/>
    </row>
    <row r="91" spans="1:76" ht="80.099999999999994" customHeight="1" x14ac:dyDescent="0.2">
      <c r="A91" s="358"/>
      <c r="B91" s="358"/>
      <c r="C91" s="358"/>
      <c r="D91" s="358"/>
      <c r="E91" s="358"/>
    </row>
    <row r="92" spans="1:76" ht="80.099999999999994" customHeight="1" x14ac:dyDescent="0.2">
      <c r="B92" s="33"/>
    </row>
    <row r="93" spans="1:76" ht="80.099999999999994" customHeight="1" x14ac:dyDescent="0.2">
      <c r="B93" s="34"/>
    </row>
    <row r="94" spans="1:76" ht="80.099999999999994" customHeight="1" x14ac:dyDescent="0.2">
      <c r="B94" s="33"/>
    </row>
    <row r="95" spans="1:76" ht="80.099999999999994" customHeight="1" x14ac:dyDescent="0.2">
      <c r="B95" s="34"/>
    </row>
    <row r="96" spans="1:76" ht="80.099999999999994" customHeight="1" x14ac:dyDescent="0.2">
      <c r="B96" s="33"/>
    </row>
    <row r="97" spans="2:2" ht="80.099999999999994" customHeight="1" x14ac:dyDescent="0.2">
      <c r="B97" s="34"/>
    </row>
    <row r="98" spans="2:2" ht="80.099999999999994" customHeight="1" x14ac:dyDescent="0.2">
      <c r="B98" s="33"/>
    </row>
  </sheetData>
  <mergeCells count="17">
    <mergeCell ref="BU2:BU3"/>
    <mergeCell ref="BV2:BV3"/>
    <mergeCell ref="BW2:BW3"/>
    <mergeCell ref="BX2:BX3"/>
    <mergeCell ref="A91:E91"/>
    <mergeCell ref="AJ2:AJ3"/>
    <mergeCell ref="AK2:BT2"/>
    <mergeCell ref="B2:B3"/>
    <mergeCell ref="A1:L1"/>
    <mergeCell ref="AF2:AF3"/>
    <mergeCell ref="AG2:AG3"/>
    <mergeCell ref="AH2:AH3"/>
    <mergeCell ref="AI2:AI3"/>
    <mergeCell ref="A2:A3"/>
    <mergeCell ref="C2:C3"/>
    <mergeCell ref="D2:AD2"/>
    <mergeCell ref="AE2:AE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بيانات تسوية</vt:lpstr>
      <vt:lpstr>ورقة1</vt:lpstr>
      <vt:lpstr>ورقة عمل تسوية</vt:lpstr>
      <vt:lpstr>شامل</vt:lpstr>
      <vt:lpstr>تفصيلي المرتب يناير 2018</vt:lpstr>
      <vt:lpstr>تفصيلي مرتب يوليو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</dc:creator>
  <cp:lastModifiedBy>محمد</cp:lastModifiedBy>
  <dcterms:created xsi:type="dcterms:W3CDTF">2018-08-02T16:06:15Z</dcterms:created>
  <dcterms:modified xsi:type="dcterms:W3CDTF">2018-08-21T07:02:52Z</dcterms:modified>
</cp:coreProperties>
</file>