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nabil\Downloads\"/>
    </mc:Choice>
  </mc:AlternateContent>
  <xr:revisionPtr revIDLastSave="0" documentId="13_ncr:1_{AC07CBDF-004A-47AD-A7FD-743636C743DF}" xr6:coauthVersionLast="37" xr6:coauthVersionMax="37" xr10:uidLastSave="{00000000-0000-0000-0000-000000000000}"/>
  <bookViews>
    <workbookView xWindow="0" yWindow="0" windowWidth="20490" windowHeight="6660" tabRatio="686" activeTab="1" xr2:uid="{00000000-000D-0000-FFFF-FFFF00000000}"/>
  </bookViews>
  <sheets>
    <sheet name="يناير" sheetId="4" r:id="rId1"/>
    <sheet name="فبراير" sheetId="5" r:id="rId2"/>
    <sheet name="مارس" sheetId="17" r:id="rId3"/>
    <sheet name="أبريل" sheetId="18" r:id="rId4"/>
    <sheet name="مايو" sheetId="19" r:id="rId5"/>
    <sheet name="يونيو" sheetId="20" r:id="rId6"/>
    <sheet name="يوليو" sheetId="21" r:id="rId7"/>
    <sheet name="أغسطس" sheetId="22" r:id="rId8"/>
    <sheet name="سبتمبر" sheetId="23" r:id="rId9"/>
    <sheet name="أكتوبر" sheetId="24" r:id="rId10"/>
    <sheet name="نوفمبر" sheetId="25" r:id="rId11"/>
    <sheet name="ديسمبر" sheetId="15" r:id="rId12"/>
    <sheet name="أسماء الموظفين" sheetId="16" r:id="rId13"/>
  </sheets>
  <definedNames>
    <definedName name="CalendarYear">يناير!$AH$4</definedName>
    <definedName name="ColumnTitle13">اسم_الموظف[[#Headers],[أسماء الموظفين]]</definedName>
    <definedName name="Employee_Absence_Title">يناير!$B$1</definedName>
    <definedName name="Key_name">يناير!$B$2</definedName>
    <definedName name="KeyCustom1">يناير!$M$2</definedName>
    <definedName name="KeyCustom1Label">يناير!$N$2</definedName>
    <definedName name="KeyCustom2">يناير!$P$2</definedName>
    <definedName name="KeyCustom2Label">يناير!$Q$2</definedName>
    <definedName name="KeyPersonal">يناير!$F$2</definedName>
    <definedName name="KeyPersonalLabel">يناير!$G$2</definedName>
    <definedName name="KeySick">يناير!$J$2</definedName>
    <definedName name="KeySickLabel">يناير!$K$2</definedName>
    <definedName name="KeyVacation">يناير!$C$2</definedName>
    <definedName name="KeyVacationLabel">يناير!$D$2</definedName>
    <definedName name="MonthName" localSheetId="3">أبريل!$B$4</definedName>
    <definedName name="MonthName" localSheetId="7">أغسطس!$B$4</definedName>
    <definedName name="MonthName" localSheetId="9">أكتوبر!$B$4</definedName>
    <definedName name="MonthName" localSheetId="11">ديسمبر!$B$4</definedName>
    <definedName name="MonthName" localSheetId="8">سبتمبر!$B$4</definedName>
    <definedName name="MonthName" localSheetId="1">فبراير!$B$4</definedName>
    <definedName name="MonthName" localSheetId="2">مارس!$B$4</definedName>
    <definedName name="MonthName" localSheetId="4">مايو!$B$4</definedName>
    <definedName name="MonthName" localSheetId="10">نوفمبر!$B$4</definedName>
    <definedName name="MonthName" localSheetId="0">يناير!$B$4</definedName>
    <definedName name="MonthName" localSheetId="6">يوليو!$B$4</definedName>
    <definedName name="MonthName" localSheetId="5">يونيو!$B$4</definedName>
    <definedName name="_xlnm.Print_Titles" localSheetId="3">أبريل!$4:$6</definedName>
    <definedName name="_xlnm.Print_Titles" localSheetId="7">أغسطس!$4:$6</definedName>
    <definedName name="_xlnm.Print_Titles" localSheetId="9">أكتوبر!$4:$6</definedName>
    <definedName name="_xlnm.Print_Titles" localSheetId="11">ديسمبر!$4:$6</definedName>
    <definedName name="_xlnm.Print_Titles" localSheetId="8">سبتمبر!$4:$6</definedName>
    <definedName name="_xlnm.Print_Titles" localSheetId="1">فبراير!$4:$6</definedName>
    <definedName name="_xlnm.Print_Titles" localSheetId="2">مارس!$4:$6</definedName>
    <definedName name="_xlnm.Print_Titles" localSheetId="4">مايو!$4:$6</definedName>
    <definedName name="_xlnm.Print_Titles" localSheetId="10">نوفمبر!$4:$6</definedName>
    <definedName name="_xlnm.Print_Titles" localSheetId="0">يناير!$4:$6</definedName>
    <definedName name="_xlnm.Print_Titles" localSheetId="6">يوليو!$4:$6</definedName>
    <definedName name="_xlnm.Print_Titles" localSheetId="5">يونيو!$4:$6</definedName>
    <definedName name="Title1">يناير[[#Headers],[اسم الموظف]]</definedName>
    <definedName name="Title10">أكتوبر[[#Headers],[اسم الموظف]]</definedName>
    <definedName name="Title11">نوفمبر[[#Headers],[اسم الموظف]]</definedName>
    <definedName name="Title12">ديسمبر[[#Headers],[اسم الموظف]]</definedName>
    <definedName name="Title2">فبراير[[#Headers],[اسم الموظف]]</definedName>
    <definedName name="Title3">مارس[[#Headers],[اسم الموظف]]</definedName>
    <definedName name="Title4">أبريل[[#Headers],[اسم الموظف]]</definedName>
    <definedName name="Title5">مايو[[#Headers],[اسم الموظف]]</definedName>
    <definedName name="Title6">يونيو[[#Headers],[اسم الموظف]]</definedName>
    <definedName name="Title7">يوليو[[#Headers],[اسم الموظف]]</definedName>
    <definedName name="Title8">أغسطس[[#Headers],[اسم الموظف]]</definedName>
    <definedName name="Title9">سبتمبر[[#Headers],[اسم الموظف]]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I5" i="5" l="1"/>
  <c r="AJ8" i="5"/>
  <c r="AJ9" i="5"/>
  <c r="AJ10" i="5"/>
  <c r="AJ11" i="5"/>
  <c r="AJ7" i="5"/>
  <c r="AH9" i="5" l="1"/>
  <c r="AI9" i="5" s="1"/>
  <c r="AH7" i="5" l="1"/>
  <c r="AI7" i="5" s="1"/>
  <c r="AH8" i="5"/>
  <c r="AI8" i="5" s="1"/>
  <c r="AH10" i="5"/>
  <c r="AI10" i="5" s="1"/>
  <c r="AH11" i="5"/>
  <c r="AI11" i="5" s="1"/>
  <c r="B12" i="15" l="1"/>
  <c r="B12" i="25"/>
  <c r="B12" i="24"/>
  <c r="B12" i="23"/>
  <c r="B12" i="22"/>
  <c r="B12" i="21"/>
  <c r="B12" i="20"/>
  <c r="B12" i="19"/>
  <c r="B12" i="18"/>
  <c r="B12" i="17"/>
  <c r="B12" i="5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7" i="4" l="1"/>
  <c r="AH8" i="4"/>
  <c r="AH9" i="4"/>
  <c r="AH10" i="4"/>
  <c r="AH11" i="4"/>
  <c r="AH8" i="17"/>
  <c r="AH9" i="17"/>
  <c r="AH10" i="17"/>
  <c r="AH11" i="17"/>
  <c r="AH7" i="17"/>
  <c r="AH8" i="18"/>
  <c r="AH9" i="18"/>
  <c r="AH10" i="18"/>
  <c r="AH11" i="18"/>
  <c r="AH7" i="18"/>
  <c r="AH8" i="19"/>
  <c r="AH9" i="19"/>
  <c r="AH10" i="19"/>
  <c r="AH11" i="19"/>
  <c r="AH7" i="19"/>
  <c r="AH8" i="20"/>
  <c r="AH9" i="20"/>
  <c r="AH10" i="20"/>
  <c r="AH11" i="20"/>
  <c r="AH7" i="20"/>
  <c r="AH8" i="21"/>
  <c r="AH9" i="21"/>
  <c r="AH10" i="21"/>
  <c r="AH11" i="21"/>
  <c r="AH7" i="21"/>
  <c r="AH8" i="22"/>
  <c r="AH9" i="22"/>
  <c r="AH10" i="22"/>
  <c r="AH11" i="22"/>
  <c r="AH7" i="22"/>
  <c r="AH8" i="23"/>
  <c r="AH9" i="23"/>
  <c r="AH10" i="23"/>
  <c r="AH11" i="23"/>
  <c r="AH7" i="23"/>
  <c r="AH8" i="24"/>
  <c r="AH9" i="24"/>
  <c r="AH10" i="24"/>
  <c r="AH11" i="24"/>
  <c r="AH7" i="24"/>
  <c r="AH8" i="25"/>
  <c r="AH9" i="25"/>
  <c r="AH10" i="25"/>
  <c r="AH11" i="25"/>
  <c r="AH7" i="25"/>
  <c r="AH8" i="15"/>
  <c r="AH9" i="15"/>
  <c r="AH10" i="15"/>
  <c r="AH11" i="15"/>
  <c r="AH7" i="15"/>
  <c r="AH12" i="4" l="1"/>
  <c r="AF5" i="25"/>
  <c r="AE5" i="25"/>
  <c r="AD5" i="25"/>
  <c r="AC5" i="25"/>
  <c r="AB5" i="25"/>
  <c r="AA5" i="25"/>
  <c r="Z5" i="25"/>
  <c r="Y5" i="25"/>
  <c r="X5" i="25"/>
  <c r="W5" i="25"/>
  <c r="V5" i="25"/>
  <c r="U5" i="25"/>
  <c r="T5" i="25"/>
  <c r="S5" i="25"/>
  <c r="R5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AG12" i="25"/>
  <c r="AF12" i="25"/>
  <c r="AE12" i="25"/>
  <c r="AD12" i="25"/>
  <c r="AC12" i="25"/>
  <c r="AB12" i="25"/>
  <c r="AA12" i="25"/>
  <c r="Z12" i="25"/>
  <c r="Y12" i="25"/>
  <c r="X12" i="25"/>
  <c r="W12" i="25"/>
  <c r="V12" i="25"/>
  <c r="U12" i="25"/>
  <c r="T12" i="25"/>
  <c r="S12" i="25"/>
  <c r="R12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AH4" i="25"/>
  <c r="B1" i="25"/>
  <c r="AG5" i="24"/>
  <c r="AF5" i="24"/>
  <c r="AE5" i="24"/>
  <c r="AD5" i="24"/>
  <c r="AC5" i="24"/>
  <c r="AB5" i="24"/>
  <c r="AA5" i="24"/>
  <c r="Z5" i="24"/>
  <c r="Y5" i="24"/>
  <c r="X5" i="24"/>
  <c r="W5" i="24"/>
  <c r="V5" i="24"/>
  <c r="U5" i="24"/>
  <c r="T5" i="24"/>
  <c r="S5" i="24"/>
  <c r="R5" i="24"/>
  <c r="Q5" i="24"/>
  <c r="P5" i="24"/>
  <c r="O5" i="24"/>
  <c r="N5" i="24"/>
  <c r="M5" i="24"/>
  <c r="L5" i="24"/>
  <c r="K5" i="24"/>
  <c r="J5" i="24"/>
  <c r="I5" i="24"/>
  <c r="H5" i="24"/>
  <c r="G5" i="24"/>
  <c r="F5" i="24"/>
  <c r="E5" i="24"/>
  <c r="D5" i="24"/>
  <c r="C5" i="24"/>
  <c r="AG12" i="24"/>
  <c r="AF12" i="24"/>
  <c r="AE12" i="24"/>
  <c r="AD12" i="24"/>
  <c r="AC12" i="24"/>
  <c r="AB12" i="24"/>
  <c r="AA12" i="24"/>
  <c r="Z12" i="24"/>
  <c r="Y12" i="24"/>
  <c r="X12" i="24"/>
  <c r="W12" i="24"/>
  <c r="V12" i="24"/>
  <c r="U12" i="24"/>
  <c r="T12" i="24"/>
  <c r="S12" i="24"/>
  <c r="R12" i="24"/>
  <c r="Q12" i="24"/>
  <c r="P12" i="24"/>
  <c r="O12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AH4" i="24"/>
  <c r="B1" i="24"/>
  <c r="AF5" i="23"/>
  <c r="AE5" i="23"/>
  <c r="AD5" i="23"/>
  <c r="AC5" i="23"/>
  <c r="AB5" i="23"/>
  <c r="AA5" i="23"/>
  <c r="Z5" i="23"/>
  <c r="Y5" i="23"/>
  <c r="X5" i="23"/>
  <c r="W5" i="23"/>
  <c r="V5" i="23"/>
  <c r="U5" i="23"/>
  <c r="T5" i="23"/>
  <c r="S5" i="23"/>
  <c r="R5" i="23"/>
  <c r="Q5" i="23"/>
  <c r="P5" i="23"/>
  <c r="O5" i="23"/>
  <c r="N5" i="23"/>
  <c r="M5" i="23"/>
  <c r="L5" i="23"/>
  <c r="K5" i="23"/>
  <c r="J5" i="23"/>
  <c r="I5" i="23"/>
  <c r="H5" i="23"/>
  <c r="G5" i="23"/>
  <c r="F5" i="23"/>
  <c r="E5" i="23"/>
  <c r="D5" i="23"/>
  <c r="C5" i="23"/>
  <c r="AG12" i="23"/>
  <c r="AF12" i="23"/>
  <c r="AE12" i="23"/>
  <c r="AD12" i="23"/>
  <c r="AC12" i="23"/>
  <c r="AB12" i="23"/>
  <c r="AA12" i="23"/>
  <c r="Z12" i="23"/>
  <c r="Y12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D12" i="23"/>
  <c r="C12" i="23"/>
  <c r="AH12" i="23"/>
  <c r="AH4" i="23"/>
  <c r="B1" i="23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C12" i="22"/>
  <c r="AH4" i="22"/>
  <c r="B1" i="22"/>
  <c r="AG5" i="21"/>
  <c r="AF5" i="21"/>
  <c r="AE5" i="21"/>
  <c r="AD5" i="21"/>
  <c r="AC5" i="21"/>
  <c r="AB5" i="21"/>
  <c r="AA5" i="21"/>
  <c r="Z5" i="21"/>
  <c r="Y5" i="21"/>
  <c r="X5" i="21"/>
  <c r="W5" i="21"/>
  <c r="V5" i="21"/>
  <c r="U5" i="21"/>
  <c r="T5" i="21"/>
  <c r="S5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AG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AH12" i="21"/>
  <c r="AH4" i="21"/>
  <c r="B1" i="21"/>
  <c r="AF5" i="20"/>
  <c r="AE5" i="20"/>
  <c r="AD5" i="20"/>
  <c r="AC5" i="20"/>
  <c r="AB5" i="20"/>
  <c r="AA5" i="20"/>
  <c r="Z5" i="20"/>
  <c r="Y5" i="20"/>
  <c r="X5" i="20"/>
  <c r="W5" i="20"/>
  <c r="V5" i="20"/>
  <c r="U5" i="20"/>
  <c r="T5" i="20"/>
  <c r="S5" i="20"/>
  <c r="R5" i="20"/>
  <c r="Q5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C5" i="20"/>
  <c r="AG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C12" i="20"/>
  <c r="AH4" i="20"/>
  <c r="B1" i="20"/>
  <c r="AG5" i="19"/>
  <c r="AF5" i="19"/>
  <c r="AE5" i="19"/>
  <c r="AD5" i="19"/>
  <c r="AC5" i="19"/>
  <c r="AB5" i="19"/>
  <c r="AA5" i="19"/>
  <c r="Z5" i="19"/>
  <c r="Y5" i="19"/>
  <c r="X5" i="19"/>
  <c r="W5" i="19"/>
  <c r="V5" i="19"/>
  <c r="U5" i="19"/>
  <c r="T5" i="19"/>
  <c r="S5" i="19"/>
  <c r="R5" i="19"/>
  <c r="Q5" i="19"/>
  <c r="P5" i="19"/>
  <c r="O5" i="19"/>
  <c r="N5" i="19"/>
  <c r="M5" i="19"/>
  <c r="L5" i="19"/>
  <c r="K5" i="19"/>
  <c r="J5" i="19"/>
  <c r="I5" i="19"/>
  <c r="H5" i="19"/>
  <c r="G5" i="19"/>
  <c r="F5" i="19"/>
  <c r="E5" i="19"/>
  <c r="D5" i="19"/>
  <c r="C5" i="19"/>
  <c r="AG12" i="19"/>
  <c r="AF12" i="19"/>
  <c r="AE12" i="19"/>
  <c r="AD12" i="19"/>
  <c r="AC12" i="19"/>
  <c r="AB12" i="19"/>
  <c r="AA12" i="19"/>
  <c r="Z12" i="19"/>
  <c r="Y12" i="19"/>
  <c r="X12" i="19"/>
  <c r="W12" i="19"/>
  <c r="V12" i="19"/>
  <c r="U12" i="19"/>
  <c r="T12" i="19"/>
  <c r="S12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C12" i="19"/>
  <c r="AH4" i="19"/>
  <c r="B1" i="19"/>
  <c r="AF5" i="18"/>
  <c r="AE5" i="18"/>
  <c r="AD5" i="18"/>
  <c r="AC5" i="18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AG12" i="18"/>
  <c r="AF12" i="18"/>
  <c r="AE12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R12" i="18"/>
  <c r="Q12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AH12" i="18"/>
  <c r="AH4" i="18"/>
  <c r="B1" i="18"/>
  <c r="AG5" i="17"/>
  <c r="AF5" i="17"/>
  <c r="AE5" i="17"/>
  <c r="AD5" i="17"/>
  <c r="AC5" i="17"/>
  <c r="AB5" i="17"/>
  <c r="AA5" i="17"/>
  <c r="Z5" i="17"/>
  <c r="Y5" i="17"/>
  <c r="X5" i="17"/>
  <c r="W5" i="17"/>
  <c r="V5" i="17"/>
  <c r="U5" i="17"/>
  <c r="T5" i="17"/>
  <c r="S5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AG12" i="17"/>
  <c r="AF12" i="17"/>
  <c r="AE12" i="17"/>
  <c r="AD12" i="17"/>
  <c r="AC12" i="17"/>
  <c r="AB12" i="17"/>
  <c r="AA12" i="17"/>
  <c r="Z12" i="17"/>
  <c r="Y12" i="17"/>
  <c r="X12" i="17"/>
  <c r="W12" i="17"/>
  <c r="V12" i="17"/>
  <c r="U12" i="17"/>
  <c r="T12" i="17"/>
  <c r="S12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AH12" i="17"/>
  <c r="AH4" i="17"/>
  <c r="B1" i="17"/>
  <c r="B1" i="15"/>
  <c r="B1" i="5"/>
  <c r="AH12" i="22" l="1"/>
  <c r="AH12" i="25"/>
  <c r="AH12" i="20"/>
  <c r="AH12" i="19"/>
  <c r="AH12" i="24"/>
  <c r="AB5" i="5"/>
  <c r="AH4" i="5" l="1"/>
  <c r="AH4" i="15" l="1"/>
  <c r="AG12" i="15" l="1"/>
  <c r="AF12" i="15"/>
  <c r="AH12" i="15" l="1"/>
  <c r="C12" i="15"/>
  <c r="D12" i="15"/>
  <c r="E12" i="15"/>
  <c r="F12" i="15"/>
  <c r="G12" i="15"/>
  <c r="H12" i="15"/>
  <c r="I12" i="15"/>
  <c r="J12" i="15"/>
  <c r="K12" i="15"/>
  <c r="L12" i="15"/>
  <c r="M12" i="15"/>
  <c r="N12" i="15"/>
  <c r="O12" i="15"/>
  <c r="P12" i="15"/>
  <c r="Q12" i="15"/>
  <c r="R12" i="15"/>
  <c r="S12" i="15"/>
  <c r="T12" i="15"/>
  <c r="U12" i="15"/>
  <c r="V12" i="15"/>
  <c r="W12" i="15"/>
  <c r="X12" i="15"/>
  <c r="Y12" i="15"/>
  <c r="Z12" i="15"/>
  <c r="AA12" i="15"/>
  <c r="AB12" i="15"/>
  <c r="AC12" i="15"/>
  <c r="AD12" i="15"/>
  <c r="AE12" i="15"/>
  <c r="AG5" i="15" l="1"/>
  <c r="AF5" i="15"/>
  <c r="AE5" i="15"/>
  <c r="AD5" i="15"/>
  <c r="AC5" i="15"/>
  <c r="AB5" i="15"/>
  <c r="AA5" i="15"/>
  <c r="Z5" i="15"/>
  <c r="Y5" i="15"/>
  <c r="X5" i="15"/>
  <c r="W5" i="15"/>
  <c r="V5" i="15"/>
  <c r="U5" i="15"/>
  <c r="T5" i="15"/>
  <c r="S5" i="15"/>
  <c r="R5" i="15"/>
  <c r="Q5" i="15"/>
  <c r="P5" i="15"/>
  <c r="O5" i="15"/>
  <c r="N5" i="15"/>
  <c r="M5" i="15"/>
  <c r="L5" i="15"/>
  <c r="K5" i="15"/>
  <c r="J5" i="15"/>
  <c r="I5" i="15"/>
  <c r="H5" i="15"/>
  <c r="G5" i="15"/>
  <c r="F5" i="15"/>
  <c r="E5" i="15"/>
  <c r="D5" i="15"/>
  <c r="C5" i="15"/>
  <c r="AE12" i="5" l="1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C12" i="5"/>
  <c r="AE5" i="5"/>
  <c r="AD5" i="5"/>
  <c r="AC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C5" i="5"/>
  <c r="AH12" i="5" l="1"/>
  <c r="AE5" i="4" l="1"/>
  <c r="AA5" i="4"/>
  <c r="W5" i="4"/>
  <c r="O5" i="4"/>
  <c r="G5" i="4"/>
  <c r="AD5" i="4"/>
  <c r="Z5" i="4"/>
  <c r="R5" i="4"/>
  <c r="N5" i="4"/>
  <c r="F5" i="4"/>
  <c r="M5" i="4"/>
  <c r="AG5" i="4"/>
  <c r="AC5" i="4"/>
  <c r="Y5" i="4"/>
  <c r="S5" i="4"/>
  <c r="K5" i="4"/>
  <c r="E5" i="4"/>
  <c r="AF5" i="4"/>
  <c r="AB5" i="4"/>
  <c r="X5" i="4"/>
  <c r="T5" i="4"/>
  <c r="P5" i="4"/>
  <c r="L5" i="4"/>
  <c r="H5" i="4"/>
  <c r="D5" i="4"/>
  <c r="Q5" i="4"/>
  <c r="I5" i="4"/>
  <c r="C5" i="4"/>
  <c r="V5" i="4"/>
  <c r="J5" i="4"/>
  <c r="U5" i="4"/>
</calcChain>
</file>

<file path=xl/sharedStrings.xml><?xml version="1.0" encoding="utf-8"?>
<sst xmlns="http://schemas.openxmlformats.org/spreadsheetml/2006/main" count="657" uniqueCount="70">
  <si>
    <t>جدول غياب الموظفين</t>
  </si>
  <si>
    <t>مفتاح نوع الغياب</t>
  </si>
  <si>
    <t>يناير</t>
  </si>
  <si>
    <t>اسم الموظف</t>
  </si>
  <si>
    <t>الموظف 1</t>
  </si>
  <si>
    <t>الموظف 2</t>
  </si>
  <si>
    <t>الموظف 3</t>
  </si>
  <si>
    <t>الموظف 4</t>
  </si>
  <si>
    <t>الموظف 5</t>
  </si>
  <si>
    <t>ع</t>
  </si>
  <si>
    <t>تواريخ الغياب</t>
  </si>
  <si>
    <t>1</t>
  </si>
  <si>
    <t>العطلة</t>
  </si>
  <si>
    <t>2</t>
  </si>
  <si>
    <t>3</t>
  </si>
  <si>
    <t>ش</t>
  </si>
  <si>
    <t>4</t>
  </si>
  <si>
    <t>م</t>
  </si>
  <si>
    <t>5</t>
  </si>
  <si>
    <t>أسباب شخصية</t>
  </si>
  <si>
    <t>6</t>
  </si>
  <si>
    <t>7</t>
  </si>
  <si>
    <t>8</t>
  </si>
  <si>
    <t>9</t>
  </si>
  <si>
    <t>مرضي</t>
  </si>
  <si>
    <t>10</t>
  </si>
  <si>
    <t>11</t>
  </si>
  <si>
    <t>12</t>
  </si>
  <si>
    <t>مخصص 1</t>
  </si>
  <si>
    <t>13</t>
  </si>
  <si>
    <t>14</t>
  </si>
  <si>
    <t>15</t>
  </si>
  <si>
    <t>16</t>
  </si>
  <si>
    <t>مخصص 2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</si>
  <si>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</si>
  <si>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</si>
  <si>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</si>
  <si>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</si>
  <si>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</si>
  <si>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</si>
  <si>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</si>
  <si>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</si>
  <si>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</si>
  <si>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</si>
  <si>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</si>
  <si>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</si>
  <si>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</si>
  <si>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</si>
  <si>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</si>
  <si>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أدخل السنة:</t>
  </si>
  <si>
    <t>إجمالي الأيام</t>
  </si>
  <si>
    <t>فبراير</t>
  </si>
  <si>
    <t xml:space="preserve"> </t>
  </si>
  <si>
    <t xml:space="preserve">  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</si>
  <si>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</si>
  <si>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</si>
  <si>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</si>
  <si>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</si>
  <si>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</si>
  <si>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</si>
  <si>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</si>
  <si>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</si>
  <si>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</si>
  <si>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</si>
  <si>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أسماء الموظفين</t>
  </si>
  <si>
    <t>و</t>
  </si>
  <si>
    <t>ت</t>
  </si>
  <si>
    <t>الموظف 6</t>
  </si>
  <si>
    <t xml:space="preserve">بعد التقريب </t>
  </si>
  <si>
    <t>عمود1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</si>
</sst>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;0;"/>
    <numFmt numFmtId="165" formatCode="_-* #,##0\ [$ل.س.‏-2801]_-;\-* #,##0\ [$ل.س.‏-2801]_-;_-* &quot;-&quot;\ [$ل.س.‏-2801]_-;_-@_-"/>
  </numFmts>
  <fonts count="20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26"/>
      <color theme="3"/>
      <name val="Tahoma"/>
      <family val="2"/>
    </font>
    <font>
      <b/>
      <sz val="11"/>
      <color theme="1"/>
      <name val="Tahoma"/>
      <family val="2"/>
    </font>
    <font>
      <sz val="11"/>
      <color theme="4" tint="-0.499984740745262"/>
      <name val="Tahoma"/>
      <family val="2"/>
    </font>
    <font>
      <b/>
      <sz val="18"/>
      <color theme="4" tint="-0.24994659260841701"/>
      <name val="Tahoma"/>
      <family val="2"/>
    </font>
    <font>
      <sz val="11"/>
      <color theme="0"/>
      <name val="Tahoma"/>
      <family val="2"/>
    </font>
    <font>
      <sz val="11"/>
      <color rgb="FF006100"/>
      <name val="Tahoma"/>
      <family val="2"/>
    </font>
    <font>
      <sz val="11"/>
      <color rgb="FF9C0006"/>
      <name val="Tahoma"/>
      <family val="2"/>
    </font>
    <font>
      <sz val="11"/>
      <color rgb="FF9C6500"/>
      <name val="Tahoma"/>
      <family val="2"/>
    </font>
    <font>
      <b/>
      <sz val="11"/>
      <color rgb="FF3F3F3F"/>
      <name val="Tahoma"/>
      <family val="2"/>
    </font>
    <font>
      <sz val="11"/>
      <color rgb="FF3F3F76"/>
      <name val="Tahoma"/>
      <family val="2"/>
    </font>
    <font>
      <b/>
      <sz val="11"/>
      <color rgb="FFFA7D00"/>
      <name val="Tahoma"/>
      <family val="2"/>
    </font>
    <font>
      <b/>
      <sz val="11"/>
      <color theme="0"/>
      <name val="Tahoma"/>
      <family val="2"/>
    </font>
    <font>
      <sz val="11"/>
      <color rgb="FFFA7D00"/>
      <name val="Tahoma"/>
      <family val="2"/>
    </font>
    <font>
      <sz val="11"/>
      <color rgb="FFFF0000"/>
      <name val="Tahoma"/>
      <family val="2"/>
    </font>
    <font>
      <i/>
      <sz val="11"/>
      <color rgb="FF7F7F7F"/>
      <name val="Tahoma"/>
      <family val="2"/>
    </font>
    <font>
      <b/>
      <sz val="26"/>
      <color theme="3" tint="-0.24994659260841701"/>
      <name val="Tahoma"/>
      <family val="2"/>
    </font>
    <font>
      <sz val="12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E3E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horizontal="left" vertical="center"/>
    </xf>
    <xf numFmtId="0" fontId="3" fillId="0" borderId="0" applyNumberFormat="0" applyFill="0" applyBorder="0" applyProtection="0">
      <alignment vertical="top"/>
    </xf>
    <xf numFmtId="0" fontId="18" fillId="0" borderId="0" applyNumberFormat="0" applyFill="0" applyBorder="0" applyProtection="0">
      <alignment vertical="top"/>
    </xf>
    <xf numFmtId="0" fontId="6" fillId="2" borderId="0" applyNumberFormat="0" applyBorder="0" applyProtection="0">
      <alignment horizontal="center" vertical="center"/>
    </xf>
    <xf numFmtId="0" fontId="4" fillId="20" borderId="0" applyNumberFormat="0" applyProtection="0">
      <alignment horizontal="right" vertical="center" indent="1"/>
    </xf>
    <xf numFmtId="0" fontId="2" fillId="0" borderId="0" applyNumberFormat="0" applyFill="0" applyBorder="0" applyProtection="0">
      <alignment horizontal="left" vertical="center" indent="2"/>
    </xf>
    <xf numFmtId="0" fontId="7" fillId="3" borderId="0" applyNumberFormat="0" applyBorder="0" applyAlignment="0" applyProtection="0"/>
    <xf numFmtId="0" fontId="2" fillId="4" borderId="0" applyNumberFormat="0" applyBorder="0" applyProtection="0">
      <alignment horizontal="center" vertical="center"/>
    </xf>
    <xf numFmtId="0" fontId="4" fillId="9" borderId="0" applyNumberFormat="0" applyBorder="0" applyAlignment="0" applyProtection="0"/>
    <xf numFmtId="0" fontId="1" fillId="5" borderId="0" applyNumberFormat="0" applyBorder="0" applyAlignment="0" applyProtection="0"/>
    <xf numFmtId="0" fontId="7" fillId="7" borderId="0" applyNumberFormat="0" applyBorder="0" applyAlignment="0" applyProtection="0"/>
    <xf numFmtId="0" fontId="2" fillId="6" borderId="0" applyNumberFormat="0" applyBorder="0" applyAlignment="0" applyProtection="0"/>
    <xf numFmtId="0" fontId="4" fillId="15" borderId="0" applyNumberFormat="0" applyBorder="0" applyAlignment="0" applyProtection="0"/>
    <xf numFmtId="0" fontId="2" fillId="8" borderId="0" applyNumberFormat="0" applyBorder="0" applyAlignment="0" applyProtection="0"/>
    <xf numFmtId="0" fontId="7" fillId="15" borderId="0" applyNumberFormat="0" applyBorder="0" applyAlignment="0" applyProtection="0"/>
    <xf numFmtId="0" fontId="2" fillId="18" borderId="0" applyNumberFormat="0" applyBorder="0" applyAlignment="0" applyProtection="0"/>
    <xf numFmtId="0" fontId="4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2" fillId="2" borderId="0" applyNumberFormat="0" applyBorder="0" applyAlignment="0" applyProtection="0"/>
    <xf numFmtId="0" fontId="4" fillId="12" borderId="0" applyNumberFormat="0" applyBorder="0" applyProtection="0">
      <alignment horizontal="left" vertical="center" indent="1"/>
    </xf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1" fontId="2" fillId="0" borderId="0" applyFill="0" applyBorder="0" applyProtection="0">
      <alignment horizontal="center" vertical="center"/>
    </xf>
    <xf numFmtId="0" fontId="2" fillId="0" borderId="0" applyNumberFormat="0" applyFill="0" applyBorder="0">
      <alignment horizontal="left" vertical="center" wrapText="1" indent="2"/>
    </xf>
    <xf numFmtId="0" fontId="5" fillId="0" borderId="0">
      <alignment horizontal="center"/>
    </xf>
    <xf numFmtId="0" fontId="8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2" fillId="24" borderId="1" applyNumberFormat="0" applyAlignment="0" applyProtection="0"/>
    <xf numFmtId="0" fontId="11" fillId="25" borderId="2" applyNumberFormat="0" applyAlignment="0" applyProtection="0"/>
    <xf numFmtId="0" fontId="13" fillId="25" borderId="1" applyNumberFormat="0" applyAlignment="0" applyProtection="0"/>
    <xf numFmtId="0" fontId="15" fillId="0" borderId="3" applyNumberFormat="0" applyFill="0" applyAlignment="0" applyProtection="0"/>
    <xf numFmtId="0" fontId="14" fillId="26" borderId="4" applyNumberFormat="0" applyAlignment="0" applyProtection="0"/>
    <xf numFmtId="0" fontId="16" fillId="0" borderId="0" applyNumberFormat="0" applyFill="0" applyBorder="0" applyAlignment="0" applyProtection="0"/>
    <xf numFmtId="0" fontId="2" fillId="27" borderId="5" applyNumberFormat="0" applyAlignment="0" applyProtection="0"/>
    <xf numFmtId="0" fontId="17" fillId="0" borderId="0" applyNumberFormat="0" applyFill="0" applyBorder="0" applyAlignment="0" applyProtection="0"/>
    <xf numFmtId="0" fontId="2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" fillId="31" borderId="0" applyNumberFormat="0" applyBorder="0" applyAlignment="0" applyProtection="0"/>
    <xf numFmtId="0" fontId="7" fillId="32" borderId="0" applyNumberFormat="0" applyBorder="0" applyAlignment="0" applyProtection="0"/>
  </cellStyleXfs>
  <cellXfs count="40">
    <xf numFmtId="0" fontId="0" fillId="0" borderId="0" xfId="0">
      <alignment horizontal="left" vertical="center"/>
    </xf>
    <xf numFmtId="0" fontId="2" fillId="0" borderId="0" xfId="0" applyFont="1" applyAlignment="1">
      <alignment horizontal="left" vertical="center" readingOrder="1"/>
    </xf>
    <xf numFmtId="0" fontId="2" fillId="0" borderId="0" xfId="0" applyFont="1" applyAlignment="1">
      <alignment horizontal="right" vertical="center" readingOrder="1"/>
    </xf>
    <xf numFmtId="0" fontId="3" fillId="0" borderId="0" xfId="1" applyFont="1" applyAlignment="1">
      <alignment horizontal="right" vertical="top" readingOrder="1"/>
    </xf>
    <xf numFmtId="0" fontId="2" fillId="0" borderId="0" xfId="0" applyFont="1" applyFill="1" applyBorder="1" applyAlignment="1" applyProtection="1">
      <alignment horizontal="center" vertical="center" readingOrder="2"/>
    </xf>
    <xf numFmtId="1" fontId="2" fillId="0" borderId="0" xfId="25" applyFont="1" applyFill="1" applyBorder="1" applyAlignment="1" applyProtection="1">
      <alignment horizontal="center" vertical="center" readingOrder="2"/>
    </xf>
    <xf numFmtId="164" fontId="0" fillId="0" borderId="0" xfId="0" applyNumberFormat="1" applyFont="1" applyFill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wrapText="1" readingOrder="2"/>
    </xf>
    <xf numFmtId="0" fontId="3" fillId="0" borderId="0" xfId="1" applyFont="1" applyAlignment="1" applyProtection="1">
      <alignment horizontal="right" vertical="top" readingOrder="2"/>
    </xf>
    <xf numFmtId="0" fontId="2" fillId="0" borderId="0" xfId="0" applyFont="1" applyAlignment="1" applyProtection="1">
      <alignment horizontal="left" vertical="center" readingOrder="2"/>
    </xf>
    <xf numFmtId="0" fontId="2" fillId="0" borderId="0" xfId="0" applyFont="1" applyAlignment="1">
      <alignment horizontal="left" vertical="center" readingOrder="2"/>
    </xf>
    <xf numFmtId="0" fontId="4" fillId="15" borderId="0" xfId="12" applyFont="1" applyAlignment="1" applyProtection="1">
      <alignment horizontal="center" vertical="center" readingOrder="2"/>
    </xf>
    <xf numFmtId="0" fontId="4" fillId="10" borderId="0" xfId="19" applyFont="1" applyAlignment="1" applyProtection="1">
      <alignment horizontal="center" vertical="center" readingOrder="2"/>
    </xf>
    <xf numFmtId="0" fontId="4" fillId="13" borderId="0" xfId="23" applyFont="1" applyAlignment="1" applyProtection="1">
      <alignment horizontal="center" vertical="center" readingOrder="2"/>
    </xf>
    <xf numFmtId="164" fontId="4" fillId="9" borderId="0" xfId="8" applyNumberFormat="1" applyFont="1" applyAlignment="1" applyProtection="1">
      <alignment horizontal="center" vertical="center" readingOrder="2"/>
    </xf>
    <xf numFmtId="164" fontId="4" fillId="14" borderId="0" xfId="24" applyNumberFormat="1" applyFont="1" applyAlignment="1" applyProtection="1">
      <alignment horizontal="center" vertical="center" readingOrder="2"/>
    </xf>
    <xf numFmtId="0" fontId="5" fillId="0" borderId="0" xfId="27" applyFont="1" applyAlignment="1" applyProtection="1">
      <alignment horizontal="center" readingOrder="2"/>
    </xf>
    <xf numFmtId="0" fontId="6" fillId="2" borderId="0" xfId="3" applyFont="1" applyAlignment="1" applyProtection="1">
      <alignment horizontal="center" vertical="center" readingOrder="2"/>
    </xf>
    <xf numFmtId="0" fontId="2" fillId="0" borderId="0" xfId="0" applyFont="1" applyAlignment="1" applyProtection="1">
      <alignment horizontal="center" vertical="center" readingOrder="2"/>
    </xf>
    <xf numFmtId="0" fontId="2" fillId="0" borderId="0" xfId="21" applyFont="1" applyFill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readingOrder="2"/>
    </xf>
    <xf numFmtId="0" fontId="3" fillId="0" borderId="0" xfId="1" applyFont="1" applyAlignment="1" applyProtection="1">
      <alignment vertical="top" readingOrder="2"/>
    </xf>
    <xf numFmtId="0" fontId="2" fillId="2" borderId="0" xfId="21" applyFont="1" applyBorder="1" applyAlignment="1" applyProtection="1">
      <alignment horizontal="right" vertical="center" indent="1" readingOrder="2"/>
    </xf>
    <xf numFmtId="0" fontId="0" fillId="0" borderId="0" xfId="0" applyFont="1" applyFill="1" applyBorder="1" applyAlignment="1" applyProtection="1">
      <alignment horizontal="right" vertical="center" indent="1" readingOrder="2"/>
    </xf>
    <xf numFmtId="0" fontId="2" fillId="0" borderId="0" xfId="26" applyFont="1" applyFill="1" applyBorder="1" applyAlignment="1">
      <alignment horizontal="right" vertical="center" wrapText="1" indent="2" readingOrder="2"/>
    </xf>
    <xf numFmtId="0" fontId="2" fillId="0" borderId="0" xfId="26" applyFont="1" applyFill="1" applyBorder="1" applyAlignment="1" applyProtection="1">
      <alignment horizontal="right" vertical="center" wrapText="1" indent="2" readingOrder="2"/>
    </xf>
    <xf numFmtId="0" fontId="4" fillId="20" borderId="0" xfId="4" applyFont="1" applyAlignment="1" applyProtection="1">
      <alignment horizontal="left" vertical="center" indent="1" readingOrder="2"/>
    </xf>
    <xf numFmtId="0" fontId="0" fillId="0" borderId="0" xfId="26" applyFont="1" applyFill="1" applyBorder="1" applyAlignment="1" applyProtection="1">
      <alignment horizontal="right" vertical="center" wrapText="1" indent="2" readingOrder="2"/>
    </xf>
    <xf numFmtId="0" fontId="0" fillId="0" borderId="0" xfId="0" applyFont="1" applyFill="1" applyBorder="1" applyAlignment="1" applyProtection="1">
      <alignment horizontal="center" vertical="center" readingOrder="2"/>
    </xf>
    <xf numFmtId="0" fontId="6" fillId="2" borderId="0" xfId="3" applyFont="1" applyAlignment="1" applyProtection="1">
      <alignment horizontal="center" vertical="center" readingOrder="2"/>
    </xf>
    <xf numFmtId="0" fontId="2" fillId="2" borderId="0" xfId="21" applyFont="1" applyAlignment="1" applyProtection="1">
      <alignment horizontal="right" vertical="center" readingOrder="2"/>
    </xf>
    <xf numFmtId="0" fontId="2" fillId="0" borderId="0" xfId="0" applyFont="1" applyAlignment="1">
      <alignment horizontal="right" vertical="center" readingOrder="2"/>
    </xf>
    <xf numFmtId="165" fontId="19" fillId="0" borderId="0" xfId="0" applyNumberFormat="1" applyFont="1" applyAlignment="1" applyProtection="1">
      <alignment horizontal="right" vertical="center" readingOrder="2"/>
    </xf>
    <xf numFmtId="0" fontId="0" fillId="0" borderId="0" xfId="0" applyFont="1" applyFill="1" applyBorder="1" applyAlignment="1" applyProtection="1">
      <alignment horizontal="right" vertical="center" readingOrder="2"/>
    </xf>
    <xf numFmtId="0" fontId="2" fillId="0" borderId="0" xfId="0" applyFont="1" applyAlignment="1">
      <alignment horizontal="center" vertical="center" readingOrder="2"/>
    </xf>
    <xf numFmtId="0" fontId="0" fillId="0" borderId="0" xfId="0" quotePrefix="1" applyFont="1" applyAlignment="1">
      <alignment horizontal="center" vertical="center" readingOrder="1"/>
    </xf>
    <xf numFmtId="165" fontId="19" fillId="33" borderId="6" xfId="0" applyNumberFormat="1" applyFont="1" applyFill="1" applyBorder="1" applyAlignment="1">
      <alignment horizontal="center" vertical="center" readingOrder="2"/>
    </xf>
    <xf numFmtId="165" fontId="2" fillId="0" borderId="0" xfId="0" applyNumberFormat="1" applyFont="1" applyAlignment="1">
      <alignment horizontal="right" vertical="center" readingOrder="2"/>
    </xf>
    <xf numFmtId="0" fontId="0" fillId="0" borderId="6" xfId="0" applyFont="1" applyBorder="1" applyAlignment="1">
      <alignment horizontal="center" vertical="center" readingOrder="2"/>
    </xf>
    <xf numFmtId="165" fontId="19" fillId="0" borderId="0" xfId="0" applyNumberFormat="1" applyFont="1" applyFill="1" applyBorder="1" applyAlignment="1">
      <alignment horizontal="center" vertical="center" readingOrder="2"/>
    </xf>
  </cellXfs>
  <cellStyles count="44">
    <cellStyle name="20% - تمييز1" xfId="15" builtinId="30" customBuiltin="1"/>
    <cellStyle name="20% - تمييز2" xfId="39" builtinId="34" customBuiltin="1"/>
    <cellStyle name="20% - تمييز3" xfId="21" builtinId="38" customBuiltin="1"/>
    <cellStyle name="20% - تمييز4" xfId="7" builtinId="42" customBuiltin="1"/>
    <cellStyle name="20% - تمييز5" xfId="42" builtinId="46" customBuiltin="1"/>
    <cellStyle name="20% - تمييز6" xfId="11" builtinId="50" customBuiltin="1"/>
    <cellStyle name="40% - تمييز1" xfId="16" builtinId="31" customBuiltin="1"/>
    <cellStyle name="40% - تمييز2" xfId="19" builtinId="35" customBuiltin="1"/>
    <cellStyle name="40% - تمييز3" xfId="22" builtinId="39" customBuiltin="1"/>
    <cellStyle name="40% - تمييز4" xfId="8" builtinId="43" customBuiltin="1"/>
    <cellStyle name="40% - تمييز5" xfId="24" builtinId="47" customBuiltin="1"/>
    <cellStyle name="40% - تمييز6" xfId="12" builtinId="51" customBuiltin="1"/>
    <cellStyle name="60% - تمييز1" xfId="17" builtinId="32" customBuiltin="1"/>
    <cellStyle name="60% - تمييز2" xfId="40" builtinId="36" customBuiltin="1"/>
    <cellStyle name="60% - تمييز3" xfId="23" builtinId="40" customBuiltin="1"/>
    <cellStyle name="60% - تمييز4" xfId="9" builtinId="44" customBuiltin="1"/>
    <cellStyle name="60% - تمييز5" xfId="43" builtinId="48" customBuiltin="1"/>
    <cellStyle name="60% - تمييز6" xfId="13" builtinId="52" customBuiltin="1"/>
    <cellStyle name="إخراج" xfId="32" builtinId="21" customBuiltin="1"/>
    <cellStyle name="إدخال" xfId="31" builtinId="20" customBuiltin="1"/>
    <cellStyle name="الإجمالي" xfId="25" builtinId="25" customBuiltin="1"/>
    <cellStyle name="الموظف" xfId="26" xr:uid="{00000000-0005-0000-0000-00002A000000}"/>
    <cellStyle name="تسمية" xfId="27" xr:uid="{00000000-0005-0000-0000-00002B000000}"/>
    <cellStyle name="تمييز1" xfId="14" builtinId="29" customBuiltin="1"/>
    <cellStyle name="تمييز2" xfId="18" builtinId="33" customBuiltin="1"/>
    <cellStyle name="تمييز3" xfId="20" builtinId="37" customBuiltin="1"/>
    <cellStyle name="تمييز4" xfId="6" builtinId="41" customBuiltin="1"/>
    <cellStyle name="تمييز5" xfId="41" builtinId="45" customBuiltin="1"/>
    <cellStyle name="تمييز6" xfId="10" builtinId="49" customBuiltin="1"/>
    <cellStyle name="جيد" xfId="28" builtinId="26" customBuiltin="1"/>
    <cellStyle name="حساب" xfId="33" builtinId="22" customBuiltin="1"/>
    <cellStyle name="خلية تدقيق" xfId="35" builtinId="23" customBuiltin="1"/>
    <cellStyle name="خلية مرتبطة" xfId="34" builtinId="24" customBuiltin="1"/>
    <cellStyle name="سيئ" xfId="29" builtinId="27" customBuiltin="1"/>
    <cellStyle name="عادي" xfId="0" builtinId="0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30" builtinId="28" customBuiltin="1"/>
    <cellStyle name="ملاحظة" xfId="37" builtinId="10" customBuiltin="1"/>
    <cellStyle name="نص تحذير" xfId="36" builtinId="11" customBuiltin="1"/>
    <cellStyle name="نص توضيحي" xfId="38" builtinId="53" customBuiltin="1"/>
  </cellStyles>
  <dxfs count="90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horizontal="right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1" formatCode="0"/>
      <alignment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alignment horizontal="right" vertical="center" textRotation="0" wrapText="1" indent="2" justifyLastLine="0" shrinkToFit="0" readingOrder="0"/>
    </dxf>
    <dxf>
      <alignment horizontal="right" vertical="center" textRotation="0" wrapText="1" indent="2" justifyLastLine="0" shrinkToFit="0" readingOrder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ont>
        <color theme="0"/>
      </font>
      <border>
        <vertical/>
        <horizontal/>
      </border>
    </dxf>
    <dxf>
      <font>
        <b val="0"/>
        <i val="0"/>
        <color theme="3"/>
      </font>
      <border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numFmt numFmtId="1" formatCode="0"/>
      <alignment vertical="center" textRotation="0" wrapText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numFmt numFmtId="164" formatCode="0;0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2"/>
      <border diagonalUp="0" diagonalDown="0" outline="0">
        <left/>
        <right/>
        <top/>
        <bottom/>
      </border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2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strike val="0"/>
        <outline val="0"/>
        <shadow val="0"/>
        <u val="none"/>
        <vertAlign val="baseline"/>
        <name val="Tahoma"/>
        <family val="2"/>
        <scheme val="none"/>
      </font>
      <alignment textRotation="0" indent="0" justifyLastLine="0" shrinkToFit="0" readingOrder="2"/>
      <protection locked="1" hidden="0"/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6" tint="0.39994506668294322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8" tint="0.59996337778862885"/>
        </patternFill>
      </fill>
    </dxf>
    <dxf>
      <fill>
        <patternFill patternType="solid">
          <bgColor theme="6" tint="0.79998168889431442"/>
        </patternFill>
      </fill>
      <border diagonalUp="0" diagonalDown="0">
        <left/>
        <right/>
        <top style="thin">
          <color theme="0" tint="-0.14996795556505021"/>
        </top>
        <bottom style="medium">
          <color theme="2" tint="-0.499984740745262"/>
        </bottom>
        <vertical/>
        <horizontal/>
      </border>
    </dxf>
    <dxf>
      <font>
        <color theme="1"/>
      </font>
      <fill>
        <patternFill patternType="solid">
          <bgColor theme="6" tint="0.79998168889431442"/>
        </patternFill>
      </fill>
      <border diagonalUp="0" diagonalDown="0">
        <left/>
        <right/>
        <top style="thin">
          <color theme="0" tint="-0.14993743705557422"/>
        </top>
        <bottom style="medium">
          <color theme="2" tint="-0.499984740745262"/>
        </bottom>
        <vertical/>
        <horizontal style="thin">
          <color theme="0" tint="-0.14993743705557422"/>
        </horizontal>
      </border>
    </dxf>
    <dxf>
      <font>
        <color theme="1"/>
      </font>
      <fill>
        <patternFill patternType="solid">
          <bgColor theme="2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14996795556505021"/>
        </top>
        <bottom style="thin">
          <color theme="0" tint="-0.14993743705557422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4.9989318521683403E-2"/>
        </patternFill>
      </fill>
      <border>
        <left style="thin">
          <color theme="0"/>
        </left>
        <right style="thin">
          <color theme="0"/>
        </right>
        <vertical style="thin">
          <color theme="0"/>
        </vertical>
      </border>
    </dxf>
    <dxf>
      <fill>
        <patternFill>
          <bgColor theme="0" tint="-0.14996795556505021"/>
        </patternFill>
      </fill>
    </dxf>
    <dxf>
      <fill>
        <patternFill patternType="solid">
          <fgColor theme="4" tint="0.79992065187536243"/>
          <bgColor theme="0" tint="-4.9989318521683403E-2"/>
        </patternFill>
      </fill>
    </dxf>
    <dxf>
      <font>
        <color theme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0" tint="-0.14996795556505021"/>
        </bottom>
        <vertical/>
        <horizontal style="thin">
          <color theme="0" tint="-0.14996795556505021"/>
        </horizontal>
      </border>
    </dxf>
    <dxf>
      <font>
        <color theme="1"/>
      </font>
      <fill>
        <patternFill patternType="none">
          <bgColor auto="1"/>
        </patternFill>
      </fill>
      <border>
        <left/>
        <right/>
        <top style="thin">
          <color theme="2" tint="-9.9917600024414813E-2"/>
        </top>
        <bottom style="thin">
          <color theme="2" tint="-9.9948118533890809E-2"/>
        </bottom>
        <vertical/>
        <horizontal style="thin">
          <color theme="2" tint="-9.9917600024414813E-2"/>
        </horizontal>
      </border>
    </dxf>
    <dxf>
      <font>
        <color theme="1"/>
      </font>
      <fill>
        <patternFill>
          <bgColor theme="6" tint="0.79998168889431442"/>
        </patternFill>
      </fill>
      <border diagonalUp="0" diagonalDown="0">
        <left style="thin">
          <color theme="0"/>
        </left>
        <right style="thin">
          <color theme="0"/>
        </right>
        <top/>
        <bottom style="medium">
          <color theme="2" tint="-0.499984740745262"/>
        </bottom>
        <vertical style="thin">
          <color theme="0"/>
        </vertical>
        <horizontal/>
      </border>
    </dxf>
    <dxf>
      <font>
        <color theme="0"/>
      </font>
      <fill>
        <patternFill>
          <bgColor theme="3"/>
        </patternFill>
      </fill>
    </dxf>
    <dxf>
      <font>
        <color theme="1"/>
      </font>
      <border diagonalUp="0" diagonalDown="0">
        <left/>
        <right/>
        <top/>
        <bottom/>
        <vertical style="thin">
          <color theme="0"/>
        </vertical>
        <horizontal/>
      </border>
    </dxf>
  </dxfs>
  <tableStyles count="1" defaultTableStyle="جدول غياب الموظفين" defaultPivotStyle="PivotStyleLight16">
    <tableStyle name="جدول غياب الموظفين" pivot="0" count="13" xr9:uid="{00000000-0011-0000-FFFF-FFFF00000000}">
      <tableStyleElement type="wholeTable" dxfId="907"/>
      <tableStyleElement type="headerRow" dxfId="906"/>
      <tableStyleElement type="totalRow" dxfId="905"/>
      <tableStyleElement type="firstColumn" dxfId="904"/>
      <tableStyleElement type="lastColumn" dxfId="903"/>
      <tableStyleElement type="firstRowStripe" dxfId="902"/>
      <tableStyleElement type="secondRowStripe" dxfId="901"/>
      <tableStyleElement type="firstColumnStripe" dxfId="900"/>
      <tableStyleElement type="secondColumnStripe" dxfId="899"/>
      <tableStyleElement type="firstHeaderCell" dxfId="898"/>
      <tableStyleElement type="lastHeaderCell" dxfId="897"/>
      <tableStyleElement type="firstTotalCell" dxfId="896"/>
      <tableStyleElement type="lastTotalCell" dxfId="89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يناير" displayName="يناير" ref="B6:AH12" totalsRowCount="1" headerRowDxfId="889" dataDxfId="888" totalsRowDxfId="887">
  <autoFilter ref="B6:AH11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00000000-0010-0000-0000-000001000000}" name="اسم الموظف" totalsRowFunction="custom" dataDxfId="886" totalsRowDxfId="885">
      <totalsRowFormula>MonthName&amp;" الإجمالي"</totalsRowFormula>
    </tableColumn>
    <tableColumn id="2" xr3:uid="{00000000-0010-0000-0000-000002000000}" name="1" totalsRowFunction="custom" dataDxfId="884" totalsRowDxfId="883">
      <totalsRowFormula>SUBTOTAL(103,يناير!$C$7:$C$11)</totalsRowFormula>
    </tableColumn>
    <tableColumn id="3" xr3:uid="{00000000-0010-0000-0000-000003000000}" name="2" totalsRowFunction="custom" dataDxfId="882" totalsRowDxfId="881">
      <totalsRowFormula>SUBTOTAL(103,يناير!$D$7:$D$11)</totalsRowFormula>
    </tableColumn>
    <tableColumn id="4" xr3:uid="{00000000-0010-0000-0000-000004000000}" name="3" totalsRowFunction="custom" dataDxfId="880" totalsRowDxfId="879">
      <totalsRowFormula>SUBTOTAL(103,يناير!$E$7:$E$11)</totalsRowFormula>
    </tableColumn>
    <tableColumn id="5" xr3:uid="{00000000-0010-0000-0000-000005000000}" name="4" totalsRowFunction="custom" dataDxfId="878" totalsRowDxfId="877">
      <totalsRowFormula>SUBTOTAL(103,يناير!$F$7:$F$11)</totalsRowFormula>
    </tableColumn>
    <tableColumn id="6" xr3:uid="{00000000-0010-0000-0000-000006000000}" name="5" totalsRowFunction="custom" dataDxfId="876" totalsRowDxfId="875">
      <totalsRowFormula>SUBTOTAL(103,يناير!$G$7:$G$11)</totalsRowFormula>
    </tableColumn>
    <tableColumn id="7" xr3:uid="{00000000-0010-0000-0000-000007000000}" name="6" totalsRowFunction="custom" dataDxfId="874" totalsRowDxfId="873">
      <totalsRowFormula>SUBTOTAL(103,يناير!$H$7:$H$11)</totalsRowFormula>
    </tableColumn>
    <tableColumn id="8" xr3:uid="{00000000-0010-0000-0000-000008000000}" name="7" totalsRowFunction="custom" dataDxfId="872" totalsRowDxfId="871">
      <totalsRowFormula>SUBTOTAL(103,يناير!$I$7:$I$11)</totalsRowFormula>
    </tableColumn>
    <tableColumn id="9" xr3:uid="{00000000-0010-0000-0000-000009000000}" name="8" totalsRowFunction="custom" dataDxfId="870" totalsRowDxfId="869">
      <totalsRowFormula>SUBTOTAL(103,يناير!$J$7:$J$11)</totalsRowFormula>
    </tableColumn>
    <tableColumn id="10" xr3:uid="{00000000-0010-0000-0000-00000A000000}" name="9" totalsRowFunction="custom" dataDxfId="868" totalsRowDxfId="867">
      <totalsRowFormula>SUBTOTAL(103,يناير!$K$7:$K$11)</totalsRowFormula>
    </tableColumn>
    <tableColumn id="11" xr3:uid="{00000000-0010-0000-0000-00000B000000}" name="10" totalsRowFunction="custom" dataDxfId="866" totalsRowDxfId="865">
      <totalsRowFormula>SUBTOTAL(103,يناير!$L$7:$L$11)</totalsRowFormula>
    </tableColumn>
    <tableColumn id="12" xr3:uid="{00000000-0010-0000-0000-00000C000000}" name="11" totalsRowFunction="custom" dataDxfId="864" totalsRowDxfId="863">
      <totalsRowFormula>SUBTOTAL(103,يناير!$M$7:$M$11)</totalsRowFormula>
    </tableColumn>
    <tableColumn id="13" xr3:uid="{00000000-0010-0000-0000-00000D000000}" name="12" totalsRowFunction="custom" dataDxfId="862" totalsRowDxfId="861">
      <totalsRowFormula>SUBTOTAL(103,يناير!$N$7:$N$11)</totalsRowFormula>
    </tableColumn>
    <tableColumn id="14" xr3:uid="{00000000-0010-0000-0000-00000E000000}" name="13" totalsRowFunction="custom" dataDxfId="860" totalsRowDxfId="859">
      <totalsRowFormula>SUBTOTAL(103,يناير!$O$7:$O$11)</totalsRowFormula>
    </tableColumn>
    <tableColumn id="15" xr3:uid="{00000000-0010-0000-0000-00000F000000}" name="14" totalsRowFunction="custom" dataDxfId="858" totalsRowDxfId="857">
      <totalsRowFormula>SUBTOTAL(103,يناير!$P$7:$P$11)</totalsRowFormula>
    </tableColumn>
    <tableColumn id="16" xr3:uid="{00000000-0010-0000-0000-000010000000}" name="15" totalsRowFunction="custom" dataDxfId="856" totalsRowDxfId="855">
      <totalsRowFormula>SUBTOTAL(103,يناير!$Q$7:$Q$11)</totalsRowFormula>
    </tableColumn>
    <tableColumn id="17" xr3:uid="{00000000-0010-0000-0000-000011000000}" name="16" totalsRowFunction="custom" dataDxfId="854" totalsRowDxfId="853">
      <totalsRowFormula>SUBTOTAL(103,يناير!$R$7:$R$11)</totalsRowFormula>
    </tableColumn>
    <tableColumn id="18" xr3:uid="{00000000-0010-0000-0000-000012000000}" name="17" totalsRowFunction="custom" dataDxfId="852" totalsRowDxfId="851">
      <totalsRowFormula>SUBTOTAL(103,يناير!$S$7:$S$11)</totalsRowFormula>
    </tableColumn>
    <tableColumn id="19" xr3:uid="{00000000-0010-0000-0000-000013000000}" name="18" totalsRowFunction="custom" dataDxfId="850" totalsRowDxfId="849">
      <totalsRowFormula>SUBTOTAL(103,يناير!$T$7:$T$11)</totalsRowFormula>
    </tableColumn>
    <tableColumn id="20" xr3:uid="{00000000-0010-0000-0000-000014000000}" name="19" totalsRowFunction="custom" dataDxfId="848" totalsRowDxfId="847">
      <totalsRowFormula>SUBTOTAL(103,يناير!$U$7:$U$11)</totalsRowFormula>
    </tableColumn>
    <tableColumn id="21" xr3:uid="{00000000-0010-0000-0000-000015000000}" name="20" totalsRowFunction="custom" dataDxfId="846" totalsRowDxfId="845">
      <totalsRowFormula>SUBTOTAL(103,يناير!$V$7:$V$11)</totalsRowFormula>
    </tableColumn>
    <tableColumn id="22" xr3:uid="{00000000-0010-0000-0000-000016000000}" name="21" totalsRowFunction="custom" dataDxfId="844" totalsRowDxfId="843">
      <totalsRowFormula>SUBTOTAL(103,يناير!$W$7:$W$11)</totalsRowFormula>
    </tableColumn>
    <tableColumn id="23" xr3:uid="{00000000-0010-0000-0000-000017000000}" name="22" totalsRowFunction="custom" dataDxfId="842" totalsRowDxfId="841">
      <totalsRowFormula>SUBTOTAL(103,يناير!$X$7:$X$11)</totalsRowFormula>
    </tableColumn>
    <tableColumn id="24" xr3:uid="{00000000-0010-0000-0000-000018000000}" name="23" totalsRowFunction="custom" dataDxfId="840" totalsRowDxfId="839">
      <totalsRowFormula>SUBTOTAL(103,يناير!$Y$7:$Y$11)</totalsRowFormula>
    </tableColumn>
    <tableColumn id="25" xr3:uid="{00000000-0010-0000-0000-000019000000}" name="24" totalsRowFunction="custom" dataDxfId="838" totalsRowDxfId="837">
      <totalsRowFormula>SUBTOTAL(103,يناير!$Z$7:$Z$11)</totalsRowFormula>
    </tableColumn>
    <tableColumn id="26" xr3:uid="{00000000-0010-0000-0000-00001A000000}" name="25" totalsRowFunction="custom" dataDxfId="836" totalsRowDxfId="835">
      <totalsRowFormula>SUBTOTAL(103,يناير!$AA$7:$AA$11)</totalsRowFormula>
    </tableColumn>
    <tableColumn id="27" xr3:uid="{00000000-0010-0000-0000-00001B000000}" name="26" totalsRowFunction="custom" dataDxfId="834" totalsRowDxfId="833">
      <totalsRowFormula>SUBTOTAL(103,يناير!$AB$7:$AB$11)</totalsRowFormula>
    </tableColumn>
    <tableColumn id="28" xr3:uid="{00000000-0010-0000-0000-00001C000000}" name="27" totalsRowFunction="custom" dataDxfId="832" totalsRowDxfId="831">
      <totalsRowFormula>SUBTOTAL(103,يناير!$AC$7:$AC$11)</totalsRowFormula>
    </tableColumn>
    <tableColumn id="29" xr3:uid="{00000000-0010-0000-0000-00001D000000}" name="28" totalsRowFunction="custom" dataDxfId="830" totalsRowDxfId="829">
      <totalsRowFormula>SUBTOTAL(103,يناير!$AD$7:$AD$11)</totalsRowFormula>
    </tableColumn>
    <tableColumn id="30" xr3:uid="{00000000-0010-0000-0000-00001E000000}" name="29" totalsRowFunction="custom" dataDxfId="828" totalsRowDxfId="827">
      <totalsRowFormula>SUBTOTAL(103,يناير!$AE$7:$AE$11)</totalsRowFormula>
    </tableColumn>
    <tableColumn id="31" xr3:uid="{00000000-0010-0000-0000-00001F000000}" name="30" totalsRowFunction="custom" dataDxfId="826" totalsRowDxfId="825">
      <totalsRowFormula>SUBTOTAL(103,يناير!$AF$7:$AF$11)</totalsRowFormula>
    </tableColumn>
    <tableColumn id="32" xr3:uid="{00000000-0010-0000-0000-000020000000}" name="31" totalsRowFunction="custom" dataDxfId="824" totalsRowDxfId="823">
      <totalsRowFormula>SUBTOTAL(103,يناير!$AG$7:$AG$11)</totalsRowFormula>
    </tableColumn>
    <tableColumn id="33" xr3:uid="{00000000-0010-0000-0000-000021000000}" name="إجمالي الأيام" totalsRowFunction="sum" dataDxfId="822" totalsRowDxfId="821">
      <calculatedColumnFormula>COUNTA(يناير!$C7:$AG7)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9000000}" name="أكتوبر" displayName="أكتوبر" ref="B6:AH12" totalsRowCount="1" headerRowDxfId="287" dataDxfId="286" totalsRowDxfId="285">
  <tableColumns count="33">
    <tableColumn id="1" xr3:uid="{00000000-0010-0000-0900-000001000000}" name="اسم الموظف" totalsRowFunction="custom" dataDxfId="284" totalsRowDxfId="283">
      <totalsRowFormula>MonthName&amp;" الإجمالي"</totalsRowFormula>
    </tableColumn>
    <tableColumn id="2" xr3:uid="{00000000-0010-0000-0900-000002000000}" name="1" totalsRowFunction="count" dataDxfId="282" totalsRowDxfId="281"/>
    <tableColumn id="3" xr3:uid="{00000000-0010-0000-0900-000003000000}" name="2" totalsRowFunction="count" dataDxfId="280" totalsRowDxfId="279"/>
    <tableColumn id="4" xr3:uid="{00000000-0010-0000-0900-000004000000}" name="3" totalsRowFunction="count" dataDxfId="278" totalsRowDxfId="277"/>
    <tableColumn id="5" xr3:uid="{00000000-0010-0000-0900-000005000000}" name="4" totalsRowFunction="count" dataDxfId="276" totalsRowDxfId="275"/>
    <tableColumn id="6" xr3:uid="{00000000-0010-0000-0900-000006000000}" name="5" totalsRowFunction="count" dataDxfId="274" totalsRowDxfId="273"/>
    <tableColumn id="7" xr3:uid="{00000000-0010-0000-0900-000007000000}" name="6" totalsRowFunction="count" dataDxfId="272" totalsRowDxfId="271"/>
    <tableColumn id="8" xr3:uid="{00000000-0010-0000-0900-000008000000}" name="7" totalsRowFunction="count" dataDxfId="270" totalsRowDxfId="269"/>
    <tableColumn id="9" xr3:uid="{00000000-0010-0000-0900-000009000000}" name="8" totalsRowFunction="count" dataDxfId="268" totalsRowDxfId="267"/>
    <tableColumn id="10" xr3:uid="{00000000-0010-0000-0900-00000A000000}" name="9" totalsRowFunction="count" dataDxfId="266" totalsRowDxfId="265"/>
    <tableColumn id="11" xr3:uid="{00000000-0010-0000-0900-00000B000000}" name="10" totalsRowFunction="count" dataDxfId="264" totalsRowDxfId="263"/>
    <tableColumn id="12" xr3:uid="{00000000-0010-0000-0900-00000C000000}" name="11" totalsRowFunction="count" dataDxfId="262" totalsRowDxfId="261"/>
    <tableColumn id="13" xr3:uid="{00000000-0010-0000-0900-00000D000000}" name="12" totalsRowFunction="count" dataDxfId="260" totalsRowDxfId="259"/>
    <tableColumn id="14" xr3:uid="{00000000-0010-0000-0900-00000E000000}" name="13" totalsRowFunction="count" dataDxfId="258" totalsRowDxfId="257"/>
    <tableColumn id="15" xr3:uid="{00000000-0010-0000-0900-00000F000000}" name="14" totalsRowFunction="count" dataDxfId="256" totalsRowDxfId="255"/>
    <tableColumn id="16" xr3:uid="{00000000-0010-0000-0900-000010000000}" name="15" totalsRowFunction="count" dataDxfId="254" totalsRowDxfId="253"/>
    <tableColumn id="17" xr3:uid="{00000000-0010-0000-0900-000011000000}" name="16" totalsRowFunction="count" dataDxfId="252" totalsRowDxfId="251"/>
    <tableColumn id="18" xr3:uid="{00000000-0010-0000-0900-000012000000}" name="17" totalsRowFunction="count" dataDxfId="250" totalsRowDxfId="249"/>
    <tableColumn id="19" xr3:uid="{00000000-0010-0000-0900-000013000000}" name="18" totalsRowFunction="count" dataDxfId="248" totalsRowDxfId="247"/>
    <tableColumn id="20" xr3:uid="{00000000-0010-0000-0900-000014000000}" name="19" totalsRowFunction="count" dataDxfId="246" totalsRowDxfId="245"/>
    <tableColumn id="21" xr3:uid="{00000000-0010-0000-0900-000015000000}" name="20" totalsRowFunction="count" dataDxfId="244" totalsRowDxfId="243"/>
    <tableColumn id="22" xr3:uid="{00000000-0010-0000-0900-000016000000}" name="21" totalsRowFunction="count" dataDxfId="242" totalsRowDxfId="241"/>
    <tableColumn id="23" xr3:uid="{00000000-0010-0000-0900-000017000000}" name="22" totalsRowFunction="count" dataDxfId="240" totalsRowDxfId="239"/>
    <tableColumn id="24" xr3:uid="{00000000-0010-0000-0900-000018000000}" name="23" totalsRowFunction="count" dataDxfId="238" totalsRowDxfId="237"/>
    <tableColumn id="25" xr3:uid="{00000000-0010-0000-0900-000019000000}" name="24" totalsRowFunction="count" dataDxfId="236" totalsRowDxfId="235"/>
    <tableColumn id="26" xr3:uid="{00000000-0010-0000-0900-00001A000000}" name="25" totalsRowFunction="count" dataDxfId="234" totalsRowDxfId="233"/>
    <tableColumn id="27" xr3:uid="{00000000-0010-0000-0900-00001B000000}" name="26" totalsRowFunction="count" dataDxfId="232" totalsRowDxfId="231"/>
    <tableColumn id="28" xr3:uid="{00000000-0010-0000-0900-00001C000000}" name="27" totalsRowFunction="count" dataDxfId="230" totalsRowDxfId="229"/>
    <tableColumn id="29" xr3:uid="{00000000-0010-0000-0900-00001D000000}" name="28" totalsRowFunction="count" dataDxfId="228" totalsRowDxfId="227"/>
    <tableColumn id="30" xr3:uid="{00000000-0010-0000-0900-00001E000000}" name="29" totalsRowFunction="count" dataDxfId="226" totalsRowDxfId="225"/>
    <tableColumn id="31" xr3:uid="{00000000-0010-0000-0900-00001F000000}" name="30" totalsRowFunction="sum" dataDxfId="224" totalsRowDxfId="223"/>
    <tableColumn id="32" xr3:uid="{00000000-0010-0000-0900-000020000000}" name="31" totalsRowFunction="sum" dataDxfId="222" totalsRowDxfId="221"/>
    <tableColumn id="33" xr3:uid="{00000000-0010-0000-0900-000021000000}" name="إجمالي الأيام" totalsRowFunction="sum" dataDxfId="220" totalsRowDxfId="219">
      <calculatedColumnFormula>COUNTA(أكتوبر[[#This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A000000}" name="نوفمبر" displayName="نوفمبر" ref="B6:AH12" totalsRowCount="1" headerRowDxfId="213" dataDxfId="212" totalsRowDxfId="211">
  <tableColumns count="33">
    <tableColumn id="1" xr3:uid="{00000000-0010-0000-0A00-000001000000}" name="اسم الموظف" totalsRowFunction="custom" dataDxfId="210" totalsRowDxfId="209">
      <totalsRowFormula>MonthName&amp;" الإجمالي"</totalsRowFormula>
    </tableColumn>
    <tableColumn id="2" xr3:uid="{00000000-0010-0000-0A00-000002000000}" name="1" totalsRowFunction="count" dataDxfId="208" totalsRowDxfId="207"/>
    <tableColumn id="3" xr3:uid="{00000000-0010-0000-0A00-000003000000}" name="2" totalsRowFunction="count" dataDxfId="206" totalsRowDxfId="205"/>
    <tableColumn id="4" xr3:uid="{00000000-0010-0000-0A00-000004000000}" name="3" totalsRowFunction="count" dataDxfId="204" totalsRowDxfId="203"/>
    <tableColumn id="5" xr3:uid="{00000000-0010-0000-0A00-000005000000}" name="4" totalsRowFunction="count" dataDxfId="202" totalsRowDxfId="201"/>
    <tableColumn id="6" xr3:uid="{00000000-0010-0000-0A00-000006000000}" name="5" totalsRowFunction="count" dataDxfId="200" totalsRowDxfId="199"/>
    <tableColumn id="7" xr3:uid="{00000000-0010-0000-0A00-000007000000}" name="6" totalsRowFunction="count" dataDxfId="198" totalsRowDxfId="197"/>
    <tableColumn id="8" xr3:uid="{00000000-0010-0000-0A00-000008000000}" name="7" totalsRowFunction="count" dataDxfId="196" totalsRowDxfId="195"/>
    <tableColumn id="9" xr3:uid="{00000000-0010-0000-0A00-000009000000}" name="8" totalsRowFunction="count" dataDxfId="194" totalsRowDxfId="193"/>
    <tableColumn id="10" xr3:uid="{00000000-0010-0000-0A00-00000A000000}" name="9" totalsRowFunction="count" dataDxfId="192" totalsRowDxfId="191"/>
    <tableColumn id="11" xr3:uid="{00000000-0010-0000-0A00-00000B000000}" name="10" totalsRowFunction="count" dataDxfId="190" totalsRowDxfId="189"/>
    <tableColumn id="12" xr3:uid="{00000000-0010-0000-0A00-00000C000000}" name="11" totalsRowFunction="count" dataDxfId="188" totalsRowDxfId="187"/>
    <tableColumn id="13" xr3:uid="{00000000-0010-0000-0A00-00000D000000}" name="12" totalsRowFunction="count" dataDxfId="186" totalsRowDxfId="185"/>
    <tableColumn id="14" xr3:uid="{00000000-0010-0000-0A00-00000E000000}" name="13" totalsRowFunction="count" dataDxfId="184" totalsRowDxfId="183"/>
    <tableColumn id="15" xr3:uid="{00000000-0010-0000-0A00-00000F000000}" name="14" totalsRowFunction="count" dataDxfId="182" totalsRowDxfId="181"/>
    <tableColumn id="16" xr3:uid="{00000000-0010-0000-0A00-000010000000}" name="15" totalsRowFunction="count" dataDxfId="180" totalsRowDxfId="179"/>
    <tableColumn id="17" xr3:uid="{00000000-0010-0000-0A00-000011000000}" name="16" totalsRowFunction="count" dataDxfId="178" totalsRowDxfId="177"/>
    <tableColumn id="18" xr3:uid="{00000000-0010-0000-0A00-000012000000}" name="17" totalsRowFunction="count" dataDxfId="176" totalsRowDxfId="175"/>
    <tableColumn id="19" xr3:uid="{00000000-0010-0000-0A00-000013000000}" name="18" totalsRowFunction="count" dataDxfId="174" totalsRowDxfId="173"/>
    <tableColumn id="20" xr3:uid="{00000000-0010-0000-0A00-000014000000}" name="19" totalsRowFunction="count" dataDxfId="172" totalsRowDxfId="171"/>
    <tableColumn id="21" xr3:uid="{00000000-0010-0000-0A00-000015000000}" name="20" totalsRowFunction="count" dataDxfId="170" totalsRowDxfId="169"/>
    <tableColumn id="22" xr3:uid="{00000000-0010-0000-0A00-000016000000}" name="21" totalsRowFunction="count" dataDxfId="168" totalsRowDxfId="167"/>
    <tableColumn id="23" xr3:uid="{00000000-0010-0000-0A00-000017000000}" name="22" totalsRowFunction="count" dataDxfId="166" totalsRowDxfId="165"/>
    <tableColumn id="24" xr3:uid="{00000000-0010-0000-0A00-000018000000}" name="23" totalsRowFunction="count" dataDxfId="164" totalsRowDxfId="163"/>
    <tableColumn id="25" xr3:uid="{00000000-0010-0000-0A00-000019000000}" name="24" totalsRowFunction="count" dataDxfId="162" totalsRowDxfId="161"/>
    <tableColumn id="26" xr3:uid="{00000000-0010-0000-0A00-00001A000000}" name="25" totalsRowFunction="count" dataDxfId="160" totalsRowDxfId="159"/>
    <tableColumn id="27" xr3:uid="{00000000-0010-0000-0A00-00001B000000}" name="26" totalsRowFunction="count" dataDxfId="158" totalsRowDxfId="157"/>
    <tableColumn id="28" xr3:uid="{00000000-0010-0000-0A00-00001C000000}" name="27" totalsRowFunction="count" dataDxfId="156" totalsRowDxfId="155"/>
    <tableColumn id="29" xr3:uid="{00000000-0010-0000-0A00-00001D000000}" name="28" totalsRowFunction="count" dataDxfId="154" totalsRowDxfId="153"/>
    <tableColumn id="30" xr3:uid="{00000000-0010-0000-0A00-00001E000000}" name="29" totalsRowFunction="count" dataDxfId="152" totalsRowDxfId="151"/>
    <tableColumn id="31" xr3:uid="{00000000-0010-0000-0A00-00001F000000}" name="30" totalsRowFunction="sum" dataDxfId="150" totalsRowDxfId="149"/>
    <tableColumn id="32" xr3:uid="{00000000-0010-0000-0A00-000020000000}" name="31" totalsRowFunction="sum" dataDxfId="148" totalsRowDxfId="147"/>
    <tableColumn id="33" xr3:uid="{00000000-0010-0000-0A00-000021000000}" name="إجمالي الأيام" totalsRowFunction="sum" dataDxfId="146" totalsRowDxfId="145">
      <calculatedColumnFormula>COUNTA(نوفمبر[[#This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ديسمبر" displayName="ديسمبر" ref="B6:AH12" totalsRowCount="1" headerRowDxfId="139" dataDxfId="138" totalsRowDxfId="137">
  <tableColumns count="33">
    <tableColumn id="1" xr3:uid="{00000000-0010-0000-0B00-000001000000}" name="اسم الموظف" totalsRowFunction="custom" dataDxfId="136" totalsRowDxfId="135">
      <totalsRowFormula>MonthName&amp;" الإجمالي"</totalsRowFormula>
    </tableColumn>
    <tableColumn id="2" xr3:uid="{00000000-0010-0000-0B00-000002000000}" name="1" totalsRowFunction="count" dataDxfId="134" totalsRowDxfId="133"/>
    <tableColumn id="3" xr3:uid="{00000000-0010-0000-0B00-000003000000}" name="2" totalsRowFunction="count" dataDxfId="132" totalsRowDxfId="131"/>
    <tableColumn id="4" xr3:uid="{00000000-0010-0000-0B00-000004000000}" name="3" totalsRowFunction="count" dataDxfId="130" totalsRowDxfId="129"/>
    <tableColumn id="5" xr3:uid="{00000000-0010-0000-0B00-000005000000}" name="4" totalsRowFunction="count" dataDxfId="128" totalsRowDxfId="127"/>
    <tableColumn id="6" xr3:uid="{00000000-0010-0000-0B00-000006000000}" name="5" totalsRowFunction="count" dataDxfId="126" totalsRowDxfId="125"/>
    <tableColumn id="7" xr3:uid="{00000000-0010-0000-0B00-000007000000}" name="6" totalsRowFunction="count" dataDxfId="124" totalsRowDxfId="123"/>
    <tableColumn id="8" xr3:uid="{00000000-0010-0000-0B00-000008000000}" name="7" totalsRowFunction="count" dataDxfId="122" totalsRowDxfId="121"/>
    <tableColumn id="9" xr3:uid="{00000000-0010-0000-0B00-000009000000}" name="8" totalsRowFunction="count" dataDxfId="120" totalsRowDxfId="119"/>
    <tableColumn id="10" xr3:uid="{00000000-0010-0000-0B00-00000A000000}" name="9" totalsRowFunction="count" dataDxfId="118" totalsRowDxfId="117"/>
    <tableColumn id="11" xr3:uid="{00000000-0010-0000-0B00-00000B000000}" name="10" totalsRowFunction="count" dataDxfId="116" totalsRowDxfId="115"/>
    <tableColumn id="12" xr3:uid="{00000000-0010-0000-0B00-00000C000000}" name="11" totalsRowFunction="count" dataDxfId="114" totalsRowDxfId="113"/>
    <tableColumn id="13" xr3:uid="{00000000-0010-0000-0B00-00000D000000}" name="12" totalsRowFunction="count" dataDxfId="112" totalsRowDxfId="111"/>
    <tableColumn id="14" xr3:uid="{00000000-0010-0000-0B00-00000E000000}" name="13" totalsRowFunction="count" dataDxfId="110" totalsRowDxfId="109"/>
    <tableColumn id="15" xr3:uid="{00000000-0010-0000-0B00-00000F000000}" name="14" totalsRowFunction="count" dataDxfId="108" totalsRowDxfId="107"/>
    <tableColumn id="16" xr3:uid="{00000000-0010-0000-0B00-000010000000}" name="15" totalsRowFunction="count" dataDxfId="106" totalsRowDxfId="105"/>
    <tableColumn id="17" xr3:uid="{00000000-0010-0000-0B00-000011000000}" name="16" totalsRowFunction="count" dataDxfId="104" totalsRowDxfId="103"/>
    <tableColumn id="18" xr3:uid="{00000000-0010-0000-0B00-000012000000}" name="17" totalsRowFunction="count" dataDxfId="102" totalsRowDxfId="101"/>
    <tableColumn id="19" xr3:uid="{00000000-0010-0000-0B00-000013000000}" name="18" totalsRowFunction="count" dataDxfId="100" totalsRowDxfId="99"/>
    <tableColumn id="20" xr3:uid="{00000000-0010-0000-0B00-000014000000}" name="19" totalsRowFunction="count" dataDxfId="98" totalsRowDxfId="97"/>
    <tableColumn id="21" xr3:uid="{00000000-0010-0000-0B00-000015000000}" name="20" totalsRowFunction="count" dataDxfId="96" totalsRowDxfId="95"/>
    <tableColumn id="22" xr3:uid="{00000000-0010-0000-0B00-000016000000}" name="21" totalsRowFunction="count" dataDxfId="94" totalsRowDxfId="93"/>
    <tableColumn id="23" xr3:uid="{00000000-0010-0000-0B00-000017000000}" name="22" totalsRowFunction="count" dataDxfId="92" totalsRowDxfId="91"/>
    <tableColumn id="24" xr3:uid="{00000000-0010-0000-0B00-000018000000}" name="23" totalsRowFunction="count" dataDxfId="90" totalsRowDxfId="89"/>
    <tableColumn id="25" xr3:uid="{00000000-0010-0000-0B00-000019000000}" name="24" totalsRowFunction="count" dataDxfId="88" totalsRowDxfId="87"/>
    <tableColumn id="26" xr3:uid="{00000000-0010-0000-0B00-00001A000000}" name="25" totalsRowFunction="count" dataDxfId="86" totalsRowDxfId="85"/>
    <tableColumn id="27" xr3:uid="{00000000-0010-0000-0B00-00001B000000}" name="26" totalsRowFunction="count" dataDxfId="84" totalsRowDxfId="83"/>
    <tableColumn id="28" xr3:uid="{00000000-0010-0000-0B00-00001C000000}" name="27" totalsRowFunction="count" dataDxfId="82" totalsRowDxfId="81"/>
    <tableColumn id="29" xr3:uid="{00000000-0010-0000-0B00-00001D000000}" name="28" totalsRowFunction="count" dataDxfId="80" totalsRowDxfId="79"/>
    <tableColumn id="30" xr3:uid="{00000000-0010-0000-0B00-00001E000000}" name="29" totalsRowFunction="count" dataDxfId="78" totalsRowDxfId="77"/>
    <tableColumn id="31" xr3:uid="{00000000-0010-0000-0B00-00001F000000}" name="30" totalsRowFunction="sum" dataDxfId="76" totalsRowDxfId="75"/>
    <tableColumn id="32" xr3:uid="{00000000-0010-0000-0B00-000020000000}" name="31" totalsRowFunction="sum" dataDxfId="74" totalsRowDxfId="73"/>
    <tableColumn id="33" xr3:uid="{00000000-0010-0000-0B00-000021000000}" name="إجمالي الأيام" totalsRowFunction="sum" dataDxfId="72" totalsRowDxfId="71">
      <calculatedColumnFormula>COUNTA(ديسمبر[[#This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يوفر قائمة بأسماء وتواريخ التقويم لتسجيل غياب الموظفين ونوع الغياب المحدد، مثل ع = غياب لقضاء عطلة، م = غياب مرضي، ش = غياب لأسباب شخصية والعنصران النائبان هما لإدخالات مخصصة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اسم_الموظف" displayName="اسم_الموظف" ref="B3:B9" totalsRowShown="0" headerRowDxfId="70" dataDxfId="69" dataCellStyle="الموظف">
  <autoFilter ref="B3:B9" xr:uid="{341C5D73-FC88-4A65-892D-1A299E9053A2}"/>
  <tableColumns count="1">
    <tableColumn id="1" xr3:uid="{00000000-0010-0000-0C00-000001000000}" name="أسماء الموظفين" dataDxfId="68" dataCellStyle="الموظف"/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أدخل أسماء الموظفين في هذا الجدول. يتم استخدام هذه الأسماء كخيارات في العمود B لكل جدول غياب في الشهر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فبراير" displayName="فبراير" ref="B6:AI12" totalsRowCount="1" headerRowDxfId="813" dataDxfId="812" totalsRowDxfId="811">
  <tableColumns count="34">
    <tableColumn id="1" xr3:uid="{00000000-0010-0000-0100-000001000000}" name="اسم الموظف" totalsRowFunction="custom" dataDxfId="67" totalsRowDxfId="33">
      <totalsRowFormula>MonthName&amp;" الإجمالي"</totalsRowFormula>
    </tableColumn>
    <tableColumn id="2" xr3:uid="{00000000-0010-0000-0100-000002000000}" name="1" totalsRowFunction="count" dataDxfId="66" totalsRowDxfId="32"/>
    <tableColumn id="3" xr3:uid="{00000000-0010-0000-0100-000003000000}" name="2" totalsRowFunction="count" dataDxfId="65" totalsRowDxfId="31"/>
    <tableColumn id="4" xr3:uid="{00000000-0010-0000-0100-000004000000}" name="3" totalsRowFunction="count" dataDxfId="64" totalsRowDxfId="30"/>
    <tableColumn id="5" xr3:uid="{00000000-0010-0000-0100-000005000000}" name="4" totalsRowFunction="count" dataDxfId="63" totalsRowDxfId="29"/>
    <tableColumn id="6" xr3:uid="{00000000-0010-0000-0100-000006000000}" name="5" totalsRowFunction="count" dataDxfId="62" totalsRowDxfId="28"/>
    <tableColumn id="7" xr3:uid="{00000000-0010-0000-0100-000007000000}" name="6" totalsRowFunction="count" dataDxfId="61" totalsRowDxfId="27"/>
    <tableColumn id="8" xr3:uid="{00000000-0010-0000-0100-000008000000}" name="7" totalsRowFunction="count" dataDxfId="60" totalsRowDxfId="26"/>
    <tableColumn id="9" xr3:uid="{00000000-0010-0000-0100-000009000000}" name="8" totalsRowFunction="count" dataDxfId="59" totalsRowDxfId="25"/>
    <tableColumn id="10" xr3:uid="{00000000-0010-0000-0100-00000A000000}" name="9" totalsRowFunction="count" dataDxfId="58" totalsRowDxfId="24"/>
    <tableColumn id="11" xr3:uid="{00000000-0010-0000-0100-00000B000000}" name="10" totalsRowFunction="count" dataDxfId="57" totalsRowDxfId="23"/>
    <tableColumn id="12" xr3:uid="{00000000-0010-0000-0100-00000C000000}" name="11" totalsRowFunction="count" dataDxfId="56" totalsRowDxfId="22"/>
    <tableColumn id="13" xr3:uid="{00000000-0010-0000-0100-00000D000000}" name="12" totalsRowFunction="count" dataDxfId="55" totalsRowDxfId="21"/>
    <tableColumn id="14" xr3:uid="{00000000-0010-0000-0100-00000E000000}" name="13" totalsRowFunction="count" dataDxfId="54" totalsRowDxfId="20"/>
    <tableColumn id="15" xr3:uid="{00000000-0010-0000-0100-00000F000000}" name="14" totalsRowFunction="count" dataDxfId="53" totalsRowDxfId="19"/>
    <tableColumn id="16" xr3:uid="{00000000-0010-0000-0100-000010000000}" name="15" totalsRowFunction="count" dataDxfId="52" totalsRowDxfId="18"/>
    <tableColumn id="17" xr3:uid="{00000000-0010-0000-0100-000011000000}" name="16" totalsRowFunction="count" dataDxfId="51" totalsRowDxfId="17"/>
    <tableColumn id="18" xr3:uid="{00000000-0010-0000-0100-000012000000}" name="17" totalsRowFunction="count" dataDxfId="50" totalsRowDxfId="16"/>
    <tableColumn id="19" xr3:uid="{00000000-0010-0000-0100-000013000000}" name="18" totalsRowFunction="count" dataDxfId="49" totalsRowDxfId="15"/>
    <tableColumn id="20" xr3:uid="{00000000-0010-0000-0100-000014000000}" name="19" totalsRowFunction="count" dataDxfId="48" totalsRowDxfId="14"/>
    <tableColumn id="21" xr3:uid="{00000000-0010-0000-0100-000015000000}" name="20" totalsRowFunction="count" dataDxfId="47" totalsRowDxfId="13"/>
    <tableColumn id="22" xr3:uid="{00000000-0010-0000-0100-000016000000}" name="21" totalsRowFunction="count" dataDxfId="46" totalsRowDxfId="12"/>
    <tableColumn id="23" xr3:uid="{00000000-0010-0000-0100-000017000000}" name="22" totalsRowFunction="count" dataDxfId="45" totalsRowDxfId="11"/>
    <tableColumn id="24" xr3:uid="{00000000-0010-0000-0100-000018000000}" name="23" totalsRowFunction="count" dataDxfId="44" totalsRowDxfId="10"/>
    <tableColumn id="25" xr3:uid="{00000000-0010-0000-0100-000019000000}" name="24" totalsRowFunction="count" dataDxfId="43" totalsRowDxfId="9"/>
    <tableColumn id="26" xr3:uid="{00000000-0010-0000-0100-00001A000000}" name="25" totalsRowFunction="count" dataDxfId="42" totalsRowDxfId="8"/>
    <tableColumn id="27" xr3:uid="{00000000-0010-0000-0100-00001B000000}" name="26" totalsRowFunction="count" dataDxfId="41" totalsRowDxfId="7"/>
    <tableColumn id="28" xr3:uid="{00000000-0010-0000-0100-00001C000000}" name="27" totalsRowFunction="count" dataDxfId="40" totalsRowDxfId="6"/>
    <tableColumn id="29" xr3:uid="{00000000-0010-0000-0100-00001D000000}" name="28" totalsRowFunction="count" dataDxfId="39" totalsRowDxfId="5"/>
    <tableColumn id="30" xr3:uid="{00000000-0010-0000-0100-00001E000000}" name="29" totalsRowFunction="count" dataDxfId="38" totalsRowDxfId="4"/>
    <tableColumn id="31" xr3:uid="{00000000-0010-0000-0100-00001F000000}" name=" " dataDxfId="37" totalsRowDxfId="3"/>
    <tableColumn id="32" xr3:uid="{00000000-0010-0000-0100-000020000000}" name="  " dataDxfId="36" totalsRowDxfId="2"/>
    <tableColumn id="33" xr3:uid="{00000000-0010-0000-0100-000021000000}" name="إجمالي الأيام" totalsRowFunction="sum" dataDxfId="35" totalsRowDxfId="1">
      <calculatedColumnFormula>COUNTIF(فبراير[[#This Row],[1]:[  ]],"ع")+COUNTIF(فبراير[[#This Row],[1]:[  ]],"ش")+COUNTIF(فبراير[[#This Row],[1]:[  ]],"م")+COUNTIF(فبراير[[#This Row],[1]:[  ]],"و")</calculatedColumnFormula>
    </tableColumn>
    <tableColumn id="34" xr3:uid="{58334630-7430-4B5E-8FCC-A2A64C75078E}" name="عمود1" dataDxfId="34" totalsRowDxfId="0">
      <calculatedColumnFormula>IF(فبراير[[#This Row],[إجمالي الأيام]]&lt;=0,AK7,(30-فبراير[[#This Row],[إجمالي الأيام]])*(AK7/30))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مارس" displayName="مارس" ref="B6:AH12" totalsRowCount="1" headerRowDxfId="805" dataDxfId="804" totalsRowDxfId="803">
  <tableColumns count="33">
    <tableColumn id="1" xr3:uid="{00000000-0010-0000-0200-000001000000}" name="اسم الموظف" totalsRowFunction="custom" dataDxfId="802" totalsRowDxfId="801">
      <totalsRowFormula>MonthName&amp;" الإجمالي"</totalsRowFormula>
    </tableColumn>
    <tableColumn id="2" xr3:uid="{00000000-0010-0000-0200-000002000000}" name="1" totalsRowFunction="count" dataDxfId="800" totalsRowDxfId="799"/>
    <tableColumn id="3" xr3:uid="{00000000-0010-0000-0200-000003000000}" name="2" totalsRowFunction="count" dataDxfId="798" totalsRowDxfId="797"/>
    <tableColumn id="4" xr3:uid="{00000000-0010-0000-0200-000004000000}" name="3" totalsRowFunction="count" dataDxfId="796" totalsRowDxfId="795"/>
    <tableColumn id="5" xr3:uid="{00000000-0010-0000-0200-000005000000}" name="4" totalsRowFunction="count" dataDxfId="794" totalsRowDxfId="793"/>
    <tableColumn id="6" xr3:uid="{00000000-0010-0000-0200-000006000000}" name="5" totalsRowFunction="count" dataDxfId="792" totalsRowDxfId="791"/>
    <tableColumn id="7" xr3:uid="{00000000-0010-0000-0200-000007000000}" name="6" totalsRowFunction="count" dataDxfId="790" totalsRowDxfId="789"/>
    <tableColumn id="8" xr3:uid="{00000000-0010-0000-0200-000008000000}" name="7" totalsRowFunction="count" dataDxfId="788" totalsRowDxfId="787"/>
    <tableColumn id="9" xr3:uid="{00000000-0010-0000-0200-000009000000}" name="8" totalsRowFunction="count" dataDxfId="786" totalsRowDxfId="785"/>
    <tableColumn id="10" xr3:uid="{00000000-0010-0000-0200-00000A000000}" name="9" totalsRowFunction="count" dataDxfId="784" totalsRowDxfId="783"/>
    <tableColumn id="11" xr3:uid="{00000000-0010-0000-0200-00000B000000}" name="10" totalsRowFunction="count" dataDxfId="782" totalsRowDxfId="781"/>
    <tableColumn id="12" xr3:uid="{00000000-0010-0000-0200-00000C000000}" name="11" totalsRowFunction="count" dataDxfId="780" totalsRowDxfId="779"/>
    <tableColumn id="13" xr3:uid="{00000000-0010-0000-0200-00000D000000}" name="12" totalsRowFunction="count" dataDxfId="778" totalsRowDxfId="777"/>
    <tableColumn id="14" xr3:uid="{00000000-0010-0000-0200-00000E000000}" name="13" totalsRowFunction="count" dataDxfId="776" totalsRowDxfId="775"/>
    <tableColumn id="15" xr3:uid="{00000000-0010-0000-0200-00000F000000}" name="14" totalsRowFunction="count" dataDxfId="774" totalsRowDxfId="773"/>
    <tableColumn id="16" xr3:uid="{00000000-0010-0000-0200-000010000000}" name="15" totalsRowFunction="count" dataDxfId="772" totalsRowDxfId="771"/>
    <tableColumn id="17" xr3:uid="{00000000-0010-0000-0200-000011000000}" name="16" totalsRowFunction="count" dataDxfId="770" totalsRowDxfId="769"/>
    <tableColumn id="18" xr3:uid="{00000000-0010-0000-0200-000012000000}" name="17" totalsRowFunction="count" dataDxfId="768" totalsRowDxfId="767"/>
    <tableColumn id="19" xr3:uid="{00000000-0010-0000-0200-000013000000}" name="18" totalsRowFunction="count" dataDxfId="766" totalsRowDxfId="765"/>
    <tableColumn id="20" xr3:uid="{00000000-0010-0000-0200-000014000000}" name="19" totalsRowFunction="count" dataDxfId="764" totalsRowDxfId="763"/>
    <tableColumn id="21" xr3:uid="{00000000-0010-0000-0200-000015000000}" name="20" totalsRowFunction="count" dataDxfId="762" totalsRowDxfId="761"/>
    <tableColumn id="22" xr3:uid="{00000000-0010-0000-0200-000016000000}" name="21" totalsRowFunction="count" dataDxfId="760" totalsRowDxfId="759"/>
    <tableColumn id="23" xr3:uid="{00000000-0010-0000-0200-000017000000}" name="22" totalsRowFunction="count" dataDxfId="758" totalsRowDxfId="757"/>
    <tableColumn id="24" xr3:uid="{00000000-0010-0000-0200-000018000000}" name="23" totalsRowFunction="count" dataDxfId="756" totalsRowDxfId="755"/>
    <tableColumn id="25" xr3:uid="{00000000-0010-0000-0200-000019000000}" name="24" totalsRowFunction="count" dataDxfId="754" totalsRowDxfId="753"/>
    <tableColumn id="26" xr3:uid="{00000000-0010-0000-0200-00001A000000}" name="25" totalsRowFunction="count" dataDxfId="752" totalsRowDxfId="751"/>
    <tableColumn id="27" xr3:uid="{00000000-0010-0000-0200-00001B000000}" name="26" totalsRowFunction="count" dataDxfId="750" totalsRowDxfId="749"/>
    <tableColumn id="28" xr3:uid="{00000000-0010-0000-0200-00001C000000}" name="27" totalsRowFunction="count" dataDxfId="748" totalsRowDxfId="747"/>
    <tableColumn id="29" xr3:uid="{00000000-0010-0000-0200-00001D000000}" name="28" totalsRowFunction="count" dataDxfId="746" totalsRowDxfId="745"/>
    <tableColumn id="30" xr3:uid="{00000000-0010-0000-0200-00001E000000}" name="29" totalsRowFunction="count" dataDxfId="744" totalsRowDxfId="743"/>
    <tableColumn id="31" xr3:uid="{00000000-0010-0000-0200-00001F000000}" name="30" totalsRowFunction="sum" dataDxfId="742" totalsRowDxfId="741"/>
    <tableColumn id="32" xr3:uid="{00000000-0010-0000-0200-000020000000}" name="31" totalsRowFunction="sum" dataDxfId="740" totalsRowDxfId="739"/>
    <tableColumn id="33" xr3:uid="{00000000-0010-0000-0200-000021000000}" name="إجمالي الأيام" totalsRowFunction="sum" dataDxfId="738" totalsRowDxfId="737">
      <calculatedColumnFormula>COUNTA(مارس[[#This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أبريل" displayName="أبريل" ref="B6:AH12" totalsRowCount="1" headerRowDxfId="731" dataDxfId="730" totalsRowDxfId="729">
  <tableColumns count="33">
    <tableColumn id="1" xr3:uid="{00000000-0010-0000-0300-000001000000}" name="اسم الموظف" totalsRowFunction="custom" dataDxfId="728" totalsRowDxfId="727">
      <totalsRowFormula>MonthName&amp;" الإجمالي"</totalsRowFormula>
    </tableColumn>
    <tableColumn id="2" xr3:uid="{00000000-0010-0000-0300-000002000000}" name="1" totalsRowFunction="count" dataDxfId="726" totalsRowDxfId="725"/>
    <tableColumn id="3" xr3:uid="{00000000-0010-0000-0300-000003000000}" name="2" totalsRowFunction="count" dataDxfId="724" totalsRowDxfId="723"/>
    <tableColumn id="4" xr3:uid="{00000000-0010-0000-0300-000004000000}" name="3" totalsRowFunction="count" dataDxfId="722" totalsRowDxfId="721"/>
    <tableColumn id="5" xr3:uid="{00000000-0010-0000-0300-000005000000}" name="4" totalsRowFunction="count" dataDxfId="720" totalsRowDxfId="719"/>
    <tableColumn id="6" xr3:uid="{00000000-0010-0000-0300-000006000000}" name="5" totalsRowFunction="count" dataDxfId="718" totalsRowDxfId="717"/>
    <tableColumn id="7" xr3:uid="{00000000-0010-0000-0300-000007000000}" name="6" totalsRowFunction="count" dataDxfId="716" totalsRowDxfId="715"/>
    <tableColumn id="8" xr3:uid="{00000000-0010-0000-0300-000008000000}" name="7" totalsRowFunction="count" dataDxfId="714" totalsRowDxfId="713"/>
    <tableColumn id="9" xr3:uid="{00000000-0010-0000-0300-000009000000}" name="8" totalsRowFunction="count" dataDxfId="712" totalsRowDxfId="711"/>
    <tableColumn id="10" xr3:uid="{00000000-0010-0000-0300-00000A000000}" name="9" totalsRowFunction="count" dataDxfId="710" totalsRowDxfId="709"/>
    <tableColumn id="11" xr3:uid="{00000000-0010-0000-0300-00000B000000}" name="10" totalsRowFunction="count" dataDxfId="708" totalsRowDxfId="707"/>
    <tableColumn id="12" xr3:uid="{00000000-0010-0000-0300-00000C000000}" name="11" totalsRowFunction="count" dataDxfId="706" totalsRowDxfId="705"/>
    <tableColumn id="13" xr3:uid="{00000000-0010-0000-0300-00000D000000}" name="12" totalsRowFunction="count" dataDxfId="704" totalsRowDxfId="703"/>
    <tableColumn id="14" xr3:uid="{00000000-0010-0000-0300-00000E000000}" name="13" totalsRowFunction="count" dataDxfId="702" totalsRowDxfId="701"/>
    <tableColumn id="15" xr3:uid="{00000000-0010-0000-0300-00000F000000}" name="14" totalsRowFunction="count" dataDxfId="700" totalsRowDxfId="699"/>
    <tableColumn id="16" xr3:uid="{00000000-0010-0000-0300-000010000000}" name="15" totalsRowFunction="count" dataDxfId="698" totalsRowDxfId="697"/>
    <tableColumn id="17" xr3:uid="{00000000-0010-0000-0300-000011000000}" name="16" totalsRowFunction="count" dataDxfId="696" totalsRowDxfId="695"/>
    <tableColumn id="18" xr3:uid="{00000000-0010-0000-0300-000012000000}" name="17" totalsRowFunction="count" dataDxfId="694" totalsRowDxfId="693"/>
    <tableColumn id="19" xr3:uid="{00000000-0010-0000-0300-000013000000}" name="18" totalsRowFunction="count" dataDxfId="692" totalsRowDxfId="691"/>
    <tableColumn id="20" xr3:uid="{00000000-0010-0000-0300-000014000000}" name="19" totalsRowFunction="count" dataDxfId="690" totalsRowDxfId="689"/>
    <tableColumn id="21" xr3:uid="{00000000-0010-0000-0300-000015000000}" name="20" totalsRowFunction="count" dataDxfId="688" totalsRowDxfId="687"/>
    <tableColumn id="22" xr3:uid="{00000000-0010-0000-0300-000016000000}" name="21" totalsRowFunction="count" dataDxfId="686" totalsRowDxfId="685"/>
    <tableColumn id="23" xr3:uid="{00000000-0010-0000-0300-000017000000}" name="22" totalsRowFunction="count" dataDxfId="684" totalsRowDxfId="683"/>
    <tableColumn id="24" xr3:uid="{00000000-0010-0000-0300-000018000000}" name="23" totalsRowFunction="count" dataDxfId="682" totalsRowDxfId="681"/>
    <tableColumn id="25" xr3:uid="{00000000-0010-0000-0300-000019000000}" name="24" totalsRowFunction="count" dataDxfId="680" totalsRowDxfId="679"/>
    <tableColumn id="26" xr3:uid="{00000000-0010-0000-0300-00001A000000}" name="25" totalsRowFunction="count" dataDxfId="678" totalsRowDxfId="677"/>
    <tableColumn id="27" xr3:uid="{00000000-0010-0000-0300-00001B000000}" name="26" totalsRowFunction="count" dataDxfId="676" totalsRowDxfId="675"/>
    <tableColumn id="28" xr3:uid="{00000000-0010-0000-0300-00001C000000}" name="27" totalsRowFunction="count" dataDxfId="674" totalsRowDxfId="673"/>
    <tableColumn id="29" xr3:uid="{00000000-0010-0000-0300-00001D000000}" name="28" totalsRowFunction="count" dataDxfId="672" totalsRowDxfId="671"/>
    <tableColumn id="30" xr3:uid="{00000000-0010-0000-0300-00001E000000}" name="29" totalsRowFunction="count" dataDxfId="670" totalsRowDxfId="669"/>
    <tableColumn id="31" xr3:uid="{00000000-0010-0000-0300-00001F000000}" name="30" totalsRowFunction="sum" dataDxfId="668" totalsRowDxfId="667"/>
    <tableColumn id="32" xr3:uid="{00000000-0010-0000-0300-000020000000}" name="31" totalsRowFunction="sum" dataDxfId="666" totalsRowDxfId="665"/>
    <tableColumn id="33" xr3:uid="{00000000-0010-0000-0300-000021000000}" name="إجمالي الأيام" totalsRowFunction="sum" dataDxfId="664" totalsRowDxfId="663">
      <calculatedColumnFormula>COUNTA(أبريل[[#This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4000000}" name="مايو" displayName="مايو" ref="B6:AH12" totalsRowCount="1" headerRowDxfId="657" dataDxfId="656" totalsRowDxfId="655">
  <tableColumns count="33">
    <tableColumn id="1" xr3:uid="{00000000-0010-0000-0400-000001000000}" name="اسم الموظف" totalsRowFunction="custom" dataDxfId="654" totalsRowDxfId="653">
      <totalsRowFormula>MonthName&amp;" الإجمالي"</totalsRowFormula>
    </tableColumn>
    <tableColumn id="2" xr3:uid="{00000000-0010-0000-0400-000002000000}" name="1" totalsRowFunction="count" dataDxfId="652" totalsRowDxfId="651"/>
    <tableColumn id="3" xr3:uid="{00000000-0010-0000-0400-000003000000}" name="2" totalsRowFunction="count" dataDxfId="650" totalsRowDxfId="649"/>
    <tableColumn id="4" xr3:uid="{00000000-0010-0000-0400-000004000000}" name="3" totalsRowFunction="count" dataDxfId="648" totalsRowDxfId="647"/>
    <tableColumn id="5" xr3:uid="{00000000-0010-0000-0400-000005000000}" name="4" totalsRowFunction="count" dataDxfId="646" totalsRowDxfId="645"/>
    <tableColumn id="6" xr3:uid="{00000000-0010-0000-0400-000006000000}" name="5" totalsRowFunction="count" dataDxfId="644" totalsRowDxfId="643"/>
    <tableColumn id="7" xr3:uid="{00000000-0010-0000-0400-000007000000}" name="6" totalsRowFunction="count" dataDxfId="642" totalsRowDxfId="641"/>
    <tableColumn id="8" xr3:uid="{00000000-0010-0000-0400-000008000000}" name="7" totalsRowFunction="count" dataDxfId="640" totalsRowDxfId="639"/>
    <tableColumn id="9" xr3:uid="{00000000-0010-0000-0400-000009000000}" name="8" totalsRowFunction="count" dataDxfId="638" totalsRowDxfId="637"/>
    <tableColumn id="10" xr3:uid="{00000000-0010-0000-0400-00000A000000}" name="9" totalsRowFunction="count" dataDxfId="636" totalsRowDxfId="635"/>
    <tableColumn id="11" xr3:uid="{00000000-0010-0000-0400-00000B000000}" name="10" totalsRowFunction="count" dataDxfId="634" totalsRowDxfId="633"/>
    <tableColumn id="12" xr3:uid="{00000000-0010-0000-0400-00000C000000}" name="11" totalsRowFunction="count" dataDxfId="632" totalsRowDxfId="631"/>
    <tableColumn id="13" xr3:uid="{00000000-0010-0000-0400-00000D000000}" name="12" totalsRowFunction="count" dataDxfId="630" totalsRowDxfId="629"/>
    <tableColumn id="14" xr3:uid="{00000000-0010-0000-0400-00000E000000}" name="13" totalsRowFunction="count" dataDxfId="628" totalsRowDxfId="627"/>
    <tableColumn id="15" xr3:uid="{00000000-0010-0000-0400-00000F000000}" name="14" totalsRowFunction="count" dataDxfId="626" totalsRowDxfId="625"/>
    <tableColumn id="16" xr3:uid="{00000000-0010-0000-0400-000010000000}" name="15" totalsRowFunction="count" dataDxfId="624" totalsRowDxfId="623"/>
    <tableColumn id="17" xr3:uid="{00000000-0010-0000-0400-000011000000}" name="16" totalsRowFunction="count" dataDxfId="622" totalsRowDxfId="621"/>
    <tableColumn id="18" xr3:uid="{00000000-0010-0000-0400-000012000000}" name="17" totalsRowFunction="count" dataDxfId="620" totalsRowDxfId="619"/>
    <tableColumn id="19" xr3:uid="{00000000-0010-0000-0400-000013000000}" name="18" totalsRowFunction="count" dataDxfId="618" totalsRowDxfId="617"/>
    <tableColumn id="20" xr3:uid="{00000000-0010-0000-0400-000014000000}" name="19" totalsRowFunction="count" dataDxfId="616" totalsRowDxfId="615"/>
    <tableColumn id="21" xr3:uid="{00000000-0010-0000-0400-000015000000}" name="20" totalsRowFunction="count" dataDxfId="614" totalsRowDxfId="613"/>
    <tableColumn id="22" xr3:uid="{00000000-0010-0000-0400-000016000000}" name="21" totalsRowFunction="count" dataDxfId="612" totalsRowDxfId="611"/>
    <tableColumn id="23" xr3:uid="{00000000-0010-0000-0400-000017000000}" name="22" totalsRowFunction="count" dataDxfId="610" totalsRowDxfId="609"/>
    <tableColumn id="24" xr3:uid="{00000000-0010-0000-0400-000018000000}" name="23" totalsRowFunction="count" dataDxfId="608" totalsRowDxfId="607"/>
    <tableColumn id="25" xr3:uid="{00000000-0010-0000-0400-000019000000}" name="24" totalsRowFunction="count" dataDxfId="606" totalsRowDxfId="605"/>
    <tableColumn id="26" xr3:uid="{00000000-0010-0000-0400-00001A000000}" name="25" totalsRowFunction="count" dataDxfId="604" totalsRowDxfId="603"/>
    <tableColumn id="27" xr3:uid="{00000000-0010-0000-0400-00001B000000}" name="26" totalsRowFunction="count" dataDxfId="602" totalsRowDxfId="601"/>
    <tableColumn id="28" xr3:uid="{00000000-0010-0000-0400-00001C000000}" name="27" totalsRowFunction="count" dataDxfId="600" totalsRowDxfId="599"/>
    <tableColumn id="29" xr3:uid="{00000000-0010-0000-0400-00001D000000}" name="28" totalsRowFunction="count" dataDxfId="598" totalsRowDxfId="597"/>
    <tableColumn id="30" xr3:uid="{00000000-0010-0000-0400-00001E000000}" name="29" totalsRowFunction="count" dataDxfId="596" totalsRowDxfId="595"/>
    <tableColumn id="31" xr3:uid="{00000000-0010-0000-0400-00001F000000}" name="30" totalsRowFunction="sum" dataDxfId="594" totalsRowDxfId="593"/>
    <tableColumn id="32" xr3:uid="{00000000-0010-0000-0400-000020000000}" name="31" totalsRowFunction="sum" dataDxfId="592" totalsRowDxfId="591"/>
    <tableColumn id="33" xr3:uid="{00000000-0010-0000-0400-000021000000}" name="إجمالي الأيام" totalsRowFunction="sum" dataDxfId="590" totalsRowDxfId="589">
      <calculatedColumnFormula>COUNTA(مايو[[#This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5000000}" name="يونيو" displayName="يونيو" ref="B6:AH12" totalsRowCount="1" headerRowDxfId="583" dataDxfId="582" totalsRowDxfId="581">
  <tableColumns count="33">
    <tableColumn id="1" xr3:uid="{00000000-0010-0000-0500-000001000000}" name="اسم الموظف" totalsRowFunction="custom" dataDxfId="580" totalsRowDxfId="579">
      <totalsRowFormula>MonthName&amp;" الإجمالي"</totalsRowFormula>
    </tableColumn>
    <tableColumn id="2" xr3:uid="{00000000-0010-0000-0500-000002000000}" name="1" totalsRowFunction="count" dataDxfId="578" totalsRowDxfId="577"/>
    <tableColumn id="3" xr3:uid="{00000000-0010-0000-0500-000003000000}" name="2" totalsRowFunction="count" dataDxfId="576" totalsRowDxfId="575"/>
    <tableColumn id="4" xr3:uid="{00000000-0010-0000-0500-000004000000}" name="3" totalsRowFunction="count" dataDxfId="574" totalsRowDxfId="573"/>
    <tableColumn id="5" xr3:uid="{00000000-0010-0000-0500-000005000000}" name="4" totalsRowFunction="count" dataDxfId="572" totalsRowDxfId="571"/>
    <tableColumn id="6" xr3:uid="{00000000-0010-0000-0500-000006000000}" name="5" totalsRowFunction="count" dataDxfId="570" totalsRowDxfId="569"/>
    <tableColumn id="7" xr3:uid="{00000000-0010-0000-0500-000007000000}" name="6" totalsRowFunction="count" dataDxfId="568" totalsRowDxfId="567"/>
    <tableColumn id="8" xr3:uid="{00000000-0010-0000-0500-000008000000}" name="7" totalsRowFunction="count" dataDxfId="566" totalsRowDxfId="565"/>
    <tableColumn id="9" xr3:uid="{00000000-0010-0000-0500-000009000000}" name="8" totalsRowFunction="count" dataDxfId="564" totalsRowDxfId="563"/>
    <tableColumn id="10" xr3:uid="{00000000-0010-0000-0500-00000A000000}" name="9" totalsRowFunction="count" dataDxfId="562" totalsRowDxfId="561"/>
    <tableColumn id="11" xr3:uid="{00000000-0010-0000-0500-00000B000000}" name="10" totalsRowFunction="count" dataDxfId="560" totalsRowDxfId="559"/>
    <tableColumn id="12" xr3:uid="{00000000-0010-0000-0500-00000C000000}" name="11" totalsRowFunction="count" dataDxfId="558" totalsRowDxfId="557"/>
    <tableColumn id="13" xr3:uid="{00000000-0010-0000-0500-00000D000000}" name="12" totalsRowFunction="count" dataDxfId="556" totalsRowDxfId="555"/>
    <tableColumn id="14" xr3:uid="{00000000-0010-0000-0500-00000E000000}" name="13" totalsRowFunction="count" dataDxfId="554" totalsRowDxfId="553"/>
    <tableColumn id="15" xr3:uid="{00000000-0010-0000-0500-00000F000000}" name="14" totalsRowFunction="count" dataDxfId="552" totalsRowDxfId="551"/>
    <tableColumn id="16" xr3:uid="{00000000-0010-0000-0500-000010000000}" name="15" totalsRowFunction="count" dataDxfId="550" totalsRowDxfId="549"/>
    <tableColumn id="17" xr3:uid="{00000000-0010-0000-0500-000011000000}" name="16" totalsRowFunction="count" dataDxfId="548" totalsRowDxfId="547"/>
    <tableColumn id="18" xr3:uid="{00000000-0010-0000-0500-000012000000}" name="17" totalsRowFunction="count" dataDxfId="546" totalsRowDxfId="545"/>
    <tableColumn id="19" xr3:uid="{00000000-0010-0000-0500-000013000000}" name="18" totalsRowFunction="count" dataDxfId="544" totalsRowDxfId="543"/>
    <tableColumn id="20" xr3:uid="{00000000-0010-0000-0500-000014000000}" name="19" totalsRowFunction="count" dataDxfId="542" totalsRowDxfId="541"/>
    <tableColumn id="21" xr3:uid="{00000000-0010-0000-0500-000015000000}" name="20" totalsRowFunction="count" dataDxfId="540" totalsRowDxfId="539"/>
    <tableColumn id="22" xr3:uid="{00000000-0010-0000-0500-000016000000}" name="21" totalsRowFunction="count" dataDxfId="538" totalsRowDxfId="537"/>
    <tableColumn id="23" xr3:uid="{00000000-0010-0000-0500-000017000000}" name="22" totalsRowFunction="count" dataDxfId="536" totalsRowDxfId="535"/>
    <tableColumn id="24" xr3:uid="{00000000-0010-0000-0500-000018000000}" name="23" totalsRowFunction="count" dataDxfId="534" totalsRowDxfId="533"/>
    <tableColumn id="25" xr3:uid="{00000000-0010-0000-0500-000019000000}" name="24" totalsRowFunction="count" dataDxfId="532" totalsRowDxfId="531"/>
    <tableColumn id="26" xr3:uid="{00000000-0010-0000-0500-00001A000000}" name="25" totalsRowFunction="count" dataDxfId="530" totalsRowDxfId="529"/>
    <tableColumn id="27" xr3:uid="{00000000-0010-0000-0500-00001B000000}" name="26" totalsRowFunction="count" dataDxfId="528" totalsRowDxfId="527"/>
    <tableColumn id="28" xr3:uid="{00000000-0010-0000-0500-00001C000000}" name="27" totalsRowFunction="count" dataDxfId="526" totalsRowDxfId="525"/>
    <tableColumn id="29" xr3:uid="{00000000-0010-0000-0500-00001D000000}" name="28" totalsRowFunction="count" dataDxfId="524" totalsRowDxfId="523"/>
    <tableColumn id="30" xr3:uid="{00000000-0010-0000-0500-00001E000000}" name="29" totalsRowFunction="count" dataDxfId="522" totalsRowDxfId="521"/>
    <tableColumn id="31" xr3:uid="{00000000-0010-0000-0500-00001F000000}" name="30" totalsRowFunction="sum" dataDxfId="520" totalsRowDxfId="519"/>
    <tableColumn id="32" xr3:uid="{00000000-0010-0000-0500-000020000000}" name="31" totalsRowFunction="sum" dataDxfId="518" totalsRowDxfId="517"/>
    <tableColumn id="33" xr3:uid="{00000000-0010-0000-0500-000021000000}" name="إجمالي الأيام" totalsRowFunction="sum" dataDxfId="516" totalsRowDxfId="515">
      <calculatedColumnFormula>COUNTA(يونيو[[#This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6000000}" name="يوليو" displayName="يوليو" ref="B6:AH12" totalsRowCount="1" headerRowDxfId="509" dataDxfId="508" totalsRowDxfId="507">
  <tableColumns count="33">
    <tableColumn id="1" xr3:uid="{00000000-0010-0000-0600-000001000000}" name="اسم الموظف" totalsRowFunction="custom" dataDxfId="506" totalsRowDxfId="505">
      <totalsRowFormula>MonthName&amp;" الإجمالي"</totalsRowFormula>
    </tableColumn>
    <tableColumn id="2" xr3:uid="{00000000-0010-0000-0600-000002000000}" name="1" totalsRowFunction="count" dataDxfId="504" totalsRowDxfId="503"/>
    <tableColumn id="3" xr3:uid="{00000000-0010-0000-0600-000003000000}" name="2" totalsRowFunction="count" dataDxfId="502" totalsRowDxfId="501"/>
    <tableColumn id="4" xr3:uid="{00000000-0010-0000-0600-000004000000}" name="3" totalsRowFunction="count" dataDxfId="500" totalsRowDxfId="499"/>
    <tableColumn id="5" xr3:uid="{00000000-0010-0000-0600-000005000000}" name="4" totalsRowFunction="count" dataDxfId="498" totalsRowDxfId="497"/>
    <tableColumn id="6" xr3:uid="{00000000-0010-0000-0600-000006000000}" name="5" totalsRowFunction="count" dataDxfId="496" totalsRowDxfId="495"/>
    <tableColumn id="7" xr3:uid="{00000000-0010-0000-0600-000007000000}" name="6" totalsRowFunction="count" dataDxfId="494" totalsRowDxfId="493"/>
    <tableColumn id="8" xr3:uid="{00000000-0010-0000-0600-000008000000}" name="7" totalsRowFunction="count" dataDxfId="492" totalsRowDxfId="491"/>
    <tableColumn id="9" xr3:uid="{00000000-0010-0000-0600-000009000000}" name="8" totalsRowFunction="count" dataDxfId="490" totalsRowDxfId="489"/>
    <tableColumn id="10" xr3:uid="{00000000-0010-0000-0600-00000A000000}" name="9" totalsRowFunction="count" dataDxfId="488" totalsRowDxfId="487"/>
    <tableColumn id="11" xr3:uid="{00000000-0010-0000-0600-00000B000000}" name="10" totalsRowFunction="count" dataDxfId="486" totalsRowDxfId="485"/>
    <tableColumn id="12" xr3:uid="{00000000-0010-0000-0600-00000C000000}" name="11" totalsRowFunction="count" dataDxfId="484" totalsRowDxfId="483"/>
    <tableColumn id="13" xr3:uid="{00000000-0010-0000-0600-00000D000000}" name="12" totalsRowFunction="count" dataDxfId="482" totalsRowDxfId="481"/>
    <tableColumn id="14" xr3:uid="{00000000-0010-0000-0600-00000E000000}" name="13" totalsRowFunction="count" dataDxfId="480" totalsRowDxfId="479"/>
    <tableColumn id="15" xr3:uid="{00000000-0010-0000-0600-00000F000000}" name="14" totalsRowFunction="count" dataDxfId="478" totalsRowDxfId="477"/>
    <tableColumn id="16" xr3:uid="{00000000-0010-0000-0600-000010000000}" name="15" totalsRowFunction="count" dataDxfId="476" totalsRowDxfId="475"/>
    <tableColumn id="17" xr3:uid="{00000000-0010-0000-0600-000011000000}" name="16" totalsRowFunction="count" dataDxfId="474" totalsRowDxfId="473"/>
    <tableColumn id="18" xr3:uid="{00000000-0010-0000-0600-000012000000}" name="17" totalsRowFunction="count" dataDxfId="472" totalsRowDxfId="471"/>
    <tableColumn id="19" xr3:uid="{00000000-0010-0000-0600-000013000000}" name="18" totalsRowFunction="count" dataDxfId="470" totalsRowDxfId="469"/>
    <tableColumn id="20" xr3:uid="{00000000-0010-0000-0600-000014000000}" name="19" totalsRowFunction="count" dataDxfId="468" totalsRowDxfId="467"/>
    <tableColumn id="21" xr3:uid="{00000000-0010-0000-0600-000015000000}" name="20" totalsRowFunction="count" dataDxfId="466" totalsRowDxfId="465"/>
    <tableColumn id="22" xr3:uid="{00000000-0010-0000-0600-000016000000}" name="21" totalsRowFunction="count" dataDxfId="464" totalsRowDxfId="463"/>
    <tableColumn id="23" xr3:uid="{00000000-0010-0000-0600-000017000000}" name="22" totalsRowFunction="count" dataDxfId="462" totalsRowDxfId="461"/>
    <tableColumn id="24" xr3:uid="{00000000-0010-0000-0600-000018000000}" name="23" totalsRowFunction="count" dataDxfId="460" totalsRowDxfId="459"/>
    <tableColumn id="25" xr3:uid="{00000000-0010-0000-0600-000019000000}" name="24" totalsRowFunction="count" dataDxfId="458" totalsRowDxfId="457"/>
    <tableColumn id="26" xr3:uid="{00000000-0010-0000-0600-00001A000000}" name="25" totalsRowFunction="count" dataDxfId="456" totalsRowDxfId="455"/>
    <tableColumn id="27" xr3:uid="{00000000-0010-0000-0600-00001B000000}" name="26" totalsRowFunction="count" dataDxfId="454" totalsRowDxfId="453"/>
    <tableColumn id="28" xr3:uid="{00000000-0010-0000-0600-00001C000000}" name="27" totalsRowFunction="count" dataDxfId="452" totalsRowDxfId="451"/>
    <tableColumn id="29" xr3:uid="{00000000-0010-0000-0600-00001D000000}" name="28" totalsRowFunction="count" dataDxfId="450" totalsRowDxfId="449"/>
    <tableColumn id="30" xr3:uid="{00000000-0010-0000-0600-00001E000000}" name="29" totalsRowFunction="count" dataDxfId="448" totalsRowDxfId="447"/>
    <tableColumn id="31" xr3:uid="{00000000-0010-0000-0600-00001F000000}" name="30" totalsRowFunction="sum" dataDxfId="446" totalsRowDxfId="445"/>
    <tableColumn id="32" xr3:uid="{00000000-0010-0000-0600-000020000000}" name="31" totalsRowFunction="sum" dataDxfId="444" totalsRowDxfId="443"/>
    <tableColumn id="33" xr3:uid="{00000000-0010-0000-0600-000021000000}" name="إجمالي الأيام" totalsRowFunction="sum" dataDxfId="442" totalsRowDxfId="441">
      <calculatedColumnFormula>COUNTA(يوليو[[#This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7000000}" name="أغسطس" displayName="أغسطس" ref="B6:AH12" totalsRowCount="1" headerRowDxfId="435" dataDxfId="434" totalsRowDxfId="433">
  <tableColumns count="33">
    <tableColumn id="1" xr3:uid="{00000000-0010-0000-0700-000001000000}" name="اسم الموظف" totalsRowFunction="custom" dataDxfId="432" totalsRowDxfId="431">
      <totalsRowFormula>MonthName&amp;" الإجمالي"</totalsRowFormula>
    </tableColumn>
    <tableColumn id="2" xr3:uid="{00000000-0010-0000-0700-000002000000}" name="1" totalsRowFunction="count" dataDxfId="430" totalsRowDxfId="429"/>
    <tableColumn id="3" xr3:uid="{00000000-0010-0000-0700-000003000000}" name="2" totalsRowFunction="count" dataDxfId="428" totalsRowDxfId="427"/>
    <tableColumn id="4" xr3:uid="{00000000-0010-0000-0700-000004000000}" name="3" totalsRowFunction="count" dataDxfId="426" totalsRowDxfId="425"/>
    <tableColumn id="5" xr3:uid="{00000000-0010-0000-0700-000005000000}" name="4" totalsRowFunction="count" dataDxfId="424" totalsRowDxfId="423"/>
    <tableColumn id="6" xr3:uid="{00000000-0010-0000-0700-000006000000}" name="5" totalsRowFunction="count" dataDxfId="422" totalsRowDxfId="421"/>
    <tableColumn id="7" xr3:uid="{00000000-0010-0000-0700-000007000000}" name="6" totalsRowFunction="count" dataDxfId="420" totalsRowDxfId="419"/>
    <tableColumn id="8" xr3:uid="{00000000-0010-0000-0700-000008000000}" name="7" totalsRowFunction="count" dataDxfId="418" totalsRowDxfId="417"/>
    <tableColumn id="9" xr3:uid="{00000000-0010-0000-0700-000009000000}" name="8" totalsRowFunction="count" dataDxfId="416" totalsRowDxfId="415"/>
    <tableColumn id="10" xr3:uid="{00000000-0010-0000-0700-00000A000000}" name="9" totalsRowFunction="count" dataDxfId="414" totalsRowDxfId="413"/>
    <tableColumn id="11" xr3:uid="{00000000-0010-0000-0700-00000B000000}" name="10" totalsRowFunction="count" dataDxfId="412" totalsRowDxfId="411"/>
    <tableColumn id="12" xr3:uid="{00000000-0010-0000-0700-00000C000000}" name="11" totalsRowFunction="count" dataDxfId="410" totalsRowDxfId="409"/>
    <tableColumn id="13" xr3:uid="{00000000-0010-0000-0700-00000D000000}" name="12" totalsRowFunction="count" dataDxfId="408" totalsRowDxfId="407"/>
    <tableColumn id="14" xr3:uid="{00000000-0010-0000-0700-00000E000000}" name="13" totalsRowFunction="count" dataDxfId="406" totalsRowDxfId="405"/>
    <tableColumn id="15" xr3:uid="{00000000-0010-0000-0700-00000F000000}" name="14" totalsRowFunction="count" dataDxfId="404" totalsRowDxfId="403"/>
    <tableColumn id="16" xr3:uid="{00000000-0010-0000-0700-000010000000}" name="15" totalsRowFunction="count" dataDxfId="402" totalsRowDxfId="401"/>
    <tableColumn id="17" xr3:uid="{00000000-0010-0000-0700-000011000000}" name="16" totalsRowFunction="count" dataDxfId="400" totalsRowDxfId="399"/>
    <tableColumn id="18" xr3:uid="{00000000-0010-0000-0700-000012000000}" name="17" totalsRowFunction="count" dataDxfId="398" totalsRowDxfId="397"/>
    <tableColumn id="19" xr3:uid="{00000000-0010-0000-0700-000013000000}" name="18" totalsRowFunction="count" dataDxfId="396" totalsRowDxfId="395"/>
    <tableColumn id="20" xr3:uid="{00000000-0010-0000-0700-000014000000}" name="19" totalsRowFunction="count" dataDxfId="394" totalsRowDxfId="393"/>
    <tableColumn id="21" xr3:uid="{00000000-0010-0000-0700-000015000000}" name="20" totalsRowFunction="count" dataDxfId="392" totalsRowDxfId="391"/>
    <tableColumn id="22" xr3:uid="{00000000-0010-0000-0700-000016000000}" name="21" totalsRowFunction="count" dataDxfId="390" totalsRowDxfId="389"/>
    <tableColumn id="23" xr3:uid="{00000000-0010-0000-0700-000017000000}" name="22" totalsRowFunction="count" dataDxfId="388" totalsRowDxfId="387"/>
    <tableColumn id="24" xr3:uid="{00000000-0010-0000-0700-000018000000}" name="23" totalsRowFunction="count" dataDxfId="386" totalsRowDxfId="385"/>
    <tableColumn id="25" xr3:uid="{00000000-0010-0000-0700-000019000000}" name="24" totalsRowFunction="count" dataDxfId="384" totalsRowDxfId="383"/>
    <tableColumn id="26" xr3:uid="{00000000-0010-0000-0700-00001A000000}" name="25" totalsRowFunction="count" dataDxfId="382" totalsRowDxfId="381"/>
    <tableColumn id="27" xr3:uid="{00000000-0010-0000-0700-00001B000000}" name="26" totalsRowFunction="count" dataDxfId="380" totalsRowDxfId="379"/>
    <tableColumn id="28" xr3:uid="{00000000-0010-0000-0700-00001C000000}" name="27" totalsRowFunction="count" dataDxfId="378" totalsRowDxfId="377"/>
    <tableColumn id="29" xr3:uid="{00000000-0010-0000-0700-00001D000000}" name="28" totalsRowFunction="count" dataDxfId="376" totalsRowDxfId="375"/>
    <tableColumn id="30" xr3:uid="{00000000-0010-0000-0700-00001E000000}" name="29" totalsRowFunction="count" dataDxfId="374" totalsRowDxfId="373"/>
    <tableColumn id="31" xr3:uid="{00000000-0010-0000-0700-00001F000000}" name="30" totalsRowFunction="sum" dataDxfId="372" totalsRowDxfId="371"/>
    <tableColumn id="32" xr3:uid="{00000000-0010-0000-0700-000020000000}" name="31" totalsRowFunction="sum" dataDxfId="370" totalsRowDxfId="369"/>
    <tableColumn id="33" xr3:uid="{00000000-0010-0000-0700-000021000000}" name="إجمالي الأيام" totalsRowFunction="sum" dataDxfId="368" totalsRowDxfId="367">
      <calculatedColumnFormula>COUNTA(أغسطس[[#This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8000000}" name="سبتمبر" displayName="سبتمبر" ref="B6:AH12" totalsRowCount="1" headerRowDxfId="361" dataDxfId="360" totalsRowDxfId="359">
  <tableColumns count="33">
    <tableColumn id="1" xr3:uid="{00000000-0010-0000-0800-000001000000}" name="اسم الموظف" totalsRowFunction="custom" dataDxfId="358" totalsRowDxfId="357">
      <totalsRowFormula>MonthName&amp;" الإجمالي"</totalsRowFormula>
    </tableColumn>
    <tableColumn id="2" xr3:uid="{00000000-0010-0000-0800-000002000000}" name="1" totalsRowFunction="count" dataDxfId="356" totalsRowDxfId="355"/>
    <tableColumn id="3" xr3:uid="{00000000-0010-0000-0800-000003000000}" name="2" totalsRowFunction="count" dataDxfId="354" totalsRowDxfId="353"/>
    <tableColumn id="4" xr3:uid="{00000000-0010-0000-0800-000004000000}" name="3" totalsRowFunction="count" dataDxfId="352" totalsRowDxfId="351"/>
    <tableColumn id="5" xr3:uid="{00000000-0010-0000-0800-000005000000}" name="4" totalsRowFunction="count" dataDxfId="350" totalsRowDxfId="349"/>
    <tableColumn id="6" xr3:uid="{00000000-0010-0000-0800-000006000000}" name="5" totalsRowFunction="count" dataDxfId="348" totalsRowDxfId="347"/>
    <tableColumn id="7" xr3:uid="{00000000-0010-0000-0800-000007000000}" name="6" totalsRowFunction="count" dataDxfId="346" totalsRowDxfId="345"/>
    <tableColumn id="8" xr3:uid="{00000000-0010-0000-0800-000008000000}" name="7" totalsRowFunction="count" dataDxfId="344" totalsRowDxfId="343"/>
    <tableColumn id="9" xr3:uid="{00000000-0010-0000-0800-000009000000}" name="8" totalsRowFunction="count" dataDxfId="342" totalsRowDxfId="341"/>
    <tableColumn id="10" xr3:uid="{00000000-0010-0000-0800-00000A000000}" name="9" totalsRowFunction="count" dataDxfId="340" totalsRowDxfId="339"/>
    <tableColumn id="11" xr3:uid="{00000000-0010-0000-0800-00000B000000}" name="10" totalsRowFunction="count" dataDxfId="338" totalsRowDxfId="337"/>
    <tableColumn id="12" xr3:uid="{00000000-0010-0000-0800-00000C000000}" name="11" totalsRowFunction="count" dataDxfId="336" totalsRowDxfId="335"/>
    <tableColumn id="13" xr3:uid="{00000000-0010-0000-0800-00000D000000}" name="12" totalsRowFunction="count" dataDxfId="334" totalsRowDxfId="333"/>
    <tableColumn id="14" xr3:uid="{00000000-0010-0000-0800-00000E000000}" name="13" totalsRowFunction="count" dataDxfId="332" totalsRowDxfId="331"/>
    <tableColumn id="15" xr3:uid="{00000000-0010-0000-0800-00000F000000}" name="14" totalsRowFunction="count" dataDxfId="330" totalsRowDxfId="329"/>
    <tableColumn id="16" xr3:uid="{00000000-0010-0000-0800-000010000000}" name="15" totalsRowFunction="count" dataDxfId="328" totalsRowDxfId="327"/>
    <tableColumn id="17" xr3:uid="{00000000-0010-0000-0800-000011000000}" name="16" totalsRowFunction="count" dataDxfId="326" totalsRowDxfId="325"/>
    <tableColumn id="18" xr3:uid="{00000000-0010-0000-0800-000012000000}" name="17" totalsRowFunction="count" dataDxfId="324" totalsRowDxfId="323"/>
    <tableColumn id="19" xr3:uid="{00000000-0010-0000-0800-000013000000}" name="18" totalsRowFunction="count" dataDxfId="322" totalsRowDxfId="321"/>
    <tableColumn id="20" xr3:uid="{00000000-0010-0000-0800-000014000000}" name="19" totalsRowFunction="count" dataDxfId="320" totalsRowDxfId="319"/>
    <tableColumn id="21" xr3:uid="{00000000-0010-0000-0800-000015000000}" name="20" totalsRowFunction="count" dataDxfId="318" totalsRowDxfId="317"/>
    <tableColumn id="22" xr3:uid="{00000000-0010-0000-0800-000016000000}" name="21" totalsRowFunction="count" dataDxfId="316" totalsRowDxfId="315"/>
    <tableColumn id="23" xr3:uid="{00000000-0010-0000-0800-000017000000}" name="22" totalsRowFunction="count" dataDxfId="314" totalsRowDxfId="313"/>
    <tableColumn id="24" xr3:uid="{00000000-0010-0000-0800-000018000000}" name="23" totalsRowFunction="count" dataDxfId="312" totalsRowDxfId="311"/>
    <tableColumn id="25" xr3:uid="{00000000-0010-0000-0800-000019000000}" name="24" totalsRowFunction="count" dataDxfId="310" totalsRowDxfId="309"/>
    <tableColumn id="26" xr3:uid="{00000000-0010-0000-0800-00001A000000}" name="25" totalsRowFunction="count" dataDxfId="308" totalsRowDxfId="307"/>
    <tableColumn id="27" xr3:uid="{00000000-0010-0000-0800-00001B000000}" name="26" totalsRowFunction="count" dataDxfId="306" totalsRowDxfId="305"/>
    <tableColumn id="28" xr3:uid="{00000000-0010-0000-0800-00001C000000}" name="27" totalsRowFunction="count" dataDxfId="304" totalsRowDxfId="303"/>
    <tableColumn id="29" xr3:uid="{00000000-0010-0000-0800-00001D000000}" name="28" totalsRowFunction="count" dataDxfId="302" totalsRowDxfId="301"/>
    <tableColumn id="30" xr3:uid="{00000000-0010-0000-0800-00001E000000}" name="29" totalsRowFunction="count" dataDxfId="300" totalsRowDxfId="299"/>
    <tableColumn id="31" xr3:uid="{00000000-0010-0000-0800-00001F000000}" name="30" totalsRowFunction="sum" dataDxfId="298" totalsRowDxfId="297"/>
    <tableColumn id="32" xr3:uid="{00000000-0010-0000-0800-000020000000}" name="31" totalsRowFunction="sum" dataDxfId="296" totalsRowDxfId="295"/>
    <tableColumn id="33" xr3:uid="{00000000-0010-0000-0800-000021000000}" name="إجمالي الأيام" totalsRowFunction="sum" dataDxfId="294" totalsRowDxfId="293">
      <calculatedColumnFormula>COUNTA(سبتمبر[[#This Row],[1]:[31]])</calculatedColumnFormula>
    </tableColumn>
  </tableColumns>
  <tableStyleInfo name="جدول غياب الموظفين" showFirstColumn="1" showLastColumn="1" showRowStripes="1" showColumnStripes="0"/>
  <extLst>
    <ext xmlns:x14="http://schemas.microsoft.com/office/spreadsheetml/2009/9/main" uri="{504A1905-F514-4f6f-8877-14C23A59335A}">
      <x14:table altTextSummary="توفير أسماء الموظفين وتواريخ الغياب. سجّل نوع الغياب حسب المفتاح في الصف 12: ع = عطلة، م = مرضي، ش = لأسباب شخصية والعنصران النائبان هما لإدخالات مخصصة"/>
    </ext>
  </extLst>
</table>
</file>

<file path=xl/theme/theme1.xml><?xml version="1.0" encoding="utf-8"?>
<a:theme xmlns:a="http://schemas.openxmlformats.org/drawingml/2006/main" name="Office Theme">
  <a:themeElements>
    <a:clrScheme name="Employee Absense Schedule">
      <a:dk1>
        <a:sysClr val="windowText" lastClr="000000"/>
      </a:dk1>
      <a:lt1>
        <a:sysClr val="window" lastClr="FFFFFF"/>
      </a:lt1>
      <a:dk2>
        <a:srgbClr val="4B180E"/>
      </a:dk2>
      <a:lt2>
        <a:srgbClr val="F1F2E8"/>
      </a:lt2>
      <a:accent1>
        <a:srgbClr val="A53423"/>
      </a:accent1>
      <a:accent2>
        <a:srgbClr val="E68130"/>
      </a:accent2>
      <a:accent3>
        <a:srgbClr val="9BB05D"/>
      </a:accent3>
      <a:accent4>
        <a:srgbClr val="CC9900"/>
      </a:accent4>
      <a:accent5>
        <a:srgbClr val="4F66AF"/>
      </a:accent5>
      <a:accent6>
        <a:srgbClr val="D0D2D3"/>
      </a:accent6>
      <a:hlink>
        <a:srgbClr val="4F66AF"/>
      </a:hlink>
      <a:folHlink>
        <a:srgbClr val="6B9AC6"/>
      </a:folHlink>
    </a:clrScheme>
    <a:fontScheme name="Employee Absence Schedul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89999084444715716"/>
  </sheetPr>
  <dimension ref="A1:AH12"/>
  <sheetViews>
    <sheetView showGridLines="0" rightToLeft="1" zoomScaleNormal="100" workbookViewId="0">
      <selection activeCell="B7" sqref="B7:B11"/>
    </sheetView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7"/>
      <c r="B1" s="8" t="s">
        <v>0</v>
      </c>
    </row>
    <row r="2" spans="1:34" ht="15" customHeight="1" x14ac:dyDescent="0.2"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/>
      <c r="N2" s="30" t="s">
        <v>28</v>
      </c>
      <c r="O2" s="30"/>
      <c r="P2" s="15"/>
      <c r="Q2" s="30" t="s">
        <v>33</v>
      </c>
      <c r="R2" s="30"/>
    </row>
    <row r="3" spans="1:34" ht="15" customHeight="1" x14ac:dyDescent="0.2">
      <c r="AH3" s="16" t="s">
        <v>49</v>
      </c>
    </row>
    <row r="4" spans="1:34" ht="30" customHeight="1" x14ac:dyDescent="0.2">
      <c r="B4" s="17" t="s">
        <v>2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v>2016</v>
      </c>
    </row>
    <row r="5" spans="1:34" ht="15" customHeight="1" x14ac:dyDescent="0.2">
      <c r="B5" s="17"/>
      <c r="C5" s="18" t="str">
        <f>TEXT(WEEKDAY(DATE(CalendarYear,1,1),1),"aaa")</f>
        <v>الجمعة</v>
      </c>
      <c r="D5" s="18" t="str">
        <f>TEXT(WEEKDAY(DATE(CalendarYear,1,2),1),"aaa")</f>
        <v>السبت</v>
      </c>
      <c r="E5" s="18" t="str">
        <f>TEXT(WEEKDAY(DATE(CalendarYear,1,3),1),"aaa")</f>
        <v>الأحد</v>
      </c>
      <c r="F5" s="18" t="str">
        <f>TEXT(WEEKDAY(DATE(CalendarYear,1,4),1),"aaa")</f>
        <v>الإثنين</v>
      </c>
      <c r="G5" s="18" t="str">
        <f>TEXT(WEEKDAY(DATE(CalendarYear,1,5),1),"aaa")</f>
        <v>الثلاثاء</v>
      </c>
      <c r="H5" s="18" t="str">
        <f>TEXT(WEEKDAY(DATE(CalendarYear,1,6),1),"aaa")</f>
        <v>الأربعاء</v>
      </c>
      <c r="I5" s="18" t="str">
        <f>TEXT(WEEKDAY(DATE(CalendarYear,1,7),1),"aaa")</f>
        <v>الخميس</v>
      </c>
      <c r="J5" s="18" t="str">
        <f>TEXT(WEEKDAY(DATE(CalendarYear,1,8),1),"aaa")</f>
        <v>الجمعة</v>
      </c>
      <c r="K5" s="18" t="str">
        <f>TEXT(WEEKDAY(DATE(CalendarYear,1,9),1),"aaa")</f>
        <v>السبت</v>
      </c>
      <c r="L5" s="18" t="str">
        <f>TEXT(WEEKDAY(DATE(CalendarYear,1,10),1),"aaa")</f>
        <v>الأحد</v>
      </c>
      <c r="M5" s="18" t="str">
        <f>TEXT(WEEKDAY(DATE(CalendarYear,1,11),1),"aaa")</f>
        <v>الإثنين</v>
      </c>
      <c r="N5" s="18" t="str">
        <f>TEXT(WEEKDAY(DATE(CalendarYear,1,12),1),"aaa")</f>
        <v>الثلاثاء</v>
      </c>
      <c r="O5" s="18" t="str">
        <f>TEXT(WEEKDAY(DATE(CalendarYear,1,13),1),"aaa")</f>
        <v>الأربعاء</v>
      </c>
      <c r="P5" s="18" t="str">
        <f>TEXT(WEEKDAY(DATE(CalendarYear,1,14),1),"aaa")</f>
        <v>الخميس</v>
      </c>
      <c r="Q5" s="18" t="str">
        <f>TEXT(WEEKDAY(DATE(CalendarYear,1,15),1),"aaa")</f>
        <v>الجمعة</v>
      </c>
      <c r="R5" s="18" t="str">
        <f>TEXT(WEEKDAY(DATE(CalendarYear,1,16),1),"aaa")</f>
        <v>السبت</v>
      </c>
      <c r="S5" s="18" t="str">
        <f>TEXT(WEEKDAY(DATE(CalendarYear,1,17),1),"aaa")</f>
        <v>الأحد</v>
      </c>
      <c r="T5" s="18" t="str">
        <f>TEXT(WEEKDAY(DATE(CalendarYear,1,18),1),"aaa")</f>
        <v>الإثنين</v>
      </c>
      <c r="U5" s="18" t="str">
        <f>TEXT(WEEKDAY(DATE(CalendarYear,1,19),1),"aaa")</f>
        <v>الثلاثاء</v>
      </c>
      <c r="V5" s="18" t="str">
        <f>TEXT(WEEKDAY(DATE(CalendarYear,1,20),1),"aaa")</f>
        <v>الأربعاء</v>
      </c>
      <c r="W5" s="18" t="str">
        <f>TEXT(WEEKDAY(DATE(CalendarYear,1,21),1),"aaa")</f>
        <v>الخميس</v>
      </c>
      <c r="X5" s="18" t="str">
        <f>TEXT(WEEKDAY(DATE(CalendarYear,1,22),1),"aaa")</f>
        <v>الجمعة</v>
      </c>
      <c r="Y5" s="18" t="str">
        <f>TEXT(WEEKDAY(DATE(CalendarYear,1,23),1),"aaa")</f>
        <v>السبت</v>
      </c>
      <c r="Z5" s="18" t="str">
        <f>TEXT(WEEKDAY(DATE(CalendarYear,1,24),1),"aaa")</f>
        <v>الأحد</v>
      </c>
      <c r="AA5" s="18" t="str">
        <f>TEXT(WEEKDAY(DATE(CalendarYear,1,25),1),"aaa")</f>
        <v>الإثنين</v>
      </c>
      <c r="AB5" s="18" t="str">
        <f>TEXT(WEEKDAY(DATE(CalendarYear,1,26),1),"aaa")</f>
        <v>الثلاثاء</v>
      </c>
      <c r="AC5" s="18" t="str">
        <f>TEXT(WEEKDAY(DATE(CalendarYear,1,27),1),"aaa")</f>
        <v>الأربعاء</v>
      </c>
      <c r="AD5" s="18" t="str">
        <f>TEXT(WEEKDAY(DATE(CalendarYear,1,28),1),"aaa")</f>
        <v>الخميس</v>
      </c>
      <c r="AE5" s="18" t="str">
        <f>TEXT(WEEKDAY(DATE(CalendarYear,1,29),1),"aaa")</f>
        <v>الجمعة</v>
      </c>
      <c r="AF5" s="18" t="str">
        <f>TEXT(WEEKDAY(DATE(CalendarYear,1,30),1),"aaa")</f>
        <v>السبت</v>
      </c>
      <c r="AG5" s="18" t="str">
        <f>TEXT(WEEKDAY(DATE(CalendarYear,1,31),1),"aaa")</f>
        <v>الأحد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4" t="s">
        <v>4</v>
      </c>
      <c r="C7" s="4"/>
      <c r="D7" s="4"/>
      <c r="E7" s="4" t="s">
        <v>9</v>
      </c>
      <c r="F7" s="4" t="s">
        <v>9</v>
      </c>
      <c r="G7" s="4" t="s">
        <v>9</v>
      </c>
      <c r="H7" s="4" t="s">
        <v>9</v>
      </c>
      <c r="I7" s="4"/>
      <c r="J7" s="4"/>
      <c r="K7" s="4"/>
      <c r="L7" s="4"/>
      <c r="M7" s="4"/>
      <c r="N7" s="4"/>
      <c r="O7" s="4" t="s">
        <v>9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COUNTA(يناير!$C7:$AG7)</f>
        <v>5</v>
      </c>
    </row>
    <row r="8" spans="1:34" ht="30" customHeight="1" x14ac:dyDescent="0.2">
      <c r="B8" s="24" t="s">
        <v>5</v>
      </c>
      <c r="C8" s="4"/>
      <c r="D8" s="4"/>
      <c r="E8" s="4"/>
      <c r="F8" s="4"/>
      <c r="G8" s="4" t="s">
        <v>17</v>
      </c>
      <c r="H8" s="4" t="s">
        <v>17</v>
      </c>
      <c r="I8" s="4"/>
      <c r="J8" s="4"/>
      <c r="K8" s="4"/>
      <c r="L8" s="4"/>
      <c r="M8" s="4" t="s">
        <v>15</v>
      </c>
      <c r="N8" s="4"/>
      <c r="O8" s="4"/>
      <c r="P8" s="4"/>
      <c r="Q8" s="4"/>
      <c r="R8" s="4"/>
      <c r="S8" s="4"/>
      <c r="T8" s="4"/>
      <c r="U8" s="4"/>
      <c r="V8" s="4" t="s">
        <v>17</v>
      </c>
      <c r="W8" s="4"/>
      <c r="X8" s="4"/>
      <c r="Y8" s="4"/>
      <c r="Z8" s="4"/>
      <c r="AA8" s="4" t="s">
        <v>9</v>
      </c>
      <c r="AB8" s="4" t="s">
        <v>9</v>
      </c>
      <c r="AC8" s="4" t="s">
        <v>9</v>
      </c>
      <c r="AD8" s="4"/>
      <c r="AE8" s="4"/>
      <c r="AF8" s="4"/>
      <c r="AG8" s="4"/>
      <c r="AH8" s="5">
        <f>COUNTA(يناير!$C8:$AG8)</f>
        <v>7</v>
      </c>
    </row>
    <row r="9" spans="1:34" ht="30" customHeight="1" x14ac:dyDescent="0.2">
      <c r="B9" s="24" t="s">
        <v>6</v>
      </c>
      <c r="C9" s="4"/>
      <c r="D9" s="4"/>
      <c r="E9" s="4" t="s">
        <v>15</v>
      </c>
      <c r="F9" s="4"/>
      <c r="G9" s="4"/>
      <c r="H9" s="4"/>
      <c r="I9" s="4"/>
      <c r="J9" s="4"/>
      <c r="K9" s="4"/>
      <c r="L9" s="4"/>
      <c r="M9" s="4"/>
      <c r="N9" s="4"/>
      <c r="O9" s="4"/>
      <c r="P9" s="4" t="s">
        <v>17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 t="s">
        <v>17</v>
      </c>
      <c r="AF9" s="4"/>
      <c r="AG9" s="4"/>
      <c r="AH9" s="5">
        <f>COUNTA(يناير!$C9:$AG9)</f>
        <v>3</v>
      </c>
    </row>
    <row r="10" spans="1:34" ht="30" customHeight="1" x14ac:dyDescent="0.2">
      <c r="B10" s="24" t="s">
        <v>7</v>
      </c>
      <c r="C10" s="4"/>
      <c r="D10" s="4"/>
      <c r="E10" s="4"/>
      <c r="F10" s="4"/>
      <c r="G10" s="4"/>
      <c r="H10" s="4"/>
      <c r="I10" s="4" t="s">
        <v>15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 t="s">
        <v>9</v>
      </c>
      <c r="V10" s="4" t="s">
        <v>9</v>
      </c>
      <c r="W10" s="4" t="s">
        <v>9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COUNTA(يناير!$C10:$AG10)</f>
        <v>4</v>
      </c>
    </row>
    <row r="11" spans="1:34" ht="30" customHeight="1" x14ac:dyDescent="0.2">
      <c r="B11" s="24" t="s">
        <v>8</v>
      </c>
      <c r="C11" s="4"/>
      <c r="D11" s="4"/>
      <c r="E11" s="4"/>
      <c r="F11" s="4" t="s">
        <v>17</v>
      </c>
      <c r="G11" s="4" t="s">
        <v>9</v>
      </c>
      <c r="H11" s="4" t="s">
        <v>9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 t="s">
        <v>17</v>
      </c>
      <c r="T11" s="4"/>
      <c r="U11" s="4"/>
      <c r="V11" s="4"/>
      <c r="W11" s="4"/>
      <c r="X11" s="4"/>
      <c r="Y11" s="4"/>
      <c r="Z11" s="4" t="s">
        <v>17</v>
      </c>
      <c r="AA11" s="4"/>
      <c r="AB11" s="4"/>
      <c r="AC11" s="4"/>
      <c r="AD11" s="4"/>
      <c r="AE11" s="4"/>
      <c r="AF11" s="4"/>
      <c r="AG11" s="4" t="s">
        <v>9</v>
      </c>
      <c r="AH11" s="5">
        <f>COUNTA(يناير!$C11:$AG11)</f>
        <v>6</v>
      </c>
    </row>
    <row r="12" spans="1:34" ht="30" customHeight="1" x14ac:dyDescent="0.2">
      <c r="B12" s="23" t="str">
        <f>MonthName&amp;" الإجمالي"</f>
        <v>يناير الإجمالي</v>
      </c>
      <c r="C12" s="6">
        <f>SUBTOTAL(103,يناير!$C$7:$C$11)</f>
        <v>0</v>
      </c>
      <c r="D12" s="6">
        <f>SUBTOTAL(103,يناير!$D$7:$D$11)</f>
        <v>0</v>
      </c>
      <c r="E12" s="6">
        <f>SUBTOTAL(103,يناير!$E$7:$E$11)</f>
        <v>2</v>
      </c>
      <c r="F12" s="6">
        <f>SUBTOTAL(103,يناير!$F$7:$F$11)</f>
        <v>2</v>
      </c>
      <c r="G12" s="6">
        <f>SUBTOTAL(103,يناير!$G$7:$G$11)</f>
        <v>3</v>
      </c>
      <c r="H12" s="6">
        <f>SUBTOTAL(103,يناير!$H$7:$H$11)</f>
        <v>3</v>
      </c>
      <c r="I12" s="6">
        <f>SUBTOTAL(103,يناير!$I$7:$I$11)</f>
        <v>1</v>
      </c>
      <c r="J12" s="6">
        <f>SUBTOTAL(103,يناير!$J$7:$J$11)</f>
        <v>0</v>
      </c>
      <c r="K12" s="6">
        <f>SUBTOTAL(103,يناير!$K$7:$K$11)</f>
        <v>0</v>
      </c>
      <c r="L12" s="6">
        <f>SUBTOTAL(103,يناير!$L$7:$L$11)</f>
        <v>0</v>
      </c>
      <c r="M12" s="6">
        <f>SUBTOTAL(103,يناير!$M$7:$M$11)</f>
        <v>1</v>
      </c>
      <c r="N12" s="6">
        <f>SUBTOTAL(103,يناير!$N$7:$N$11)</f>
        <v>0</v>
      </c>
      <c r="O12" s="6">
        <f>SUBTOTAL(103,يناير!$O$7:$O$11)</f>
        <v>1</v>
      </c>
      <c r="P12" s="6">
        <f>SUBTOTAL(103,يناير!$P$7:$P$11)</f>
        <v>1</v>
      </c>
      <c r="Q12" s="6">
        <f>SUBTOTAL(103,يناير!$Q$7:$Q$11)</f>
        <v>0</v>
      </c>
      <c r="R12" s="6">
        <f>SUBTOTAL(103,يناير!$R$7:$R$11)</f>
        <v>0</v>
      </c>
      <c r="S12" s="6">
        <f>SUBTOTAL(103,يناير!$S$7:$S$11)</f>
        <v>1</v>
      </c>
      <c r="T12" s="6">
        <f>SUBTOTAL(103,يناير!$T$7:$T$11)</f>
        <v>0</v>
      </c>
      <c r="U12" s="6">
        <f>SUBTOTAL(103,يناير!$U$7:$U$11)</f>
        <v>1</v>
      </c>
      <c r="V12" s="6">
        <f>SUBTOTAL(103,يناير!$V$7:$V$11)</f>
        <v>2</v>
      </c>
      <c r="W12" s="6">
        <f>SUBTOTAL(103,يناير!$W$7:$W$11)</f>
        <v>1</v>
      </c>
      <c r="X12" s="6">
        <f>SUBTOTAL(103,يناير!$X$7:$X$11)</f>
        <v>0</v>
      </c>
      <c r="Y12" s="6">
        <f>SUBTOTAL(103,يناير!$Y$7:$Y$11)</f>
        <v>0</v>
      </c>
      <c r="Z12" s="6">
        <f>SUBTOTAL(103,يناير!$Z$7:$Z$11)</f>
        <v>1</v>
      </c>
      <c r="AA12" s="6">
        <f>SUBTOTAL(103,يناير!$AA$7:$AA$11)</f>
        <v>1</v>
      </c>
      <c r="AB12" s="6">
        <f>SUBTOTAL(103,يناير!$AB$7:$AB$11)</f>
        <v>1</v>
      </c>
      <c r="AC12" s="6">
        <f>SUBTOTAL(103,يناير!$AC$7:$AC$11)</f>
        <v>1</v>
      </c>
      <c r="AD12" s="6">
        <f>SUBTOTAL(103,يناير!$AD$7:$AD$11)</f>
        <v>0</v>
      </c>
      <c r="AE12" s="6">
        <f>SUBTOTAL(103,يناير!$AE$7:$AE$11)</f>
        <v>1</v>
      </c>
      <c r="AF12" s="6">
        <f>SUBTOTAL(103,يناير!$AF$7:$AF$11)</f>
        <v>0</v>
      </c>
      <c r="AG12" s="6">
        <f>SUBTOTAL(103,يناير!$AG$7:$AG$11)</f>
        <v>1</v>
      </c>
      <c r="AH12" s="6">
        <f>SUBTOTAL(109,يناير[إجمالي الأيام])</f>
        <v>25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  <cfRule type="expression" dxfId="894" priority="6" stopIfTrue="1">
      <formula>C7=KeyCustom2</formula>
    </cfRule>
    <cfRule type="expression" dxfId="893" priority="7" stopIfTrue="1">
      <formula>C7=KeyCustom1</formula>
    </cfRule>
    <cfRule type="expression" dxfId="892" priority="8" stopIfTrue="1">
      <formula>C7=KeySick</formula>
    </cfRule>
    <cfRule type="expression" dxfId="891" priority="9" stopIfTrue="1">
      <formula>C7=KeyPersonal</formula>
    </cfRule>
    <cfRule type="expression" dxfId="890" priority="10" stopIfTrue="1">
      <formula>C7=KeyVacation</formula>
    </cfRule>
  </conditionalFormatting>
  <conditionalFormatting sqref="AH7:AH11">
    <cfRule type="dataBar" priority="168">
      <dataBar>
        <cfvo type="num" val="0"/>
        <cfvo type="num" val="31"/>
        <color theme="2" tint="-0.249977111117893"/>
      </dataBar>
      <extLst>
        <ext xmlns:x14="http://schemas.microsoft.com/office/spreadsheetml/2009/9/main" uri="{B025F937-C7B1-47D3-B67F-A62EFF666E3E}">
          <x14:id>{ECCE2C3C-1B01-4700-B60E-DAAAB19A9C1A}</x14:id>
        </ext>
      </extLst>
    </cfRule>
  </conditionalFormatting>
  <dataValidations count="15">
    <dataValidation allowBlank="1" showInputMessage="1" showErrorMessage="1" prompt="أدخل السنة في هذه الخلية" sqref="AH4" xr:uid="{00000000-0002-0000-0000-000000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000-000001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000-000002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000-000003000000}"/>
    <dataValidation allowBlank="1" showInputMessage="1" showErrorMessage="1" prompt="يتم حساب إجمالي عدد أيام غياب موظف هذا الشهر" sqref="AH6" xr:uid="{00000000-0002-0000-0000-000004000000}"/>
    <dataValidation allowBlank="1" showInputMessage="1" showErrorMessage="1" prompt="يوجد عنوان ورقة العمل في هذه الخلية. قم بتحديث العنوان وسينطبق التحديث تلقائياً على كل ورقة عمل" sqref="B1" xr:uid="{00000000-0002-0000-0000-000005000000}"/>
    <dataValidation allowBlank="1" showInputMessage="1" showErrorMessage="1" prompt="شهر جدول الغياب هذا. قم بتحديث السنة في الخلية AH4. تعقب الإجماليات حسب الشهر في الخلية الأخيرة للجدول. أدخل أسماء الموظفين في العمود B للجدول" sqref="B4" xr:uid="{00000000-0002-0000-0000-000006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000-000007000000}"/>
    <dataValidation allowBlank="1" showInputMessage="1" showErrorMessage="1" prompt="الحرف &quot;ع&quot; يشير إلى الغياب بسبب قضاء عطلة" sqref="C2" xr:uid="{00000000-0002-0000-0000-000008000000}"/>
    <dataValidation allowBlank="1" showInputMessage="1" showErrorMessage="1" prompt="الحرف &quot;ش&quot; يشير إلى الغياب لأسباب شخصية" sqref="F2" xr:uid="{00000000-0002-0000-0000-000009000000}"/>
    <dataValidation allowBlank="1" showInputMessage="1" showErrorMessage="1" prompt="الحرف &quot;م&quot; يشير إلى الغياب بسبب المرض" sqref="J2" xr:uid="{00000000-0002-0000-0000-00000A000000}"/>
    <dataValidation allowBlank="1" showInputMessage="1" showErrorMessage="1" prompt="أدخل حرفاً وخصّص التسمية مباشرة لإضافة عنصر مفتاحي آخر" sqref="M2 P2" xr:uid="{00000000-0002-0000-0000-00000B000000}"/>
    <dataValidation allowBlank="1" showInputMessage="1" showErrorMessage="1" prompt="أدخل تسمية لوصف المفتاح المخصص على اليمين" sqref="N2 Q2" xr:uid="{00000000-0002-0000-0000-00000C000000}"/>
    <dataValidation allowBlank="1" showInputMessage="1" showErrorMessage="1" prompt="يتعقب &quot;جدول غياب الموظفين&quot; غياب الموظفين حسب الأيام لكل شهر. توجد 13 ورقة عمل، 12 لكل شهر من شهور السنة والأخيرة لأسماء الموظفين. تعقب الغياب في شهر يناير في ورقة العمل هذه" sqref="A1" xr:uid="{00000000-0002-0000-0000-00000D000000}"/>
    <dataValidation allowBlank="1" showInputMessage="1" showErrorMessage="1" prompt="أدخل السنة في الخلية الموجودة أدناه" sqref="AH3" xr:uid="{00000000-0002-0000-0000-00000E000000}"/>
  </dataValidations>
  <pageMargins left="0.7" right="0.7" top="0.75" bottom="0.75" header="0.3" footer="0.3"/>
  <pageSetup paperSize="9" fitToHeight="0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CCE2C3C-1B01-4700-B60E-DAAAB19A9C1A}">
            <x14:dataBar minLength="0" maxLength="100">
              <x14:cfvo type="num">
                <xm:f>0</xm:f>
              </x14:cfvo>
              <x14:cfvo type="num">
                <xm:f>31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F000000}">
          <x14:formula1>
            <xm:f>'أسماء الموظفين'!$B$4:$B$220</xm:f>
          </x14:formula1>
          <xm:sqref>B7:B11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 tint="-0.249977111117893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</row>
    <row r="2" spans="1:34" ht="15" customHeight="1" x14ac:dyDescent="0.2"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/>
      <c r="N2" s="30" t="s">
        <v>28</v>
      </c>
      <c r="O2" s="30"/>
      <c r="P2" s="15"/>
      <c r="Q2" s="30" t="s">
        <v>33</v>
      </c>
      <c r="R2" s="30"/>
    </row>
    <row r="3" spans="1:34" ht="15" customHeight="1" x14ac:dyDescent="0.2">
      <c r="B3" s="21"/>
    </row>
    <row r="4" spans="1:34" ht="30" customHeight="1" x14ac:dyDescent="0.2">
      <c r="B4" s="17" t="s">
        <v>61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f>CalendarYear</f>
        <v>2016</v>
      </c>
    </row>
    <row r="5" spans="1:34" ht="15" customHeight="1" x14ac:dyDescent="0.2">
      <c r="B5" s="17"/>
      <c r="C5" s="18" t="str">
        <f>TEXT(WEEKDAY(DATE(CalendarYear,10,1),1),"aaa")</f>
        <v>السبت</v>
      </c>
      <c r="D5" s="18" t="str">
        <f>TEXT(WEEKDAY(DATE(CalendarYear,10,2),1),"aaa")</f>
        <v>الأحد</v>
      </c>
      <c r="E5" s="18" t="str">
        <f>TEXT(WEEKDAY(DATE(CalendarYear,10,3),1),"aaa")</f>
        <v>الإثنين</v>
      </c>
      <c r="F5" s="18" t="str">
        <f>TEXT(WEEKDAY(DATE(CalendarYear,10,4),1),"aaa")</f>
        <v>الثلاثاء</v>
      </c>
      <c r="G5" s="18" t="str">
        <f>TEXT(WEEKDAY(DATE(CalendarYear,10,5),1),"aaa")</f>
        <v>الأربعاء</v>
      </c>
      <c r="H5" s="18" t="str">
        <f>TEXT(WEEKDAY(DATE(CalendarYear,10,6),1),"aaa")</f>
        <v>الخميس</v>
      </c>
      <c r="I5" s="18" t="str">
        <f>TEXT(WEEKDAY(DATE(CalendarYear,10,7),1),"aaa")</f>
        <v>الجمعة</v>
      </c>
      <c r="J5" s="18" t="str">
        <f>TEXT(WEEKDAY(DATE(CalendarYear,10,8),1),"aaa")</f>
        <v>السبت</v>
      </c>
      <c r="K5" s="18" t="str">
        <f>TEXT(WEEKDAY(DATE(CalendarYear,10,9),1),"aaa")</f>
        <v>الأحد</v>
      </c>
      <c r="L5" s="18" t="str">
        <f>TEXT(WEEKDAY(DATE(CalendarYear,10,10),1),"aaa")</f>
        <v>الإثنين</v>
      </c>
      <c r="M5" s="18" t="str">
        <f>TEXT(WEEKDAY(DATE(CalendarYear,10,11),1),"aaa")</f>
        <v>الثلاثاء</v>
      </c>
      <c r="N5" s="18" t="str">
        <f>TEXT(WEEKDAY(DATE(CalendarYear,10,12),1),"aaa")</f>
        <v>الأربعاء</v>
      </c>
      <c r="O5" s="18" t="str">
        <f>TEXT(WEEKDAY(DATE(CalendarYear,10,13),1),"aaa")</f>
        <v>الخميس</v>
      </c>
      <c r="P5" s="18" t="str">
        <f>TEXT(WEEKDAY(DATE(CalendarYear,10,14),1),"aaa")</f>
        <v>الجمعة</v>
      </c>
      <c r="Q5" s="18" t="str">
        <f>TEXT(WEEKDAY(DATE(CalendarYear,10,15),1),"aaa")</f>
        <v>السبت</v>
      </c>
      <c r="R5" s="18" t="str">
        <f>TEXT(WEEKDAY(DATE(CalendarYear,10,16),1),"aaa")</f>
        <v>الأحد</v>
      </c>
      <c r="S5" s="18" t="str">
        <f>TEXT(WEEKDAY(DATE(CalendarYear,10,17),1),"aaa")</f>
        <v>الإثنين</v>
      </c>
      <c r="T5" s="18" t="str">
        <f>TEXT(WEEKDAY(DATE(CalendarYear,10,18),1),"aaa")</f>
        <v>الثلاثاء</v>
      </c>
      <c r="U5" s="18" t="str">
        <f>TEXT(WEEKDAY(DATE(CalendarYear,10,19),1),"aaa")</f>
        <v>الأربعاء</v>
      </c>
      <c r="V5" s="18" t="str">
        <f>TEXT(WEEKDAY(DATE(CalendarYear,10,20),1),"aaa")</f>
        <v>الخميس</v>
      </c>
      <c r="W5" s="18" t="str">
        <f>TEXT(WEEKDAY(DATE(CalendarYear,10,21),1),"aaa")</f>
        <v>الجمعة</v>
      </c>
      <c r="X5" s="18" t="str">
        <f>TEXT(WEEKDAY(DATE(CalendarYear,10,22),1),"aaa")</f>
        <v>السبت</v>
      </c>
      <c r="Y5" s="18" t="str">
        <f>TEXT(WEEKDAY(DATE(CalendarYear,10,23),1),"aaa")</f>
        <v>الأحد</v>
      </c>
      <c r="Z5" s="18" t="str">
        <f>TEXT(WEEKDAY(DATE(CalendarYear,10,24),1),"aaa")</f>
        <v>الإثنين</v>
      </c>
      <c r="AA5" s="18" t="str">
        <f>TEXT(WEEKDAY(DATE(CalendarYear,10,25),1),"aaa")</f>
        <v>الثلاثاء</v>
      </c>
      <c r="AB5" s="18" t="str">
        <f>TEXT(WEEKDAY(DATE(CalendarYear,10,26),1),"aaa")</f>
        <v>الأربعاء</v>
      </c>
      <c r="AC5" s="18" t="str">
        <f>TEXT(WEEKDAY(DATE(CalendarYear,10,27),1),"aaa")</f>
        <v>الخميس</v>
      </c>
      <c r="AD5" s="18" t="str">
        <f>TEXT(WEEKDAY(DATE(CalendarYear,10,28),1),"aaa")</f>
        <v>الجمعة</v>
      </c>
      <c r="AE5" s="18" t="str">
        <f>TEXT(WEEKDAY(DATE(CalendarYear,10,29),1),"aaa")</f>
        <v>السبت</v>
      </c>
      <c r="AF5" s="18" t="str">
        <f>TEXT(WEEKDAY(DATE(CalendarYear,10,30),1),"aaa")</f>
        <v>الأحد</v>
      </c>
      <c r="AG5" s="18" t="str">
        <f>TEXT(WEEKDAY(DATE(CalendarYear,10,31),1),"aaa")</f>
        <v>الإثنين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COUNTA(أكتوبر[[#This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COUNTA(أكتوبر[[#This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COUNTA(أكتوبر[[#This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COUNTA(أكتوبر[[#This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COUNTA(أكتوبر[[#This Row],[1]:[31]])</f>
        <v>0</v>
      </c>
    </row>
    <row r="12" spans="1:34" ht="30" customHeight="1" x14ac:dyDescent="0.2">
      <c r="B12" s="23" t="str">
        <f>MonthName&amp;" الإجمالي"</f>
        <v>أكتوبر الإجمالي</v>
      </c>
      <c r="C12" s="6">
        <f>SUBTOTAL(103,أكتوبر[1])</f>
        <v>0</v>
      </c>
      <c r="D12" s="6">
        <f>SUBTOTAL(103,أكتوبر[2])</f>
        <v>0</v>
      </c>
      <c r="E12" s="6">
        <f>SUBTOTAL(103,أكتوبر[3])</f>
        <v>0</v>
      </c>
      <c r="F12" s="6">
        <f>SUBTOTAL(103,أكتوبر[4])</f>
        <v>0</v>
      </c>
      <c r="G12" s="6">
        <f>SUBTOTAL(103,أكتوبر[5])</f>
        <v>0</v>
      </c>
      <c r="H12" s="6">
        <f>SUBTOTAL(103,أكتوبر[6])</f>
        <v>0</v>
      </c>
      <c r="I12" s="6">
        <f>SUBTOTAL(103,أكتوبر[7])</f>
        <v>0</v>
      </c>
      <c r="J12" s="6">
        <f>SUBTOTAL(103,أكتوبر[8])</f>
        <v>0</v>
      </c>
      <c r="K12" s="6">
        <f>SUBTOTAL(103,أكتوبر[9])</f>
        <v>0</v>
      </c>
      <c r="L12" s="6">
        <f>SUBTOTAL(103,أكتوبر[10])</f>
        <v>0</v>
      </c>
      <c r="M12" s="6">
        <f>SUBTOTAL(103,أكتوبر[11])</f>
        <v>0</v>
      </c>
      <c r="N12" s="6">
        <f>SUBTOTAL(103,أكتوبر[12])</f>
        <v>0</v>
      </c>
      <c r="O12" s="6">
        <f>SUBTOTAL(103,أكتوبر[13])</f>
        <v>0</v>
      </c>
      <c r="P12" s="6">
        <f>SUBTOTAL(103,أكتوبر[14])</f>
        <v>0</v>
      </c>
      <c r="Q12" s="6">
        <f>SUBTOTAL(103,أكتوبر[15])</f>
        <v>0</v>
      </c>
      <c r="R12" s="6">
        <f>SUBTOTAL(103,أكتوبر[16])</f>
        <v>0</v>
      </c>
      <c r="S12" s="6">
        <f>SUBTOTAL(103,أكتوبر[17])</f>
        <v>0</v>
      </c>
      <c r="T12" s="6">
        <f>SUBTOTAL(103,أكتوبر[18])</f>
        <v>0</v>
      </c>
      <c r="U12" s="6">
        <f>SUBTOTAL(103,أكتوبر[19])</f>
        <v>0</v>
      </c>
      <c r="V12" s="6">
        <f>SUBTOTAL(103,أكتوبر[20])</f>
        <v>0</v>
      </c>
      <c r="W12" s="6">
        <f>SUBTOTAL(103,أكتوبر[21])</f>
        <v>0</v>
      </c>
      <c r="X12" s="6">
        <f>SUBTOTAL(103,أكتوبر[22])</f>
        <v>0</v>
      </c>
      <c r="Y12" s="6">
        <f>SUBTOTAL(103,أكتوبر[23])</f>
        <v>0</v>
      </c>
      <c r="Z12" s="6">
        <f>SUBTOTAL(103,أكتوبر[24])</f>
        <v>0</v>
      </c>
      <c r="AA12" s="6">
        <f>SUBTOTAL(103,أكتوبر[25])</f>
        <v>0</v>
      </c>
      <c r="AB12" s="6">
        <f>SUBTOTAL(103,أكتوبر[26])</f>
        <v>0</v>
      </c>
      <c r="AC12" s="6">
        <f>SUBTOTAL(103,أكتوبر[27])</f>
        <v>0</v>
      </c>
      <c r="AD12" s="6">
        <f>SUBTOTAL(103,أكتوبر[28])</f>
        <v>0</v>
      </c>
      <c r="AE12" s="6">
        <f>SUBTOTAL(103,أكتوبر[29])</f>
        <v>0</v>
      </c>
      <c r="AF12" s="6">
        <f>SUBTOTAL(109,أكتوبر[30])</f>
        <v>0</v>
      </c>
      <c r="AG12" s="6">
        <f>SUBTOTAL(109,أكتوبر[31])</f>
        <v>0</v>
      </c>
      <c r="AH12" s="6">
        <f>SUBTOTAL(109,أكتوبر[إجمالي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292" priority="2" stopIfTrue="1">
      <formula>C7=KeyCustom2</formula>
    </cfRule>
    <cfRule type="expression" dxfId="291" priority="3" stopIfTrue="1">
      <formula>C7=KeyCustom1</formula>
    </cfRule>
    <cfRule type="expression" dxfId="290" priority="4" stopIfTrue="1">
      <formula>C7=KeySick</formula>
    </cfRule>
    <cfRule type="expression" dxfId="289" priority="5" stopIfTrue="1">
      <formula>C7=KeyPersonal</formula>
    </cfRule>
    <cfRule type="expression" dxfId="288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{F32A08EA-50E8-4B5F-AB1F-5A7739FBC16C}</x14:id>
        </ext>
      </extLst>
    </cfRule>
  </conditionalFormatting>
  <dataValidations count="14"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900-000000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900-000001000000}"/>
    <dataValidation allowBlank="1" showInputMessage="1" showErrorMessage="1" prompt="يتم حساب إجمالي عدد أيام غياب موظف هذا الشهر في هذا العمود تلقائياً" sqref="AH6" xr:uid="{00000000-0002-0000-0900-000002000000}"/>
    <dataValidation allowBlank="1" showInputMessage="1" showErrorMessage="1" prompt="تعقب الغياب في شهر أكتوبر في ورقة العمل هذه" sqref="A1" xr:uid="{00000000-0002-0000-0900-000003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900-000004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900-000005000000}"/>
    <dataValidation allowBlank="1" showInputMessage="1" showErrorMessage="1" prompt="الحرف &quot;ع&quot; يشير إلى الغياب بسبب قضاء عطلة" sqref="C2" xr:uid="{00000000-0002-0000-0900-000006000000}"/>
    <dataValidation allowBlank="1" showInputMessage="1" showErrorMessage="1" prompt="الحرف &quot;ش&quot; يشير إلى الغياب لأسباب شخصية" sqref="F2" xr:uid="{00000000-0002-0000-0900-000007000000}"/>
    <dataValidation allowBlank="1" showInputMessage="1" showErrorMessage="1" prompt="الحرف &quot;م&quot; يشير إلى الغياب بسبب المرض" sqref="J2" xr:uid="{00000000-0002-0000-0900-000008000000}"/>
    <dataValidation allowBlank="1" showInputMessage="1" showErrorMessage="1" prompt="أدخل حرفاً وخصّص التسمية مباشرة لإضافة عنصر مفتاحي آخر" sqref="M2 P2" xr:uid="{00000000-0002-0000-0900-000009000000}"/>
    <dataValidation allowBlank="1" showInputMessage="1" showErrorMessage="1" prompt="أدخل تسمية لوصف المفتاح المخصص على اليمين" sqref="N2 Q2" xr:uid="{00000000-0002-0000-0900-00000A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900-00000B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9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9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2A08EA-50E8-4B5F-AB1F-5A7739FBC16C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 tint="-0.249977111117893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</row>
    <row r="2" spans="1:34" ht="15" customHeight="1" x14ac:dyDescent="0.2"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/>
      <c r="N2" s="30" t="s">
        <v>28</v>
      </c>
      <c r="O2" s="30"/>
      <c r="P2" s="15"/>
      <c r="Q2" s="30" t="s">
        <v>33</v>
      </c>
      <c r="R2" s="30"/>
    </row>
    <row r="3" spans="1:34" ht="15" customHeight="1" x14ac:dyDescent="0.2">
      <c r="B3" s="21"/>
    </row>
    <row r="4" spans="1:34" ht="30" customHeight="1" x14ac:dyDescent="0.2">
      <c r="B4" s="17" t="s">
        <v>62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f>CalendarYear</f>
        <v>2016</v>
      </c>
    </row>
    <row r="5" spans="1:34" ht="15" customHeight="1" x14ac:dyDescent="0.2">
      <c r="B5" s="17"/>
      <c r="C5" s="18" t="str">
        <f>TEXT(WEEKDAY(DATE(CalendarYear,11,1),1),"aaa")</f>
        <v>الثلاثاء</v>
      </c>
      <c r="D5" s="18" t="str">
        <f>TEXT(WEEKDAY(DATE(CalendarYear,11,2),1),"aaa")</f>
        <v>الأربعاء</v>
      </c>
      <c r="E5" s="18" t="str">
        <f>TEXT(WEEKDAY(DATE(CalendarYear,11,3),1),"aaa")</f>
        <v>الخميس</v>
      </c>
      <c r="F5" s="18" t="str">
        <f>TEXT(WEEKDAY(DATE(CalendarYear,11,4),1),"aaa")</f>
        <v>الجمعة</v>
      </c>
      <c r="G5" s="18" t="str">
        <f>TEXT(WEEKDAY(DATE(CalendarYear,11,5),1),"aaa")</f>
        <v>السبت</v>
      </c>
      <c r="H5" s="18" t="str">
        <f>TEXT(WEEKDAY(DATE(CalendarYear,11,6),1),"aaa")</f>
        <v>الأحد</v>
      </c>
      <c r="I5" s="18" t="str">
        <f>TEXT(WEEKDAY(DATE(CalendarYear,11,7),1),"aaa")</f>
        <v>الإثنين</v>
      </c>
      <c r="J5" s="18" t="str">
        <f>TEXT(WEEKDAY(DATE(CalendarYear,11,8),1),"aaa")</f>
        <v>الثلاثاء</v>
      </c>
      <c r="K5" s="18" t="str">
        <f>TEXT(WEEKDAY(DATE(CalendarYear,11,9),1),"aaa")</f>
        <v>الأربعاء</v>
      </c>
      <c r="L5" s="18" t="str">
        <f>TEXT(WEEKDAY(DATE(CalendarYear,11,10),1),"aaa")</f>
        <v>الخميس</v>
      </c>
      <c r="M5" s="18" t="str">
        <f>TEXT(WEEKDAY(DATE(CalendarYear,11,11),1),"aaa")</f>
        <v>الجمعة</v>
      </c>
      <c r="N5" s="18" t="str">
        <f>TEXT(WEEKDAY(DATE(CalendarYear,11,12),1),"aaa")</f>
        <v>السبت</v>
      </c>
      <c r="O5" s="18" t="str">
        <f>TEXT(WEEKDAY(DATE(CalendarYear,11,13),1),"aaa")</f>
        <v>الأحد</v>
      </c>
      <c r="P5" s="18" t="str">
        <f>TEXT(WEEKDAY(DATE(CalendarYear,11,14),1),"aaa")</f>
        <v>الإثنين</v>
      </c>
      <c r="Q5" s="18" t="str">
        <f>TEXT(WEEKDAY(DATE(CalendarYear,11,15),1),"aaa")</f>
        <v>الثلاثاء</v>
      </c>
      <c r="R5" s="18" t="str">
        <f>TEXT(WEEKDAY(DATE(CalendarYear,11,16),1),"aaa")</f>
        <v>الأربعاء</v>
      </c>
      <c r="S5" s="18" t="str">
        <f>TEXT(WEEKDAY(DATE(CalendarYear,11,17),1),"aaa")</f>
        <v>الخميس</v>
      </c>
      <c r="T5" s="18" t="str">
        <f>TEXT(WEEKDAY(DATE(CalendarYear,11,18),1),"aaa")</f>
        <v>الجمعة</v>
      </c>
      <c r="U5" s="18" t="str">
        <f>TEXT(WEEKDAY(DATE(CalendarYear,11,19),1),"aaa")</f>
        <v>السبت</v>
      </c>
      <c r="V5" s="18" t="str">
        <f>TEXT(WEEKDAY(DATE(CalendarYear,11,20),1),"aaa")</f>
        <v>الأحد</v>
      </c>
      <c r="W5" s="18" t="str">
        <f>TEXT(WEEKDAY(DATE(CalendarYear,11,21),1),"aaa")</f>
        <v>الإثنين</v>
      </c>
      <c r="X5" s="18" t="str">
        <f>TEXT(WEEKDAY(DATE(CalendarYear,11,22),1),"aaa")</f>
        <v>الثلاثاء</v>
      </c>
      <c r="Y5" s="18" t="str">
        <f>TEXT(WEEKDAY(DATE(CalendarYear,11,23),1),"aaa")</f>
        <v>الأربعاء</v>
      </c>
      <c r="Z5" s="18" t="str">
        <f>TEXT(WEEKDAY(DATE(CalendarYear,11,24),1),"aaa")</f>
        <v>الخميس</v>
      </c>
      <c r="AA5" s="18" t="str">
        <f>TEXT(WEEKDAY(DATE(CalendarYear,11,25),1),"aaa")</f>
        <v>الجمعة</v>
      </c>
      <c r="AB5" s="18" t="str">
        <f>TEXT(WEEKDAY(DATE(CalendarYear,11,26),1),"aaa")</f>
        <v>السبت</v>
      </c>
      <c r="AC5" s="18" t="str">
        <f>TEXT(WEEKDAY(DATE(CalendarYear,11,27),1),"aaa")</f>
        <v>الأحد</v>
      </c>
      <c r="AD5" s="18" t="str">
        <f>TEXT(WEEKDAY(DATE(CalendarYear,11,28),1),"aaa")</f>
        <v>الإثنين</v>
      </c>
      <c r="AE5" s="18" t="str">
        <f>TEXT(WEEKDAY(DATE(CalendarYear,11,29),1),"aaa")</f>
        <v>الثلاثاء</v>
      </c>
      <c r="AF5" s="18" t="str">
        <f>TEXT(WEEKDAY(DATE(CalendarYear,11,30),1),"aaa")</f>
        <v>الأربعاء</v>
      </c>
      <c r="AG5" s="18"/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COUNTA(نوفمبر[[#This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COUNTA(نوفمبر[[#This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COUNTA(نوفمبر[[#This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COUNTA(نوفمبر[[#This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COUNTA(نوفمبر[[#This Row],[1]:[31]])</f>
        <v>0</v>
      </c>
    </row>
    <row r="12" spans="1:34" ht="30" customHeight="1" x14ac:dyDescent="0.2">
      <c r="B12" s="23" t="str">
        <f>MonthName&amp;" الإجمالي"</f>
        <v>نوفمبر الإجمالي</v>
      </c>
      <c r="C12" s="6">
        <f>SUBTOTAL(103,نوفمبر[1])</f>
        <v>0</v>
      </c>
      <c r="D12" s="6">
        <f>SUBTOTAL(103,نوفمبر[2])</f>
        <v>0</v>
      </c>
      <c r="E12" s="6">
        <f>SUBTOTAL(103,نوفمبر[3])</f>
        <v>0</v>
      </c>
      <c r="F12" s="6">
        <f>SUBTOTAL(103,نوفمبر[4])</f>
        <v>0</v>
      </c>
      <c r="G12" s="6">
        <f>SUBTOTAL(103,نوفمبر[5])</f>
        <v>0</v>
      </c>
      <c r="H12" s="6">
        <f>SUBTOTAL(103,نوفمبر[6])</f>
        <v>0</v>
      </c>
      <c r="I12" s="6">
        <f>SUBTOTAL(103,نوفمبر[7])</f>
        <v>0</v>
      </c>
      <c r="J12" s="6">
        <f>SUBTOTAL(103,نوفمبر[8])</f>
        <v>0</v>
      </c>
      <c r="K12" s="6">
        <f>SUBTOTAL(103,نوفمبر[9])</f>
        <v>0</v>
      </c>
      <c r="L12" s="6">
        <f>SUBTOTAL(103,نوفمبر[10])</f>
        <v>0</v>
      </c>
      <c r="M12" s="6">
        <f>SUBTOTAL(103,نوفمبر[11])</f>
        <v>0</v>
      </c>
      <c r="N12" s="6">
        <f>SUBTOTAL(103,نوفمبر[12])</f>
        <v>0</v>
      </c>
      <c r="O12" s="6">
        <f>SUBTOTAL(103,نوفمبر[13])</f>
        <v>0</v>
      </c>
      <c r="P12" s="6">
        <f>SUBTOTAL(103,نوفمبر[14])</f>
        <v>0</v>
      </c>
      <c r="Q12" s="6">
        <f>SUBTOTAL(103,نوفمبر[15])</f>
        <v>0</v>
      </c>
      <c r="R12" s="6">
        <f>SUBTOTAL(103,نوفمبر[16])</f>
        <v>0</v>
      </c>
      <c r="S12" s="6">
        <f>SUBTOTAL(103,نوفمبر[17])</f>
        <v>0</v>
      </c>
      <c r="T12" s="6">
        <f>SUBTOTAL(103,نوفمبر[18])</f>
        <v>0</v>
      </c>
      <c r="U12" s="6">
        <f>SUBTOTAL(103,نوفمبر[19])</f>
        <v>0</v>
      </c>
      <c r="V12" s="6">
        <f>SUBTOTAL(103,نوفمبر[20])</f>
        <v>0</v>
      </c>
      <c r="W12" s="6">
        <f>SUBTOTAL(103,نوفمبر[21])</f>
        <v>0</v>
      </c>
      <c r="X12" s="6">
        <f>SUBTOTAL(103,نوفمبر[22])</f>
        <v>0</v>
      </c>
      <c r="Y12" s="6">
        <f>SUBTOTAL(103,نوفمبر[23])</f>
        <v>0</v>
      </c>
      <c r="Z12" s="6">
        <f>SUBTOTAL(103,نوفمبر[24])</f>
        <v>0</v>
      </c>
      <c r="AA12" s="6">
        <f>SUBTOTAL(103,نوفمبر[25])</f>
        <v>0</v>
      </c>
      <c r="AB12" s="6">
        <f>SUBTOTAL(103,نوفمبر[26])</f>
        <v>0</v>
      </c>
      <c r="AC12" s="6">
        <f>SUBTOTAL(103,نوفمبر[27])</f>
        <v>0</v>
      </c>
      <c r="AD12" s="6">
        <f>SUBTOTAL(103,نوفمبر[28])</f>
        <v>0</v>
      </c>
      <c r="AE12" s="6">
        <f>SUBTOTAL(103,نوفمبر[29])</f>
        <v>0</v>
      </c>
      <c r="AF12" s="6">
        <f>SUBTOTAL(109,نوفمبر[30])</f>
        <v>0</v>
      </c>
      <c r="AG12" s="6">
        <f>SUBTOTAL(109,نوفمبر[31])</f>
        <v>0</v>
      </c>
      <c r="AH12" s="6">
        <f>SUBTOTAL(109,نوفمبر[إجمالي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218" priority="2" stopIfTrue="1">
      <formula>C7=KeyCustom2</formula>
    </cfRule>
    <cfRule type="expression" dxfId="217" priority="3" stopIfTrue="1">
      <formula>C7=KeyCustom1</formula>
    </cfRule>
    <cfRule type="expression" dxfId="216" priority="4" stopIfTrue="1">
      <formula>C7=KeySick</formula>
    </cfRule>
    <cfRule type="expression" dxfId="215" priority="5" stopIfTrue="1">
      <formula>C7=KeyPersonal</formula>
    </cfRule>
    <cfRule type="expression" dxfId="214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{27D92E49-5CF1-46DF-AD7A-3A5E92F274F3}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A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A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A00-000002000000}"/>
    <dataValidation allowBlank="1" showInputMessage="1" showErrorMessage="1" prompt="أدخل تسمية لوصف المفتاح المخصص على اليمين" sqref="N2 Q2" xr:uid="{00000000-0002-0000-0A00-000003000000}"/>
    <dataValidation allowBlank="1" showInputMessage="1" showErrorMessage="1" prompt="أدخل حرفاً وخصّص التسمية مباشرة لإضافة عنصر مفتاحي آخر" sqref="M2 P2" xr:uid="{00000000-0002-0000-0A00-000004000000}"/>
    <dataValidation allowBlank="1" showInputMessage="1" showErrorMessage="1" prompt="الحرف &quot;م&quot; يشير إلى الغياب بسبب المرض" sqref="J2" xr:uid="{00000000-0002-0000-0A00-000005000000}"/>
    <dataValidation allowBlank="1" showInputMessage="1" showErrorMessage="1" prompt="الحرف &quot;ش&quot; يشير إلى الغياب لأسباب شخصية" sqref="F2" xr:uid="{00000000-0002-0000-0A00-000006000000}"/>
    <dataValidation allowBlank="1" showInputMessage="1" showErrorMessage="1" prompt="الحرف &quot;ع&quot; يشير إلى الغياب بسبب قضاء عطلة" sqref="C2" xr:uid="{00000000-0002-0000-0A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A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A00-000009000000}"/>
    <dataValidation allowBlank="1" showInputMessage="1" showErrorMessage="1" prompt="تعقب الغياب في شهر نوفمبر في ورقة العمل هذه" sqref="A1" xr:uid="{00000000-0002-0000-0A00-00000A000000}"/>
    <dataValidation allowBlank="1" showInputMessage="1" showErrorMessage="1" prompt="يتم حساب إجمالي عدد أيام غياب موظف هذا الشهر في هذا العمود تلقائياً" sqref="AH6" xr:uid="{00000000-0002-0000-0A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A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A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7D92E49-5CF1-46DF-AD7A-3A5E92F274F3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79998168889431442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</row>
    <row r="2" spans="1:34" ht="15" customHeight="1" x14ac:dyDescent="0.2"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/>
      <c r="N2" s="30" t="s">
        <v>28</v>
      </c>
      <c r="O2" s="30"/>
      <c r="P2" s="15"/>
      <c r="Q2" s="30" t="s">
        <v>33</v>
      </c>
      <c r="R2" s="30"/>
    </row>
    <row r="3" spans="1:34" ht="15" customHeight="1" x14ac:dyDescent="0.2">
      <c r="B3" s="21"/>
    </row>
    <row r="4" spans="1:34" ht="30" customHeight="1" x14ac:dyDescent="0.2">
      <c r="B4" s="17" t="s">
        <v>63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f>CalendarYear</f>
        <v>2016</v>
      </c>
    </row>
    <row r="5" spans="1:34" ht="15" customHeight="1" x14ac:dyDescent="0.2">
      <c r="B5" s="17"/>
      <c r="C5" s="18" t="str">
        <f>TEXT(WEEKDAY(DATE(CalendarYear,12,1),1),"aaa")</f>
        <v>الخميس</v>
      </c>
      <c r="D5" s="18" t="str">
        <f>TEXT(WEEKDAY(DATE(CalendarYear,12,2),1),"aaa")</f>
        <v>الجمعة</v>
      </c>
      <c r="E5" s="18" t="str">
        <f>TEXT(WEEKDAY(DATE(CalendarYear,12,3),1),"aaa")</f>
        <v>السبت</v>
      </c>
      <c r="F5" s="18" t="str">
        <f>TEXT(WEEKDAY(DATE(CalendarYear,12,4),1),"aaa")</f>
        <v>الأحد</v>
      </c>
      <c r="G5" s="18" t="str">
        <f>TEXT(WEEKDAY(DATE(CalendarYear,12,5),1),"aaa")</f>
        <v>الإثنين</v>
      </c>
      <c r="H5" s="18" t="str">
        <f>TEXT(WEEKDAY(DATE(CalendarYear,12,6),1),"aaa")</f>
        <v>الثلاثاء</v>
      </c>
      <c r="I5" s="18" t="str">
        <f>TEXT(WEEKDAY(DATE(CalendarYear,12,7),1),"aaa")</f>
        <v>الأربعاء</v>
      </c>
      <c r="J5" s="18" t="str">
        <f>TEXT(WEEKDAY(DATE(CalendarYear,12,8),1),"aaa")</f>
        <v>الخميس</v>
      </c>
      <c r="K5" s="18" t="str">
        <f>TEXT(WEEKDAY(DATE(CalendarYear,12,9),1),"aaa")</f>
        <v>الجمعة</v>
      </c>
      <c r="L5" s="18" t="str">
        <f>TEXT(WEEKDAY(DATE(CalendarYear,12,10),1),"aaa")</f>
        <v>السبت</v>
      </c>
      <c r="M5" s="18" t="str">
        <f>TEXT(WEEKDAY(DATE(CalendarYear,12,11),1),"aaa")</f>
        <v>الأحد</v>
      </c>
      <c r="N5" s="18" t="str">
        <f>TEXT(WEEKDAY(DATE(CalendarYear,12,12),1),"aaa")</f>
        <v>الإثنين</v>
      </c>
      <c r="O5" s="18" t="str">
        <f>TEXT(WEEKDAY(DATE(CalendarYear,12,13),1),"aaa")</f>
        <v>الثلاثاء</v>
      </c>
      <c r="P5" s="18" t="str">
        <f>TEXT(WEEKDAY(DATE(CalendarYear,12,14),1),"aaa")</f>
        <v>الأربعاء</v>
      </c>
      <c r="Q5" s="18" t="str">
        <f>TEXT(WEEKDAY(DATE(CalendarYear,12,15),1),"aaa")</f>
        <v>الخميس</v>
      </c>
      <c r="R5" s="18" t="str">
        <f>TEXT(WEEKDAY(DATE(CalendarYear,12,16),1),"aaa")</f>
        <v>الجمعة</v>
      </c>
      <c r="S5" s="18" t="str">
        <f>TEXT(WEEKDAY(DATE(CalendarYear,12,17),1),"aaa")</f>
        <v>السبت</v>
      </c>
      <c r="T5" s="18" t="str">
        <f>TEXT(WEEKDAY(DATE(CalendarYear,12,18),1),"aaa")</f>
        <v>الأحد</v>
      </c>
      <c r="U5" s="18" t="str">
        <f>TEXT(WEEKDAY(DATE(CalendarYear,12,19),1),"aaa")</f>
        <v>الإثنين</v>
      </c>
      <c r="V5" s="18" t="str">
        <f>TEXT(WEEKDAY(DATE(CalendarYear,12,20),1),"aaa")</f>
        <v>الثلاثاء</v>
      </c>
      <c r="W5" s="18" t="str">
        <f>TEXT(WEEKDAY(DATE(CalendarYear,12,21),1),"aaa")</f>
        <v>الأربعاء</v>
      </c>
      <c r="X5" s="18" t="str">
        <f>TEXT(WEEKDAY(DATE(CalendarYear,12,22),1),"aaa")</f>
        <v>الخميس</v>
      </c>
      <c r="Y5" s="18" t="str">
        <f>TEXT(WEEKDAY(DATE(CalendarYear,12,23),1),"aaa")</f>
        <v>الجمعة</v>
      </c>
      <c r="Z5" s="18" t="str">
        <f>TEXT(WEEKDAY(DATE(CalendarYear,12,24),1),"aaa")</f>
        <v>السبت</v>
      </c>
      <c r="AA5" s="18" t="str">
        <f>TEXT(WEEKDAY(DATE(CalendarYear,12,25),1),"aaa")</f>
        <v>الأحد</v>
      </c>
      <c r="AB5" s="18" t="str">
        <f>TEXT(WEEKDAY(DATE(CalendarYear,12,26),1),"aaa")</f>
        <v>الإثنين</v>
      </c>
      <c r="AC5" s="18" t="str">
        <f>TEXT(WEEKDAY(DATE(CalendarYear,12,27),1),"aaa")</f>
        <v>الثلاثاء</v>
      </c>
      <c r="AD5" s="18" t="str">
        <f>TEXT(WEEKDAY(DATE(CalendarYear,12,28),1),"aaa")</f>
        <v>الأربعاء</v>
      </c>
      <c r="AE5" s="18" t="str">
        <f>TEXT(WEEKDAY(DATE(CalendarYear,12,29),1),"aaa")</f>
        <v>الخميس</v>
      </c>
      <c r="AF5" s="18" t="str">
        <f>TEXT(WEEKDAY(DATE(CalendarYear,12,30),1),"aaa")</f>
        <v>الجمعة</v>
      </c>
      <c r="AG5" s="18" t="str">
        <f>TEXT(WEEKDAY(DATE(CalendarYear,12,31),1),"aaa")</f>
        <v>السبت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COUNTA(ديسمبر[[#This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COUNTA(ديسمبر[[#This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COUNTA(ديسمبر[[#This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COUNTA(ديسمبر[[#This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COUNTA(ديسمبر[[#This Row],[1]:[31]])</f>
        <v>0</v>
      </c>
    </row>
    <row r="12" spans="1:34" ht="30" customHeight="1" x14ac:dyDescent="0.2">
      <c r="B12" s="23" t="str">
        <f>MonthName&amp;" الإجمالي"</f>
        <v>ديسمبر الإجمالي</v>
      </c>
      <c r="C12" s="6">
        <f>SUBTOTAL(103,ديسمبر[1])</f>
        <v>0</v>
      </c>
      <c r="D12" s="6">
        <f>SUBTOTAL(103,ديسمبر[2])</f>
        <v>0</v>
      </c>
      <c r="E12" s="6">
        <f>SUBTOTAL(103,ديسمبر[3])</f>
        <v>0</v>
      </c>
      <c r="F12" s="6">
        <f>SUBTOTAL(103,ديسمبر[4])</f>
        <v>0</v>
      </c>
      <c r="G12" s="6">
        <f>SUBTOTAL(103,ديسمبر[5])</f>
        <v>0</v>
      </c>
      <c r="H12" s="6">
        <f>SUBTOTAL(103,ديسمبر[6])</f>
        <v>0</v>
      </c>
      <c r="I12" s="6">
        <f>SUBTOTAL(103,ديسمبر[7])</f>
        <v>0</v>
      </c>
      <c r="J12" s="6">
        <f>SUBTOTAL(103,ديسمبر[8])</f>
        <v>0</v>
      </c>
      <c r="K12" s="6">
        <f>SUBTOTAL(103,ديسمبر[9])</f>
        <v>0</v>
      </c>
      <c r="L12" s="6">
        <f>SUBTOTAL(103,ديسمبر[10])</f>
        <v>0</v>
      </c>
      <c r="M12" s="6">
        <f>SUBTOTAL(103,ديسمبر[11])</f>
        <v>0</v>
      </c>
      <c r="N12" s="6">
        <f>SUBTOTAL(103,ديسمبر[12])</f>
        <v>0</v>
      </c>
      <c r="O12" s="6">
        <f>SUBTOTAL(103,ديسمبر[13])</f>
        <v>0</v>
      </c>
      <c r="P12" s="6">
        <f>SUBTOTAL(103,ديسمبر[14])</f>
        <v>0</v>
      </c>
      <c r="Q12" s="6">
        <f>SUBTOTAL(103,ديسمبر[15])</f>
        <v>0</v>
      </c>
      <c r="R12" s="6">
        <f>SUBTOTAL(103,ديسمبر[16])</f>
        <v>0</v>
      </c>
      <c r="S12" s="6">
        <f>SUBTOTAL(103,ديسمبر[17])</f>
        <v>0</v>
      </c>
      <c r="T12" s="6">
        <f>SUBTOTAL(103,ديسمبر[18])</f>
        <v>0</v>
      </c>
      <c r="U12" s="6">
        <f>SUBTOTAL(103,ديسمبر[19])</f>
        <v>0</v>
      </c>
      <c r="V12" s="6">
        <f>SUBTOTAL(103,ديسمبر[20])</f>
        <v>0</v>
      </c>
      <c r="W12" s="6">
        <f>SUBTOTAL(103,ديسمبر[21])</f>
        <v>0</v>
      </c>
      <c r="X12" s="6">
        <f>SUBTOTAL(103,ديسمبر[22])</f>
        <v>0</v>
      </c>
      <c r="Y12" s="6">
        <f>SUBTOTAL(103,ديسمبر[23])</f>
        <v>0</v>
      </c>
      <c r="Z12" s="6">
        <f>SUBTOTAL(103,ديسمبر[24])</f>
        <v>0</v>
      </c>
      <c r="AA12" s="6">
        <f>SUBTOTAL(103,ديسمبر[25])</f>
        <v>0</v>
      </c>
      <c r="AB12" s="6">
        <f>SUBTOTAL(103,ديسمبر[26])</f>
        <v>0</v>
      </c>
      <c r="AC12" s="6">
        <f>SUBTOTAL(103,ديسمبر[27])</f>
        <v>0</v>
      </c>
      <c r="AD12" s="6">
        <f>SUBTOTAL(103,ديسمبر[28])</f>
        <v>0</v>
      </c>
      <c r="AE12" s="6">
        <f>SUBTOTAL(103,ديسمبر[29])</f>
        <v>0</v>
      </c>
      <c r="AF12" s="6">
        <f>SUBTOTAL(109,ديسمبر[30])</f>
        <v>0</v>
      </c>
      <c r="AG12" s="6">
        <f>SUBTOTAL(109,ديسمبر[31])</f>
        <v>0</v>
      </c>
      <c r="AH12" s="6">
        <f>SUBTOTAL(109,ديسمبر[إجمالي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144" priority="2" stopIfTrue="1">
      <formula>C7=KeyCustom2</formula>
    </cfRule>
    <cfRule type="expression" dxfId="143" priority="3" stopIfTrue="1">
      <formula>C7=KeyCustom1</formula>
    </cfRule>
    <cfRule type="expression" dxfId="142" priority="4" stopIfTrue="1">
      <formula>C7=KeySick</formula>
    </cfRule>
    <cfRule type="expression" dxfId="141" priority="5" stopIfTrue="1">
      <formula>C7=KeyPersonal</formula>
    </cfRule>
    <cfRule type="expression" dxfId="140" priority="6" stopIfTrue="1">
      <formula>C7=KeyVacation</formula>
    </cfRule>
  </conditionalFormatting>
  <conditionalFormatting sqref="AH7:AH11">
    <cfRule type="dataBar" priority="30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{17586780-365B-4F4C-BBB4-F5991705D361}</x14:id>
        </ext>
      </extLst>
    </cfRule>
  </conditionalFormatting>
  <dataValidations count="14">
    <dataValidation allowBlank="1" showInputMessage="1" showErrorMessage="1" prompt="سنة محدّثة تلقائياً استناداً إلى السنة التي تم إدخالها في ورقة عمل &quot;يناير&quot;." sqref="AH4" xr:uid="{00000000-0002-0000-0B00-000000000000}"/>
    <dataValidation allowBlank="1" showInputMessage="1" showErrorMessage="1" prompt="يتم حساب إجمالي عدد أيام غياب موظف هذا الشهر في هذا العمود تلقائياً" sqref="AH6" xr:uid="{00000000-0002-0000-0B00-000001000000}"/>
    <dataValidation allowBlank="1" showInputMessage="1" showErrorMessage="1" prompt="تعقب الغياب في شهر ديسمبر في ورقة العمل هذه" sqref="A1" xr:uid="{00000000-0002-0000-0B00-000002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B00-000003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B00-000004000000}"/>
    <dataValidation allowBlank="1" showInputMessage="1" showErrorMessage="1" prompt="الحرف &quot;ع&quot; يشير إلى الغياب بسبب قضاء عطلة" sqref="C2" xr:uid="{00000000-0002-0000-0B00-000005000000}"/>
    <dataValidation allowBlank="1" showInputMessage="1" showErrorMessage="1" prompt="الحرف &quot;ش&quot; يشير إلى الغياب لأسباب شخصية" sqref="F2" xr:uid="{00000000-0002-0000-0B00-000006000000}"/>
    <dataValidation allowBlank="1" showInputMessage="1" showErrorMessage="1" prompt="الحرف &quot;م&quot; يشير إلى الغياب بسبب المرض" sqref="J2" xr:uid="{00000000-0002-0000-0B00-000007000000}"/>
    <dataValidation allowBlank="1" showInputMessage="1" showErrorMessage="1" prompt="أدخل حرفاً وخصّص التسمية مباشرة لإضافة عنصر مفتاحي آخر" sqref="M2 P2" xr:uid="{00000000-0002-0000-0B00-000008000000}"/>
    <dataValidation allowBlank="1" showInputMessage="1" showErrorMessage="1" prompt="أدخل تسمية لوصف المفتاح المخصص على اليمين" sqref="N2 Q2" xr:uid="{00000000-0002-0000-0B00-000009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B00-00000A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B00-00000B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B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B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586780-365B-4F4C-BBB4-F5991705D3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/>
  </sheetPr>
  <dimension ref="A1:B9"/>
  <sheetViews>
    <sheetView showGridLines="0" rightToLeft="1" workbookViewId="0">
      <selection activeCell="A10" sqref="A10:XFD11"/>
    </sheetView>
  </sheetViews>
  <sheetFormatPr defaultRowHeight="30" customHeight="1" x14ac:dyDescent="0.2"/>
  <cols>
    <col min="1" max="1" width="2.625" style="1" customWidth="1"/>
    <col min="2" max="2" width="30.625" style="1" customWidth="1"/>
    <col min="3" max="3" width="2.625" style="1" customWidth="1"/>
    <col min="4" max="16384" width="9" style="1"/>
  </cols>
  <sheetData>
    <row r="1" spans="1:2" ht="50.1" customHeight="1" x14ac:dyDescent="0.2">
      <c r="A1" s="2"/>
      <c r="B1" s="3" t="s">
        <v>64</v>
      </c>
    </row>
    <row r="2" spans="1:2" ht="15" customHeight="1" x14ac:dyDescent="0.2"/>
    <row r="3" spans="1:2" ht="30" customHeight="1" x14ac:dyDescent="0.2">
      <c r="B3" s="2" t="s">
        <v>64</v>
      </c>
    </row>
    <row r="4" spans="1:2" ht="30" customHeight="1" x14ac:dyDescent="0.2">
      <c r="B4" s="25" t="s">
        <v>4</v>
      </c>
    </row>
    <row r="5" spans="1:2" ht="30" customHeight="1" x14ac:dyDescent="0.2">
      <c r="B5" s="25" t="s">
        <v>5</v>
      </c>
    </row>
    <row r="6" spans="1:2" ht="30" customHeight="1" x14ac:dyDescent="0.2">
      <c r="B6" s="25" t="s">
        <v>6</v>
      </c>
    </row>
    <row r="7" spans="1:2" ht="30" customHeight="1" x14ac:dyDescent="0.2">
      <c r="B7" s="25" t="s">
        <v>7</v>
      </c>
    </row>
    <row r="8" spans="1:2" ht="30" customHeight="1" x14ac:dyDescent="0.2">
      <c r="B8" s="25" t="s">
        <v>8</v>
      </c>
    </row>
    <row r="9" spans="1:2" ht="30" customHeight="1" x14ac:dyDescent="0.2">
      <c r="B9" s="27" t="s">
        <v>67</v>
      </c>
    </row>
  </sheetData>
  <dataValidations count="4">
    <dataValidation allowBlank="1" showInputMessage="1" showErrorMessage="1" prompt="عنوان أسماء الموظفين" sqref="B1" xr:uid="{00000000-0002-0000-0C00-000000000000}"/>
    <dataValidation allowBlank="1" showInputMessage="1" showErrorMessage="1" prompt="أدخل أسماء الموظفين في جدول أسماء الموظفين في ورقة العمل هذه. يتم استخدام هذه الأسماء كخيارات في العمود B لكل جدول غياب في الشهر" sqref="A1" xr:uid="{00000000-0002-0000-0C00-000001000000}"/>
    <dataValidation allowBlank="1" showInputMessage="1" showErrorMessage="1" prompt="أدخل أسماء الموظفين في هذا العمود" sqref="B3" xr:uid="{00000000-0002-0000-0C00-000002000000}"/>
    <dataValidation type="list" allowBlank="1" showInputMessage="1" showErrorMessage="1" sqref="B4:B9" xr:uid="{2B002901-9021-49BF-9861-E5AC851970B9}">
      <formula1>$B$4:$B$9</formula1>
    </dataValidation>
  </dataValidations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749992370372631"/>
  </sheetPr>
  <dimension ref="A1:AK12"/>
  <sheetViews>
    <sheetView showGridLines="0" rightToLeft="1" tabSelected="1" topLeftCell="T3" zoomScaleNormal="100" workbookViewId="0">
      <selection activeCell="AL5" sqref="AL5"/>
    </sheetView>
  </sheetViews>
  <sheetFormatPr defaultColWidth="9"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15.125" style="31" customWidth="1"/>
    <col min="36" max="36" width="15.875" style="34" customWidth="1"/>
    <col min="37" max="16384" width="9" style="10"/>
  </cols>
  <sheetData>
    <row r="1" spans="1:37" ht="50.1" customHeight="1" x14ac:dyDescent="0.2">
      <c r="A1" s="20"/>
      <c r="B1" s="8" t="str">
        <f>Employee_Absence_Title</f>
        <v>جدول غياب الموظفين</v>
      </c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37" ht="15" customHeight="1" x14ac:dyDescent="0.2"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 t="s">
        <v>65</v>
      </c>
      <c r="N2" s="30" t="s">
        <v>28</v>
      </c>
      <c r="O2" s="30"/>
      <c r="P2" s="15" t="s">
        <v>66</v>
      </c>
      <c r="Q2" s="30" t="s">
        <v>33</v>
      </c>
      <c r="R2" s="30"/>
      <c r="AJ2" s="35"/>
    </row>
    <row r="3" spans="1:37" ht="15" customHeight="1" x14ac:dyDescent="0.2">
      <c r="B3" s="10"/>
    </row>
    <row r="4" spans="1:37" ht="30" customHeight="1" x14ac:dyDescent="0.2">
      <c r="B4" s="17" t="s">
        <v>51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f>CalendarYear</f>
        <v>2016</v>
      </c>
    </row>
    <row r="5" spans="1:37" ht="15" customHeight="1" x14ac:dyDescent="0.2">
      <c r="B5" s="17"/>
      <c r="C5" s="18" t="str">
        <f>TEXT(WEEKDAY(DATE(CalendarYear,2,1),1),"aaa")</f>
        <v>الإثنين</v>
      </c>
      <c r="D5" s="18" t="str">
        <f>TEXT(WEEKDAY(DATE(CalendarYear,2,2),1),"aaa")</f>
        <v>الثلاثاء</v>
      </c>
      <c r="E5" s="18" t="str">
        <f>TEXT(WEEKDAY(DATE(CalendarYear,2,3),1),"aaa")</f>
        <v>الأربعاء</v>
      </c>
      <c r="F5" s="18" t="str">
        <f>TEXT(WEEKDAY(DATE(CalendarYear,2,4),1),"aaa")</f>
        <v>الخميس</v>
      </c>
      <c r="G5" s="18" t="str">
        <f>TEXT(WEEKDAY(DATE(CalendarYear,2,5),1),"aaa")</f>
        <v>الجمعة</v>
      </c>
      <c r="H5" s="18" t="str">
        <f>TEXT(WEEKDAY(DATE(CalendarYear,2,6),1),"aaa")</f>
        <v>السبت</v>
      </c>
      <c r="I5" s="18" t="str">
        <f>TEXT(WEEKDAY(DATE(CalendarYear,2,7),1),"aaa")</f>
        <v>الأحد</v>
      </c>
      <c r="J5" s="18" t="str">
        <f>TEXT(WEEKDAY(DATE(CalendarYear,2,8),1),"aaa")</f>
        <v>الإثنين</v>
      </c>
      <c r="K5" s="18" t="str">
        <f>TEXT(WEEKDAY(DATE(CalendarYear,2,9),1),"aaa")</f>
        <v>الثلاثاء</v>
      </c>
      <c r="L5" s="18" t="str">
        <f>TEXT(WEEKDAY(DATE(CalendarYear,2,10),1),"aaa")</f>
        <v>الأربعاء</v>
      </c>
      <c r="M5" s="18" t="str">
        <f>TEXT(WEEKDAY(DATE(CalendarYear,2,11),1),"aaa")</f>
        <v>الخميس</v>
      </c>
      <c r="N5" s="18" t="str">
        <f>TEXT(WEEKDAY(DATE(CalendarYear,2,12),1),"aaa")</f>
        <v>الجمعة</v>
      </c>
      <c r="O5" s="18" t="str">
        <f>TEXT(WEEKDAY(DATE(CalendarYear,2,13),1),"aaa")</f>
        <v>السبت</v>
      </c>
      <c r="P5" s="18" t="str">
        <f>TEXT(WEEKDAY(DATE(CalendarYear,2,14),1),"aaa")</f>
        <v>الأحد</v>
      </c>
      <c r="Q5" s="18" t="str">
        <f>TEXT(WEEKDAY(DATE(CalendarYear,2,15),1),"aaa")</f>
        <v>الإثنين</v>
      </c>
      <c r="R5" s="18" t="str">
        <f>TEXT(WEEKDAY(DATE(CalendarYear,2,16),1),"aaa")</f>
        <v>الثلاثاء</v>
      </c>
      <c r="S5" s="18" t="str">
        <f>TEXT(WEEKDAY(DATE(CalendarYear,2,17),1),"aaa")</f>
        <v>الأربعاء</v>
      </c>
      <c r="T5" s="18" t="str">
        <f>TEXT(WEEKDAY(DATE(CalendarYear,2,18),1),"aaa")</f>
        <v>الخميس</v>
      </c>
      <c r="U5" s="18" t="str">
        <f>TEXT(WEEKDAY(DATE(CalendarYear,2,19),1),"aaa")</f>
        <v>الجمعة</v>
      </c>
      <c r="V5" s="18" t="str">
        <f>TEXT(WEEKDAY(DATE(CalendarYear,2,20),1),"aaa")</f>
        <v>السبت</v>
      </c>
      <c r="W5" s="18" t="str">
        <f>TEXT(WEEKDAY(DATE(CalendarYear,2,21),1),"aaa")</f>
        <v>الأحد</v>
      </c>
      <c r="X5" s="18" t="str">
        <f>TEXT(WEEKDAY(DATE(CalendarYear,2,22),1),"aaa")</f>
        <v>الإثنين</v>
      </c>
      <c r="Y5" s="18" t="str">
        <f>TEXT(WEEKDAY(DATE(CalendarYear,2,23),1),"aaa")</f>
        <v>الثلاثاء</v>
      </c>
      <c r="Z5" s="18" t="str">
        <f>TEXT(WEEKDAY(DATE(CalendarYear,2,24),1),"aaa")</f>
        <v>الأربعاء</v>
      </c>
      <c r="AA5" s="18" t="str">
        <f>TEXT(WEEKDAY(DATE(CalendarYear,2,25),1),"aaa")</f>
        <v>الخميس</v>
      </c>
      <c r="AB5" s="18" t="str">
        <f>TEXT(WEEKDAY(DATE(CalendarYear,2,26),1),"aaa")</f>
        <v>الجمعة</v>
      </c>
      <c r="AC5" s="18" t="str">
        <f>TEXT(WEEKDAY(DATE(CalendarYear,2,27),1),"aaa")</f>
        <v>السبت</v>
      </c>
      <c r="AD5" s="18" t="str">
        <f>TEXT(WEEKDAY(DATE(CalendarYear,2,28),1),"aaa")</f>
        <v>الأحد</v>
      </c>
      <c r="AE5" s="18" t="str">
        <f>TEXT(WEEKDAY(DATE(CalendarYear,2,29),1),"aaa")</f>
        <v>الإثنين</v>
      </c>
      <c r="AF5" s="18"/>
      <c r="AG5" s="18"/>
      <c r="AH5" s="17"/>
      <c r="AI5" s="37">
        <f>ROUNDUP(AI7,-2)</f>
        <v>700</v>
      </c>
      <c r="AJ5" s="38" t="s">
        <v>68</v>
      </c>
    </row>
    <row r="6" spans="1:37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52</v>
      </c>
      <c r="AG6" s="4" t="s">
        <v>53</v>
      </c>
      <c r="AH6" s="19" t="s">
        <v>50</v>
      </c>
      <c r="AI6" s="32" t="s">
        <v>69</v>
      </c>
      <c r="AJ6" s="39"/>
    </row>
    <row r="7" spans="1:37" ht="30" customHeight="1" x14ac:dyDescent="0.2">
      <c r="B7" s="24" t="s">
        <v>4</v>
      </c>
      <c r="C7" s="28" t="s">
        <v>9</v>
      </c>
      <c r="D7" s="28" t="s">
        <v>9</v>
      </c>
      <c r="E7" s="28" t="s">
        <v>9</v>
      </c>
      <c r="F7" s="28" t="s">
        <v>9</v>
      </c>
      <c r="G7" s="28" t="s">
        <v>9</v>
      </c>
      <c r="H7" s="28" t="s">
        <v>9</v>
      </c>
      <c r="I7" s="28" t="s">
        <v>9</v>
      </c>
      <c r="J7" s="28" t="s">
        <v>9</v>
      </c>
      <c r="K7" s="28" t="s">
        <v>9</v>
      </c>
      <c r="L7" s="28" t="s">
        <v>9</v>
      </c>
      <c r="M7" s="28" t="s">
        <v>9</v>
      </c>
      <c r="N7" s="28" t="s">
        <v>9</v>
      </c>
      <c r="O7" s="28" t="s">
        <v>9</v>
      </c>
      <c r="P7" s="28" t="s">
        <v>9</v>
      </c>
      <c r="Q7" s="28" t="s">
        <v>9</v>
      </c>
      <c r="R7" s="28" t="s">
        <v>9</v>
      </c>
      <c r="S7" s="28" t="s">
        <v>9</v>
      </c>
      <c r="T7" s="28" t="s">
        <v>9</v>
      </c>
      <c r="U7" s="28" t="s">
        <v>9</v>
      </c>
      <c r="V7" s="28" t="s">
        <v>9</v>
      </c>
      <c r="W7" s="28" t="s">
        <v>9</v>
      </c>
      <c r="X7" s="28" t="s">
        <v>9</v>
      </c>
      <c r="Y7" s="28" t="s">
        <v>9</v>
      </c>
      <c r="Z7" s="28" t="s">
        <v>9</v>
      </c>
      <c r="AA7" s="28" t="s">
        <v>17</v>
      </c>
      <c r="AB7" s="28"/>
      <c r="AC7" s="28" t="s">
        <v>9</v>
      </c>
      <c r="AD7" s="28"/>
      <c r="AE7" s="28" t="s">
        <v>9</v>
      </c>
      <c r="AF7" s="28" t="s">
        <v>9</v>
      </c>
      <c r="AG7" s="28"/>
      <c r="AH7" s="5">
        <f>COUNTIF(فبراير[[#This Row],[1]:[  ]],"ع")+COUNTIF(فبراير[[#This Row],[1]:[  ]],"ش")+COUNTIF(فبراير[[#This Row],[1]:[  ]],"م")+COUNTIF(فبراير[[#This Row],[1]:[  ]],"و")</f>
        <v>28</v>
      </c>
      <c r="AI7" s="32">
        <f>IF(فبراير[[#This Row],[إجمالي الأيام]]&lt;=0,AK7,(30-فبراير[[#This Row],[إجمالي الأيام]])*(AK7/30))</f>
        <v>666.66666666666663</v>
      </c>
      <c r="AJ7" s="36">
        <f>ROUNDUP(IF(فبراير[[#This Row],[إجمالي الأيام]]&lt;=0,AK7,(30-فبراير[[#This Row],[إجمالي الأيام]])*(AK7/30)),-2)</f>
        <v>700</v>
      </c>
      <c r="AK7" s="10">
        <v>10000</v>
      </c>
    </row>
    <row r="8" spans="1:37" ht="30" customHeight="1" x14ac:dyDescent="0.2">
      <c r="B8" s="24" t="s">
        <v>5</v>
      </c>
      <c r="C8" s="4"/>
      <c r="D8" s="4"/>
      <c r="E8" s="4"/>
      <c r="F8" s="4"/>
      <c r="G8" s="4"/>
      <c r="H8" s="4"/>
      <c r="I8" s="4"/>
      <c r="J8" s="4"/>
      <c r="K8" s="28" t="s">
        <v>65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COUNTIF(فبراير[[#This Row],[1]:[  ]],"ع")+COUNTIF(فبراير[[#This Row],[1]:[  ]],"ش")+COUNTIF(فبراير[[#This Row],[1]:[  ]],"م")+COUNTIF(فبراير[[#This Row],[1]:[  ]],"و")</f>
        <v>1</v>
      </c>
      <c r="AI8" s="32">
        <f>IF(فبراير[[#This Row],[إجمالي الأيام]]&lt;=0,AK8,(30-فبراير[[#This Row],[إجمالي الأيام]])*(AK8/30))</f>
        <v>4833.333333333333</v>
      </c>
      <c r="AJ8" s="36">
        <f>ROUNDUP(IF(فبراير[[#This Row],[إجمالي الأيام]]&lt;=0,AK8,(30-فبراير[[#This Row],[إجمالي الأيام]])*(AK8/30)),-2)</f>
        <v>4900</v>
      </c>
      <c r="AK8" s="10">
        <v>5000</v>
      </c>
    </row>
    <row r="9" spans="1:37" ht="30" customHeight="1" x14ac:dyDescent="0.2">
      <c r="B9" s="24" t="s">
        <v>6</v>
      </c>
      <c r="C9" s="4"/>
      <c r="D9" s="4"/>
      <c r="E9" s="4"/>
      <c r="F9" s="4"/>
      <c r="G9" s="4"/>
      <c r="H9" s="4"/>
      <c r="I9" s="4"/>
      <c r="J9" s="4"/>
      <c r="K9" s="28" t="s">
        <v>17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COUNTIF(فبراير[[#This Row],[1]:[  ]],"ع")+COUNTIF(فبراير[[#This Row],[1]:[  ]],"ش")+COUNTIF(فبراير[[#This Row],[1]:[  ]],"م")+COUNTIF(فبراير[[#This Row],[1]:[  ]],"و")</f>
        <v>1</v>
      </c>
      <c r="AI9" s="32">
        <f>IF(فبراير[[#This Row],[إجمالي الأيام]]&lt;=0,AK9,(30-فبراير[[#This Row],[إجمالي الأيام]])*(AK9/30))</f>
        <v>19333.333333333332</v>
      </c>
      <c r="AJ9" s="36">
        <f>ROUNDUP(IF(فبراير[[#This Row],[إجمالي الأيام]]&lt;=0,AK9,(30-فبراير[[#This Row],[إجمالي الأيام]])*(AK9/30)),-2)</f>
        <v>19400</v>
      </c>
      <c r="AK9" s="10">
        <v>20000</v>
      </c>
    </row>
    <row r="10" spans="1:37" ht="30" customHeight="1" x14ac:dyDescent="0.2">
      <c r="B10" s="24" t="s">
        <v>7</v>
      </c>
      <c r="C10" s="4"/>
      <c r="D10" s="4"/>
      <c r="E10" s="4"/>
      <c r="F10" s="4"/>
      <c r="G10" s="4"/>
      <c r="H10" s="4"/>
      <c r="I10" s="4"/>
      <c r="J10" s="4"/>
      <c r="K10" s="2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COUNTIF(فبراير[[#This Row],[1]:[  ]],"ع")+COUNTIF(فبراير[[#This Row],[1]:[  ]],"ش")+COUNTIF(فبراير[[#This Row],[1]:[  ]],"م")+COUNTIF(فبراير[[#This Row],[1]:[  ]],"و")</f>
        <v>0</v>
      </c>
      <c r="AI10" s="32">
        <f>IF(فبراير[[#This Row],[إجمالي الأيام]]&lt;=0,AK10,(30-فبراير[[#This Row],[إجمالي الأيام]])*(AK10/30))</f>
        <v>0</v>
      </c>
      <c r="AJ10" s="36">
        <f>ROUNDUP(IF(فبراير[[#This Row],[إجمالي الأيام]]&lt;=0,AK10,(30-فبراير[[#This Row],[إجمالي الأيام]])*(AK10/30)),-2)</f>
        <v>0</v>
      </c>
    </row>
    <row r="11" spans="1:37" ht="30" customHeight="1" x14ac:dyDescent="0.2">
      <c r="B11" s="24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COUNTIF(فبراير[[#This Row],[1]:[  ]],"ع")+COUNTIF(فبراير[[#This Row],[1]:[  ]],"ش")+COUNTIF(فبراير[[#This Row],[1]:[  ]],"م")+COUNTIF(فبراير[[#This Row],[1]:[  ]],"و")</f>
        <v>0</v>
      </c>
      <c r="AI11" s="32">
        <f>IF(فبراير[[#This Row],[إجمالي الأيام]]&lt;=0,AK11,(30-فبراير[[#This Row],[إجمالي الأيام]])*(AK11/30))</f>
        <v>0</v>
      </c>
      <c r="AJ11" s="36">
        <f>ROUNDUP(IF(فبراير[[#This Row],[إجمالي الأيام]]&lt;=0,AK11,(30-فبراير[[#This Row],[إجمالي الأيام]])*(AK11/30)),-2)</f>
        <v>0</v>
      </c>
    </row>
    <row r="12" spans="1:37" ht="30" customHeight="1" x14ac:dyDescent="0.2">
      <c r="B12" s="23" t="str">
        <f>MonthName&amp;" الإجمالي"</f>
        <v>فبراير الإجمالي</v>
      </c>
      <c r="C12" s="6">
        <f>SUBTOTAL(103,فبراير[1])</f>
        <v>1</v>
      </c>
      <c r="D12" s="6">
        <f>SUBTOTAL(103,فبراير[2])</f>
        <v>1</v>
      </c>
      <c r="E12" s="6">
        <f>SUBTOTAL(103,فبراير[3])</f>
        <v>1</v>
      </c>
      <c r="F12" s="6">
        <f>SUBTOTAL(103,فبراير[4])</f>
        <v>1</v>
      </c>
      <c r="G12" s="6">
        <f>SUBTOTAL(103,فبراير[5])</f>
        <v>1</v>
      </c>
      <c r="H12" s="6">
        <f>SUBTOTAL(103,فبراير[6])</f>
        <v>1</v>
      </c>
      <c r="I12" s="6">
        <f>SUBTOTAL(103,فبراير[7])</f>
        <v>1</v>
      </c>
      <c r="J12" s="6">
        <f>SUBTOTAL(103,فبراير[8])</f>
        <v>1</v>
      </c>
      <c r="K12" s="6">
        <f>SUBTOTAL(103,فبراير[9])</f>
        <v>3</v>
      </c>
      <c r="L12" s="6">
        <f>SUBTOTAL(103,فبراير[10])</f>
        <v>1</v>
      </c>
      <c r="M12" s="6">
        <f>SUBTOTAL(103,فبراير[11])</f>
        <v>1</v>
      </c>
      <c r="N12" s="6">
        <f>SUBTOTAL(103,فبراير[12])</f>
        <v>1</v>
      </c>
      <c r="O12" s="6">
        <f>SUBTOTAL(103,فبراير[13])</f>
        <v>1</v>
      </c>
      <c r="P12" s="6">
        <f>SUBTOTAL(103,فبراير[14])</f>
        <v>1</v>
      </c>
      <c r="Q12" s="6">
        <f>SUBTOTAL(103,فبراير[15])</f>
        <v>1</v>
      </c>
      <c r="R12" s="6">
        <f>SUBTOTAL(103,فبراير[16])</f>
        <v>1</v>
      </c>
      <c r="S12" s="6">
        <f>SUBTOTAL(103,فبراير[17])</f>
        <v>1</v>
      </c>
      <c r="T12" s="6">
        <f>SUBTOTAL(103,فبراير[18])</f>
        <v>1</v>
      </c>
      <c r="U12" s="6">
        <f>SUBTOTAL(103,فبراير[19])</f>
        <v>1</v>
      </c>
      <c r="V12" s="6">
        <f>SUBTOTAL(103,فبراير[20])</f>
        <v>1</v>
      </c>
      <c r="W12" s="6">
        <f>SUBTOTAL(103,فبراير[21])</f>
        <v>1</v>
      </c>
      <c r="X12" s="6">
        <f>SUBTOTAL(103,فبراير[22])</f>
        <v>1</v>
      </c>
      <c r="Y12" s="6">
        <f>SUBTOTAL(103,فبراير[23])</f>
        <v>1</v>
      </c>
      <c r="Z12" s="6">
        <f>SUBTOTAL(103,فبراير[24])</f>
        <v>1</v>
      </c>
      <c r="AA12" s="6">
        <f>SUBTOTAL(103,فبراير[25])</f>
        <v>1</v>
      </c>
      <c r="AB12" s="6">
        <f>SUBTOTAL(103,فبراير[26])</f>
        <v>0</v>
      </c>
      <c r="AC12" s="6">
        <f>SUBTOTAL(103,فبراير[27])</f>
        <v>1</v>
      </c>
      <c r="AD12" s="6">
        <f>SUBTOTAL(103,فبراير[28])</f>
        <v>0</v>
      </c>
      <c r="AE12" s="6">
        <f>SUBTOTAL(103,فبراير[29])</f>
        <v>1</v>
      </c>
      <c r="AF12" s="6"/>
      <c r="AG12" s="6"/>
      <c r="AH12" s="6">
        <f>SUBTOTAL(109,فبراير[إجمالي الأيام])</f>
        <v>30</v>
      </c>
      <c r="AI12" s="33"/>
    </row>
  </sheetData>
  <mergeCells count="6">
    <mergeCell ref="C4:AG4"/>
    <mergeCell ref="D2:E2"/>
    <mergeCell ref="G2:I2"/>
    <mergeCell ref="K2:L2"/>
    <mergeCell ref="N2:O2"/>
    <mergeCell ref="Q2:R2"/>
  </mergeCells>
  <conditionalFormatting sqref="AE6">
    <cfRule type="expression" dxfId="820" priority="16">
      <formula>MONTH(DATE(CalendarYear,2,29))&lt;&gt;2</formula>
    </cfRule>
  </conditionalFormatting>
  <conditionalFormatting sqref="AE5">
    <cfRule type="expression" dxfId="819" priority="15">
      <formula>MONTH(DATE(CalendarYear,2,29))&lt;&gt;2</formula>
    </cfRule>
  </conditionalFormatting>
  <conditionalFormatting sqref="C7:AG11">
    <cfRule type="expression" priority="2" stopIfTrue="1">
      <formula>C7=""</formula>
    </cfRule>
    <cfRule type="expression" dxfId="818" priority="3" stopIfTrue="1">
      <formula>C7=KeyCustom2</formula>
    </cfRule>
  </conditionalFormatting>
  <conditionalFormatting sqref="C7:AG11">
    <cfRule type="expression" dxfId="817" priority="5" stopIfTrue="1">
      <formula>C7=KeyCustom1</formula>
    </cfRule>
    <cfRule type="expression" dxfId="816" priority="6" stopIfTrue="1">
      <formula>C7=KeySick</formula>
    </cfRule>
    <cfRule type="expression" dxfId="815" priority="7" stopIfTrue="1">
      <formula>C7=KeyPersonal</formula>
    </cfRule>
    <cfRule type="expression" dxfId="814" priority="8" stopIfTrue="1">
      <formula>C7=KeyVacation</formula>
    </cfRule>
  </conditionalFormatting>
  <conditionalFormatting sqref="AH7:AH11">
    <cfRule type="dataBar" priority="182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{94738C71-AB78-40C3-A818-D083AE35CC38}</x14:id>
        </ext>
      </extLst>
    </cfRule>
  </conditionalFormatting>
  <dataValidations xWindow="232" yWindow="365" count="14">
    <dataValidation allowBlank="1" showInputMessage="1" showErrorMessage="1" prompt="سنة محدّثة تلقائياً استناداً إلى السنة التي تم إدخالها في ورقة عمل &quot;يناير&quot;." sqref="AH4" xr:uid="{00000000-0002-0000-0100-000000000000}"/>
    <dataValidation allowBlank="1" showInputMessage="1" showErrorMessage="1" prompt="تعقب الغياب في شهر فبراير في ورقة العمل هذه" sqref="A1" xr:uid="{00000000-0002-0000-0100-000001000000}"/>
    <dataValidation allowBlank="1" showInputMessage="1" showErrorMessage="1" prompt="يتم حساب إجمالي عدد أيام غياب موظف هذا الشهر في هذا العمود تلقائياً" sqref="AH6" xr:uid="{00000000-0002-0000-0100-000002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100-000003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100-000004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100-000005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100-000006000000}"/>
    <dataValidation allowBlank="1" showInputMessage="1" showErrorMessage="1" prompt="أدخل تسمية لوصف المفتاح المخصص على اليمين" sqref="N2 Q2" xr:uid="{00000000-0002-0000-0100-000007000000}"/>
    <dataValidation allowBlank="1" showInputMessage="1" showErrorMessage="1" prompt="أدخل حرفاً وخصّص التسمية مباشرة لإضافة عنصر مفتاحي آخر" sqref="M2 P2" xr:uid="{00000000-0002-0000-0100-000008000000}"/>
    <dataValidation allowBlank="1" showInputMessage="1" showErrorMessage="1" prompt="الحرف &quot;م&quot; يشير إلى الغياب بسبب المرض" sqref="J2" xr:uid="{00000000-0002-0000-0100-000009000000}"/>
    <dataValidation allowBlank="1" showInputMessage="1" showErrorMessage="1" prompt="الحرف &quot;ش&quot; يشير إلى الغياب لأسباب شخصية" sqref="F2" xr:uid="{00000000-0002-0000-0100-00000A000000}"/>
    <dataValidation allowBlank="1" showInputMessage="1" showErrorMessage="1" prompt="الحرف &quot;ع&quot; يشير إلى الغياب بسبب قضاء عطلة" sqref="C2" xr:uid="{00000000-0002-0000-0100-00000B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1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100-00000D000000}"/>
  </dataValidations>
  <pageMargins left="0.7" right="0.7" top="0.75" bottom="0.75" header="0.3" footer="0.3"/>
  <pageSetup paperSize="9" fitToHeight="0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4738C71-AB78-40C3-A818-D083AE35CC38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232" yWindow="365" count="1">
        <x14:dataValidation type="list" allowBlank="1" showInputMessage="1" showErrorMessage="1" xr:uid="{19D27002-75E6-4B57-9F15-2392F9368AB5}">
          <x14:formula1>
            <xm:f>'أسماء الموظفين'!$B$4:$B$220</xm:f>
          </x14:formula1>
          <xm:sqref>B7:B11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AH12"/>
  <sheetViews>
    <sheetView showGridLines="0" rightToLeft="1" zoomScaleNormal="100" workbookViewId="0">
      <selection activeCell="B7" sqref="B7:B11"/>
    </sheetView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2:34" ht="50.1" customHeight="1" x14ac:dyDescent="0.2">
      <c r="B1" s="8" t="str">
        <f>Employee_Absence_Title</f>
        <v>جدول غياب الموظفين</v>
      </c>
      <c r="C1" s="20"/>
      <c r="D1" s="20"/>
      <c r="E1" s="20"/>
      <c r="F1" s="20"/>
      <c r="G1" s="20"/>
      <c r="H1" s="20"/>
      <c r="I1" s="20"/>
    </row>
    <row r="2" spans="2:34" ht="15" customHeight="1" x14ac:dyDescent="0.2"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/>
      <c r="N2" s="30" t="s">
        <v>28</v>
      </c>
      <c r="O2" s="30"/>
      <c r="P2" s="15"/>
      <c r="Q2" s="30" t="s">
        <v>33</v>
      </c>
      <c r="R2" s="30"/>
    </row>
    <row r="3" spans="2:34" ht="15" customHeight="1" x14ac:dyDescent="0.2">
      <c r="B3" s="21"/>
    </row>
    <row r="4" spans="2:34" ht="30" customHeight="1" x14ac:dyDescent="0.2">
      <c r="B4" s="17" t="s">
        <v>54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f>CalendarYear</f>
        <v>2016</v>
      </c>
    </row>
    <row r="5" spans="2:34" ht="15" customHeight="1" x14ac:dyDescent="0.2">
      <c r="B5" s="17"/>
      <c r="C5" s="18" t="str">
        <f>TEXT(WEEKDAY(DATE(CalendarYear,3,1),1),"aaa")</f>
        <v>الثلاثاء</v>
      </c>
      <c r="D5" s="18" t="str">
        <f>TEXT(WEEKDAY(DATE(CalendarYear,3,2),1),"aaa")</f>
        <v>الأربعاء</v>
      </c>
      <c r="E5" s="18" t="str">
        <f>TEXT(WEEKDAY(DATE(CalendarYear,3,3),1),"aaa")</f>
        <v>الخميس</v>
      </c>
      <c r="F5" s="18" t="str">
        <f>TEXT(WEEKDAY(DATE(CalendarYear,3,4),1),"aaa")</f>
        <v>الجمعة</v>
      </c>
      <c r="G5" s="18" t="str">
        <f>TEXT(WEEKDAY(DATE(CalendarYear,3,5),1),"aaa")</f>
        <v>السبت</v>
      </c>
      <c r="H5" s="18" t="str">
        <f>TEXT(WEEKDAY(DATE(CalendarYear,3,6),1),"aaa")</f>
        <v>الأحد</v>
      </c>
      <c r="I5" s="18" t="str">
        <f>TEXT(WEEKDAY(DATE(CalendarYear,3,7),1),"aaa")</f>
        <v>الإثنين</v>
      </c>
      <c r="J5" s="18" t="str">
        <f>TEXT(WEEKDAY(DATE(CalendarYear,3,8),1),"aaa")</f>
        <v>الثلاثاء</v>
      </c>
      <c r="K5" s="18" t="str">
        <f>TEXT(WEEKDAY(DATE(CalendarYear,3,9),1),"aaa")</f>
        <v>الأربعاء</v>
      </c>
      <c r="L5" s="18" t="str">
        <f>TEXT(WEEKDAY(DATE(CalendarYear,3,10),1),"aaa")</f>
        <v>الخميس</v>
      </c>
      <c r="M5" s="18" t="str">
        <f>TEXT(WEEKDAY(DATE(CalendarYear,3,11),1),"aaa")</f>
        <v>الجمعة</v>
      </c>
      <c r="N5" s="18" t="str">
        <f>TEXT(WEEKDAY(DATE(CalendarYear,3,12),1),"aaa")</f>
        <v>السبت</v>
      </c>
      <c r="O5" s="18" t="str">
        <f>TEXT(WEEKDAY(DATE(CalendarYear,3,13),1),"aaa")</f>
        <v>الأحد</v>
      </c>
      <c r="P5" s="18" t="str">
        <f>TEXT(WEEKDAY(DATE(CalendarYear,3,14),1),"aaa")</f>
        <v>الإثنين</v>
      </c>
      <c r="Q5" s="18" t="str">
        <f>TEXT(WEEKDAY(DATE(CalendarYear,3,15),1),"aaa")</f>
        <v>الثلاثاء</v>
      </c>
      <c r="R5" s="18" t="str">
        <f>TEXT(WEEKDAY(DATE(CalendarYear,3,16),1),"aaa")</f>
        <v>الأربعاء</v>
      </c>
      <c r="S5" s="18" t="str">
        <f>TEXT(WEEKDAY(DATE(CalendarYear,3,17),1),"aaa")</f>
        <v>الخميس</v>
      </c>
      <c r="T5" s="18" t="str">
        <f>TEXT(WEEKDAY(DATE(CalendarYear,3,18),1),"aaa")</f>
        <v>الجمعة</v>
      </c>
      <c r="U5" s="18" t="str">
        <f>TEXT(WEEKDAY(DATE(CalendarYear,3,19),1),"aaa")</f>
        <v>السبت</v>
      </c>
      <c r="V5" s="18" t="str">
        <f>TEXT(WEEKDAY(DATE(CalendarYear,3,20),1),"aaa")</f>
        <v>الأحد</v>
      </c>
      <c r="W5" s="18" t="str">
        <f>TEXT(WEEKDAY(DATE(CalendarYear,3,21),1),"aaa")</f>
        <v>الإثنين</v>
      </c>
      <c r="X5" s="18" t="str">
        <f>TEXT(WEEKDAY(DATE(CalendarYear,3,22),1),"aaa")</f>
        <v>الثلاثاء</v>
      </c>
      <c r="Y5" s="18" t="str">
        <f>TEXT(WEEKDAY(DATE(CalendarYear,3,23),1),"aaa")</f>
        <v>الأربعاء</v>
      </c>
      <c r="Z5" s="18" t="str">
        <f>TEXT(WEEKDAY(DATE(CalendarYear,3,24),1),"aaa")</f>
        <v>الخميس</v>
      </c>
      <c r="AA5" s="18" t="str">
        <f>TEXT(WEEKDAY(DATE(CalendarYear,3,25),1),"aaa")</f>
        <v>الجمعة</v>
      </c>
      <c r="AB5" s="18" t="str">
        <f>TEXT(WEEKDAY(DATE(CalendarYear,3,26),1),"aaa")</f>
        <v>السبت</v>
      </c>
      <c r="AC5" s="18" t="str">
        <f>TEXT(WEEKDAY(DATE(CalendarYear,3,27),1),"aaa")</f>
        <v>الأحد</v>
      </c>
      <c r="AD5" s="18" t="str">
        <f>TEXT(WEEKDAY(DATE(CalendarYear,3,28),1),"aaa")</f>
        <v>الإثنين</v>
      </c>
      <c r="AE5" s="18" t="str">
        <f>TEXT(WEEKDAY(DATE(CalendarYear,3,29),1),"aaa")</f>
        <v>الثلاثاء</v>
      </c>
      <c r="AF5" s="18" t="str">
        <f>TEXT(WEEKDAY(DATE(CalendarYear,3,30),1),"aaa")</f>
        <v>الأربعاء</v>
      </c>
      <c r="AG5" s="18" t="str">
        <f>TEXT(WEEKDAY(DATE(CalendarYear,3,31),1),"aaa")</f>
        <v>الخميس</v>
      </c>
      <c r="AH5" s="17"/>
    </row>
    <row r="6" spans="2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2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COUNTA(مارس[[#This Row],[1]:[31]])</f>
        <v>0</v>
      </c>
    </row>
    <row r="8" spans="2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COUNTA(مارس[[#This Row],[1]:[31]])</f>
        <v>0</v>
      </c>
    </row>
    <row r="9" spans="2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COUNTA(مارس[[#This Row],[1]:[31]])</f>
        <v>0</v>
      </c>
    </row>
    <row r="10" spans="2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COUNTA(مارس[[#This Row],[1]:[31]])</f>
        <v>0</v>
      </c>
    </row>
    <row r="11" spans="2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COUNTA(مارس[[#This Row],[1]:[31]])</f>
        <v>0</v>
      </c>
    </row>
    <row r="12" spans="2:34" ht="30" customHeight="1" x14ac:dyDescent="0.2">
      <c r="B12" s="23" t="str">
        <f>MonthName&amp;" الإجمالي"</f>
        <v>مارس الإجمالي</v>
      </c>
      <c r="C12" s="6">
        <f>SUBTOTAL(103,مارس[1])</f>
        <v>0</v>
      </c>
      <c r="D12" s="6">
        <f>SUBTOTAL(103,مارس[2])</f>
        <v>0</v>
      </c>
      <c r="E12" s="6">
        <f>SUBTOTAL(103,مارس[3])</f>
        <v>0</v>
      </c>
      <c r="F12" s="6">
        <f>SUBTOTAL(103,مارس[4])</f>
        <v>0</v>
      </c>
      <c r="G12" s="6">
        <f>SUBTOTAL(103,مارس[5])</f>
        <v>0</v>
      </c>
      <c r="H12" s="6">
        <f>SUBTOTAL(103,مارس[6])</f>
        <v>0</v>
      </c>
      <c r="I12" s="6">
        <f>SUBTOTAL(103,مارس[7])</f>
        <v>0</v>
      </c>
      <c r="J12" s="6">
        <f>SUBTOTAL(103,مارس[8])</f>
        <v>0</v>
      </c>
      <c r="K12" s="6">
        <f>SUBTOTAL(103,مارس[9])</f>
        <v>0</v>
      </c>
      <c r="L12" s="6">
        <f>SUBTOTAL(103,مارس[10])</f>
        <v>0</v>
      </c>
      <c r="M12" s="6">
        <f>SUBTOTAL(103,مارس[11])</f>
        <v>0</v>
      </c>
      <c r="N12" s="6">
        <f>SUBTOTAL(103,مارس[12])</f>
        <v>0</v>
      </c>
      <c r="O12" s="6">
        <f>SUBTOTAL(103,مارس[13])</f>
        <v>0</v>
      </c>
      <c r="P12" s="6">
        <f>SUBTOTAL(103,مارس[14])</f>
        <v>0</v>
      </c>
      <c r="Q12" s="6">
        <f>SUBTOTAL(103,مارس[15])</f>
        <v>0</v>
      </c>
      <c r="R12" s="6">
        <f>SUBTOTAL(103,مارس[16])</f>
        <v>0</v>
      </c>
      <c r="S12" s="6">
        <f>SUBTOTAL(103,مارس[17])</f>
        <v>0</v>
      </c>
      <c r="T12" s="6">
        <f>SUBTOTAL(103,مارس[18])</f>
        <v>0</v>
      </c>
      <c r="U12" s="6">
        <f>SUBTOTAL(103,مارس[19])</f>
        <v>0</v>
      </c>
      <c r="V12" s="6">
        <f>SUBTOTAL(103,مارس[20])</f>
        <v>0</v>
      </c>
      <c r="W12" s="6">
        <f>SUBTOTAL(103,مارس[21])</f>
        <v>0</v>
      </c>
      <c r="X12" s="6">
        <f>SUBTOTAL(103,مارس[22])</f>
        <v>0</v>
      </c>
      <c r="Y12" s="6">
        <f>SUBTOTAL(103,مارس[23])</f>
        <v>0</v>
      </c>
      <c r="Z12" s="6">
        <f>SUBTOTAL(103,مارس[24])</f>
        <v>0</v>
      </c>
      <c r="AA12" s="6">
        <f>SUBTOTAL(103,مارس[25])</f>
        <v>0</v>
      </c>
      <c r="AB12" s="6">
        <f>SUBTOTAL(103,مارس[26])</f>
        <v>0</v>
      </c>
      <c r="AC12" s="6">
        <f>SUBTOTAL(103,مارس[27])</f>
        <v>0</v>
      </c>
      <c r="AD12" s="6">
        <f>SUBTOTAL(103,مارس[28])</f>
        <v>0</v>
      </c>
      <c r="AE12" s="6">
        <f>SUBTOTAL(103,مارس[29])</f>
        <v>0</v>
      </c>
      <c r="AF12" s="6">
        <f>SUBTOTAL(109,مارس[30])</f>
        <v>0</v>
      </c>
      <c r="AG12" s="6">
        <f>SUBTOTAL(109,مارس[31])</f>
        <v>0</v>
      </c>
      <c r="AH12" s="6">
        <f>SUBTOTAL(109,مارس[إجمالي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810" priority="2" stopIfTrue="1">
      <formula>C7=KeyCustom2</formula>
    </cfRule>
    <cfRule type="expression" dxfId="809" priority="3" stopIfTrue="1">
      <formula>C7=KeyCustom1</formula>
    </cfRule>
    <cfRule type="expression" dxfId="808" priority="4" stopIfTrue="1">
      <formula>C7=KeySick</formula>
    </cfRule>
    <cfRule type="expression" dxfId="807" priority="5" stopIfTrue="1">
      <formula>C7=KeyPersonal</formula>
    </cfRule>
    <cfRule type="expression" dxfId="806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{7C2B6C3E-666E-4369-8C57-FD32A7D03A3C}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200-000000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200-000001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200-000002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200-000003000000}"/>
    <dataValidation allowBlank="1" showInputMessage="1" showErrorMessage="1" prompt="أدخل تسمية لوصف المفتاح المخصص على اليمين" sqref="N2 Q2" xr:uid="{00000000-0002-0000-0200-000004000000}"/>
    <dataValidation allowBlank="1" showInputMessage="1" showErrorMessage="1" prompt="أدخل حرفاً وخصّص التسمية مباشرة لإضافة عنصر مفتاحي آخر" sqref="M2 P2" xr:uid="{00000000-0002-0000-0200-000005000000}"/>
    <dataValidation allowBlank="1" showInputMessage="1" showErrorMessage="1" prompt="الحرف &quot;م&quot; يشير إلى الغياب بسبب المرض" sqref="J2" xr:uid="{00000000-0002-0000-0200-000006000000}"/>
    <dataValidation allowBlank="1" showInputMessage="1" showErrorMessage="1" prompt="الحرف &quot;ش&quot; يشير إلى الغياب لأسباب شخصية" sqref="F2" xr:uid="{00000000-0002-0000-0200-000007000000}"/>
    <dataValidation allowBlank="1" showInputMessage="1" showErrorMessage="1" prompt="الحرف &quot;ع&quot; يشير إلى الغياب بسبب قضاء عطلة" sqref="C2" xr:uid="{00000000-0002-0000-0200-000008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200-000009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200-00000A000000}"/>
    <dataValidation allowBlank="1" showInputMessage="1" showErrorMessage="1" prompt="تعقب الغياب في شهر مارس في ورقة العمل هذه" sqref="A1" xr:uid="{00000000-0002-0000-0200-00000B000000}"/>
    <dataValidation allowBlank="1" showInputMessage="1" showErrorMessage="1" prompt="يتم حساب إجمالي عدد أيام غياب موظف هذا الشهر في هذا العمود تلقائياً" sqref="AH6" xr:uid="{00000000-0002-0000-0200-00000C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2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C2B6C3E-666E-4369-8C57-FD32A7D03A3C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2:34" ht="50.1" customHeight="1" x14ac:dyDescent="0.2">
      <c r="B1" s="8" t="str">
        <f>Employee_Absence_Title</f>
        <v>جدول غياب الموظفين</v>
      </c>
      <c r="C1" s="20"/>
      <c r="D1" s="20"/>
      <c r="E1" s="20"/>
      <c r="F1" s="20"/>
      <c r="G1" s="20"/>
    </row>
    <row r="2" spans="2:34" ht="15" customHeight="1" x14ac:dyDescent="0.2"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/>
      <c r="N2" s="30" t="s">
        <v>28</v>
      </c>
      <c r="O2" s="30"/>
      <c r="P2" s="15"/>
      <c r="Q2" s="30" t="s">
        <v>33</v>
      </c>
      <c r="R2" s="30"/>
    </row>
    <row r="3" spans="2:34" ht="15" customHeight="1" x14ac:dyDescent="0.2">
      <c r="B3" s="21"/>
    </row>
    <row r="4" spans="2:34" ht="30" customHeight="1" x14ac:dyDescent="0.2">
      <c r="B4" s="17" t="s">
        <v>55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f>CalendarYear</f>
        <v>2016</v>
      </c>
    </row>
    <row r="5" spans="2:34" ht="15" customHeight="1" x14ac:dyDescent="0.2">
      <c r="B5" s="17"/>
      <c r="C5" s="18" t="str">
        <f>TEXT(WEEKDAY(DATE(CalendarYear,4,1),1),"aaa")</f>
        <v>الجمعة</v>
      </c>
      <c r="D5" s="18" t="str">
        <f>TEXT(WEEKDAY(DATE(CalendarYear,4,2),1),"aaa")</f>
        <v>السبت</v>
      </c>
      <c r="E5" s="18" t="str">
        <f>TEXT(WEEKDAY(DATE(CalendarYear,4,3),1),"aaa")</f>
        <v>الأحد</v>
      </c>
      <c r="F5" s="18" t="str">
        <f>TEXT(WEEKDAY(DATE(CalendarYear,4,4),1),"aaa")</f>
        <v>الإثنين</v>
      </c>
      <c r="G5" s="18" t="str">
        <f>TEXT(WEEKDAY(DATE(CalendarYear,4,5),1),"aaa")</f>
        <v>الثلاثاء</v>
      </c>
      <c r="H5" s="18" t="str">
        <f>TEXT(WEEKDAY(DATE(CalendarYear,4,6),1),"aaa")</f>
        <v>الأربعاء</v>
      </c>
      <c r="I5" s="18" t="str">
        <f>TEXT(WEEKDAY(DATE(CalendarYear,4,7),1),"aaa")</f>
        <v>الخميس</v>
      </c>
      <c r="J5" s="18" t="str">
        <f>TEXT(WEEKDAY(DATE(CalendarYear,4,8),1),"aaa")</f>
        <v>الجمعة</v>
      </c>
      <c r="K5" s="18" t="str">
        <f>TEXT(WEEKDAY(DATE(CalendarYear,4,9),1),"aaa")</f>
        <v>السبت</v>
      </c>
      <c r="L5" s="18" t="str">
        <f>TEXT(WEEKDAY(DATE(CalendarYear,4,10),1),"aaa")</f>
        <v>الأحد</v>
      </c>
      <c r="M5" s="18" t="str">
        <f>TEXT(WEEKDAY(DATE(CalendarYear,4,11),1),"aaa")</f>
        <v>الإثنين</v>
      </c>
      <c r="N5" s="18" t="str">
        <f>TEXT(WEEKDAY(DATE(CalendarYear,4,12),1),"aaa")</f>
        <v>الثلاثاء</v>
      </c>
      <c r="O5" s="18" t="str">
        <f>TEXT(WEEKDAY(DATE(CalendarYear,4,13),1),"aaa")</f>
        <v>الأربعاء</v>
      </c>
      <c r="P5" s="18" t="str">
        <f>TEXT(WEEKDAY(DATE(CalendarYear,4,14),1),"aaa")</f>
        <v>الخميس</v>
      </c>
      <c r="Q5" s="18" t="str">
        <f>TEXT(WEEKDAY(DATE(CalendarYear,4,15),1),"aaa")</f>
        <v>الجمعة</v>
      </c>
      <c r="R5" s="18" t="str">
        <f>TEXT(WEEKDAY(DATE(CalendarYear,4,16),1),"aaa")</f>
        <v>السبت</v>
      </c>
      <c r="S5" s="18" t="str">
        <f>TEXT(WEEKDAY(DATE(CalendarYear,4,17),1),"aaa")</f>
        <v>الأحد</v>
      </c>
      <c r="T5" s="18" t="str">
        <f>TEXT(WEEKDAY(DATE(CalendarYear,4,18),1),"aaa")</f>
        <v>الإثنين</v>
      </c>
      <c r="U5" s="18" t="str">
        <f>TEXT(WEEKDAY(DATE(CalendarYear,4,19),1),"aaa")</f>
        <v>الثلاثاء</v>
      </c>
      <c r="V5" s="18" t="str">
        <f>TEXT(WEEKDAY(DATE(CalendarYear,4,20),1),"aaa")</f>
        <v>الأربعاء</v>
      </c>
      <c r="W5" s="18" t="str">
        <f>TEXT(WEEKDAY(DATE(CalendarYear,4,21),1),"aaa")</f>
        <v>الخميس</v>
      </c>
      <c r="X5" s="18" t="str">
        <f>TEXT(WEEKDAY(DATE(CalendarYear,4,22),1),"aaa")</f>
        <v>الجمعة</v>
      </c>
      <c r="Y5" s="18" t="str">
        <f>TEXT(WEEKDAY(DATE(CalendarYear,4,23),1),"aaa")</f>
        <v>السبت</v>
      </c>
      <c r="Z5" s="18" t="str">
        <f>TEXT(WEEKDAY(DATE(CalendarYear,4,24),1),"aaa")</f>
        <v>الأحد</v>
      </c>
      <c r="AA5" s="18" t="str">
        <f>TEXT(WEEKDAY(DATE(CalendarYear,4,25),1),"aaa")</f>
        <v>الإثنين</v>
      </c>
      <c r="AB5" s="18" t="str">
        <f>TEXT(WEEKDAY(DATE(CalendarYear,4,26),1),"aaa")</f>
        <v>الثلاثاء</v>
      </c>
      <c r="AC5" s="18" t="str">
        <f>TEXT(WEEKDAY(DATE(CalendarYear,4,27),1),"aaa")</f>
        <v>الأربعاء</v>
      </c>
      <c r="AD5" s="18" t="str">
        <f>TEXT(WEEKDAY(DATE(CalendarYear,4,28),1),"aaa")</f>
        <v>الخميس</v>
      </c>
      <c r="AE5" s="18" t="str">
        <f>TEXT(WEEKDAY(DATE(CalendarYear,4,29),1),"aaa")</f>
        <v>الجمعة</v>
      </c>
      <c r="AF5" s="18" t="str">
        <f>TEXT(WEEKDAY(DATE(CalendarYear,4,30),1),"aaa")</f>
        <v>السبت</v>
      </c>
      <c r="AG5" s="18"/>
      <c r="AH5" s="17"/>
    </row>
    <row r="6" spans="2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2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COUNTA(أبريل[[#This Row],[1]:[31]])</f>
        <v>0</v>
      </c>
    </row>
    <row r="8" spans="2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COUNTA(أبريل[[#This Row],[1]:[31]])</f>
        <v>0</v>
      </c>
    </row>
    <row r="9" spans="2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COUNTA(أبريل[[#This Row],[1]:[31]])</f>
        <v>0</v>
      </c>
    </row>
    <row r="10" spans="2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COUNTA(أبريل[[#This Row],[1]:[31]])</f>
        <v>0</v>
      </c>
    </row>
    <row r="11" spans="2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COUNTA(أبريل[[#This Row],[1]:[31]])</f>
        <v>0</v>
      </c>
    </row>
    <row r="12" spans="2:34" ht="30" customHeight="1" x14ac:dyDescent="0.2">
      <c r="B12" s="23" t="str">
        <f>MonthName&amp;" الإجمالي"</f>
        <v>أبريل الإجمالي</v>
      </c>
      <c r="C12" s="6">
        <f>SUBTOTAL(103,أبريل[1])</f>
        <v>0</v>
      </c>
      <c r="D12" s="6">
        <f>SUBTOTAL(103,أبريل[2])</f>
        <v>0</v>
      </c>
      <c r="E12" s="6">
        <f>SUBTOTAL(103,أبريل[3])</f>
        <v>0</v>
      </c>
      <c r="F12" s="6">
        <f>SUBTOTAL(103,أبريل[4])</f>
        <v>0</v>
      </c>
      <c r="G12" s="6">
        <f>SUBTOTAL(103,أبريل[5])</f>
        <v>0</v>
      </c>
      <c r="H12" s="6">
        <f>SUBTOTAL(103,أبريل[6])</f>
        <v>0</v>
      </c>
      <c r="I12" s="6">
        <f>SUBTOTAL(103,أبريل[7])</f>
        <v>0</v>
      </c>
      <c r="J12" s="6">
        <f>SUBTOTAL(103,أبريل[8])</f>
        <v>0</v>
      </c>
      <c r="K12" s="6">
        <f>SUBTOTAL(103,أبريل[9])</f>
        <v>0</v>
      </c>
      <c r="L12" s="6">
        <f>SUBTOTAL(103,أبريل[10])</f>
        <v>0</v>
      </c>
      <c r="M12" s="6">
        <f>SUBTOTAL(103,أبريل[11])</f>
        <v>0</v>
      </c>
      <c r="N12" s="6">
        <f>SUBTOTAL(103,أبريل[12])</f>
        <v>0</v>
      </c>
      <c r="O12" s="6">
        <f>SUBTOTAL(103,أبريل[13])</f>
        <v>0</v>
      </c>
      <c r="P12" s="6">
        <f>SUBTOTAL(103,أبريل[14])</f>
        <v>0</v>
      </c>
      <c r="Q12" s="6">
        <f>SUBTOTAL(103,أبريل[15])</f>
        <v>0</v>
      </c>
      <c r="R12" s="6">
        <f>SUBTOTAL(103,أبريل[16])</f>
        <v>0</v>
      </c>
      <c r="S12" s="6">
        <f>SUBTOTAL(103,أبريل[17])</f>
        <v>0</v>
      </c>
      <c r="T12" s="6">
        <f>SUBTOTAL(103,أبريل[18])</f>
        <v>0</v>
      </c>
      <c r="U12" s="6">
        <f>SUBTOTAL(103,أبريل[19])</f>
        <v>0</v>
      </c>
      <c r="V12" s="6">
        <f>SUBTOTAL(103,أبريل[20])</f>
        <v>0</v>
      </c>
      <c r="W12" s="6">
        <f>SUBTOTAL(103,أبريل[21])</f>
        <v>0</v>
      </c>
      <c r="X12" s="6">
        <f>SUBTOTAL(103,أبريل[22])</f>
        <v>0</v>
      </c>
      <c r="Y12" s="6">
        <f>SUBTOTAL(103,أبريل[23])</f>
        <v>0</v>
      </c>
      <c r="Z12" s="6">
        <f>SUBTOTAL(103,أبريل[24])</f>
        <v>0</v>
      </c>
      <c r="AA12" s="6">
        <f>SUBTOTAL(103,أبريل[25])</f>
        <v>0</v>
      </c>
      <c r="AB12" s="6">
        <f>SUBTOTAL(103,أبريل[26])</f>
        <v>0</v>
      </c>
      <c r="AC12" s="6">
        <f>SUBTOTAL(103,أبريل[27])</f>
        <v>0</v>
      </c>
      <c r="AD12" s="6">
        <f>SUBTOTAL(103,أبريل[28])</f>
        <v>0</v>
      </c>
      <c r="AE12" s="6">
        <f>SUBTOTAL(103,أبريل[29])</f>
        <v>0</v>
      </c>
      <c r="AF12" s="6">
        <f>SUBTOTAL(109,أبريل[30])</f>
        <v>0</v>
      </c>
      <c r="AG12" s="6">
        <f>SUBTOTAL(109,أبريل[31])</f>
        <v>0</v>
      </c>
      <c r="AH12" s="6">
        <f>SUBTOTAL(109,أبريل[إجمالي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736" priority="2" stopIfTrue="1">
      <formula>C7=KeyCustom2</formula>
    </cfRule>
    <cfRule type="expression" dxfId="735" priority="3" stopIfTrue="1">
      <formula>C7=KeyCustom1</formula>
    </cfRule>
    <cfRule type="expression" dxfId="734" priority="4" stopIfTrue="1">
      <formula>C7=KeySick</formula>
    </cfRule>
    <cfRule type="expression" dxfId="733" priority="5" stopIfTrue="1">
      <formula>C7=KeyPersonal</formula>
    </cfRule>
    <cfRule type="expression" dxfId="732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{0C86709F-D813-4066-A3F1-C30F11214F4B}</x14:id>
        </ext>
      </extLst>
    </cfRule>
  </conditionalFormatting>
  <dataValidations count="14">
    <dataValidation allowBlank="1" showInputMessage="1" showErrorMessage="1" prompt="سنة محدّثة تلقائياً استناداً إلى السنة التي تم إدخالها في ورقة عمل &quot;يناير&quot;." sqref="AH4" xr:uid="{00000000-0002-0000-0300-000000000000}"/>
    <dataValidation allowBlank="1" showInputMessage="1" showErrorMessage="1" prompt="يتم حساب إجمالي عدد أيام غياب موظف هذا الشهر في هذا العمود تلقائياً" sqref="AH6" xr:uid="{00000000-0002-0000-0300-000001000000}"/>
    <dataValidation allowBlank="1" showInputMessage="1" showErrorMessage="1" prompt="تعقب الغياب في شهر أبريل في ورقة العمل هذه" sqref="A1" xr:uid="{00000000-0002-0000-0300-000002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300-000003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300-000004000000}"/>
    <dataValidation allowBlank="1" showInputMessage="1" showErrorMessage="1" prompt="الحرف &quot;ع&quot; يشير إلى الغياب بسبب قضاء عطلة" sqref="C2" xr:uid="{00000000-0002-0000-0300-000005000000}"/>
    <dataValidation allowBlank="1" showInputMessage="1" showErrorMessage="1" prompt="الحرف &quot;ش&quot; يشير إلى الغياب لأسباب شخصية" sqref="F2" xr:uid="{00000000-0002-0000-0300-000006000000}"/>
    <dataValidation allowBlank="1" showInputMessage="1" showErrorMessage="1" prompt="الحرف &quot;م&quot; يشير إلى الغياب بسبب المرض" sqref="J2" xr:uid="{00000000-0002-0000-0300-000007000000}"/>
    <dataValidation allowBlank="1" showInputMessage="1" showErrorMessage="1" prompt="أدخل حرفاً وخصّص التسمية مباشرة لإضافة عنصر مفتاحي آخر" sqref="M2 P2" xr:uid="{00000000-0002-0000-0300-000008000000}"/>
    <dataValidation allowBlank="1" showInputMessage="1" showErrorMessage="1" prompt="أدخل تسمية لوصف المفتاح المخصص على اليمين" sqref="N2 Q2" xr:uid="{00000000-0002-0000-0300-000009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300-00000A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300-00000B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3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3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C86709F-D813-4066-A3F1-C30F11214F4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</row>
    <row r="2" spans="1:34" ht="15" customHeight="1" x14ac:dyDescent="0.2"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/>
      <c r="N2" s="30" t="s">
        <v>28</v>
      </c>
      <c r="O2" s="30"/>
      <c r="P2" s="15"/>
      <c r="Q2" s="30" t="s">
        <v>33</v>
      </c>
      <c r="R2" s="30"/>
    </row>
    <row r="3" spans="1:34" ht="15" customHeight="1" x14ac:dyDescent="0.2">
      <c r="B3" s="21"/>
    </row>
    <row r="4" spans="1:34" ht="30" customHeight="1" x14ac:dyDescent="0.2">
      <c r="B4" s="17" t="s">
        <v>56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f>CalendarYear</f>
        <v>2016</v>
      </c>
    </row>
    <row r="5" spans="1:34" ht="15" customHeight="1" x14ac:dyDescent="0.2">
      <c r="B5" s="17"/>
      <c r="C5" s="18" t="str">
        <f>TEXT(WEEKDAY(DATE(CalendarYear,5,1),1),"aaa")</f>
        <v>الأحد</v>
      </c>
      <c r="D5" s="18" t="str">
        <f>TEXT(WEEKDAY(DATE(CalendarYear,5,2),1),"aaa")</f>
        <v>الإثنين</v>
      </c>
      <c r="E5" s="18" t="str">
        <f>TEXT(WEEKDAY(DATE(CalendarYear,5,3),1),"aaa")</f>
        <v>الثلاثاء</v>
      </c>
      <c r="F5" s="18" t="str">
        <f>TEXT(WEEKDAY(DATE(CalendarYear,5,4),1),"aaa")</f>
        <v>الأربعاء</v>
      </c>
      <c r="G5" s="18" t="str">
        <f>TEXT(WEEKDAY(DATE(CalendarYear,5,5),1),"aaa")</f>
        <v>الخميس</v>
      </c>
      <c r="H5" s="18" t="str">
        <f>TEXT(WEEKDAY(DATE(CalendarYear,5,6),1),"aaa")</f>
        <v>الجمعة</v>
      </c>
      <c r="I5" s="18" t="str">
        <f>TEXT(WEEKDAY(DATE(CalendarYear,5,7),1),"aaa")</f>
        <v>السبت</v>
      </c>
      <c r="J5" s="18" t="str">
        <f>TEXT(WEEKDAY(DATE(CalendarYear,5,8),1),"aaa")</f>
        <v>الأحد</v>
      </c>
      <c r="K5" s="18" t="str">
        <f>TEXT(WEEKDAY(DATE(CalendarYear,5,9),1),"aaa")</f>
        <v>الإثنين</v>
      </c>
      <c r="L5" s="18" t="str">
        <f>TEXT(WEEKDAY(DATE(CalendarYear,5,10),1),"aaa")</f>
        <v>الثلاثاء</v>
      </c>
      <c r="M5" s="18" t="str">
        <f>TEXT(WEEKDAY(DATE(CalendarYear,5,11),1),"aaa")</f>
        <v>الأربعاء</v>
      </c>
      <c r="N5" s="18" t="str">
        <f>TEXT(WEEKDAY(DATE(CalendarYear,5,12),1),"aaa")</f>
        <v>الخميس</v>
      </c>
      <c r="O5" s="18" t="str">
        <f>TEXT(WEEKDAY(DATE(CalendarYear,5,13),1),"aaa")</f>
        <v>الجمعة</v>
      </c>
      <c r="P5" s="18" t="str">
        <f>TEXT(WEEKDAY(DATE(CalendarYear,5,14),1),"aaa")</f>
        <v>السبت</v>
      </c>
      <c r="Q5" s="18" t="str">
        <f>TEXT(WEEKDAY(DATE(CalendarYear,5,15),1),"aaa")</f>
        <v>الأحد</v>
      </c>
      <c r="R5" s="18" t="str">
        <f>TEXT(WEEKDAY(DATE(CalendarYear,5,16),1),"aaa")</f>
        <v>الإثنين</v>
      </c>
      <c r="S5" s="18" t="str">
        <f>TEXT(WEEKDAY(DATE(CalendarYear,5,17),1),"aaa")</f>
        <v>الثلاثاء</v>
      </c>
      <c r="T5" s="18" t="str">
        <f>TEXT(WEEKDAY(DATE(CalendarYear,5,18),1),"aaa")</f>
        <v>الأربعاء</v>
      </c>
      <c r="U5" s="18" t="str">
        <f>TEXT(WEEKDAY(DATE(CalendarYear,5,19),1),"aaa")</f>
        <v>الخميس</v>
      </c>
      <c r="V5" s="18" t="str">
        <f>TEXT(WEEKDAY(DATE(CalendarYear,5,20),1),"aaa")</f>
        <v>الجمعة</v>
      </c>
      <c r="W5" s="18" t="str">
        <f>TEXT(WEEKDAY(DATE(CalendarYear,5,21),1),"aaa")</f>
        <v>السبت</v>
      </c>
      <c r="X5" s="18" t="str">
        <f>TEXT(WEEKDAY(DATE(CalendarYear,5,22),1),"aaa")</f>
        <v>الأحد</v>
      </c>
      <c r="Y5" s="18" t="str">
        <f>TEXT(WEEKDAY(DATE(CalendarYear,5,23),1),"aaa")</f>
        <v>الإثنين</v>
      </c>
      <c r="Z5" s="18" t="str">
        <f>TEXT(WEEKDAY(DATE(CalendarYear,5,24),1),"aaa")</f>
        <v>الثلاثاء</v>
      </c>
      <c r="AA5" s="18" t="str">
        <f>TEXT(WEEKDAY(DATE(CalendarYear,5,25),1),"aaa")</f>
        <v>الأربعاء</v>
      </c>
      <c r="AB5" s="18" t="str">
        <f>TEXT(WEEKDAY(DATE(CalendarYear,5,26),1),"aaa")</f>
        <v>الخميس</v>
      </c>
      <c r="AC5" s="18" t="str">
        <f>TEXT(WEEKDAY(DATE(CalendarYear,5,27),1),"aaa")</f>
        <v>الجمعة</v>
      </c>
      <c r="AD5" s="18" t="str">
        <f>TEXT(WEEKDAY(DATE(CalendarYear,5,28),1),"aaa")</f>
        <v>السبت</v>
      </c>
      <c r="AE5" s="18" t="str">
        <f>TEXT(WEEKDAY(DATE(CalendarYear,5,29),1),"aaa")</f>
        <v>الأحد</v>
      </c>
      <c r="AF5" s="18" t="str">
        <f>TEXT(WEEKDAY(DATE(CalendarYear,5,30),1),"aaa")</f>
        <v>الإثنين</v>
      </c>
      <c r="AG5" s="18" t="str">
        <f>TEXT(WEEKDAY(DATE(CalendarYear,5,31),1),"aaa")</f>
        <v>الثلاثاء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COUNTA(مايو[[#This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COUNTA(مايو[[#This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COUNTA(مايو[[#This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COUNTA(مايو[[#This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COUNTA(مايو[[#This Row],[1]:[31]])</f>
        <v>0</v>
      </c>
    </row>
    <row r="12" spans="1:34" ht="30" customHeight="1" x14ac:dyDescent="0.2">
      <c r="B12" s="23" t="str">
        <f>MonthName&amp;" الإجمالي"</f>
        <v>مايو الإجمالي</v>
      </c>
      <c r="C12" s="6">
        <f>SUBTOTAL(103,مايو[1])</f>
        <v>0</v>
      </c>
      <c r="D12" s="6">
        <f>SUBTOTAL(103,مايو[2])</f>
        <v>0</v>
      </c>
      <c r="E12" s="6">
        <f>SUBTOTAL(103,مايو[3])</f>
        <v>0</v>
      </c>
      <c r="F12" s="6">
        <f>SUBTOTAL(103,مايو[4])</f>
        <v>0</v>
      </c>
      <c r="G12" s="6">
        <f>SUBTOTAL(103,مايو[5])</f>
        <v>0</v>
      </c>
      <c r="H12" s="6">
        <f>SUBTOTAL(103,مايو[6])</f>
        <v>0</v>
      </c>
      <c r="I12" s="6">
        <f>SUBTOTAL(103,مايو[7])</f>
        <v>0</v>
      </c>
      <c r="J12" s="6">
        <f>SUBTOTAL(103,مايو[8])</f>
        <v>0</v>
      </c>
      <c r="K12" s="6">
        <f>SUBTOTAL(103,مايو[9])</f>
        <v>0</v>
      </c>
      <c r="L12" s="6">
        <f>SUBTOTAL(103,مايو[10])</f>
        <v>0</v>
      </c>
      <c r="M12" s="6">
        <f>SUBTOTAL(103,مايو[11])</f>
        <v>0</v>
      </c>
      <c r="N12" s="6">
        <f>SUBTOTAL(103,مايو[12])</f>
        <v>0</v>
      </c>
      <c r="O12" s="6">
        <f>SUBTOTAL(103,مايو[13])</f>
        <v>0</v>
      </c>
      <c r="P12" s="6">
        <f>SUBTOTAL(103,مايو[14])</f>
        <v>0</v>
      </c>
      <c r="Q12" s="6">
        <f>SUBTOTAL(103,مايو[15])</f>
        <v>0</v>
      </c>
      <c r="R12" s="6">
        <f>SUBTOTAL(103,مايو[16])</f>
        <v>0</v>
      </c>
      <c r="S12" s="6">
        <f>SUBTOTAL(103,مايو[17])</f>
        <v>0</v>
      </c>
      <c r="T12" s="6">
        <f>SUBTOTAL(103,مايو[18])</f>
        <v>0</v>
      </c>
      <c r="U12" s="6">
        <f>SUBTOTAL(103,مايو[19])</f>
        <v>0</v>
      </c>
      <c r="V12" s="6">
        <f>SUBTOTAL(103,مايو[20])</f>
        <v>0</v>
      </c>
      <c r="W12" s="6">
        <f>SUBTOTAL(103,مايو[21])</f>
        <v>0</v>
      </c>
      <c r="X12" s="6">
        <f>SUBTOTAL(103,مايو[22])</f>
        <v>0</v>
      </c>
      <c r="Y12" s="6">
        <f>SUBTOTAL(103,مايو[23])</f>
        <v>0</v>
      </c>
      <c r="Z12" s="6">
        <f>SUBTOTAL(103,مايو[24])</f>
        <v>0</v>
      </c>
      <c r="AA12" s="6">
        <f>SUBTOTAL(103,مايو[25])</f>
        <v>0</v>
      </c>
      <c r="AB12" s="6">
        <f>SUBTOTAL(103,مايو[26])</f>
        <v>0</v>
      </c>
      <c r="AC12" s="6">
        <f>SUBTOTAL(103,مايو[27])</f>
        <v>0</v>
      </c>
      <c r="AD12" s="6">
        <f>SUBTOTAL(103,مايو[28])</f>
        <v>0</v>
      </c>
      <c r="AE12" s="6">
        <f>SUBTOTAL(103,مايو[29])</f>
        <v>0</v>
      </c>
      <c r="AF12" s="6">
        <f>SUBTOTAL(109,مايو[30])</f>
        <v>0</v>
      </c>
      <c r="AG12" s="6">
        <f>SUBTOTAL(109,مايو[31])</f>
        <v>0</v>
      </c>
      <c r="AH12" s="6">
        <f>SUBTOTAL(109,مايو[إجمالي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662" priority="2" stopIfTrue="1">
      <formula>C7=KeyCustom2</formula>
    </cfRule>
    <cfRule type="expression" dxfId="661" priority="3" stopIfTrue="1">
      <formula>C7=KeyCustom1</formula>
    </cfRule>
    <cfRule type="expression" dxfId="660" priority="4" stopIfTrue="1">
      <formula>C7=KeySick</formula>
    </cfRule>
    <cfRule type="expression" dxfId="659" priority="5" stopIfTrue="1">
      <formula>C7=KeyPersonal</formula>
    </cfRule>
    <cfRule type="expression" dxfId="658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{5670947F-8B3C-4A6C-A280-4F5E10811DCE}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4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4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400-000002000000}"/>
    <dataValidation allowBlank="1" showInputMessage="1" showErrorMessage="1" prompt="أدخل تسمية لوصف المفتاح المخصص على اليمين" sqref="N2 Q2" xr:uid="{00000000-0002-0000-0400-000003000000}"/>
    <dataValidation allowBlank="1" showInputMessage="1" showErrorMessage="1" prompt="أدخل حرفاً وخصّص التسمية مباشرة لإضافة عنصر مفتاحي آخر" sqref="M2 P2" xr:uid="{00000000-0002-0000-0400-000004000000}"/>
    <dataValidation allowBlank="1" showInputMessage="1" showErrorMessage="1" prompt="الحرف &quot;م&quot; يشير إلى الغياب بسبب المرض" sqref="J2" xr:uid="{00000000-0002-0000-0400-000005000000}"/>
    <dataValidation allowBlank="1" showInputMessage="1" showErrorMessage="1" prompt="الحرف &quot;ش&quot; يشير إلى الغياب لأسباب شخصية" sqref="F2" xr:uid="{00000000-0002-0000-0400-000006000000}"/>
    <dataValidation allowBlank="1" showInputMessage="1" showErrorMessage="1" prompt="الحرف &quot;ع&quot; يشير إلى الغياب بسبب قضاء عطلة" sqref="C2" xr:uid="{00000000-0002-0000-04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4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400-000009000000}"/>
    <dataValidation allowBlank="1" showInputMessage="1" showErrorMessage="1" prompt="تعقب الغياب في شهر مايو في ورقة العمل هذه" sqref="A1" xr:uid="{00000000-0002-0000-0400-00000A000000}"/>
    <dataValidation allowBlank="1" showInputMessage="1" showErrorMessage="1" prompt="يتم حساب إجمالي عدد أيام غياب موظف هذا الشهر في هذا العمود تلقائياً" sqref="AH6" xr:uid="{00000000-0002-0000-04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4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4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670947F-8B3C-4A6C-A280-4F5E10811DCE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  <c r="D1" s="20"/>
    </row>
    <row r="2" spans="1:34" ht="15" customHeight="1" x14ac:dyDescent="0.2"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/>
      <c r="N2" s="30" t="s">
        <v>28</v>
      </c>
      <c r="O2" s="30"/>
      <c r="P2" s="15"/>
      <c r="Q2" s="30" t="s">
        <v>33</v>
      </c>
      <c r="R2" s="30"/>
    </row>
    <row r="3" spans="1:34" ht="15" customHeight="1" x14ac:dyDescent="0.2">
      <c r="B3" s="21"/>
    </row>
    <row r="4" spans="1:34" ht="30" customHeight="1" x14ac:dyDescent="0.2">
      <c r="B4" s="17" t="s">
        <v>57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f>CalendarYear</f>
        <v>2016</v>
      </c>
    </row>
    <row r="5" spans="1:34" ht="15" customHeight="1" x14ac:dyDescent="0.2">
      <c r="B5" s="17"/>
      <c r="C5" s="18" t="str">
        <f>TEXT(WEEKDAY(DATE(CalendarYear,6,1),1),"aaa")</f>
        <v>الأربعاء</v>
      </c>
      <c r="D5" s="18" t="str">
        <f>TEXT(WEEKDAY(DATE(CalendarYear,6,2),1),"aaa")</f>
        <v>الخميس</v>
      </c>
      <c r="E5" s="18" t="str">
        <f>TEXT(WEEKDAY(DATE(CalendarYear,6,3),1),"aaa")</f>
        <v>الجمعة</v>
      </c>
      <c r="F5" s="18" t="str">
        <f>TEXT(WEEKDAY(DATE(CalendarYear,6,4),1),"aaa")</f>
        <v>السبت</v>
      </c>
      <c r="G5" s="18" t="str">
        <f>TEXT(WEEKDAY(DATE(CalendarYear,6,5),1),"aaa")</f>
        <v>الأحد</v>
      </c>
      <c r="H5" s="18" t="str">
        <f>TEXT(WEEKDAY(DATE(CalendarYear,6,6),1),"aaa")</f>
        <v>الإثنين</v>
      </c>
      <c r="I5" s="18" t="str">
        <f>TEXT(WEEKDAY(DATE(CalendarYear,6,7),1),"aaa")</f>
        <v>الثلاثاء</v>
      </c>
      <c r="J5" s="18" t="str">
        <f>TEXT(WEEKDAY(DATE(CalendarYear,6,8),1),"aaa")</f>
        <v>الأربعاء</v>
      </c>
      <c r="K5" s="18" t="str">
        <f>TEXT(WEEKDAY(DATE(CalendarYear,6,9),1),"aaa")</f>
        <v>الخميس</v>
      </c>
      <c r="L5" s="18" t="str">
        <f>TEXT(WEEKDAY(DATE(CalendarYear,6,10),1),"aaa")</f>
        <v>الجمعة</v>
      </c>
      <c r="M5" s="18" t="str">
        <f>TEXT(WEEKDAY(DATE(CalendarYear,6,11),1),"aaa")</f>
        <v>السبت</v>
      </c>
      <c r="N5" s="18" t="str">
        <f>TEXT(WEEKDAY(DATE(CalendarYear,6,12),1),"aaa")</f>
        <v>الأحد</v>
      </c>
      <c r="O5" s="18" t="str">
        <f>TEXT(WEEKDAY(DATE(CalendarYear,6,13),1),"aaa")</f>
        <v>الإثنين</v>
      </c>
      <c r="P5" s="18" t="str">
        <f>TEXT(WEEKDAY(DATE(CalendarYear,6,14),1),"aaa")</f>
        <v>الثلاثاء</v>
      </c>
      <c r="Q5" s="18" t="str">
        <f>TEXT(WEEKDAY(DATE(CalendarYear,6,15),1),"aaa")</f>
        <v>الأربعاء</v>
      </c>
      <c r="R5" s="18" t="str">
        <f>TEXT(WEEKDAY(DATE(CalendarYear,6,16),1),"aaa")</f>
        <v>الخميس</v>
      </c>
      <c r="S5" s="18" t="str">
        <f>TEXT(WEEKDAY(DATE(CalendarYear,6,17),1),"aaa")</f>
        <v>الجمعة</v>
      </c>
      <c r="T5" s="18" t="str">
        <f>TEXT(WEEKDAY(DATE(CalendarYear,6,18),1),"aaa")</f>
        <v>السبت</v>
      </c>
      <c r="U5" s="18" t="str">
        <f>TEXT(WEEKDAY(DATE(CalendarYear,6,19),1),"aaa")</f>
        <v>الأحد</v>
      </c>
      <c r="V5" s="18" t="str">
        <f>TEXT(WEEKDAY(DATE(CalendarYear,6,20),1),"aaa")</f>
        <v>الإثنين</v>
      </c>
      <c r="W5" s="18" t="str">
        <f>TEXT(WEEKDAY(DATE(CalendarYear,6,21),1),"aaa")</f>
        <v>الثلاثاء</v>
      </c>
      <c r="X5" s="18" t="str">
        <f>TEXT(WEEKDAY(DATE(CalendarYear,6,22),1),"aaa")</f>
        <v>الأربعاء</v>
      </c>
      <c r="Y5" s="18" t="str">
        <f>TEXT(WEEKDAY(DATE(CalendarYear,6,23),1),"aaa")</f>
        <v>الخميس</v>
      </c>
      <c r="Z5" s="18" t="str">
        <f>TEXT(WEEKDAY(DATE(CalendarYear,6,24),1),"aaa")</f>
        <v>الجمعة</v>
      </c>
      <c r="AA5" s="18" t="str">
        <f>TEXT(WEEKDAY(DATE(CalendarYear,6,25),1),"aaa")</f>
        <v>السبت</v>
      </c>
      <c r="AB5" s="18" t="str">
        <f>TEXT(WEEKDAY(DATE(CalendarYear,6,26),1),"aaa")</f>
        <v>الأحد</v>
      </c>
      <c r="AC5" s="18" t="str">
        <f>TEXT(WEEKDAY(DATE(CalendarYear,6,27),1),"aaa")</f>
        <v>الإثنين</v>
      </c>
      <c r="AD5" s="18" t="str">
        <f>TEXT(WEEKDAY(DATE(CalendarYear,6,28),1),"aaa")</f>
        <v>الثلاثاء</v>
      </c>
      <c r="AE5" s="18" t="str">
        <f>TEXT(WEEKDAY(DATE(CalendarYear,6,29),1),"aaa")</f>
        <v>الأربعاء</v>
      </c>
      <c r="AF5" s="18" t="str">
        <f>TEXT(WEEKDAY(DATE(CalendarYear,6,30),1),"aaa")</f>
        <v>الخميس</v>
      </c>
      <c r="AG5" s="18"/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COUNTA(يونيو[[#This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COUNTA(يونيو[[#This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COUNTA(يونيو[[#This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COUNTA(يونيو[[#This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COUNTA(يونيو[[#This Row],[1]:[31]])</f>
        <v>0</v>
      </c>
    </row>
    <row r="12" spans="1:34" ht="30" customHeight="1" x14ac:dyDescent="0.2">
      <c r="B12" s="23" t="str">
        <f>MonthName&amp;" الإجمالي"</f>
        <v>يونيو الإجمالي</v>
      </c>
      <c r="C12" s="6">
        <f>SUBTOTAL(103,يونيو[1])</f>
        <v>0</v>
      </c>
      <c r="D12" s="6">
        <f>SUBTOTAL(103,يونيو[2])</f>
        <v>0</v>
      </c>
      <c r="E12" s="6">
        <f>SUBTOTAL(103,يونيو[3])</f>
        <v>0</v>
      </c>
      <c r="F12" s="6">
        <f>SUBTOTAL(103,يونيو[4])</f>
        <v>0</v>
      </c>
      <c r="G12" s="6">
        <f>SUBTOTAL(103,يونيو[5])</f>
        <v>0</v>
      </c>
      <c r="H12" s="6">
        <f>SUBTOTAL(103,يونيو[6])</f>
        <v>0</v>
      </c>
      <c r="I12" s="6">
        <f>SUBTOTAL(103,يونيو[7])</f>
        <v>0</v>
      </c>
      <c r="J12" s="6">
        <f>SUBTOTAL(103,يونيو[8])</f>
        <v>0</v>
      </c>
      <c r="K12" s="6">
        <f>SUBTOTAL(103,يونيو[9])</f>
        <v>0</v>
      </c>
      <c r="L12" s="6">
        <f>SUBTOTAL(103,يونيو[10])</f>
        <v>0</v>
      </c>
      <c r="M12" s="6">
        <f>SUBTOTAL(103,يونيو[11])</f>
        <v>0</v>
      </c>
      <c r="N12" s="6">
        <f>SUBTOTAL(103,يونيو[12])</f>
        <v>0</v>
      </c>
      <c r="O12" s="6">
        <f>SUBTOTAL(103,يونيو[13])</f>
        <v>0</v>
      </c>
      <c r="P12" s="6">
        <f>SUBTOTAL(103,يونيو[14])</f>
        <v>0</v>
      </c>
      <c r="Q12" s="6">
        <f>SUBTOTAL(103,يونيو[15])</f>
        <v>0</v>
      </c>
      <c r="R12" s="6">
        <f>SUBTOTAL(103,يونيو[16])</f>
        <v>0</v>
      </c>
      <c r="S12" s="6">
        <f>SUBTOTAL(103,يونيو[17])</f>
        <v>0</v>
      </c>
      <c r="T12" s="6">
        <f>SUBTOTAL(103,يونيو[18])</f>
        <v>0</v>
      </c>
      <c r="U12" s="6">
        <f>SUBTOTAL(103,يونيو[19])</f>
        <v>0</v>
      </c>
      <c r="V12" s="6">
        <f>SUBTOTAL(103,يونيو[20])</f>
        <v>0</v>
      </c>
      <c r="W12" s="6">
        <f>SUBTOTAL(103,يونيو[21])</f>
        <v>0</v>
      </c>
      <c r="X12" s="6">
        <f>SUBTOTAL(103,يونيو[22])</f>
        <v>0</v>
      </c>
      <c r="Y12" s="6">
        <f>SUBTOTAL(103,يونيو[23])</f>
        <v>0</v>
      </c>
      <c r="Z12" s="6">
        <f>SUBTOTAL(103,يونيو[24])</f>
        <v>0</v>
      </c>
      <c r="AA12" s="6">
        <f>SUBTOTAL(103,يونيو[25])</f>
        <v>0</v>
      </c>
      <c r="AB12" s="6">
        <f>SUBTOTAL(103,يونيو[26])</f>
        <v>0</v>
      </c>
      <c r="AC12" s="6">
        <f>SUBTOTAL(103,يونيو[27])</f>
        <v>0</v>
      </c>
      <c r="AD12" s="6">
        <f>SUBTOTAL(103,يونيو[28])</f>
        <v>0</v>
      </c>
      <c r="AE12" s="6">
        <f>SUBTOTAL(103,يونيو[29])</f>
        <v>0</v>
      </c>
      <c r="AF12" s="6">
        <f>SUBTOTAL(109,يونيو[30])</f>
        <v>0</v>
      </c>
      <c r="AG12" s="6">
        <f>SUBTOTAL(109,يونيو[31])</f>
        <v>0</v>
      </c>
      <c r="AH12" s="6">
        <f>SUBTOTAL(109,يونيو[إجمالي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588" priority="2" stopIfTrue="1">
      <formula>C7=KeyCustom2</formula>
    </cfRule>
    <cfRule type="expression" dxfId="587" priority="3" stopIfTrue="1">
      <formula>C7=KeyCustom1</formula>
    </cfRule>
    <cfRule type="expression" dxfId="586" priority="4" stopIfTrue="1">
      <formula>C7=KeySick</formula>
    </cfRule>
    <cfRule type="expression" dxfId="585" priority="5" stopIfTrue="1">
      <formula>C7=KeyPersonal</formula>
    </cfRule>
    <cfRule type="expression" dxfId="584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{5E94D469-7B22-408B-924D-8DC8A136AD3B}</x14:id>
        </ext>
      </extLst>
    </cfRule>
  </conditionalFormatting>
  <dataValidations count="14"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500-000000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500-000001000000}"/>
    <dataValidation allowBlank="1" showInputMessage="1" showErrorMessage="1" prompt="يتم حساب إجمالي عدد أيام غياب موظف هذا الشهر في هذا العمود تلقائياً" sqref="AH6" xr:uid="{00000000-0002-0000-0500-000002000000}"/>
    <dataValidation allowBlank="1" showInputMessage="1" showErrorMessage="1" prompt="تعقب الغياب في شهر يونيو في ورقة العمل هذه" sqref="A1" xr:uid="{00000000-0002-0000-0500-000003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500-000004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500-000005000000}"/>
    <dataValidation allowBlank="1" showInputMessage="1" showErrorMessage="1" prompt="الحرف &quot;ع&quot; يشير إلى الغياب بسبب قضاء عطلة" sqref="C2" xr:uid="{00000000-0002-0000-0500-000006000000}"/>
    <dataValidation allowBlank="1" showInputMessage="1" showErrorMessage="1" prompt="الحرف &quot;ش&quot; يشير إلى الغياب لأسباب شخصية" sqref="F2" xr:uid="{00000000-0002-0000-0500-000007000000}"/>
    <dataValidation allowBlank="1" showInputMessage="1" showErrorMessage="1" prompt="الحرف &quot;م&quot; يشير إلى الغياب بسبب المرض" sqref="J2" xr:uid="{00000000-0002-0000-0500-000008000000}"/>
    <dataValidation allowBlank="1" showInputMessage="1" showErrorMessage="1" prompt="أدخل حرفاً وخصّص التسمية مباشرة لإضافة عنصر مفتاحي آخر" sqref="M2 P2" xr:uid="{00000000-0002-0000-0500-000009000000}"/>
    <dataValidation allowBlank="1" showInputMessage="1" showErrorMessage="1" prompt="أدخل تسمية لوصف المفتاح المخصص على اليمين" sqref="N2 Q2" xr:uid="{00000000-0002-0000-0500-00000A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500-00000B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5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5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E94D469-7B22-408B-924D-8DC8A136AD3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  <c r="D1" s="20"/>
    </row>
    <row r="2" spans="1:34" ht="15" customHeight="1" x14ac:dyDescent="0.2">
      <c r="A2" s="20"/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/>
      <c r="N2" s="30" t="s">
        <v>28</v>
      </c>
      <c r="O2" s="30"/>
      <c r="P2" s="15"/>
      <c r="Q2" s="30" t="s">
        <v>33</v>
      </c>
      <c r="R2" s="30"/>
    </row>
    <row r="3" spans="1:34" ht="15" customHeight="1" x14ac:dyDescent="0.2">
      <c r="B3" s="21"/>
    </row>
    <row r="4" spans="1:34" ht="30" customHeight="1" x14ac:dyDescent="0.2">
      <c r="B4" s="17" t="s">
        <v>58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f>CalendarYear</f>
        <v>2016</v>
      </c>
    </row>
    <row r="5" spans="1:34" ht="15" customHeight="1" x14ac:dyDescent="0.2">
      <c r="B5" s="17"/>
      <c r="C5" s="18" t="str">
        <f>TEXT(WEEKDAY(DATE(CalendarYear,7,1),1),"aaa")</f>
        <v>الجمعة</v>
      </c>
      <c r="D5" s="18" t="str">
        <f>TEXT(WEEKDAY(DATE(CalendarYear,7,2),1),"aaa")</f>
        <v>السبت</v>
      </c>
      <c r="E5" s="18" t="str">
        <f>TEXT(WEEKDAY(DATE(CalendarYear,7,3),1),"aaa")</f>
        <v>الأحد</v>
      </c>
      <c r="F5" s="18" t="str">
        <f>TEXT(WEEKDAY(DATE(CalendarYear,7,4),1),"aaa")</f>
        <v>الإثنين</v>
      </c>
      <c r="G5" s="18" t="str">
        <f>TEXT(WEEKDAY(DATE(CalendarYear,7,5),1),"aaa")</f>
        <v>الثلاثاء</v>
      </c>
      <c r="H5" s="18" t="str">
        <f>TEXT(WEEKDAY(DATE(CalendarYear,7,6),1),"aaa")</f>
        <v>الأربعاء</v>
      </c>
      <c r="I5" s="18" t="str">
        <f>TEXT(WEEKDAY(DATE(CalendarYear,7,7),1),"aaa")</f>
        <v>الخميس</v>
      </c>
      <c r="J5" s="18" t="str">
        <f>TEXT(WEEKDAY(DATE(CalendarYear,7,8),1),"aaa")</f>
        <v>الجمعة</v>
      </c>
      <c r="K5" s="18" t="str">
        <f>TEXT(WEEKDAY(DATE(CalendarYear,7,9),1),"aaa")</f>
        <v>السبت</v>
      </c>
      <c r="L5" s="18" t="str">
        <f>TEXT(WEEKDAY(DATE(CalendarYear,7,10),1),"aaa")</f>
        <v>الأحد</v>
      </c>
      <c r="M5" s="18" t="str">
        <f>TEXT(WEEKDAY(DATE(CalendarYear,7,11),1),"aaa")</f>
        <v>الإثنين</v>
      </c>
      <c r="N5" s="18" t="str">
        <f>TEXT(WEEKDAY(DATE(CalendarYear,7,12),1),"aaa")</f>
        <v>الثلاثاء</v>
      </c>
      <c r="O5" s="18" t="str">
        <f>TEXT(WEEKDAY(DATE(CalendarYear,7,13),1),"aaa")</f>
        <v>الأربعاء</v>
      </c>
      <c r="P5" s="18" t="str">
        <f>TEXT(WEEKDAY(DATE(CalendarYear,7,14),1),"aaa")</f>
        <v>الخميس</v>
      </c>
      <c r="Q5" s="18" t="str">
        <f>TEXT(WEEKDAY(DATE(CalendarYear,7,15),1),"aaa")</f>
        <v>الجمعة</v>
      </c>
      <c r="R5" s="18" t="str">
        <f>TEXT(WEEKDAY(DATE(CalendarYear,7,16),1),"aaa")</f>
        <v>السبت</v>
      </c>
      <c r="S5" s="18" t="str">
        <f>TEXT(WEEKDAY(DATE(CalendarYear,7,17),1),"aaa")</f>
        <v>الأحد</v>
      </c>
      <c r="T5" s="18" t="str">
        <f>TEXT(WEEKDAY(DATE(CalendarYear,7,18),1),"aaa")</f>
        <v>الإثنين</v>
      </c>
      <c r="U5" s="18" t="str">
        <f>TEXT(WEEKDAY(DATE(CalendarYear,7,19),1),"aaa")</f>
        <v>الثلاثاء</v>
      </c>
      <c r="V5" s="18" t="str">
        <f>TEXT(WEEKDAY(DATE(CalendarYear,7,20),1),"aaa")</f>
        <v>الأربعاء</v>
      </c>
      <c r="W5" s="18" t="str">
        <f>TEXT(WEEKDAY(DATE(CalendarYear,7,21),1),"aaa")</f>
        <v>الخميس</v>
      </c>
      <c r="X5" s="18" t="str">
        <f>TEXT(WEEKDAY(DATE(CalendarYear,7,22),1),"aaa")</f>
        <v>الجمعة</v>
      </c>
      <c r="Y5" s="18" t="str">
        <f>TEXT(WEEKDAY(DATE(CalendarYear,7,23),1),"aaa")</f>
        <v>السبت</v>
      </c>
      <c r="Z5" s="18" t="str">
        <f>TEXT(WEEKDAY(DATE(CalendarYear,7,24),1),"aaa")</f>
        <v>الأحد</v>
      </c>
      <c r="AA5" s="18" t="str">
        <f>TEXT(WEEKDAY(DATE(CalendarYear,7,25),1),"aaa")</f>
        <v>الإثنين</v>
      </c>
      <c r="AB5" s="18" t="str">
        <f>TEXT(WEEKDAY(DATE(CalendarYear,7,26),1),"aaa")</f>
        <v>الثلاثاء</v>
      </c>
      <c r="AC5" s="18" t="str">
        <f>TEXT(WEEKDAY(DATE(CalendarYear,7,27),1),"aaa")</f>
        <v>الأربعاء</v>
      </c>
      <c r="AD5" s="18" t="str">
        <f>TEXT(WEEKDAY(DATE(CalendarYear,7,28),1),"aaa")</f>
        <v>الخميس</v>
      </c>
      <c r="AE5" s="18" t="str">
        <f>TEXT(WEEKDAY(DATE(CalendarYear,7,29),1),"aaa")</f>
        <v>الجمعة</v>
      </c>
      <c r="AF5" s="18" t="str">
        <f>TEXT(WEEKDAY(DATE(CalendarYear,7,30),1),"aaa")</f>
        <v>السبت</v>
      </c>
      <c r="AG5" s="18" t="str">
        <f>TEXT(WEEKDAY(DATE(CalendarYear,7,31),1),"aaa")</f>
        <v>الأحد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COUNTA(يوليو[[#This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COUNTA(يوليو[[#This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COUNTA(يوليو[[#This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COUNTA(يوليو[[#This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COUNTA(يوليو[[#This Row],[1]:[31]])</f>
        <v>0</v>
      </c>
    </row>
    <row r="12" spans="1:34" ht="30" customHeight="1" x14ac:dyDescent="0.2">
      <c r="B12" s="23" t="str">
        <f>MonthName&amp;" الإجمالي"</f>
        <v>يوليو الإجمالي</v>
      </c>
      <c r="C12" s="6">
        <f>SUBTOTAL(103,يوليو[1])</f>
        <v>0</v>
      </c>
      <c r="D12" s="6">
        <f>SUBTOTAL(103,يوليو[2])</f>
        <v>0</v>
      </c>
      <c r="E12" s="6">
        <f>SUBTOTAL(103,يوليو[3])</f>
        <v>0</v>
      </c>
      <c r="F12" s="6">
        <f>SUBTOTAL(103,يوليو[4])</f>
        <v>0</v>
      </c>
      <c r="G12" s="6">
        <f>SUBTOTAL(103,يوليو[5])</f>
        <v>0</v>
      </c>
      <c r="H12" s="6">
        <f>SUBTOTAL(103,يوليو[6])</f>
        <v>0</v>
      </c>
      <c r="I12" s="6">
        <f>SUBTOTAL(103,يوليو[7])</f>
        <v>0</v>
      </c>
      <c r="J12" s="6">
        <f>SUBTOTAL(103,يوليو[8])</f>
        <v>0</v>
      </c>
      <c r="K12" s="6">
        <f>SUBTOTAL(103,يوليو[9])</f>
        <v>0</v>
      </c>
      <c r="L12" s="6">
        <f>SUBTOTAL(103,يوليو[10])</f>
        <v>0</v>
      </c>
      <c r="M12" s="6">
        <f>SUBTOTAL(103,يوليو[11])</f>
        <v>0</v>
      </c>
      <c r="N12" s="6">
        <f>SUBTOTAL(103,يوليو[12])</f>
        <v>0</v>
      </c>
      <c r="O12" s="6">
        <f>SUBTOTAL(103,يوليو[13])</f>
        <v>0</v>
      </c>
      <c r="P12" s="6">
        <f>SUBTOTAL(103,يوليو[14])</f>
        <v>0</v>
      </c>
      <c r="Q12" s="6">
        <f>SUBTOTAL(103,يوليو[15])</f>
        <v>0</v>
      </c>
      <c r="R12" s="6">
        <f>SUBTOTAL(103,يوليو[16])</f>
        <v>0</v>
      </c>
      <c r="S12" s="6">
        <f>SUBTOTAL(103,يوليو[17])</f>
        <v>0</v>
      </c>
      <c r="T12" s="6">
        <f>SUBTOTAL(103,يوليو[18])</f>
        <v>0</v>
      </c>
      <c r="U12" s="6">
        <f>SUBTOTAL(103,يوليو[19])</f>
        <v>0</v>
      </c>
      <c r="V12" s="6">
        <f>SUBTOTAL(103,يوليو[20])</f>
        <v>0</v>
      </c>
      <c r="W12" s="6">
        <f>SUBTOTAL(103,يوليو[21])</f>
        <v>0</v>
      </c>
      <c r="X12" s="6">
        <f>SUBTOTAL(103,يوليو[22])</f>
        <v>0</v>
      </c>
      <c r="Y12" s="6">
        <f>SUBTOTAL(103,يوليو[23])</f>
        <v>0</v>
      </c>
      <c r="Z12" s="6">
        <f>SUBTOTAL(103,يوليو[24])</f>
        <v>0</v>
      </c>
      <c r="AA12" s="6">
        <f>SUBTOTAL(103,يوليو[25])</f>
        <v>0</v>
      </c>
      <c r="AB12" s="6">
        <f>SUBTOTAL(103,يوليو[26])</f>
        <v>0</v>
      </c>
      <c r="AC12" s="6">
        <f>SUBTOTAL(103,يوليو[27])</f>
        <v>0</v>
      </c>
      <c r="AD12" s="6">
        <f>SUBTOTAL(103,يوليو[28])</f>
        <v>0</v>
      </c>
      <c r="AE12" s="6">
        <f>SUBTOTAL(103,يوليو[29])</f>
        <v>0</v>
      </c>
      <c r="AF12" s="6">
        <f>SUBTOTAL(109,يوليو[30])</f>
        <v>0</v>
      </c>
      <c r="AG12" s="6">
        <f>SUBTOTAL(109,يوليو[31])</f>
        <v>0</v>
      </c>
      <c r="AH12" s="6">
        <f>SUBTOTAL(109,يوليو[إجمالي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514" priority="2" stopIfTrue="1">
      <formula>C7=KeyCustom2</formula>
    </cfRule>
    <cfRule type="expression" dxfId="513" priority="3" stopIfTrue="1">
      <formula>C7=KeyCustom1</formula>
    </cfRule>
    <cfRule type="expression" dxfId="512" priority="4" stopIfTrue="1">
      <formula>C7=KeySick</formula>
    </cfRule>
    <cfRule type="expression" dxfId="511" priority="5" stopIfTrue="1">
      <formula>C7=KeyPersonal</formula>
    </cfRule>
    <cfRule type="expression" dxfId="510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{E0DCF129-9B2A-4CEB-9E56-27607F4BED20}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6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6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 " sqref="B2" xr:uid="{00000000-0002-0000-0600-000002000000}"/>
    <dataValidation allowBlank="1" showInputMessage="1" showErrorMessage="1" prompt="أدخل تسمية لوصف المفتاح المخصص على اليمين" sqref="N2 Q2" xr:uid="{00000000-0002-0000-0600-000003000000}"/>
    <dataValidation allowBlank="1" showInputMessage="1" showErrorMessage="1" prompt="أدخل حرفاً وخصّص التسمية مباشرة لإضافة عنصر مفتاحي آخر" sqref="M2 P2" xr:uid="{00000000-0002-0000-0600-000004000000}"/>
    <dataValidation allowBlank="1" showInputMessage="1" showErrorMessage="1" prompt="الحرف &quot;م&quot; يشير إلى الغياب بسبب المرض" sqref="J2" xr:uid="{00000000-0002-0000-0600-000005000000}"/>
    <dataValidation allowBlank="1" showInputMessage="1" showErrorMessage="1" prompt="الحرف &quot;ش&quot; يشير إلى الغياب لأسباب شخصية" sqref="F2" xr:uid="{00000000-0002-0000-0600-000006000000}"/>
    <dataValidation allowBlank="1" showInputMessage="1" showErrorMessage="1" prompt="الحرف &quot;ع&quot; يشير إلى الغياب بسبب قضاء عطلة" sqref="C2" xr:uid="{00000000-0002-0000-06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6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600-000009000000}"/>
    <dataValidation allowBlank="1" showInputMessage="1" showErrorMessage="1" prompt="تعقب الغياب في شهر يوليو في ورقة العمل هذه" sqref="A1" xr:uid="{00000000-0002-0000-0600-00000A000000}"/>
    <dataValidation allowBlank="1" showInputMessage="1" showErrorMessage="1" prompt="يتم حساب إجمالي عدد أيام غياب موظف هذا الشهر في هذا العمود تلقائياً" sqref="AH6" xr:uid="{00000000-0002-0000-06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6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6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0DCF129-9B2A-4CEB-9E56-27607F4BED20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 tint="-0.749992370372631"/>
  </sheetPr>
  <dimension ref="A1:AH12"/>
  <sheetViews>
    <sheetView showGridLines="0" rightToLeft="1" zoomScaleNormal="100" workbookViewId="0">
      <selection activeCell="B6" sqref="B6"/>
    </sheetView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  <c r="C1" s="20"/>
    </row>
    <row r="2" spans="1:34" ht="15" customHeight="1" x14ac:dyDescent="0.2"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/>
      <c r="N2" s="30" t="s">
        <v>28</v>
      </c>
      <c r="O2" s="30"/>
      <c r="P2" s="15"/>
      <c r="Q2" s="30" t="s">
        <v>33</v>
      </c>
      <c r="R2" s="30"/>
    </row>
    <row r="3" spans="1:34" ht="15" customHeight="1" x14ac:dyDescent="0.2">
      <c r="B3" s="21"/>
    </row>
    <row r="4" spans="1:34" ht="30" customHeight="1" x14ac:dyDescent="0.2">
      <c r="B4" s="17" t="s">
        <v>59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f>CalendarYear</f>
        <v>2016</v>
      </c>
    </row>
    <row r="5" spans="1:34" ht="15" customHeight="1" x14ac:dyDescent="0.2">
      <c r="B5" s="17"/>
      <c r="C5" s="18" t="str">
        <f>TEXT(WEEKDAY(DATE(CalendarYear,8,1),1),"aaa")</f>
        <v>الإثنين</v>
      </c>
      <c r="D5" s="18" t="str">
        <f>TEXT(WEEKDAY(DATE(CalendarYear,8,2),1),"aaa")</f>
        <v>الثلاثاء</v>
      </c>
      <c r="E5" s="18" t="str">
        <f>TEXT(WEEKDAY(DATE(CalendarYear,8,3),1),"aaa")</f>
        <v>الأربعاء</v>
      </c>
      <c r="F5" s="18" t="str">
        <f>TEXT(WEEKDAY(DATE(CalendarYear,8,4),1),"aaa")</f>
        <v>الخميس</v>
      </c>
      <c r="G5" s="18" t="str">
        <f>TEXT(WEEKDAY(DATE(CalendarYear,8,5),1),"aaa")</f>
        <v>الجمعة</v>
      </c>
      <c r="H5" s="18" t="str">
        <f>TEXT(WEEKDAY(DATE(CalendarYear,8,6),1),"aaa")</f>
        <v>السبت</v>
      </c>
      <c r="I5" s="18" t="str">
        <f>TEXT(WEEKDAY(DATE(CalendarYear,8,7),1),"aaa")</f>
        <v>الأحد</v>
      </c>
      <c r="J5" s="18" t="str">
        <f>TEXT(WEEKDAY(DATE(CalendarYear,8,8),1),"aaa")</f>
        <v>الإثنين</v>
      </c>
      <c r="K5" s="18" t="str">
        <f>TEXT(WEEKDAY(DATE(CalendarYear,8,9),1),"aaa")</f>
        <v>الثلاثاء</v>
      </c>
      <c r="L5" s="18" t="str">
        <f>TEXT(WEEKDAY(DATE(CalendarYear,8,10),1),"aaa")</f>
        <v>الأربعاء</v>
      </c>
      <c r="M5" s="18" t="str">
        <f>TEXT(WEEKDAY(DATE(CalendarYear,8,11),1),"aaa")</f>
        <v>الخميس</v>
      </c>
      <c r="N5" s="18" t="str">
        <f>TEXT(WEEKDAY(DATE(CalendarYear,8,12),1),"aaa")</f>
        <v>الجمعة</v>
      </c>
      <c r="O5" s="18" t="str">
        <f>TEXT(WEEKDAY(DATE(CalendarYear,8,13),1),"aaa")</f>
        <v>السبت</v>
      </c>
      <c r="P5" s="18" t="str">
        <f>TEXT(WEEKDAY(DATE(CalendarYear,8,14),1),"aaa")</f>
        <v>الأحد</v>
      </c>
      <c r="Q5" s="18" t="str">
        <f>TEXT(WEEKDAY(DATE(CalendarYear,8,15),1),"aaa")</f>
        <v>الإثنين</v>
      </c>
      <c r="R5" s="18" t="str">
        <f>TEXT(WEEKDAY(DATE(CalendarYear,8,16),1),"aaa")</f>
        <v>الثلاثاء</v>
      </c>
      <c r="S5" s="18" t="str">
        <f>TEXT(WEEKDAY(DATE(CalendarYear,8,17),1),"aaa")</f>
        <v>الأربعاء</v>
      </c>
      <c r="T5" s="18" t="str">
        <f>TEXT(WEEKDAY(DATE(CalendarYear,8,18),1),"aaa")</f>
        <v>الخميس</v>
      </c>
      <c r="U5" s="18" t="str">
        <f>TEXT(WEEKDAY(DATE(CalendarYear,8,19),1),"aaa")</f>
        <v>الجمعة</v>
      </c>
      <c r="V5" s="18" t="str">
        <f>TEXT(WEEKDAY(DATE(CalendarYear,8,20),1),"aaa")</f>
        <v>السبت</v>
      </c>
      <c r="W5" s="18" t="str">
        <f>TEXT(WEEKDAY(DATE(CalendarYear,8,21),1),"aaa")</f>
        <v>الأحد</v>
      </c>
      <c r="X5" s="18" t="str">
        <f>TEXT(WEEKDAY(DATE(CalendarYear,8,22),1),"aaa")</f>
        <v>الإثنين</v>
      </c>
      <c r="Y5" s="18" t="str">
        <f>TEXT(WEEKDAY(DATE(CalendarYear,8,23),1),"aaa")</f>
        <v>الثلاثاء</v>
      </c>
      <c r="Z5" s="18" t="str">
        <f>TEXT(WEEKDAY(DATE(CalendarYear,8,24),1),"aaa")</f>
        <v>الأربعاء</v>
      </c>
      <c r="AA5" s="18" t="str">
        <f>TEXT(WEEKDAY(DATE(CalendarYear,8,25),1),"aaa")</f>
        <v>الخميس</v>
      </c>
      <c r="AB5" s="18" t="str">
        <f>TEXT(WEEKDAY(DATE(CalendarYear,8,26),1),"aaa")</f>
        <v>الجمعة</v>
      </c>
      <c r="AC5" s="18" t="str">
        <f>TEXT(WEEKDAY(DATE(CalendarYear,8,27),1),"aaa")</f>
        <v>السبت</v>
      </c>
      <c r="AD5" s="18" t="str">
        <f>TEXT(WEEKDAY(DATE(CalendarYear,8,28),1),"aaa")</f>
        <v>الأحد</v>
      </c>
      <c r="AE5" s="18" t="str">
        <f>TEXT(WEEKDAY(DATE(CalendarYear,8,29),1),"aaa")</f>
        <v>الإثنين</v>
      </c>
      <c r="AF5" s="18" t="str">
        <f>TEXT(WEEKDAY(DATE(CalendarYear,8,30),1),"aaa")</f>
        <v>الثلاثاء</v>
      </c>
      <c r="AG5" s="18" t="str">
        <f>TEXT(WEEKDAY(DATE(CalendarYear,8,31),1),"aaa")</f>
        <v>الأربعاء</v>
      </c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COUNTA(أغسطس[[#This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COUNTA(أغسطس[[#This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COUNTA(أغسطس[[#This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COUNTA(أغسطس[[#This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COUNTA(أغسطس[[#This Row],[1]:[31]])</f>
        <v>0</v>
      </c>
    </row>
    <row r="12" spans="1:34" ht="30" customHeight="1" x14ac:dyDescent="0.2">
      <c r="B12" s="23" t="str">
        <f>MonthName&amp;" الإجمالي"</f>
        <v>أغسطس الإجمالي</v>
      </c>
      <c r="C12" s="6">
        <f>SUBTOTAL(103,أغسطس[1])</f>
        <v>0</v>
      </c>
      <c r="D12" s="6">
        <f>SUBTOTAL(103,أغسطس[2])</f>
        <v>0</v>
      </c>
      <c r="E12" s="6">
        <f>SUBTOTAL(103,أغسطس[3])</f>
        <v>0</v>
      </c>
      <c r="F12" s="6">
        <f>SUBTOTAL(103,أغسطس[4])</f>
        <v>0</v>
      </c>
      <c r="G12" s="6">
        <f>SUBTOTAL(103,أغسطس[5])</f>
        <v>0</v>
      </c>
      <c r="H12" s="6">
        <f>SUBTOTAL(103,أغسطس[6])</f>
        <v>0</v>
      </c>
      <c r="I12" s="6">
        <f>SUBTOTAL(103,أغسطس[7])</f>
        <v>0</v>
      </c>
      <c r="J12" s="6">
        <f>SUBTOTAL(103,أغسطس[8])</f>
        <v>0</v>
      </c>
      <c r="K12" s="6">
        <f>SUBTOTAL(103,أغسطس[9])</f>
        <v>0</v>
      </c>
      <c r="L12" s="6">
        <f>SUBTOTAL(103,أغسطس[10])</f>
        <v>0</v>
      </c>
      <c r="M12" s="6">
        <f>SUBTOTAL(103,أغسطس[11])</f>
        <v>0</v>
      </c>
      <c r="N12" s="6">
        <f>SUBTOTAL(103,أغسطس[12])</f>
        <v>0</v>
      </c>
      <c r="O12" s="6">
        <f>SUBTOTAL(103,أغسطس[13])</f>
        <v>0</v>
      </c>
      <c r="P12" s="6">
        <f>SUBTOTAL(103,أغسطس[14])</f>
        <v>0</v>
      </c>
      <c r="Q12" s="6">
        <f>SUBTOTAL(103,أغسطس[15])</f>
        <v>0</v>
      </c>
      <c r="R12" s="6">
        <f>SUBTOTAL(103,أغسطس[16])</f>
        <v>0</v>
      </c>
      <c r="S12" s="6">
        <f>SUBTOTAL(103,أغسطس[17])</f>
        <v>0</v>
      </c>
      <c r="T12" s="6">
        <f>SUBTOTAL(103,أغسطس[18])</f>
        <v>0</v>
      </c>
      <c r="U12" s="6">
        <f>SUBTOTAL(103,أغسطس[19])</f>
        <v>0</v>
      </c>
      <c r="V12" s="6">
        <f>SUBTOTAL(103,أغسطس[20])</f>
        <v>0</v>
      </c>
      <c r="W12" s="6">
        <f>SUBTOTAL(103,أغسطس[21])</f>
        <v>0</v>
      </c>
      <c r="X12" s="6">
        <f>SUBTOTAL(103,أغسطس[22])</f>
        <v>0</v>
      </c>
      <c r="Y12" s="6">
        <f>SUBTOTAL(103,أغسطس[23])</f>
        <v>0</v>
      </c>
      <c r="Z12" s="6">
        <f>SUBTOTAL(103,أغسطس[24])</f>
        <v>0</v>
      </c>
      <c r="AA12" s="6">
        <f>SUBTOTAL(103,أغسطس[25])</f>
        <v>0</v>
      </c>
      <c r="AB12" s="6">
        <f>SUBTOTAL(103,أغسطس[26])</f>
        <v>0</v>
      </c>
      <c r="AC12" s="6">
        <f>SUBTOTAL(103,أغسطس[27])</f>
        <v>0</v>
      </c>
      <c r="AD12" s="6">
        <f>SUBTOTAL(103,أغسطس[28])</f>
        <v>0</v>
      </c>
      <c r="AE12" s="6">
        <f>SUBTOTAL(103,أغسطس[29])</f>
        <v>0</v>
      </c>
      <c r="AF12" s="6">
        <f>SUBTOTAL(109,أغسطس[30])</f>
        <v>0</v>
      </c>
      <c r="AG12" s="6">
        <f>SUBTOTAL(109,أغسطس[31])</f>
        <v>0</v>
      </c>
      <c r="AH12" s="6">
        <f>SUBTOTAL(109,أغسطس[إجمالي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440" priority="2" stopIfTrue="1">
      <formula>C7=KeyCustom2</formula>
    </cfRule>
    <cfRule type="expression" dxfId="439" priority="3" stopIfTrue="1">
      <formula>C7=KeyCustom1</formula>
    </cfRule>
    <cfRule type="expression" dxfId="438" priority="4" stopIfTrue="1">
      <formula>C7=KeySick</formula>
    </cfRule>
    <cfRule type="expression" dxfId="437" priority="5" stopIfTrue="1">
      <formula>C7=KeyPersonal</formula>
    </cfRule>
    <cfRule type="expression" dxfId="436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{09900229-9536-43AB-AAE0-FC121BDECD61}</x14:id>
        </ext>
      </extLst>
    </cfRule>
  </conditionalFormatting>
  <dataValidations count="14"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700-000000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700-000001000000}"/>
    <dataValidation allowBlank="1" showInputMessage="1" showErrorMessage="1" prompt="يتم حساب إجمالي عدد أيام غياب موظف هذا الشهر في هذا العمود تلقائياً" sqref="AH6" xr:uid="{00000000-0002-0000-0700-000002000000}"/>
    <dataValidation allowBlank="1" showInputMessage="1" showErrorMessage="1" prompt="تعقب الغياب في شهر أغسطس في ورقة العمل هذه" sqref="A1" xr:uid="{00000000-0002-0000-0700-000003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700-000004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700-000005000000}"/>
    <dataValidation allowBlank="1" showInputMessage="1" showErrorMessage="1" prompt="الحرف &quot;ع&quot; يشير إلى الغياب بسبب قضاء عطلة" sqref="C2" xr:uid="{00000000-0002-0000-0700-000006000000}"/>
    <dataValidation allowBlank="1" showInputMessage="1" showErrorMessage="1" prompt="الحرف &quot;ش&quot; يشير إلى الغياب لأسباب شخصية" sqref="F2" xr:uid="{00000000-0002-0000-0700-000007000000}"/>
    <dataValidation allowBlank="1" showInputMessage="1" showErrorMessage="1" prompt="الحرف &quot;م&quot; يشير إلى الغياب بسبب المرض" sqref="J2" xr:uid="{00000000-0002-0000-0700-000008000000}"/>
    <dataValidation allowBlank="1" showInputMessage="1" showErrorMessage="1" prompt="أدخل حرفاً وخصّص التسمية مباشرة لإضافة عنصر مفتاحي آخر" sqref="M2 P2" xr:uid="{00000000-0002-0000-0700-000009000000}"/>
    <dataValidation allowBlank="1" showInputMessage="1" showErrorMessage="1" prompt="أدخل تسمية لوصف المفتاح المخصص على اليمين" sqref="N2 Q2" xr:uid="{00000000-0002-0000-0700-00000A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700-00000B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700-00000C000000}"/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7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9900229-9536-43AB-AAE0-FC121BDECD61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2" tint="-0.499984740745262"/>
  </sheetPr>
  <dimension ref="A1:AH12"/>
  <sheetViews>
    <sheetView showGridLines="0" rightToLeft="1" zoomScaleNormal="100" workbookViewId="0"/>
  </sheetViews>
  <sheetFormatPr defaultRowHeight="30" customHeight="1" x14ac:dyDescent="0.2"/>
  <cols>
    <col min="1" max="1" width="2.625" style="9" customWidth="1"/>
    <col min="2" max="2" width="19" style="9" customWidth="1"/>
    <col min="3" max="8" width="6.5" style="9" customWidth="1"/>
    <col min="9" max="9" width="7.125" style="9" customWidth="1"/>
    <col min="10" max="24" width="6.5" style="9" customWidth="1"/>
    <col min="25" max="25" width="7" style="9" customWidth="1"/>
    <col min="26" max="33" width="6.5" style="9" customWidth="1"/>
    <col min="34" max="34" width="13.5" style="9" customWidth="1"/>
    <col min="35" max="35" width="2.625" style="10" customWidth="1"/>
    <col min="36" max="16384" width="9" style="10"/>
  </cols>
  <sheetData>
    <row r="1" spans="1:34" ht="50.1" customHeight="1" x14ac:dyDescent="0.2">
      <c r="A1" s="20"/>
      <c r="B1" s="8" t="str">
        <f>Employee_Absence_Title</f>
        <v>جدول غياب الموظفين</v>
      </c>
    </row>
    <row r="2" spans="1:34" ht="15" customHeight="1" x14ac:dyDescent="0.2">
      <c r="B2" s="26" t="s">
        <v>1</v>
      </c>
      <c r="C2" s="11" t="s">
        <v>9</v>
      </c>
      <c r="D2" s="30" t="s">
        <v>12</v>
      </c>
      <c r="E2" s="30"/>
      <c r="F2" s="12" t="s">
        <v>15</v>
      </c>
      <c r="G2" s="30" t="s">
        <v>19</v>
      </c>
      <c r="H2" s="30"/>
      <c r="I2" s="30"/>
      <c r="J2" s="13" t="s">
        <v>17</v>
      </c>
      <c r="K2" s="30" t="s">
        <v>24</v>
      </c>
      <c r="L2" s="30"/>
      <c r="M2" s="14"/>
      <c r="N2" s="30" t="s">
        <v>28</v>
      </c>
      <c r="O2" s="30"/>
      <c r="P2" s="15"/>
      <c r="Q2" s="30" t="s">
        <v>33</v>
      </c>
      <c r="R2" s="30"/>
    </row>
    <row r="3" spans="1:34" ht="15" customHeight="1" x14ac:dyDescent="0.2">
      <c r="B3" s="21"/>
    </row>
    <row r="4" spans="1:34" ht="30" customHeight="1" x14ac:dyDescent="0.2">
      <c r="B4" s="17" t="s">
        <v>60</v>
      </c>
      <c r="C4" s="29" t="s">
        <v>10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17">
        <f>CalendarYear</f>
        <v>2016</v>
      </c>
    </row>
    <row r="5" spans="1:34" ht="15" customHeight="1" x14ac:dyDescent="0.2">
      <c r="B5" s="17"/>
      <c r="C5" s="18" t="str">
        <f>TEXT(WEEKDAY(DATE(CalendarYear,9,1),1),"aaa")</f>
        <v>الخميس</v>
      </c>
      <c r="D5" s="18" t="str">
        <f>TEXT(WEEKDAY(DATE(CalendarYear,9,2),1),"aaa")</f>
        <v>الجمعة</v>
      </c>
      <c r="E5" s="18" t="str">
        <f>TEXT(WEEKDAY(DATE(CalendarYear,9,3),1),"aaa")</f>
        <v>السبت</v>
      </c>
      <c r="F5" s="18" t="str">
        <f>TEXT(WEEKDAY(DATE(CalendarYear,9,4),1),"aaa")</f>
        <v>الأحد</v>
      </c>
      <c r="G5" s="18" t="str">
        <f>TEXT(WEEKDAY(DATE(CalendarYear,9,5),1),"aaa")</f>
        <v>الإثنين</v>
      </c>
      <c r="H5" s="18" t="str">
        <f>TEXT(WEEKDAY(DATE(CalendarYear,9,6),1),"aaa")</f>
        <v>الثلاثاء</v>
      </c>
      <c r="I5" s="18" t="str">
        <f>TEXT(WEEKDAY(DATE(CalendarYear,9,7),1),"aaa")</f>
        <v>الأربعاء</v>
      </c>
      <c r="J5" s="18" t="str">
        <f>TEXT(WEEKDAY(DATE(CalendarYear,9,8),1),"aaa")</f>
        <v>الخميس</v>
      </c>
      <c r="K5" s="18" t="str">
        <f>TEXT(WEEKDAY(DATE(CalendarYear,9,9),1),"aaa")</f>
        <v>الجمعة</v>
      </c>
      <c r="L5" s="18" t="str">
        <f>TEXT(WEEKDAY(DATE(CalendarYear,9,10),1),"aaa")</f>
        <v>السبت</v>
      </c>
      <c r="M5" s="18" t="str">
        <f>TEXT(WEEKDAY(DATE(CalendarYear,9,11),1),"aaa")</f>
        <v>الأحد</v>
      </c>
      <c r="N5" s="18" t="str">
        <f>TEXT(WEEKDAY(DATE(CalendarYear,9,12),1),"aaa")</f>
        <v>الإثنين</v>
      </c>
      <c r="O5" s="18" t="str">
        <f>TEXT(WEEKDAY(DATE(CalendarYear,9,13),1),"aaa")</f>
        <v>الثلاثاء</v>
      </c>
      <c r="P5" s="18" t="str">
        <f>TEXT(WEEKDAY(DATE(CalendarYear,9,14),1),"aaa")</f>
        <v>الأربعاء</v>
      </c>
      <c r="Q5" s="18" t="str">
        <f>TEXT(WEEKDAY(DATE(CalendarYear,9,15),1),"aaa")</f>
        <v>الخميس</v>
      </c>
      <c r="R5" s="18" t="str">
        <f>TEXT(WEEKDAY(DATE(CalendarYear,9,16),1),"aaa")</f>
        <v>الجمعة</v>
      </c>
      <c r="S5" s="18" t="str">
        <f>TEXT(WEEKDAY(DATE(CalendarYear,9,17),1),"aaa")</f>
        <v>السبت</v>
      </c>
      <c r="T5" s="18" t="str">
        <f>TEXT(WEEKDAY(DATE(CalendarYear,9,18),1),"aaa")</f>
        <v>الأحد</v>
      </c>
      <c r="U5" s="18" t="str">
        <f>TEXT(WEEKDAY(DATE(CalendarYear,9,19),1),"aaa")</f>
        <v>الإثنين</v>
      </c>
      <c r="V5" s="18" t="str">
        <f>TEXT(WEEKDAY(DATE(CalendarYear,9,20),1),"aaa")</f>
        <v>الثلاثاء</v>
      </c>
      <c r="W5" s="18" t="str">
        <f>TEXT(WEEKDAY(DATE(CalendarYear,9,21),1),"aaa")</f>
        <v>الأربعاء</v>
      </c>
      <c r="X5" s="18" t="str">
        <f>TEXT(WEEKDAY(DATE(CalendarYear,9,22),1),"aaa")</f>
        <v>الخميس</v>
      </c>
      <c r="Y5" s="18" t="str">
        <f>TEXT(WEEKDAY(DATE(CalendarYear,9,23),1),"aaa")</f>
        <v>الجمعة</v>
      </c>
      <c r="Z5" s="18" t="str">
        <f>TEXT(WEEKDAY(DATE(CalendarYear,9,24),1),"aaa")</f>
        <v>السبت</v>
      </c>
      <c r="AA5" s="18" t="str">
        <f>TEXT(WEEKDAY(DATE(CalendarYear,9,25),1),"aaa")</f>
        <v>الأحد</v>
      </c>
      <c r="AB5" s="18" t="str">
        <f>TEXT(WEEKDAY(DATE(CalendarYear,9,26),1),"aaa")</f>
        <v>الإثنين</v>
      </c>
      <c r="AC5" s="18" t="str">
        <f>TEXT(WEEKDAY(DATE(CalendarYear,9,27),1),"aaa")</f>
        <v>الثلاثاء</v>
      </c>
      <c r="AD5" s="18" t="str">
        <f>TEXT(WEEKDAY(DATE(CalendarYear,9,28),1),"aaa")</f>
        <v>الأربعاء</v>
      </c>
      <c r="AE5" s="18" t="str">
        <f>TEXT(WEEKDAY(DATE(CalendarYear,9,29),1),"aaa")</f>
        <v>الخميس</v>
      </c>
      <c r="AF5" s="18" t="str">
        <f>TEXT(WEEKDAY(DATE(CalendarYear,9,30),1),"aaa")</f>
        <v>الجمعة</v>
      </c>
      <c r="AG5" s="18"/>
      <c r="AH5" s="17"/>
    </row>
    <row r="6" spans="1:34" ht="15" customHeight="1" x14ac:dyDescent="0.2">
      <c r="B6" s="22" t="s">
        <v>3</v>
      </c>
      <c r="C6" s="4" t="s">
        <v>11</v>
      </c>
      <c r="D6" s="4" t="s">
        <v>13</v>
      </c>
      <c r="E6" s="4" t="s">
        <v>14</v>
      </c>
      <c r="F6" s="4" t="s">
        <v>16</v>
      </c>
      <c r="G6" s="4" t="s">
        <v>18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25</v>
      </c>
      <c r="M6" s="4" t="s">
        <v>26</v>
      </c>
      <c r="N6" s="4" t="s">
        <v>27</v>
      </c>
      <c r="O6" s="4" t="s">
        <v>29</v>
      </c>
      <c r="P6" s="4" t="s">
        <v>30</v>
      </c>
      <c r="Q6" s="4" t="s">
        <v>31</v>
      </c>
      <c r="R6" s="4" t="s">
        <v>32</v>
      </c>
      <c r="S6" s="4" t="s">
        <v>34</v>
      </c>
      <c r="T6" s="4" t="s">
        <v>35</v>
      </c>
      <c r="U6" s="4" t="s">
        <v>36</v>
      </c>
      <c r="V6" s="4" t="s">
        <v>37</v>
      </c>
      <c r="W6" s="4" t="s">
        <v>38</v>
      </c>
      <c r="X6" s="4" t="s">
        <v>39</v>
      </c>
      <c r="Y6" s="4" t="s">
        <v>40</v>
      </c>
      <c r="Z6" s="4" t="s">
        <v>41</v>
      </c>
      <c r="AA6" s="4" t="s">
        <v>42</v>
      </c>
      <c r="AB6" s="4" t="s">
        <v>43</v>
      </c>
      <c r="AC6" s="4" t="s">
        <v>44</v>
      </c>
      <c r="AD6" s="4" t="s">
        <v>45</v>
      </c>
      <c r="AE6" s="4" t="s">
        <v>46</v>
      </c>
      <c r="AF6" s="4" t="s">
        <v>47</v>
      </c>
      <c r="AG6" s="4" t="s">
        <v>48</v>
      </c>
      <c r="AH6" s="19" t="s">
        <v>50</v>
      </c>
    </row>
    <row r="7" spans="1:34" ht="30" customHeight="1" x14ac:dyDescent="0.2">
      <c r="B7" s="2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>
        <f>COUNTA(سبتمبر[[#This Row],[1]:[31]])</f>
        <v>0</v>
      </c>
    </row>
    <row r="8" spans="1:34" ht="30" customHeight="1" x14ac:dyDescent="0.2">
      <c r="B8" s="2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>
        <f>COUNTA(سبتمبر[[#This Row],[1]:[31]])</f>
        <v>0</v>
      </c>
    </row>
    <row r="9" spans="1:34" ht="30" customHeight="1" x14ac:dyDescent="0.2">
      <c r="B9" s="25" t="s">
        <v>6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>
        <f>COUNTA(سبتمبر[[#This Row],[1]:[31]])</f>
        <v>0</v>
      </c>
    </row>
    <row r="10" spans="1:34" ht="30" customHeight="1" x14ac:dyDescent="0.2">
      <c r="B10" s="25" t="s">
        <v>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>
        <f>COUNTA(سبتمبر[[#This Row],[1]:[31]])</f>
        <v>0</v>
      </c>
    </row>
    <row r="11" spans="1:34" ht="30" customHeight="1" x14ac:dyDescent="0.2">
      <c r="B11" s="2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>
        <f>COUNTA(سبتمبر[[#This Row],[1]:[31]])</f>
        <v>0</v>
      </c>
    </row>
    <row r="12" spans="1:34" ht="30" customHeight="1" x14ac:dyDescent="0.2">
      <c r="B12" s="23" t="str">
        <f>MonthName&amp;" الإجمالي"</f>
        <v>سبتمبر الإجمالي</v>
      </c>
      <c r="C12" s="6">
        <f>SUBTOTAL(103,سبتمبر[1])</f>
        <v>0</v>
      </c>
      <c r="D12" s="6">
        <f>SUBTOTAL(103,سبتمبر[2])</f>
        <v>0</v>
      </c>
      <c r="E12" s="6">
        <f>SUBTOTAL(103,سبتمبر[3])</f>
        <v>0</v>
      </c>
      <c r="F12" s="6">
        <f>SUBTOTAL(103,سبتمبر[4])</f>
        <v>0</v>
      </c>
      <c r="G12" s="6">
        <f>SUBTOTAL(103,سبتمبر[5])</f>
        <v>0</v>
      </c>
      <c r="H12" s="6">
        <f>SUBTOTAL(103,سبتمبر[6])</f>
        <v>0</v>
      </c>
      <c r="I12" s="6">
        <f>SUBTOTAL(103,سبتمبر[7])</f>
        <v>0</v>
      </c>
      <c r="J12" s="6">
        <f>SUBTOTAL(103,سبتمبر[8])</f>
        <v>0</v>
      </c>
      <c r="K12" s="6">
        <f>SUBTOTAL(103,سبتمبر[9])</f>
        <v>0</v>
      </c>
      <c r="L12" s="6">
        <f>SUBTOTAL(103,سبتمبر[10])</f>
        <v>0</v>
      </c>
      <c r="M12" s="6">
        <f>SUBTOTAL(103,سبتمبر[11])</f>
        <v>0</v>
      </c>
      <c r="N12" s="6">
        <f>SUBTOTAL(103,سبتمبر[12])</f>
        <v>0</v>
      </c>
      <c r="O12" s="6">
        <f>SUBTOTAL(103,سبتمبر[13])</f>
        <v>0</v>
      </c>
      <c r="P12" s="6">
        <f>SUBTOTAL(103,سبتمبر[14])</f>
        <v>0</v>
      </c>
      <c r="Q12" s="6">
        <f>SUBTOTAL(103,سبتمبر[15])</f>
        <v>0</v>
      </c>
      <c r="R12" s="6">
        <f>SUBTOTAL(103,سبتمبر[16])</f>
        <v>0</v>
      </c>
      <c r="S12" s="6">
        <f>SUBTOTAL(103,سبتمبر[17])</f>
        <v>0</v>
      </c>
      <c r="T12" s="6">
        <f>SUBTOTAL(103,سبتمبر[18])</f>
        <v>0</v>
      </c>
      <c r="U12" s="6">
        <f>SUBTOTAL(103,سبتمبر[19])</f>
        <v>0</v>
      </c>
      <c r="V12" s="6">
        <f>SUBTOTAL(103,سبتمبر[20])</f>
        <v>0</v>
      </c>
      <c r="W12" s="6">
        <f>SUBTOTAL(103,سبتمبر[21])</f>
        <v>0</v>
      </c>
      <c r="X12" s="6">
        <f>SUBTOTAL(103,سبتمبر[22])</f>
        <v>0</v>
      </c>
      <c r="Y12" s="6">
        <f>SUBTOTAL(103,سبتمبر[23])</f>
        <v>0</v>
      </c>
      <c r="Z12" s="6">
        <f>SUBTOTAL(103,سبتمبر[24])</f>
        <v>0</v>
      </c>
      <c r="AA12" s="6">
        <f>SUBTOTAL(103,سبتمبر[25])</f>
        <v>0</v>
      </c>
      <c r="AB12" s="6">
        <f>SUBTOTAL(103,سبتمبر[26])</f>
        <v>0</v>
      </c>
      <c r="AC12" s="6">
        <f>SUBTOTAL(103,سبتمبر[27])</f>
        <v>0</v>
      </c>
      <c r="AD12" s="6">
        <f>SUBTOTAL(103,سبتمبر[28])</f>
        <v>0</v>
      </c>
      <c r="AE12" s="6">
        <f>SUBTOTAL(103,سبتمبر[29])</f>
        <v>0</v>
      </c>
      <c r="AF12" s="6">
        <f>SUBTOTAL(109,سبتمبر[30])</f>
        <v>0</v>
      </c>
      <c r="AG12" s="6">
        <f>SUBTOTAL(109,سبتمبر[31])</f>
        <v>0</v>
      </c>
      <c r="AH12" s="6">
        <f>SUBTOTAL(109,سبتمبر[إجمالي الأيام])</f>
        <v>0</v>
      </c>
    </row>
  </sheetData>
  <mergeCells count="6">
    <mergeCell ref="C4:AG4"/>
    <mergeCell ref="D2:E2"/>
    <mergeCell ref="G2:I2"/>
    <mergeCell ref="K2:L2"/>
    <mergeCell ref="N2:O2"/>
    <mergeCell ref="Q2:R2"/>
  </mergeCells>
  <conditionalFormatting sqref="C7:AG11">
    <cfRule type="expression" priority="1" stopIfTrue="1">
      <formula>C7=""</formula>
    </cfRule>
  </conditionalFormatting>
  <conditionalFormatting sqref="C7:AG11">
    <cfRule type="expression" dxfId="366" priority="2" stopIfTrue="1">
      <formula>C7=KeyCustom2</formula>
    </cfRule>
    <cfRule type="expression" dxfId="365" priority="3" stopIfTrue="1">
      <formula>C7=KeyCustom1</formula>
    </cfRule>
    <cfRule type="expression" dxfId="364" priority="4" stopIfTrue="1">
      <formula>C7=KeySick</formula>
    </cfRule>
    <cfRule type="expression" dxfId="363" priority="5" stopIfTrue="1">
      <formula>C7=KeyPersonal</formula>
    </cfRule>
    <cfRule type="expression" dxfId="362" priority="6" stopIfTrue="1">
      <formula>C7=KeyVacation</formula>
    </cfRule>
  </conditionalFormatting>
  <conditionalFormatting sqref="AH7:AH11">
    <cfRule type="dataBar" priority="7">
      <dataBar>
        <cfvo type="min"/>
        <cfvo type="formula" val="DATEDIF(DATE(CalendarYear,2,1),DATE(CalendarYear,3,1),&quot;d&quot;)"/>
        <color theme="2" tint="-0.249977111117893"/>
      </dataBar>
      <extLst>
        <ext xmlns:x14="http://schemas.microsoft.com/office/spreadsheetml/2009/9/main" uri="{B025F937-C7B1-47D3-B67F-A62EFF666E3E}">
          <x14:id>{1A021984-06A1-41D9-90D2-8C16E885020B}</x14:id>
        </ext>
      </extLst>
    </cfRule>
  </conditionalFormatting>
  <dataValidations count="14">
    <dataValidation allowBlank="1" showInputMessage="1" showErrorMessage="1" prompt="يتم تلقائياً إنشاء أيام الشهر في هذا الصف. أدخل غياب الموظف ونوع الغياب في كل عمود لكل يوم من أيام الشهر. الخلايا الفارغة تعني عدم وجود غياب" sqref="C6" xr:uid="{00000000-0002-0000-0800-000000000000}"/>
    <dataValidation allowBlank="1" showInputMessage="1" showErrorMessage="1" prompt="اسم الشهر لجدول الغياب هذا موجود في هذه الخلية. إجماليات الغياب لهذا الشهر موجودة في الخلية الأخيرة للجدول. حدد أسماء الموظفين في العمود B للجدول" sqref="B4" xr:uid="{00000000-0002-0000-0800-000001000000}"/>
    <dataValidation allowBlank="1" showInputMessage="1" showErrorMessage="1" prompt="يعرّف هذا الصف المفاتيح المستخدمة في الجدول: الخلية C2 هي الغياب لقضاء عطلة، خلية F2 هي الغياب لأسباب شخصية والخلية J2 للغياب المرضي. الخليتان M2 وP2 قابلتان للتخصيص " sqref="B2" xr:uid="{00000000-0002-0000-0800-000002000000}"/>
    <dataValidation allowBlank="1" showInputMessage="1" showErrorMessage="1" prompt="أدخل تسمية لوصف المفتاح المخصص على اليمين" sqref="N2 Q2" xr:uid="{00000000-0002-0000-0800-000003000000}"/>
    <dataValidation allowBlank="1" showInputMessage="1" showErrorMessage="1" prompt="أدخل حرفاً وخصّص التسمية مباشرة لإضافة عنصر مفتاحي آخر" sqref="M2 P2" xr:uid="{00000000-0002-0000-0800-000004000000}"/>
    <dataValidation allowBlank="1" showInputMessage="1" showErrorMessage="1" prompt="الحرف &quot;م&quot; يشير إلى الغياب بسبب المرض" sqref="J2" xr:uid="{00000000-0002-0000-0800-000005000000}"/>
    <dataValidation allowBlank="1" showInputMessage="1" showErrorMessage="1" prompt="الحرف &quot;ش&quot; يشير إلى الغياب لأسباب شخصية" sqref="F2" xr:uid="{00000000-0002-0000-0800-000006000000}"/>
    <dataValidation allowBlank="1" showInputMessage="1" showErrorMessage="1" prompt="الحرف &quot;ع&quot; يشير إلى الغياب بسبب قضاء عطلة" sqref="C2" xr:uid="{00000000-0002-0000-0800-000007000000}"/>
    <dataValidation allowBlank="1" showInputMessage="1" showErrorMessage="1" prompt="عنوان محدّث تلقائياً في هذه الخلية. لتعديل العنوان، قم بتحديث B1 في ورقة العمل &quot;يناير&quot;" sqref="B1" xr:uid="{00000000-0002-0000-0800-000008000000}"/>
    <dataValidation errorStyle="warning" allowBlank="1" showInputMessage="1" showErrorMessage="1" error="حدد اسماً من القائمة. حدد &quot;إلغاء الأمر&quot;، ثم اضغط على ALT+سهم لأسفل ثم على مفتاح الإدخال ENTER لتحديد اسم." prompt="أدخل أسماء الموظفين في ورقة العمل &quot;أسماء الموظفين&quot; ثم حدد أحد هذه الأسماء من القائمة في هذا العمود. اضغط على ALT+سهم لأسفل ثم على مفتاح الإدخال ENTER لتحديد اسم." sqref="B6" xr:uid="{00000000-0002-0000-0800-000009000000}"/>
    <dataValidation allowBlank="1" showInputMessage="1" showErrorMessage="1" prompt="تعقب الغياب في شهر سبتمبر في ورقة العمل هذه" sqref="A1" xr:uid="{00000000-0002-0000-0800-00000A000000}"/>
    <dataValidation allowBlank="1" showInputMessage="1" showErrorMessage="1" prompt="يتم حساب إجمالي عدد أيام غياب موظف هذا الشهر في هذا العمود تلقائياً" sqref="AH6" xr:uid="{00000000-0002-0000-0800-00000B000000}"/>
    <dataValidation allowBlank="1" showInputMessage="1" showErrorMessage="1" prompt="سنة محدّثة تلقائياً استناداً إلى السنة التي تم إدخالها في ورقة عمل &quot;يناير&quot;." sqref="AH4" xr:uid="{00000000-0002-0000-0800-00000C000000}"/>
    <dataValidation allowBlank="1" showInputMessage="1" showErrorMessage="1" prompt="يتم تحديث أيام الأسبوع تلقائياً في هذا الصف للشهر وفقاً للسنة التي تم إدخالها في AH4. كل يوم في الشهر هو عمود لتدوين غياب الموظف ونوع الغياب." sqref="C5" xr:uid="{00000000-0002-0000-0800-00000D000000}"/>
  </dataValidations>
  <pageMargins left="0.7" right="0.7" top="0.75" bottom="0.75" header="0.3" footer="0.3"/>
  <pageSetup paperSize="9" fitToHeight="0" orientation="portrait" verticalDpi="4294967293" r:id="rId1"/>
  <legacy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A021984-06A1-41D9-90D2-8C16E885020B}">
            <x14:dataBar minLength="0" maxLength="100">
              <x14:cfvo type="autoMin"/>
              <x14:cfvo type="formula">
                <xm:f>DATEDIF(DATE(CalendarYear,2,1),DATE(CalendarYear,3,1),"d")</xm:f>
              </x14:cfvo>
              <x14:negativeFillColor rgb="FFFF0000"/>
              <x14:axisColor rgb="FF000000"/>
            </x14:dataBar>
          </x14:cfRule>
          <xm:sqref>AH7:AH11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E000000}">
          <x14:formula1>
            <xm:f>'أسماء الموظفين'!$B$4:$B$9</xm:f>
          </x14:formula1>
          <xm:sqref>B7:B11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13</vt:i4>
      </vt:variant>
      <vt:variant>
        <vt:lpstr>النطاقات المسماة</vt:lpstr>
      </vt:variant>
      <vt:variant>
        <vt:i4>50</vt:i4>
      </vt:variant>
    </vt:vector>
  </HeadingPairs>
  <TitlesOfParts>
    <vt:vector size="63" baseType="lpstr">
      <vt:lpstr>يناير</vt:lpstr>
      <vt:lpstr>فبراير</vt:lpstr>
      <vt:lpstr>مارس</vt:lpstr>
      <vt:lpstr>أبريل</vt:lpstr>
      <vt:lpstr>مايو</vt:lpstr>
      <vt:lpstr>يونيو</vt:lpstr>
      <vt:lpstr>يوليو</vt:lpstr>
      <vt:lpstr>أغسطس</vt:lpstr>
      <vt:lpstr>سبتمبر</vt:lpstr>
      <vt:lpstr>أكتوبر</vt:lpstr>
      <vt:lpstr>نوفمبر</vt:lpstr>
      <vt:lpstr>ديسمبر</vt:lpstr>
      <vt:lpstr>أسماء الموظفين</vt:lpstr>
      <vt:lpstr>CalendarYear</vt:lpstr>
      <vt:lpstr>ColumnTitle13</vt:lpstr>
      <vt:lpstr>Employee_Absence_Title</vt:lpstr>
      <vt:lpstr>Key_name</vt:lpstr>
      <vt:lpstr>KeyCustom1</vt:lpstr>
      <vt:lpstr>KeyCustom1Label</vt:lpstr>
      <vt:lpstr>KeyCustom2</vt:lpstr>
      <vt:lpstr>KeyCustom2Label</vt:lpstr>
      <vt:lpstr>KeyPersonal</vt:lpstr>
      <vt:lpstr>KeyPersonalLabel</vt:lpstr>
      <vt:lpstr>KeySick</vt:lpstr>
      <vt:lpstr>KeySickLabel</vt:lpstr>
      <vt:lpstr>KeyVacation</vt:lpstr>
      <vt:lpstr>KeyVacationLabel</vt:lpstr>
      <vt:lpstr>أبريل!MonthName</vt:lpstr>
      <vt:lpstr>أغسطس!MonthName</vt:lpstr>
      <vt:lpstr>أكتوبر!MonthName</vt:lpstr>
      <vt:lpstr>ديسمبر!MonthName</vt:lpstr>
      <vt:lpstr>سبتمبر!MonthName</vt:lpstr>
      <vt:lpstr>فبراير!MonthName</vt:lpstr>
      <vt:lpstr>مارس!MonthName</vt:lpstr>
      <vt:lpstr>مايو!MonthName</vt:lpstr>
      <vt:lpstr>نوفمبر!MonthName</vt:lpstr>
      <vt:lpstr>يناير!MonthName</vt:lpstr>
      <vt:lpstr>يوليو!MonthName</vt:lpstr>
      <vt:lpstr>يونيو!MonthName</vt:lpstr>
      <vt:lpstr>أبريل!Print_Titles</vt:lpstr>
      <vt:lpstr>أغسطس!Print_Titles</vt:lpstr>
      <vt:lpstr>أكتوبر!Print_Titles</vt:lpstr>
      <vt:lpstr>ديسمبر!Print_Titles</vt:lpstr>
      <vt:lpstr>سبتمبر!Print_Titles</vt:lpstr>
      <vt:lpstr>فبراير!Print_Titles</vt:lpstr>
      <vt:lpstr>مارس!Print_Titles</vt:lpstr>
      <vt:lpstr>مايو!Print_Titles</vt:lpstr>
      <vt:lpstr>نوفمبر!Print_Titles</vt:lpstr>
      <vt:lpstr>يناير!Print_Titles</vt:lpstr>
      <vt:lpstr>يوليو!Print_Titles</vt:lpstr>
      <vt:lpstr>يونيو!Print_Titles</vt:lpstr>
      <vt:lpstr>Title1</vt:lpstr>
      <vt:lpstr>Title10</vt:lpstr>
      <vt:lpstr>Title11</vt:lpstr>
      <vt:lpstr>Title12</vt:lpstr>
      <vt:lpstr>Title2</vt:lpstr>
      <vt:lpstr>Title3</vt:lpstr>
      <vt:lpstr>Title4</vt:lpstr>
      <vt:lpstr>Title5</vt:lpstr>
      <vt:lpstr>Title6</vt:lpstr>
      <vt:lpstr>Title7</vt:lpstr>
      <vt:lpstr>Title8</vt:lpstr>
      <vt:lpstr>Title9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Sales</dc:creator>
  <cp:lastModifiedBy>nabil</cp:lastModifiedBy>
  <dcterms:created xsi:type="dcterms:W3CDTF">2016-12-06T04:52:27Z</dcterms:created>
  <dcterms:modified xsi:type="dcterms:W3CDTF">2018-10-30T10:16:36Z</dcterms:modified>
</cp:coreProperties>
</file>