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/>
  <bookViews>
    <workbookView xWindow="10215" yWindow="18255" windowWidth="14190" windowHeight="1245" tabRatio="901"/>
  </bookViews>
  <sheets>
    <sheet name="PVC" sheetId="2" r:id="rId1"/>
    <sheet name="IMC &amp; EMT" sheetId="3" r:id="rId2"/>
    <sheet name="ELEC. CONSUMABLE" sheetId="5" r:id="rId3"/>
    <sheet name="Sheet1" sheetId="14" r:id="rId4"/>
  </sheets>
  <externalReferences>
    <externalReference r:id="rId5"/>
  </externalReferences>
  <definedNames>
    <definedName name="_xlnm._FilterDatabase" localSheetId="2" hidden="1">'ELEC. CONSUMABLE'!$B$7:$S$41</definedName>
    <definedName name="_xlnm._FilterDatabase" localSheetId="1" hidden="1">'IMC &amp; EMT'!$B$7:$S$71</definedName>
    <definedName name="_xlnm._FilterDatabase" localSheetId="0" hidden="1">PVC!$B$7:$K$35</definedName>
    <definedName name="_xlnm.Print_Area" localSheetId="2">'ELEC. CONSUMABLE'!$A$1:$M$35</definedName>
    <definedName name="_xlnm.Print_Area" localSheetId="1">'IMC &amp; EMT'!$B$7:$S$66</definedName>
    <definedName name="_xlnm.Print_Area" localSheetId="0">PVC!$B$7:$K$33</definedName>
  </definedNames>
  <calcPr calcId="152511"/>
  <fileRecoveryPr autoRecover="0"/>
</workbook>
</file>

<file path=xl/calcChain.xml><?xml version="1.0" encoding="utf-8"?>
<calcChain xmlns="http://schemas.openxmlformats.org/spreadsheetml/2006/main">
  <c r="N9" i="2" l="1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8" i="2"/>
  <c r="L8" i="2" l="1"/>
  <c r="K8" i="2"/>
  <c r="J8" i="2"/>
  <c r="I8" i="2"/>
  <c r="H8" i="2"/>
  <c r="D5" i="5" l="1"/>
  <c r="D5" i="3"/>
  <c r="I66" i="3" l="1"/>
  <c r="I64" i="3"/>
  <c r="I59" i="3"/>
  <c r="I40" i="3"/>
  <c r="I37" i="3"/>
  <c r="I33" i="3"/>
  <c r="I30" i="3"/>
  <c r="I25" i="3"/>
  <c r="I24" i="3"/>
  <c r="I21" i="3"/>
  <c r="L59" i="3" l="1"/>
  <c r="L66" i="3"/>
  <c r="L40" i="3"/>
  <c r="L25" i="3"/>
  <c r="L33" i="3"/>
  <c r="L64" i="3"/>
  <c r="L37" i="3" l="1"/>
  <c r="L30" i="3" l="1"/>
  <c r="L24" i="3"/>
  <c r="L21" i="3"/>
  <c r="L20" i="3"/>
  <c r="I20" i="3" l="1"/>
  <c r="I70" i="3" l="1"/>
  <c r="I19" i="3"/>
  <c r="I42" i="3"/>
  <c r="L42" i="3" l="1"/>
  <c r="I56" i="3" l="1"/>
  <c r="L38" i="3"/>
  <c r="I38" i="3"/>
  <c r="L60" i="3"/>
  <c r="I52" i="3"/>
  <c r="L52" i="3"/>
  <c r="I45" i="3"/>
  <c r="L45" i="3"/>
  <c r="I35" i="3"/>
  <c r="L35" i="3"/>
  <c r="H37" i="3" l="1"/>
  <c r="G37" i="3"/>
  <c r="H19" i="3"/>
  <c r="G19" i="3"/>
  <c r="H70" i="3"/>
  <c r="G70" i="3"/>
  <c r="H33" i="3"/>
  <c r="G33" i="3"/>
  <c r="I41" i="5" l="1"/>
  <c r="H41" i="5"/>
  <c r="R65" i="3" l="1"/>
  <c r="S41" i="5" l="1"/>
  <c r="M41" i="5"/>
  <c r="J41" i="5"/>
  <c r="K41" i="5" s="1"/>
  <c r="I65" i="3" l="1"/>
  <c r="I46" i="3"/>
  <c r="I11" i="3"/>
  <c r="R14" i="5" l="1"/>
  <c r="L61" i="3" l="1"/>
  <c r="L69" i="3"/>
  <c r="R62" i="3" l="1"/>
  <c r="R54" i="3"/>
  <c r="R31" i="3"/>
  <c r="I31" i="3" l="1"/>
  <c r="L70" i="3" l="1"/>
  <c r="I41" i="3" l="1"/>
  <c r="I14" i="5" l="1"/>
  <c r="H14" i="5"/>
  <c r="G14" i="5"/>
  <c r="H40" i="3" l="1"/>
  <c r="I62" i="3" l="1"/>
  <c r="L31" i="3" l="1"/>
  <c r="H31" i="3" l="1"/>
  <c r="G25" i="3"/>
  <c r="H25" i="3"/>
  <c r="G31" i="3"/>
  <c r="L19" i="3" l="1"/>
  <c r="H21" i="3" l="1"/>
  <c r="H64" i="3" l="1"/>
  <c r="I61" i="3" l="1"/>
  <c r="I55" i="3" l="1"/>
  <c r="L55" i="3"/>
  <c r="I54" i="3"/>
  <c r="L54" i="3"/>
  <c r="L46" i="3"/>
  <c r="I22" i="3"/>
  <c r="L22" i="3"/>
  <c r="G21" i="3" l="1"/>
  <c r="I18" i="3" l="1"/>
  <c r="L62" i="3" l="1"/>
  <c r="R69" i="3" l="1"/>
  <c r="H42" i="3" l="1"/>
  <c r="G42" i="3"/>
  <c r="I17" i="3" l="1"/>
  <c r="L17" i="3" l="1"/>
  <c r="I69" i="3" l="1"/>
  <c r="H69" i="3"/>
  <c r="G69" i="3"/>
  <c r="I67" i="3" l="1"/>
  <c r="I8" i="3" l="1"/>
  <c r="H67" i="3" l="1"/>
  <c r="G67" i="3"/>
  <c r="G64" i="3"/>
  <c r="H66" i="3"/>
  <c r="G66" i="3"/>
  <c r="H65" i="3"/>
  <c r="G65" i="3"/>
  <c r="I9" i="3" l="1"/>
  <c r="L9" i="3"/>
  <c r="I48" i="3" l="1"/>
  <c r="G59" i="3" l="1"/>
  <c r="G62" i="3"/>
  <c r="G46" i="3"/>
  <c r="G27" i="3" l="1"/>
  <c r="H61" i="3" l="1"/>
  <c r="H60" i="3"/>
  <c r="H59" i="3" l="1"/>
  <c r="H62" i="3"/>
  <c r="I50" i="3"/>
  <c r="L48" i="3" l="1"/>
  <c r="G61" i="3" l="1"/>
  <c r="G60" i="3"/>
  <c r="H35" i="3"/>
  <c r="G35" i="3"/>
  <c r="H50" i="3"/>
  <c r="G50" i="3"/>
  <c r="H18" i="3"/>
  <c r="G18" i="3"/>
  <c r="I57" i="3" l="1"/>
  <c r="L57" i="3"/>
  <c r="I60" i="3"/>
  <c r="I53" i="3"/>
  <c r="L53" i="3"/>
  <c r="L18" i="3"/>
  <c r="L11" i="3"/>
  <c r="I10" i="5" l="1"/>
  <c r="I9" i="5"/>
  <c r="I40" i="5" l="1"/>
  <c r="I32" i="5"/>
  <c r="I31" i="5"/>
  <c r="I12" i="5"/>
  <c r="I8" i="5"/>
  <c r="I39" i="5" l="1"/>
  <c r="I38" i="5"/>
  <c r="I37" i="5"/>
  <c r="I36" i="5"/>
  <c r="L65" i="3" l="1"/>
  <c r="L67" i="3"/>
  <c r="L50" i="3" l="1"/>
  <c r="S69" i="3" l="1"/>
  <c r="S70" i="3"/>
  <c r="S71" i="3"/>
  <c r="M69" i="3"/>
  <c r="M70" i="3"/>
  <c r="M71" i="3"/>
  <c r="J69" i="3"/>
  <c r="J70" i="3"/>
  <c r="K70" i="3" s="1"/>
  <c r="J71" i="3"/>
  <c r="K71" i="3" s="1"/>
  <c r="K69" i="3" l="1"/>
  <c r="H30" i="3" l="1"/>
  <c r="I43" i="3" l="1"/>
  <c r="I20" i="5" l="1"/>
  <c r="I24" i="5"/>
  <c r="I23" i="5"/>
  <c r="I22" i="5"/>
  <c r="I28" i="5" l="1"/>
  <c r="I27" i="5"/>
  <c r="I39" i="3" l="1"/>
  <c r="I23" i="3"/>
  <c r="I15" i="3"/>
  <c r="L15" i="3"/>
  <c r="I29" i="5" l="1"/>
  <c r="L34" i="3" l="1"/>
  <c r="I51" i="3" l="1"/>
  <c r="M33" i="3" l="1"/>
  <c r="H48" i="3" l="1"/>
  <c r="H45" i="3"/>
  <c r="H23" i="5" l="1"/>
  <c r="H22" i="5"/>
  <c r="H20" i="3" l="1"/>
  <c r="H39" i="5" l="1"/>
  <c r="H38" i="5"/>
  <c r="H37" i="5"/>
  <c r="H36" i="5"/>
  <c r="G20" i="3" l="1"/>
  <c r="G39" i="5" l="1"/>
  <c r="G38" i="5"/>
  <c r="G37" i="5"/>
  <c r="G36" i="5"/>
  <c r="G23" i="5"/>
  <c r="G22" i="5"/>
  <c r="H29" i="5" l="1"/>
  <c r="H20" i="5" l="1"/>
  <c r="G20" i="5"/>
  <c r="I16" i="5"/>
  <c r="G29" i="5" l="1"/>
  <c r="G28" i="5"/>
  <c r="H28" i="5"/>
  <c r="H27" i="5"/>
  <c r="G27" i="5"/>
  <c r="G48" i="3"/>
  <c r="G45" i="3"/>
  <c r="G9" i="5" l="1"/>
  <c r="H9" i="5"/>
  <c r="H10" i="5"/>
  <c r="G10" i="5"/>
  <c r="I68" i="3" l="1"/>
  <c r="N20" i="5" l="1"/>
  <c r="L68" i="3" l="1"/>
  <c r="I27" i="3" l="1"/>
  <c r="L27" i="3" l="1"/>
  <c r="I35" i="5" l="1"/>
  <c r="H55" i="3" l="1"/>
  <c r="H46" i="3"/>
  <c r="H27" i="3"/>
  <c r="L35" i="5" l="1"/>
  <c r="H52" i="3" l="1"/>
  <c r="I25" i="5" l="1"/>
  <c r="I36" i="3"/>
  <c r="H38" i="3" l="1"/>
  <c r="L26" i="3"/>
  <c r="L43" i="3"/>
  <c r="L36" i="3"/>
  <c r="S29" i="3" l="1"/>
  <c r="L29" i="3"/>
  <c r="H29" i="3"/>
  <c r="J29" i="3" s="1"/>
  <c r="G29" i="3"/>
  <c r="M29" i="3" s="1"/>
  <c r="L28" i="3"/>
  <c r="H28" i="3"/>
  <c r="J28" i="3" s="1"/>
  <c r="K28" i="3" s="1"/>
  <c r="G28" i="3"/>
  <c r="S28" i="3"/>
  <c r="G30" i="3"/>
  <c r="G47" i="3"/>
  <c r="S47" i="3"/>
  <c r="J47" i="3"/>
  <c r="K47" i="3" s="1"/>
  <c r="L44" i="3"/>
  <c r="H44" i="3"/>
  <c r="G44" i="3"/>
  <c r="H43" i="3"/>
  <c r="G43" i="3"/>
  <c r="H36" i="3"/>
  <c r="G36" i="3"/>
  <c r="G55" i="3"/>
  <c r="G38" i="3"/>
  <c r="H34" i="3"/>
  <c r="G34" i="3"/>
  <c r="L32" i="3"/>
  <c r="H32" i="3"/>
  <c r="G32" i="3"/>
  <c r="M32" i="3" s="1"/>
  <c r="J32" i="3"/>
  <c r="S32" i="3"/>
  <c r="H26" i="3"/>
  <c r="G26" i="3"/>
  <c r="M26" i="3" s="1"/>
  <c r="S26" i="3"/>
  <c r="H17" i="3"/>
  <c r="G17" i="3"/>
  <c r="S16" i="3"/>
  <c r="M16" i="3"/>
  <c r="J16" i="3"/>
  <c r="K16" i="3" s="1"/>
  <c r="H15" i="3"/>
  <c r="G15" i="3"/>
  <c r="H11" i="3"/>
  <c r="G11" i="3"/>
  <c r="K29" i="3" l="1"/>
  <c r="M28" i="3"/>
  <c r="M47" i="3"/>
  <c r="K32" i="3"/>
  <c r="J26" i="3"/>
  <c r="K26" i="3" s="1"/>
  <c r="H54" i="3" l="1"/>
  <c r="G54" i="3"/>
  <c r="M18" i="3" l="1"/>
  <c r="J19" i="3"/>
  <c r="K19" i="3" s="1"/>
  <c r="S19" i="3"/>
  <c r="M19" i="3" l="1"/>
  <c r="J18" i="3"/>
  <c r="K18" i="3" s="1"/>
  <c r="S18" i="3"/>
  <c r="L51" i="3" l="1"/>
  <c r="I11" i="5" l="1"/>
  <c r="J10" i="5" l="1"/>
  <c r="K10" i="5" s="1"/>
  <c r="S10" i="5"/>
  <c r="H11" i="5"/>
  <c r="G11" i="5"/>
  <c r="M10" i="5" l="1"/>
  <c r="H53" i="3" l="1"/>
  <c r="I14" i="3" l="1"/>
  <c r="G25" i="5" l="1"/>
  <c r="H25" i="5"/>
  <c r="G12" i="5" l="1"/>
  <c r="H12" i="5"/>
  <c r="J55" i="3" l="1"/>
  <c r="K55" i="3" s="1"/>
  <c r="S55" i="3"/>
  <c r="M55" i="3"/>
  <c r="S49" i="3"/>
  <c r="J49" i="3"/>
  <c r="K49" i="3" s="1"/>
  <c r="M49" i="3"/>
  <c r="S46" i="3"/>
  <c r="J46" i="3"/>
  <c r="K46" i="3" s="1"/>
  <c r="S43" i="3"/>
  <c r="M43" i="3"/>
  <c r="S38" i="3"/>
  <c r="J38" i="3"/>
  <c r="K38" i="3" s="1"/>
  <c r="M38" i="3"/>
  <c r="S36" i="3"/>
  <c r="J36" i="3"/>
  <c r="K36" i="3" s="1"/>
  <c r="M36" i="3"/>
  <c r="S27" i="3"/>
  <c r="J27" i="3"/>
  <c r="K27" i="3" s="1"/>
  <c r="M27" i="3"/>
  <c r="M46" i="3" l="1"/>
  <c r="J43" i="3"/>
  <c r="K43" i="3" s="1"/>
  <c r="H32" i="5"/>
  <c r="G32" i="5"/>
  <c r="S34" i="3" l="1"/>
  <c r="J34" i="3"/>
  <c r="M34" i="3"/>
  <c r="K34" i="3" l="1"/>
  <c r="G40" i="3" l="1"/>
  <c r="H68" i="3" l="1"/>
  <c r="G68" i="3"/>
  <c r="G53" i="3" l="1"/>
  <c r="G52" i="3"/>
  <c r="H31" i="5" l="1"/>
  <c r="H8" i="5" l="1"/>
  <c r="G8" i="5" l="1"/>
  <c r="H24" i="5" l="1"/>
  <c r="H21" i="5"/>
  <c r="G31" i="5" l="1"/>
  <c r="L16" i="5" l="1"/>
  <c r="I30" i="5" l="1"/>
  <c r="G24" i="5" l="1"/>
  <c r="G21" i="5"/>
  <c r="H40" i="5" l="1"/>
  <c r="J39" i="5" l="1"/>
  <c r="K39" i="5" s="1"/>
  <c r="G40" i="5"/>
  <c r="M38" i="5"/>
  <c r="M36" i="5"/>
  <c r="S40" i="5"/>
  <c r="J40" i="5"/>
  <c r="K40" i="5" s="1"/>
  <c r="S39" i="5"/>
  <c r="M39" i="5"/>
  <c r="S38" i="5"/>
  <c r="J38" i="5"/>
  <c r="K38" i="5" s="1"/>
  <c r="M37" i="5"/>
  <c r="J37" i="5"/>
  <c r="K37" i="5" s="1"/>
  <c r="S36" i="5"/>
  <c r="M40" i="5" l="1"/>
  <c r="J36" i="5"/>
  <c r="K36" i="5" s="1"/>
  <c r="S37" i="5"/>
  <c r="H35" i="5" l="1"/>
  <c r="G35" i="5"/>
  <c r="H26" i="5" l="1"/>
  <c r="G26" i="5"/>
  <c r="H30" i="5" l="1"/>
  <c r="G30" i="5"/>
  <c r="I58" i="3" l="1"/>
  <c r="I26" i="5" l="1"/>
  <c r="H39" i="3" l="1"/>
  <c r="J40" i="3" l="1"/>
  <c r="K40" i="3" s="1"/>
  <c r="J39" i="3"/>
  <c r="K39" i="3" s="1"/>
  <c r="G39" i="3"/>
  <c r="S40" i="3"/>
  <c r="S39" i="3"/>
  <c r="M39" i="3" l="1"/>
  <c r="M40" i="3"/>
  <c r="M68" i="3" l="1"/>
  <c r="S68" i="3"/>
  <c r="J68" i="3"/>
  <c r="H51" i="3"/>
  <c r="K68" i="3" l="1"/>
  <c r="G51" i="3" l="1"/>
  <c r="L12" i="5" l="1"/>
  <c r="J26" i="5" l="1"/>
  <c r="K26" i="5" s="1"/>
  <c r="S26" i="5"/>
  <c r="M26" i="5"/>
  <c r="N45" i="3" l="1"/>
  <c r="N35" i="3"/>
  <c r="I15" i="5" l="1"/>
  <c r="J30" i="5" l="1"/>
  <c r="K30" i="5" s="1"/>
  <c r="S30" i="5"/>
  <c r="M30" i="5" l="1"/>
  <c r="S15" i="5"/>
  <c r="H15" i="5"/>
  <c r="M15" i="5" s="1"/>
  <c r="J15" i="5" l="1"/>
  <c r="K15" i="5" s="1"/>
  <c r="J61" i="3" l="1"/>
  <c r="K61" i="3" s="1"/>
  <c r="S61" i="3"/>
  <c r="M61" i="3" l="1"/>
  <c r="J60" i="3"/>
  <c r="K60" i="3" s="1"/>
  <c r="M60" i="3"/>
  <c r="S60" i="3"/>
  <c r="H58" i="3"/>
  <c r="H41" i="3" l="1"/>
  <c r="G41" i="3"/>
  <c r="I19" i="5" l="1"/>
  <c r="H24" i="3" l="1"/>
  <c r="L19" i="5" l="1"/>
  <c r="I63" i="3" l="1"/>
  <c r="I44" i="3"/>
  <c r="M31" i="5" l="1"/>
  <c r="S31" i="5"/>
  <c r="J31" i="5" l="1"/>
  <c r="K31" i="5" s="1"/>
  <c r="S12" i="3" l="1"/>
  <c r="J44" i="3"/>
  <c r="K44" i="3" s="1"/>
  <c r="S44" i="3"/>
  <c r="H63" i="3"/>
  <c r="G63" i="3"/>
  <c r="H23" i="3"/>
  <c r="J23" i="3" s="1"/>
  <c r="K23" i="3" s="1"/>
  <c r="H22" i="3"/>
  <c r="G23" i="3"/>
  <c r="G22" i="3"/>
  <c r="S22" i="3"/>
  <c r="S23" i="3"/>
  <c r="M44" i="3" l="1"/>
  <c r="M23" i="3"/>
  <c r="M22" i="3"/>
  <c r="J22" i="3"/>
  <c r="K22" i="3" s="1"/>
  <c r="N62" i="3" l="1"/>
  <c r="S13" i="5" l="1"/>
  <c r="S33" i="5"/>
  <c r="S34" i="5"/>
  <c r="S35" i="5"/>
  <c r="S29" i="5"/>
  <c r="S28" i="5"/>
  <c r="S27" i="5"/>
  <c r="S25" i="5"/>
  <c r="S22" i="5"/>
  <c r="S20" i="5"/>
  <c r="S14" i="5"/>
  <c r="S12" i="5"/>
  <c r="S11" i="5"/>
  <c r="S9" i="5"/>
  <c r="S9" i="3"/>
  <c r="S25" i="3"/>
  <c r="S31" i="3"/>
  <c r="S20" i="3"/>
  <c r="S21" i="3"/>
  <c r="S10" i="3"/>
  <c r="S11" i="3"/>
  <c r="S13" i="3"/>
  <c r="S15" i="3"/>
  <c r="S17" i="3"/>
  <c r="S33" i="3"/>
  <c r="S41" i="3"/>
  <c r="S50" i="3"/>
  <c r="S51" i="3"/>
  <c r="S67" i="3"/>
  <c r="S8" i="3"/>
  <c r="S45" i="3" l="1"/>
  <c r="S8" i="5"/>
  <c r="S42" i="3"/>
  <c r="J41" i="3" l="1"/>
  <c r="K41" i="3" s="1"/>
  <c r="M41" i="3"/>
  <c r="S23" i="5" l="1"/>
  <c r="S35" i="3"/>
  <c r="S56" i="3" l="1"/>
  <c r="S65" i="3"/>
  <c r="S64" i="3"/>
  <c r="S37" i="3" l="1"/>
  <c r="S24" i="3"/>
  <c r="S57" i="3" l="1"/>
  <c r="S32" i="5" l="1"/>
  <c r="S54" i="3"/>
  <c r="S19" i="5" l="1"/>
  <c r="S59" i="3"/>
  <c r="S53" i="3"/>
  <c r="S52" i="3"/>
  <c r="S16" i="5" l="1"/>
  <c r="S24" i="5" l="1"/>
  <c r="S48" i="3" l="1"/>
  <c r="I18" i="5" l="1"/>
  <c r="S18" i="5" s="1"/>
  <c r="L18" i="5"/>
  <c r="G24" i="3" l="1"/>
  <c r="G58" i="3"/>
  <c r="S66" i="3" l="1"/>
  <c r="S62" i="3"/>
  <c r="H34" i="5" l="1"/>
  <c r="H33" i="5"/>
  <c r="G34" i="5"/>
  <c r="G33" i="5"/>
  <c r="J34" i="5"/>
  <c r="K34" i="5" s="1"/>
  <c r="M34" i="5" l="1"/>
  <c r="M35" i="5"/>
  <c r="J35" i="5"/>
  <c r="K35" i="5" s="1"/>
  <c r="J33" i="5"/>
  <c r="K33" i="5" s="1"/>
  <c r="M33" i="5"/>
  <c r="S14" i="3" l="1"/>
  <c r="S21" i="5" l="1"/>
  <c r="S30" i="3" l="1"/>
  <c r="S63" i="3" l="1"/>
  <c r="I17" i="5" l="1"/>
  <c r="S17" i="5" s="1"/>
  <c r="J12" i="5" l="1"/>
  <c r="K12" i="5" s="1"/>
  <c r="M12" i="5"/>
  <c r="J11" i="5"/>
  <c r="K11" i="5" s="1"/>
  <c r="M11" i="5" l="1"/>
  <c r="M32" i="5" l="1"/>
  <c r="J32" i="5"/>
  <c r="K32" i="5" s="1"/>
  <c r="L17" i="5"/>
  <c r="M24" i="5" l="1"/>
  <c r="M23" i="5"/>
  <c r="J24" i="5"/>
  <c r="K24" i="5" s="1"/>
  <c r="J23" i="5" l="1"/>
  <c r="K23" i="5" s="1"/>
  <c r="S58" i="3" l="1"/>
  <c r="M21" i="5" l="1"/>
  <c r="J22" i="5"/>
  <c r="K22" i="5" s="1"/>
  <c r="M22" i="5" l="1"/>
  <c r="J42" i="3" l="1"/>
  <c r="K42" i="3" s="1"/>
  <c r="M42" i="3"/>
  <c r="M63" i="3" l="1"/>
  <c r="J63" i="3" l="1"/>
  <c r="K63" i="3" s="1"/>
  <c r="M25" i="5" l="1"/>
  <c r="J25" i="5"/>
  <c r="K25" i="5" s="1"/>
  <c r="M27" i="5"/>
  <c r="J27" i="5"/>
  <c r="K27" i="5" s="1"/>
  <c r="M28" i="5"/>
  <c r="J28" i="5"/>
  <c r="K28" i="5" s="1"/>
  <c r="H19" i="5" l="1"/>
  <c r="H16" i="5"/>
  <c r="H17" i="5" l="1"/>
  <c r="M31" i="3" l="1"/>
  <c r="M25" i="3"/>
  <c r="J25" i="3"/>
  <c r="K25" i="3" s="1"/>
  <c r="J31" i="3" l="1"/>
  <c r="K31" i="3" s="1"/>
  <c r="M54" i="3"/>
  <c r="J54" i="3"/>
  <c r="K54" i="3" s="1"/>
  <c r="M52" i="3" l="1"/>
  <c r="J52" i="3"/>
  <c r="K52" i="3" s="1"/>
  <c r="M53" i="3"/>
  <c r="J53" i="3"/>
  <c r="K53" i="3" s="1"/>
  <c r="M21" i="3"/>
  <c r="J21" i="3"/>
  <c r="K21" i="3" s="1"/>
  <c r="M20" i="3"/>
  <c r="J20" i="3"/>
  <c r="K20" i="3" s="1"/>
  <c r="M58" i="3" l="1"/>
  <c r="J58" i="3"/>
  <c r="K58" i="3" s="1"/>
  <c r="M29" i="5"/>
  <c r="J29" i="5"/>
  <c r="K29" i="5" s="1"/>
  <c r="M62" i="3" l="1"/>
  <c r="J62" i="3"/>
  <c r="K62" i="3" s="1"/>
  <c r="M57" i="3"/>
  <c r="J57" i="3"/>
  <c r="K57" i="3" s="1"/>
  <c r="M56" i="3"/>
  <c r="J56" i="3"/>
  <c r="K56" i="3" s="1"/>
  <c r="M59" i="3"/>
  <c r="J59" i="3"/>
  <c r="K59" i="3" s="1"/>
  <c r="M64" i="3"/>
  <c r="J64" i="3"/>
  <c r="K64" i="3" s="1"/>
  <c r="J48" i="3" l="1"/>
  <c r="K48" i="3" s="1"/>
  <c r="M48" i="3"/>
  <c r="J17" i="3"/>
  <c r="K17" i="3" s="1"/>
  <c r="M17" i="3"/>
  <c r="J45" i="3" l="1"/>
  <c r="K45" i="3" s="1"/>
  <c r="M45" i="3"/>
  <c r="J67" i="3" l="1"/>
  <c r="K67" i="3" s="1"/>
  <c r="M67" i="3"/>
  <c r="M13" i="5" l="1"/>
  <c r="M14" i="5"/>
  <c r="M16" i="5"/>
  <c r="M17" i="5"/>
  <c r="M18" i="5"/>
  <c r="M19" i="5"/>
  <c r="M20" i="5"/>
  <c r="M9" i="5"/>
  <c r="M8" i="5"/>
  <c r="M24" i="3" l="1"/>
  <c r="M30" i="3"/>
  <c r="M10" i="3"/>
  <c r="M11" i="3"/>
  <c r="J24" i="3"/>
  <c r="J30" i="3"/>
  <c r="J10" i="3"/>
  <c r="J11" i="3"/>
  <c r="J12" i="3"/>
  <c r="J13" i="3"/>
  <c r="J14" i="3"/>
  <c r="J15" i="3"/>
  <c r="J33" i="3"/>
  <c r="J35" i="3"/>
  <c r="J37" i="3"/>
  <c r="J50" i="3"/>
  <c r="K50" i="3" s="1"/>
  <c r="J51" i="3"/>
  <c r="J65" i="3"/>
  <c r="J66" i="3"/>
  <c r="J9" i="3"/>
  <c r="J8" i="3"/>
  <c r="M12" i="3"/>
  <c r="M13" i="3"/>
  <c r="M14" i="3"/>
  <c r="M15" i="3"/>
  <c r="M35" i="3"/>
  <c r="M37" i="3"/>
  <c r="M50" i="3"/>
  <c r="M51" i="3"/>
  <c r="M65" i="3"/>
  <c r="M66" i="3"/>
  <c r="M9" i="3"/>
  <c r="M8" i="3"/>
  <c r="J13" i="5" l="1"/>
  <c r="K13" i="5" s="1"/>
  <c r="J14" i="5"/>
  <c r="K14" i="5" s="1"/>
  <c r="J16" i="5"/>
  <c r="K16" i="5" s="1"/>
  <c r="J17" i="5"/>
  <c r="K17" i="5" s="1"/>
  <c r="J18" i="5"/>
  <c r="K18" i="5" s="1"/>
  <c r="J19" i="5"/>
  <c r="K19" i="5" s="1"/>
  <c r="J20" i="5"/>
  <c r="K20" i="5" s="1"/>
  <c r="J9" i="5"/>
  <c r="K9" i="5" s="1"/>
  <c r="J8" i="5"/>
  <c r="K8" i="5" s="1"/>
  <c r="K10" i="3" l="1"/>
  <c r="K11" i="3"/>
  <c r="K12" i="3"/>
  <c r="K13" i="3"/>
  <c r="K14" i="3"/>
  <c r="K15" i="3"/>
  <c r="K33" i="3"/>
  <c r="K35" i="3"/>
  <c r="K37" i="3"/>
  <c r="K51" i="3"/>
  <c r="K65" i="3"/>
  <c r="K66" i="3"/>
  <c r="K24" i="3"/>
  <c r="K30" i="3"/>
  <c r="K9" i="3"/>
  <c r="K8" i="3"/>
</calcChain>
</file>

<file path=xl/sharedStrings.xml><?xml version="1.0" encoding="utf-8"?>
<sst xmlns="http://schemas.openxmlformats.org/spreadsheetml/2006/main" count="594" uniqueCount="203">
  <si>
    <t>SR</t>
  </si>
  <si>
    <t>DESCRIPTION</t>
  </si>
  <si>
    <t>UNIT</t>
  </si>
  <si>
    <t xml:space="preserve"> QTY . IN</t>
  </si>
  <si>
    <t xml:space="preserve"> QTY . OUT</t>
  </si>
  <si>
    <t>QTY STOCK</t>
  </si>
  <si>
    <t>SIZE</t>
  </si>
  <si>
    <t xml:space="preserve">PVC CONDUIT </t>
  </si>
  <si>
    <t>25 MM</t>
  </si>
  <si>
    <t>PVC COUPLER</t>
  </si>
  <si>
    <t>PVC ADAPTOR</t>
  </si>
  <si>
    <t>PVC END BOX</t>
  </si>
  <si>
    <t>PVC THROUGH BOX</t>
  </si>
  <si>
    <t>PVC ANGLE BOX</t>
  </si>
  <si>
    <t>PVC 2 WAY BOX ( U )</t>
  </si>
  <si>
    <t>PVC 3 WAY BOX ( T )</t>
  </si>
  <si>
    <t>PVC 3 WAY BOX ( Y )</t>
  </si>
  <si>
    <t>PVC 4 WAY BOX ( H )</t>
  </si>
  <si>
    <t xml:space="preserve">PVC REDUCER </t>
  </si>
  <si>
    <t>25 / 20 MM</t>
  </si>
  <si>
    <t>20 MM</t>
  </si>
  <si>
    <t>32 MM</t>
  </si>
  <si>
    <t>NOS</t>
  </si>
  <si>
    <t>PLACE OF STORAGE</t>
  </si>
  <si>
    <t xml:space="preserve">RGS CONDUIT </t>
  </si>
  <si>
    <t>NCP STORE QTY.</t>
  </si>
  <si>
    <t>KALYOUB STORE QTY.</t>
  </si>
  <si>
    <t>6 MM</t>
  </si>
  <si>
    <t xml:space="preserve">RGS TWO HOLE STRAP  </t>
  </si>
  <si>
    <t xml:space="preserve">RGS  LOCK NUT STEEL ELEC.  </t>
  </si>
  <si>
    <t xml:space="preserve">RGS COUPLER </t>
  </si>
  <si>
    <t xml:space="preserve">EMT SET SCREW COUPLER </t>
  </si>
  <si>
    <t xml:space="preserve">EMT SET SCREW CONNECTOR  </t>
  </si>
  <si>
    <t>4 CM</t>
  </si>
  <si>
    <t>5.5 CM</t>
  </si>
  <si>
    <t>OCTANGLE STEEL BOX  (  allied )  20MM</t>
  </si>
  <si>
    <t>RGS</t>
  </si>
  <si>
    <t>EMT</t>
  </si>
  <si>
    <t>TYPE</t>
  </si>
  <si>
    <t>Project Name :-  THE NILE CORNECHE PROJECT  ( ST. RIGES )</t>
  </si>
  <si>
    <t>Material Stock List ( PVC CONDUIT &amp; ACCESSOSIRES )</t>
  </si>
  <si>
    <t>CAN</t>
  </si>
  <si>
    <t>FLAT HEAD SCREW WITH NUTS &amp; WASHER</t>
  </si>
  <si>
    <t>8 MM</t>
  </si>
  <si>
    <t xml:space="preserve">BLUE FOAM SHEET </t>
  </si>
  <si>
    <t xml:space="preserve">WHITE FOAM SHEET </t>
  </si>
  <si>
    <t>3 CM</t>
  </si>
  <si>
    <t>5 CM</t>
  </si>
  <si>
    <t>ELEC. WELDING WIRE TAPE</t>
  </si>
  <si>
    <t>1/4 KG</t>
  </si>
  <si>
    <t>PVC GLUE CEMENT P600</t>
  </si>
  <si>
    <t>SHT</t>
  </si>
  <si>
    <t>SR.</t>
  </si>
  <si>
    <t>Project Name :-THE NILE CORNECHE PROJECT( ST. RIGES )</t>
  </si>
  <si>
    <t>SUPPORT</t>
  </si>
  <si>
    <t>REM. PO. QTY</t>
  </si>
  <si>
    <t xml:space="preserve">PO. QTY </t>
  </si>
  <si>
    <t xml:space="preserve">REM. PO. QTY </t>
  </si>
  <si>
    <t xml:space="preserve">STEEL BOX COVER </t>
  </si>
  <si>
    <t>10×10CM</t>
  </si>
  <si>
    <t>Material Stock List ( ELEC. CONSUMABLE MATERIAL )</t>
  </si>
  <si>
    <t xml:space="preserve">EMT TWO HOLE STRAP  </t>
  </si>
  <si>
    <t>PO. QTY</t>
  </si>
  <si>
    <t xml:space="preserve">PVC BUSHINGS FOR EMT CONDUIT </t>
  </si>
  <si>
    <t xml:space="preserve">RGS BUSHINGS FOR RGS CONDUIT </t>
  </si>
  <si>
    <t>CONSUMABLE</t>
  </si>
  <si>
    <t>IMC</t>
  </si>
  <si>
    <t>IMC CONDUIT PIPE  ( BURN )</t>
  </si>
  <si>
    <t>EMT CONDUIT  ( SMART TUPE )</t>
  </si>
  <si>
    <t xml:space="preserve">FISHER WITH SCREW </t>
  </si>
  <si>
    <t>7CM/40 MM</t>
  </si>
  <si>
    <t>7CM/50 MM</t>
  </si>
  <si>
    <t>100MM</t>
  </si>
  <si>
    <t>PKT</t>
  </si>
  <si>
    <t>PVC COVER BOX</t>
  </si>
  <si>
    <t>ROLL</t>
  </si>
  <si>
    <t>IMC  LOCK NUT</t>
  </si>
  <si>
    <t xml:space="preserve">BUSHINGS FOR IMC CONDUIT  </t>
  </si>
  <si>
    <t xml:space="preserve">3/4 '' </t>
  </si>
  <si>
    <t>1 ''</t>
  </si>
  <si>
    <t>PVC EXTENTION BOX</t>
  </si>
  <si>
    <t>200MM</t>
  </si>
  <si>
    <t>300MM</t>
  </si>
  <si>
    <t xml:space="preserve">OCTANGLE STEEL BOX COVER </t>
  </si>
  <si>
    <t xml:space="preserve">SQUEEZE CONNECTOR </t>
  </si>
  <si>
    <t>400MM</t>
  </si>
  <si>
    <t>150MM</t>
  </si>
  <si>
    <t>PVC BACK BOX LEGRAND 80141</t>
  </si>
  <si>
    <t>PVC BACK BOX LEGRAND 80151</t>
  </si>
  <si>
    <t>Material Stock List ( RGS, EMT &amp; IMC CONDUITS &amp; ACCESSOSIRES )</t>
  </si>
  <si>
    <t>360MM</t>
  </si>
  <si>
    <t>520MM</t>
  </si>
  <si>
    <t>10 MM</t>
  </si>
  <si>
    <t>TRANSFERRED FROM MAIN STORE</t>
  </si>
  <si>
    <t>PVC TIE RAB WHITE 2.5 MM</t>
  </si>
  <si>
    <t>PVC TIE RAB BLACK 3.6 MM</t>
  </si>
  <si>
    <t>PVC TIE RAB BLACK 4.8 MM</t>
  </si>
  <si>
    <t>GI STEEL SHEET 1*2MTR THICK. 6MM</t>
  </si>
  <si>
    <t>GI STEEL SHEET 1*2MTR THICK. 4MM</t>
  </si>
  <si>
    <t>GI STEEL ANGLE 60*60*6MM *6MTR</t>
  </si>
  <si>
    <t>SHEET</t>
  </si>
  <si>
    <t>LENGTH</t>
  </si>
  <si>
    <t xml:space="preserve">DATE :-  </t>
  </si>
  <si>
    <t>LAST</t>
  </si>
  <si>
    <t>NEW</t>
  </si>
  <si>
    <t>EMT FELXABLE CONDUIT</t>
  </si>
  <si>
    <t>EMT FELXABLE CONNECTOR</t>
  </si>
  <si>
    <t>12MM</t>
  </si>
  <si>
    <t>16MM</t>
  </si>
  <si>
    <t>1/2''</t>
  </si>
  <si>
    <t xml:space="preserve">ENGRAVED ST. STEEL LABEL 12*1CM*.5MM </t>
  </si>
  <si>
    <t>MATERIAL STOCK IN SUB-STORES</t>
  </si>
  <si>
    <t>PODUM</t>
  </si>
  <si>
    <t>TOWER  (01)</t>
  </si>
  <si>
    <t>TOWER  (02)</t>
  </si>
  <si>
    <t>ELEC. (P3)</t>
  </si>
  <si>
    <t>ELEC. (L33)</t>
  </si>
  <si>
    <t>ELEC. (L24)</t>
  </si>
  <si>
    <t>PRO DATE</t>
  </si>
  <si>
    <t>EXP. DATE</t>
  </si>
  <si>
    <t>MUD RING FOR 4'' SQUARE STEEL OUTLET BOX TP-498</t>
  </si>
  <si>
    <t>MUD RING FOR 4'' SQUARE STEEL OUTLET BOX TP-486</t>
  </si>
  <si>
    <t>12 MM *7CM</t>
  </si>
  <si>
    <t>500MM</t>
  </si>
  <si>
    <t>PVC TIE RAB BLACK 8.8 MM</t>
  </si>
  <si>
    <t>160MM</t>
  </si>
  <si>
    <t>PVC TIE RAB WHITE 3.6 MM</t>
  </si>
  <si>
    <t xml:space="preserve">HUNGER CLAMP FOR CONDUIT C/W BOLTS </t>
  </si>
  <si>
    <t>EMT SET SCREW CONNECTOR  90DEG.</t>
  </si>
  <si>
    <t>ST. STEEL CABLE TIE 150 × 4.6 × .25 MM (BU 46-150 RAYCHEM)</t>
  </si>
  <si>
    <t>ST. STEEL CABLE TIE 200 × 4.6 × .25 MM (BU 46-200 RAYCHEM)</t>
  </si>
  <si>
    <t>STEEL BOX  10CM×10CM×20MM</t>
  </si>
  <si>
    <t>STEEL BOX  7CM×7CM×20MM (89117)</t>
  </si>
  <si>
    <t>STEEL BOX  7CM×14CM×20MM (89118)</t>
  </si>
  <si>
    <t>STEEL BOX  10CM×5CM×20MM (58371)</t>
  </si>
  <si>
    <t>OCTANGLE STEEL BOX  (  allied )  20MMx 15MM</t>
  </si>
  <si>
    <t>EXTENSION OCTANGLE STEEL BOX  10CM×10CM×20MM</t>
  </si>
  <si>
    <t>EXTENSION STEEL BOX  10CM×10CM×20MM</t>
  </si>
  <si>
    <r>
      <t xml:space="preserve">PVC 4 WAY BOX ( </t>
    </r>
    <r>
      <rPr>
        <b/>
        <sz val="12"/>
        <color theme="1"/>
        <rFont val="Calibri"/>
        <family val="2"/>
      </rPr>
      <t>+</t>
    </r>
    <r>
      <rPr>
        <b/>
        <sz val="11"/>
        <color theme="1"/>
        <rFont val="Calibri"/>
        <family val="2"/>
      </rPr>
      <t xml:space="preserve"> )</t>
    </r>
  </si>
  <si>
    <t>CABLE CLAMP 3/4'' NOVOTRAY PART NO ( P1-020 )</t>
  </si>
  <si>
    <t>CABLE CLAMP 1'' NOVOTRAY PART NO ( P1-025)</t>
  </si>
  <si>
    <t>CABLE CLAMP 1 1/2'' NOVOTRAY PART NO ( P1-040)</t>
  </si>
  <si>
    <t>CABLE CLAMP 2'' NOVOTRAY PART NO ( P1-050)</t>
  </si>
  <si>
    <t>CABLE CLAMP 3'' NOVOTRAY PART NO ( P1-080)</t>
  </si>
  <si>
    <t>3/4''</t>
  </si>
  <si>
    <t>1''</t>
  </si>
  <si>
    <t>1 1/2''</t>
  </si>
  <si>
    <t>2''</t>
  </si>
  <si>
    <t>3''</t>
  </si>
  <si>
    <t>CABLE CLEAT DUCTCH CLAMP ( SE 75-100 )</t>
  </si>
  <si>
    <t xml:space="preserve">1 1/4 '' </t>
  </si>
  <si>
    <t>STEEL BOX  20CM×20CM</t>
  </si>
  <si>
    <t>6 MM/6CM</t>
  </si>
  <si>
    <t>ST. STEEL CABLE TIE 360 × 4.6 × .25 MM (BU 46-360 RAYCHEM)</t>
  </si>
  <si>
    <t>FELXABLE CONDUIT ( LIQUID TIGHT )</t>
  </si>
  <si>
    <t>FELXABLE CONNECTOR ( LIQUID TIGHT )</t>
  </si>
  <si>
    <t>EMT FELXABLE CONDUIT 25MTR</t>
  </si>
  <si>
    <t>EMT FELXABLE CONDUIT 50MTR</t>
  </si>
  <si>
    <t>ST. STEEL CABLE TIE 520 × 4.6 × .25 MM (BU 46-520 RAYCHEM)</t>
  </si>
  <si>
    <t>شق</t>
  </si>
  <si>
    <t>CONDUTE HANGER STRAPE 3/4"</t>
  </si>
  <si>
    <t>.</t>
  </si>
  <si>
    <t>STEEL BOX 10 *10*4CM</t>
  </si>
  <si>
    <t>10*10</t>
  </si>
  <si>
    <t>PVC BUSHING FOR EMT CONDIT 3/4"</t>
  </si>
  <si>
    <t xml:space="preserve">EMT TWO HOLE STRAP </t>
  </si>
  <si>
    <t>ادبتور مواسير</t>
  </si>
  <si>
    <t>ادبتور زاوية</t>
  </si>
  <si>
    <t>صباع</t>
  </si>
  <si>
    <t>STLAB</t>
  </si>
  <si>
    <t>STEEL LABEL FOR L.V CABLE</t>
  </si>
  <si>
    <t>Project Name :-  QNB</t>
  </si>
  <si>
    <t xml:space="preserve">CONDUIT </t>
  </si>
  <si>
    <t>Code Number</t>
  </si>
  <si>
    <t>300-0001</t>
  </si>
  <si>
    <t>300-0002</t>
  </si>
  <si>
    <t>300-0003</t>
  </si>
  <si>
    <t>300-0006</t>
  </si>
  <si>
    <t>300-0009</t>
  </si>
  <si>
    <t>300-0004</t>
  </si>
  <si>
    <t>300-0005</t>
  </si>
  <si>
    <t>300-0007</t>
  </si>
  <si>
    <t>300-0008</t>
  </si>
  <si>
    <t>300-0010</t>
  </si>
  <si>
    <t>300-0011</t>
  </si>
  <si>
    <t>300-0012</t>
  </si>
  <si>
    <t>300-0013</t>
  </si>
  <si>
    <t>300-0014</t>
  </si>
  <si>
    <t>300-0015</t>
  </si>
  <si>
    <t>300-0016</t>
  </si>
  <si>
    <t>300-0017</t>
  </si>
  <si>
    <t>300-0018</t>
  </si>
  <si>
    <t>300-0019</t>
  </si>
  <si>
    <t>300-0020</t>
  </si>
  <si>
    <t>300-0021</t>
  </si>
  <si>
    <t>300-0022</t>
  </si>
  <si>
    <t>300-0023</t>
  </si>
  <si>
    <t>300-0024</t>
  </si>
  <si>
    <t>300-0025</t>
  </si>
  <si>
    <t>300-0026</t>
  </si>
  <si>
    <t>300-0027</t>
  </si>
  <si>
    <t>300-0028</t>
  </si>
  <si>
    <t xml:space="preserve">po  .QTY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</si>
</sst>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9]dd\-mmmm\-yyyy;@"/>
  </numFmts>
  <fonts count="16" x14ac:knownFonts="1">
    <font>
      <sz val="11"/>
      <color theme="1"/>
      <name val="Arial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i/>
      <sz val="12"/>
      <color rgb="FFC00000"/>
      <name val="Calibri"/>
      <family val="2"/>
    </font>
    <font>
      <b/>
      <sz val="11"/>
      <color theme="0"/>
      <name val="Calibri"/>
      <family val="2"/>
    </font>
    <font>
      <i/>
      <sz val="12"/>
      <name val="Calibri"/>
      <family val="2"/>
    </font>
    <font>
      <b/>
      <sz val="12"/>
      <name val="Calibri"/>
      <family val="2"/>
    </font>
    <font>
      <b/>
      <sz val="11"/>
      <color rgb="FFC00000"/>
      <name val="Calibri"/>
      <family val="2"/>
    </font>
    <font>
      <b/>
      <sz val="10"/>
      <color rgb="FFC00000"/>
      <name val="Calibri"/>
      <family val="2"/>
    </font>
    <font>
      <b/>
      <sz val="11"/>
      <color rgb="FFFF0000"/>
      <name val="Calibri"/>
      <family val="2"/>
    </font>
    <font>
      <b/>
      <i/>
      <sz val="11"/>
      <color rgb="FFC00000"/>
      <name val="Calibri"/>
      <family val="2"/>
    </font>
    <font>
      <b/>
      <sz val="10"/>
      <name val="Calibri"/>
      <family val="2"/>
    </font>
    <font>
      <b/>
      <i/>
      <sz val="10"/>
      <color rgb="FFC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63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indexed="64"/>
      </left>
      <right/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n">
        <color indexed="64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5" fillId="0" borderId="22" xfId="0" applyFont="1" applyBorder="1"/>
    <xf numFmtId="0" fontId="5" fillId="0" borderId="27" xfId="0" applyFont="1" applyBorder="1"/>
    <xf numFmtId="0" fontId="5" fillId="0" borderId="0" xfId="0" applyFont="1"/>
    <xf numFmtId="0" fontId="5" fillId="0" borderId="32" xfId="0" applyFont="1" applyBorder="1"/>
    <xf numFmtId="0" fontId="5" fillId="0" borderId="33" xfId="0" applyFont="1" applyBorder="1"/>
    <xf numFmtId="0" fontId="5" fillId="0" borderId="0" xfId="0" applyFont="1" applyBorder="1"/>
    <xf numFmtId="0" fontId="5" fillId="0" borderId="29" xfId="0" applyFont="1" applyBorder="1"/>
    <xf numFmtId="0" fontId="8" fillId="0" borderId="36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0" fontId="9" fillId="0" borderId="32" xfId="0" applyFont="1" applyBorder="1" applyAlignment="1">
      <alignment horizontal="left"/>
    </xf>
    <xf numFmtId="0" fontId="9" fillId="0" borderId="33" xfId="0" applyFont="1" applyBorder="1" applyAlignment="1">
      <alignment horizontal="left"/>
    </xf>
    <xf numFmtId="0" fontId="5" fillId="0" borderId="28" xfId="0" applyFont="1" applyBorder="1"/>
    <xf numFmtId="0" fontId="7" fillId="10" borderId="53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 vertical="top"/>
    </xf>
    <xf numFmtId="0" fontId="10" fillId="8" borderId="2" xfId="0" applyFont="1" applyFill="1" applyBorder="1" applyAlignment="1">
      <alignment horizontal="center" vertical="top"/>
    </xf>
    <xf numFmtId="0" fontId="10" fillId="7" borderId="2" xfId="0" applyFont="1" applyFill="1" applyBorder="1" applyAlignment="1">
      <alignment horizontal="center" vertical="top"/>
    </xf>
    <xf numFmtId="0" fontId="10" fillId="2" borderId="2" xfId="0" applyFont="1" applyFill="1" applyBorder="1" applyAlignment="1">
      <alignment horizontal="center" vertical="top"/>
    </xf>
    <xf numFmtId="0" fontId="10" fillId="6" borderId="2" xfId="0" applyFont="1" applyFill="1" applyBorder="1" applyAlignment="1">
      <alignment horizontal="center" vertical="top" wrapText="1"/>
    </xf>
    <xf numFmtId="0" fontId="10" fillId="8" borderId="13" xfId="0" applyFont="1" applyFill="1" applyBorder="1" applyAlignment="1">
      <alignment horizontal="center" vertical="top" wrapText="1"/>
    </xf>
    <xf numFmtId="0" fontId="10" fillId="8" borderId="3" xfId="0" applyFont="1" applyFill="1" applyBorder="1" applyAlignment="1">
      <alignment horizontal="center" vertical="top"/>
    </xf>
    <xf numFmtId="0" fontId="11" fillId="4" borderId="45" xfId="0" applyFont="1" applyFill="1" applyBorder="1" applyAlignment="1">
      <alignment horizontal="center" vertical="top" wrapText="1"/>
    </xf>
    <xf numFmtId="0" fontId="7" fillId="10" borderId="54" xfId="0" applyFont="1" applyFill="1" applyBorder="1" applyAlignment="1">
      <alignment horizontal="center" vertical="center"/>
    </xf>
    <xf numFmtId="0" fontId="10" fillId="8" borderId="16" xfId="0" applyFont="1" applyFill="1" applyBorder="1" applyAlignment="1">
      <alignment horizontal="center" vertical="top"/>
    </xf>
    <xf numFmtId="0" fontId="10" fillId="8" borderId="19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42" xfId="0" applyFont="1" applyBorder="1"/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2" fillId="0" borderId="44" xfId="0" applyFont="1" applyBorder="1"/>
    <xf numFmtId="0" fontId="5" fillId="0" borderId="55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4" fontId="5" fillId="0" borderId="19" xfId="0" applyNumberFormat="1" applyFont="1" applyBorder="1"/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2" fillId="0" borderId="7" xfId="0" applyFont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11" xfId="0" applyFont="1" applyBorder="1"/>
    <xf numFmtId="0" fontId="3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34" xfId="0" applyFont="1" applyBorder="1" applyAlignment="1"/>
    <xf numFmtId="0" fontId="10" fillId="8" borderId="3" xfId="0" applyFont="1" applyFill="1" applyBorder="1" applyAlignment="1">
      <alignment horizontal="center" vertical="top" wrapText="1"/>
    </xf>
    <xf numFmtId="0" fontId="2" fillId="2" borderId="46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5" fillId="0" borderId="38" xfId="0" applyFont="1" applyBorder="1"/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5" borderId="7" xfId="0" applyFont="1" applyFill="1" applyBorder="1"/>
    <xf numFmtId="0" fontId="2" fillId="4" borderId="7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164" fontId="9" fillId="0" borderId="34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2" fillId="9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12" fillId="0" borderId="61" xfId="0" applyFont="1" applyBorder="1"/>
    <xf numFmtId="0" fontId="2" fillId="12" borderId="19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10" fillId="8" borderId="2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5" borderId="47" xfId="0" applyFont="1" applyFill="1" applyBorder="1" applyAlignment="1">
      <alignment horizontal="center" vertical="center"/>
    </xf>
    <xf numFmtId="0" fontId="2" fillId="9" borderId="47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5" borderId="24" xfId="0" applyFont="1" applyFill="1" applyBorder="1"/>
    <xf numFmtId="0" fontId="2" fillId="5" borderId="19" xfId="0" applyFont="1" applyFill="1" applyBorder="1" applyAlignment="1">
      <alignment horizontal="left"/>
    </xf>
    <xf numFmtId="0" fontId="2" fillId="13" borderId="7" xfId="0" applyFont="1" applyFill="1" applyBorder="1" applyAlignment="1">
      <alignment horizontal="center" vertical="center"/>
    </xf>
    <xf numFmtId="0" fontId="2" fillId="13" borderId="8" xfId="0" applyFont="1" applyFill="1" applyBorder="1" applyAlignment="1">
      <alignment horizontal="center" vertical="center"/>
    </xf>
    <xf numFmtId="0" fontId="2" fillId="13" borderId="19" xfId="0" applyFont="1" applyFill="1" applyBorder="1" applyAlignment="1">
      <alignment horizontal="center"/>
    </xf>
    <xf numFmtId="0" fontId="2" fillId="14" borderId="7" xfId="0" applyFont="1" applyFill="1" applyBorder="1" applyAlignment="1">
      <alignment horizontal="center" vertical="center"/>
    </xf>
    <xf numFmtId="0" fontId="2" fillId="14" borderId="47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4" fillId="0" borderId="22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11" fillId="0" borderId="62" xfId="0" applyFont="1" applyBorder="1" applyAlignment="1">
      <alignment horizontal="center" vertical="top"/>
    </xf>
    <xf numFmtId="0" fontId="11" fillId="0" borderId="42" xfId="0" applyFont="1" applyBorder="1" applyAlignment="1">
      <alignment horizontal="center" vertical="top"/>
    </xf>
    <xf numFmtId="0" fontId="11" fillId="7" borderId="13" xfId="0" applyFont="1" applyFill="1" applyBorder="1" applyAlignment="1">
      <alignment horizontal="center" vertical="top" wrapText="1"/>
    </xf>
    <xf numFmtId="0" fontId="11" fillId="2" borderId="13" xfId="0" applyFont="1" applyFill="1" applyBorder="1" applyAlignment="1">
      <alignment horizontal="center" vertical="top" wrapText="1"/>
    </xf>
    <xf numFmtId="0" fontId="11" fillId="6" borderId="16" xfId="0" applyFont="1" applyFill="1" applyBorder="1" applyAlignment="1">
      <alignment horizontal="center" vertical="top" wrapText="1"/>
    </xf>
    <xf numFmtId="0" fontId="2" fillId="5" borderId="19" xfId="0" applyFont="1" applyFill="1" applyBorder="1"/>
    <xf numFmtId="0" fontId="3" fillId="0" borderId="19" xfId="0" applyFont="1" applyBorder="1" applyAlignment="1">
      <alignment horizontal="center"/>
    </xf>
    <xf numFmtId="0" fontId="3" fillId="7" borderId="19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6" borderId="19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 vertical="center"/>
    </xf>
    <xf numFmtId="0" fontId="2" fillId="4" borderId="19" xfId="0" applyFont="1" applyFill="1" applyBorder="1"/>
    <xf numFmtId="0" fontId="3" fillId="4" borderId="19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0" fillId="8" borderId="3" xfId="0" applyFont="1" applyFill="1" applyBorder="1" applyAlignment="1">
      <alignment horizontal="center" vertical="center" wrapText="1"/>
    </xf>
    <xf numFmtId="0" fontId="10" fillId="8" borderId="16" xfId="0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left"/>
    </xf>
    <xf numFmtId="0" fontId="14" fillId="0" borderId="26" xfId="0" applyFont="1" applyBorder="1" applyAlignment="1">
      <alignment horizontal="left"/>
    </xf>
    <xf numFmtId="0" fontId="14" fillId="0" borderId="35" xfId="0" applyFont="1" applyBorder="1" applyAlignment="1">
      <alignment horizontal="left"/>
    </xf>
    <xf numFmtId="0" fontId="15" fillId="0" borderId="32" xfId="0" applyFont="1" applyBorder="1" applyAlignment="1">
      <alignment horizontal="left"/>
    </xf>
    <xf numFmtId="0" fontId="15" fillId="0" borderId="33" xfId="0" applyFont="1" applyBorder="1" applyAlignment="1">
      <alignment horizontal="left"/>
    </xf>
    <xf numFmtId="0" fontId="15" fillId="0" borderId="34" xfId="0" applyFont="1" applyBorder="1" applyAlignment="1">
      <alignment horizontal="left"/>
    </xf>
    <xf numFmtId="0" fontId="5" fillId="0" borderId="2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7" fillId="11" borderId="49" xfId="0" applyFont="1" applyFill="1" applyBorder="1" applyAlignment="1">
      <alignment horizontal="center" vertical="center"/>
    </xf>
    <xf numFmtId="0" fontId="7" fillId="11" borderId="50" xfId="0" applyFont="1" applyFill="1" applyBorder="1" applyAlignment="1">
      <alignment horizontal="center" vertical="center"/>
    </xf>
    <xf numFmtId="0" fontId="7" fillId="11" borderId="51" xfId="0" applyFont="1" applyFill="1" applyBorder="1" applyAlignment="1">
      <alignment horizontal="center" vertical="center"/>
    </xf>
    <xf numFmtId="0" fontId="7" fillId="11" borderId="41" xfId="0" applyFont="1" applyFill="1" applyBorder="1" applyAlignment="1">
      <alignment horizontal="center" vertical="center"/>
    </xf>
    <xf numFmtId="0" fontId="7" fillId="11" borderId="52" xfId="0" applyFont="1" applyFill="1" applyBorder="1" applyAlignment="1">
      <alignment horizontal="center" vertical="center"/>
    </xf>
    <xf numFmtId="0" fontId="7" fillId="11" borderId="48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9" fillId="0" borderId="25" xfId="0" applyFont="1" applyBorder="1" applyAlignment="1">
      <alignment horizontal="left"/>
    </xf>
    <xf numFmtId="0" fontId="9" fillId="0" borderId="26" xfId="0" applyFont="1" applyBorder="1" applyAlignment="1">
      <alignment horizontal="left"/>
    </xf>
    <xf numFmtId="0" fontId="9" fillId="0" borderId="35" xfId="0" applyFont="1" applyBorder="1" applyAlignment="1">
      <alignment horizontal="left"/>
    </xf>
    <xf numFmtId="0" fontId="13" fillId="0" borderId="32" xfId="0" applyFont="1" applyBorder="1" applyAlignment="1">
      <alignment horizontal="left"/>
    </xf>
    <xf numFmtId="0" fontId="13" fillId="0" borderId="33" xfId="0" applyFont="1" applyBorder="1" applyAlignment="1">
      <alignment horizontal="left"/>
    </xf>
    <xf numFmtId="0" fontId="13" fillId="0" borderId="34" xfId="0" applyFont="1" applyBorder="1" applyAlignment="1">
      <alignment horizontal="left"/>
    </xf>
    <xf numFmtId="0" fontId="2" fillId="8" borderId="17" xfId="0" applyFont="1" applyFill="1" applyBorder="1" applyAlignment="1">
      <alignment horizontal="center"/>
    </xf>
    <xf numFmtId="0" fontId="2" fillId="8" borderId="20" xfId="0" applyFont="1" applyFill="1" applyBorder="1" applyAlignment="1">
      <alignment horizontal="center"/>
    </xf>
    <xf numFmtId="0" fontId="4" fillId="0" borderId="39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40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6" fillId="0" borderId="31" xfId="0" applyFont="1" applyBorder="1" applyAlignment="1">
      <alignment horizontal="left"/>
    </xf>
    <xf numFmtId="0" fontId="6" fillId="0" borderId="37" xfId="0" applyFont="1" applyBorder="1" applyAlignment="1">
      <alignment horizontal="left"/>
    </xf>
  </cellXfs>
  <cellStyles count="1">
    <cellStyle name="Normal" xfId="0" builtinId="0"/>
  </cellStyles>
  <dxfs count="89"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11F0F"/>
        </patternFill>
      </fill>
    </dxf>
    <dxf>
      <fill>
        <patternFill>
          <bgColor rgb="FFFFFF00"/>
        </patternFill>
      </fill>
    </dxf>
    <dxf>
      <fill>
        <patternFill>
          <bgColor rgb="FFF11F0F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F11F0F"/>
      <color rgb="FF00CC00"/>
      <color rgb="FFFF6699"/>
      <color rgb="FFFF99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hyperlink" Target="http://www.drakescull.com/EN/Default.aspx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hyperlink" Target="http://www.drakescull.com/EN/Default.aspx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200024</xdr:colOff>
      <xdr:row>0</xdr:row>
      <xdr:rowOff>152400</xdr:rowOff>
    </xdr:from>
    <xdr:to>
      <xdr:col>12</xdr:col>
      <xdr:colOff>228599</xdr:colOff>
      <xdr:row>4</xdr:row>
      <xdr:rowOff>26895</xdr:rowOff>
    </xdr:to>
    <xdr:pic>
      <xdr:nvPicPr>
        <xdr:cNvPr id="2" name="Picture 1" descr="http://www.drakescull.com/EN/common/images/logo.gif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86749" y="152400"/>
          <a:ext cx="151447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295274</xdr:colOff>
      <xdr:row>0</xdr:row>
      <xdr:rowOff>161924</xdr:rowOff>
    </xdr:from>
    <xdr:to>
      <xdr:col>11</xdr:col>
      <xdr:colOff>904874</xdr:colOff>
      <xdr:row>4</xdr:row>
      <xdr:rowOff>103350</xdr:rowOff>
    </xdr:to>
    <xdr:pic>
      <xdr:nvPicPr>
        <xdr:cNvPr id="2" name="Picture 1" descr="http://www.drakescull.com/EN/common/images/logo.gif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10524" y="161924"/>
          <a:ext cx="1428751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5;&#1604;&#1605;&#1582;&#1586;&#1606;\QNB\pvc\PV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4">
          <cell r="D4">
            <v>0</v>
          </cell>
          <cell r="E4">
            <v>0</v>
          </cell>
          <cell r="F4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omposit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36"/>
  <sheetViews>
    <sheetView tabSelected="1" zoomScale="115" zoomScaleNormal="115" workbookViewId="0">
      <pane ySplit="7" topLeftCell="A8" activePane="bottomLeft" state="frozen"/>
      <selection activeCell="I13" sqref="I13"/>
      <selection pane="bottomLeft" activeCell="D8" sqref="D8"/>
    </sheetView>
  </sheetViews>
  <sheetFormatPr defaultColWidth="9" defaultRowHeight="15" x14ac:dyDescent="0.25"/>
  <cols>
    <col min="1" max="1" width="2.125" style="3" customWidth="1"/>
    <col min="2" max="2" width="4.25" style="3" customWidth="1"/>
    <col min="3" max="3" width="9.375" style="3" customWidth="1"/>
    <col min="4" max="4" width="28.75" style="3" customWidth="1"/>
    <col min="5" max="5" width="8.75" style="3" customWidth="1"/>
    <col min="6" max="6" width="11.625" style="3" customWidth="1"/>
    <col min="7" max="8" width="5.375" style="3" customWidth="1"/>
    <col min="9" max="12" width="7.875" style="3" customWidth="1"/>
    <col min="13" max="16384" width="9" style="3"/>
  </cols>
  <sheetData>
    <row r="1" spans="2:14" ht="15.75" thickTop="1" x14ac:dyDescent="0.25">
      <c r="B1" s="133" t="s">
        <v>171</v>
      </c>
      <c r="C1" s="134"/>
      <c r="D1" s="134"/>
      <c r="E1" s="135"/>
      <c r="F1" s="112"/>
      <c r="G1" s="1"/>
      <c r="H1" s="1"/>
      <c r="I1" s="1"/>
      <c r="J1" s="1"/>
      <c r="K1" s="1"/>
      <c r="L1" s="1"/>
    </row>
    <row r="2" spans="2:14" ht="12" customHeight="1" x14ac:dyDescent="0.25">
      <c r="B2" s="139"/>
      <c r="C2" s="140"/>
      <c r="D2" s="140"/>
      <c r="E2" s="140"/>
      <c r="F2" s="111"/>
      <c r="G2" s="6"/>
      <c r="H2" s="6"/>
      <c r="I2" s="6"/>
      <c r="J2" s="6"/>
      <c r="K2" s="6"/>
      <c r="L2" s="6"/>
    </row>
    <row r="3" spans="2:14" x14ac:dyDescent="0.25">
      <c r="B3" s="136" t="s">
        <v>40</v>
      </c>
      <c r="C3" s="137"/>
      <c r="D3" s="137"/>
      <c r="E3" s="138"/>
      <c r="F3" s="113"/>
      <c r="G3" s="6"/>
      <c r="H3" s="6"/>
      <c r="I3" s="6"/>
      <c r="J3" s="6"/>
      <c r="K3" s="6"/>
      <c r="L3" s="6"/>
    </row>
    <row r="4" spans="2:14" ht="12" customHeight="1" x14ac:dyDescent="0.25">
      <c r="B4" s="143"/>
      <c r="C4" s="144"/>
      <c r="D4" s="144"/>
      <c r="E4" s="144"/>
      <c r="F4" s="58"/>
      <c r="G4" s="6"/>
      <c r="H4" s="6"/>
      <c r="I4" s="6"/>
      <c r="J4" s="6"/>
      <c r="K4" s="6"/>
      <c r="L4" s="6"/>
    </row>
    <row r="5" spans="2:14" ht="15.75" x14ac:dyDescent="0.25">
      <c r="B5" s="10" t="s">
        <v>102</v>
      </c>
      <c r="C5" s="11"/>
      <c r="D5" s="77">
        <v>43435</v>
      </c>
      <c r="E5" s="59"/>
      <c r="F5" s="77"/>
      <c r="G5" s="6"/>
      <c r="H5" s="6"/>
      <c r="I5" s="6"/>
      <c r="J5" s="6"/>
      <c r="K5" s="6"/>
      <c r="L5" s="6"/>
    </row>
    <row r="6" spans="2:14" ht="19.5" customHeight="1" thickBot="1" x14ac:dyDescent="0.3">
      <c r="B6" s="141"/>
      <c r="C6" s="142"/>
      <c r="D6" s="142"/>
      <c r="E6" s="142"/>
      <c r="F6" s="142"/>
      <c r="G6" s="142"/>
      <c r="H6" s="128"/>
      <c r="I6" s="132"/>
      <c r="J6" s="132"/>
      <c r="K6" s="132"/>
    </row>
    <row r="7" spans="2:14" ht="37.5" customHeight="1" thickTop="1" thickBot="1" x14ac:dyDescent="0.3">
      <c r="B7" s="114" t="s">
        <v>0</v>
      </c>
      <c r="C7" s="115" t="s">
        <v>38</v>
      </c>
      <c r="D7" s="115" t="s">
        <v>1</v>
      </c>
      <c r="E7" s="115" t="s">
        <v>6</v>
      </c>
      <c r="F7" s="115" t="s">
        <v>173</v>
      </c>
      <c r="G7" s="115" t="s">
        <v>2</v>
      </c>
      <c r="H7" s="116" t="s">
        <v>202</v>
      </c>
      <c r="I7" s="116" t="s">
        <v>3</v>
      </c>
      <c r="J7" s="117" t="s">
        <v>4</v>
      </c>
      <c r="K7" s="118" t="s">
        <v>5</v>
      </c>
      <c r="L7" s="129" t="s">
        <v>55</v>
      </c>
      <c r="M7" s="130" t="s">
        <v>103</v>
      </c>
      <c r="N7" s="130" t="s">
        <v>104</v>
      </c>
    </row>
    <row r="8" spans="2:14" ht="21.75" customHeight="1" thickTop="1" x14ac:dyDescent="0.25">
      <c r="B8" s="82">
        <v>1</v>
      </c>
      <c r="C8" t="s">
        <v>172</v>
      </c>
      <c r="D8" s="119" t="s">
        <v>7</v>
      </c>
      <c r="E8" s="120" t="s">
        <v>20</v>
      </c>
      <c r="F8" s="119" t="s">
        <v>174</v>
      </c>
      <c r="G8" s="120" t="s">
        <v>22</v>
      </c>
      <c r="H8" s="120">
        <f>'[1]11'!$F$4</f>
        <v>0</v>
      </c>
      <c r="I8" s="121">
        <f>'[1]11'!$E$4</f>
        <v>0</v>
      </c>
      <c r="J8" s="122">
        <f>'[1]11'!$D$4</f>
        <v>0</v>
      </c>
      <c r="K8" s="123">
        <f>I8-J8</f>
        <v>0</v>
      </c>
      <c r="L8" s="123">
        <f>H8-I8</f>
        <v>0</v>
      </c>
      <c r="M8" s="131"/>
      <c r="N8" s="39">
        <f>J8-M8</f>
        <v>0</v>
      </c>
    </row>
    <row r="9" spans="2:14" ht="21.75" customHeight="1" x14ac:dyDescent="0.25">
      <c r="B9" s="82">
        <v>2</v>
      </c>
      <c r="C9" t="s">
        <v>172</v>
      </c>
      <c r="D9" s="119" t="s">
        <v>9</v>
      </c>
      <c r="E9" s="120" t="s">
        <v>20</v>
      </c>
      <c r="F9" s="119" t="s">
        <v>175</v>
      </c>
      <c r="G9" s="120" t="s">
        <v>22</v>
      </c>
      <c r="H9" s="120"/>
      <c r="I9" s="121"/>
      <c r="J9" s="122"/>
      <c r="K9" s="123"/>
      <c r="L9" s="123"/>
      <c r="M9" s="131"/>
      <c r="N9" s="39">
        <f t="shared" ref="N9:N35" si="0">J9-M9</f>
        <v>0</v>
      </c>
    </row>
    <row r="10" spans="2:14" ht="21.75" customHeight="1" x14ac:dyDescent="0.25">
      <c r="B10" s="82">
        <v>3</v>
      </c>
      <c r="C10" t="s">
        <v>172</v>
      </c>
      <c r="D10" s="119" t="s">
        <v>10</v>
      </c>
      <c r="E10" s="120" t="s">
        <v>20</v>
      </c>
      <c r="F10" s="119" t="s">
        <v>176</v>
      </c>
      <c r="G10" s="120" t="s">
        <v>22</v>
      </c>
      <c r="H10" s="120"/>
      <c r="I10" s="121"/>
      <c r="J10" s="122"/>
      <c r="K10" s="123"/>
      <c r="L10" s="123"/>
      <c r="M10" s="131"/>
      <c r="N10" s="39">
        <f t="shared" si="0"/>
        <v>0</v>
      </c>
    </row>
    <row r="11" spans="2:14" ht="21.75" customHeight="1" x14ac:dyDescent="0.25">
      <c r="B11" s="82">
        <v>4</v>
      </c>
      <c r="C11" t="s">
        <v>172</v>
      </c>
      <c r="D11" s="119" t="s">
        <v>14</v>
      </c>
      <c r="E11" s="120" t="s">
        <v>20</v>
      </c>
      <c r="F11" s="119" t="s">
        <v>179</v>
      </c>
      <c r="G11" s="120" t="s">
        <v>22</v>
      </c>
      <c r="H11" s="120"/>
      <c r="I11" s="121"/>
      <c r="J11" s="122"/>
      <c r="K11" s="123"/>
      <c r="L11" s="123"/>
      <c r="M11" s="131"/>
      <c r="N11" s="39">
        <f t="shared" si="0"/>
        <v>0</v>
      </c>
    </row>
    <row r="12" spans="2:14" ht="21.75" customHeight="1" x14ac:dyDescent="0.25">
      <c r="B12" s="82">
        <v>5</v>
      </c>
      <c r="C12" t="s">
        <v>172</v>
      </c>
      <c r="D12" s="119" t="s">
        <v>15</v>
      </c>
      <c r="E12" s="120" t="s">
        <v>20</v>
      </c>
      <c r="F12" s="119" t="s">
        <v>180</v>
      </c>
      <c r="G12" s="120" t="s">
        <v>22</v>
      </c>
      <c r="H12" s="120"/>
      <c r="I12" s="121"/>
      <c r="J12" s="122"/>
      <c r="K12" s="123"/>
      <c r="L12" s="123"/>
      <c r="M12" s="131"/>
      <c r="N12" s="39">
        <f t="shared" si="0"/>
        <v>0</v>
      </c>
    </row>
    <row r="13" spans="2:14" ht="21.75" customHeight="1" x14ac:dyDescent="0.25">
      <c r="B13" s="82">
        <v>6</v>
      </c>
      <c r="C13" t="s">
        <v>172</v>
      </c>
      <c r="D13" s="119" t="s">
        <v>16</v>
      </c>
      <c r="E13" s="120" t="s">
        <v>20</v>
      </c>
      <c r="F13" s="119" t="s">
        <v>177</v>
      </c>
      <c r="G13" s="120" t="s">
        <v>22</v>
      </c>
      <c r="H13" s="120"/>
      <c r="I13" s="121"/>
      <c r="J13" s="122"/>
      <c r="K13" s="123"/>
      <c r="L13" s="123"/>
      <c r="M13" s="131"/>
      <c r="N13" s="39">
        <f t="shared" si="0"/>
        <v>0</v>
      </c>
    </row>
    <row r="14" spans="2:14" ht="21.75" customHeight="1" x14ac:dyDescent="0.25">
      <c r="B14" s="82">
        <v>7</v>
      </c>
      <c r="C14" t="s">
        <v>172</v>
      </c>
      <c r="D14" s="119" t="s">
        <v>17</v>
      </c>
      <c r="E14" s="120" t="s">
        <v>20</v>
      </c>
      <c r="F14" s="119" t="s">
        <v>181</v>
      </c>
      <c r="G14" s="120" t="s">
        <v>22</v>
      </c>
      <c r="H14" s="120"/>
      <c r="I14" s="121"/>
      <c r="J14" s="122"/>
      <c r="K14" s="123"/>
      <c r="L14" s="123"/>
      <c r="M14" s="131"/>
      <c r="N14" s="39">
        <f t="shared" si="0"/>
        <v>0</v>
      </c>
    </row>
    <row r="15" spans="2:14" ht="21.75" customHeight="1" x14ac:dyDescent="0.25">
      <c r="B15" s="82">
        <v>8</v>
      </c>
      <c r="C15" t="s">
        <v>172</v>
      </c>
      <c r="D15" s="119" t="s">
        <v>138</v>
      </c>
      <c r="E15" s="120" t="s">
        <v>20</v>
      </c>
      <c r="F15" s="119" t="s">
        <v>182</v>
      </c>
      <c r="G15" s="120" t="s">
        <v>22</v>
      </c>
      <c r="H15" s="120"/>
      <c r="I15" s="121"/>
      <c r="J15" s="122"/>
      <c r="K15" s="123"/>
      <c r="L15" s="123"/>
      <c r="M15" s="131"/>
      <c r="N15" s="39">
        <f t="shared" si="0"/>
        <v>0</v>
      </c>
    </row>
    <row r="16" spans="2:14" ht="21.75" customHeight="1" x14ac:dyDescent="0.25">
      <c r="B16" s="82">
        <v>9</v>
      </c>
      <c r="C16" t="s">
        <v>172</v>
      </c>
      <c r="D16" s="119" t="s">
        <v>18</v>
      </c>
      <c r="E16" s="120" t="s">
        <v>19</v>
      </c>
      <c r="F16" s="119" t="s">
        <v>178</v>
      </c>
      <c r="G16" s="120" t="s">
        <v>22</v>
      </c>
      <c r="H16" s="120"/>
      <c r="I16" s="121"/>
      <c r="J16" s="122"/>
      <c r="K16" s="123"/>
      <c r="L16" s="123"/>
      <c r="M16" s="131"/>
      <c r="N16" s="39">
        <f t="shared" si="0"/>
        <v>0</v>
      </c>
    </row>
    <row r="17" spans="2:14" ht="21.75" customHeight="1" x14ac:dyDescent="0.25">
      <c r="B17" s="82">
        <v>10</v>
      </c>
      <c r="C17" t="s">
        <v>172</v>
      </c>
      <c r="D17" s="119" t="s">
        <v>80</v>
      </c>
      <c r="E17" s="120" t="s">
        <v>20</v>
      </c>
      <c r="F17" s="119" t="s">
        <v>183</v>
      </c>
      <c r="G17" s="120" t="s">
        <v>22</v>
      </c>
      <c r="H17" s="120"/>
      <c r="I17" s="121"/>
      <c r="J17" s="122"/>
      <c r="K17" s="123"/>
      <c r="L17" s="123"/>
      <c r="M17" s="131"/>
      <c r="N17" s="39">
        <f t="shared" si="0"/>
        <v>0</v>
      </c>
    </row>
    <row r="18" spans="2:14" ht="21.75" customHeight="1" x14ac:dyDescent="0.25">
      <c r="B18" s="82">
        <v>11</v>
      </c>
      <c r="C18" t="s">
        <v>172</v>
      </c>
      <c r="D18" s="119" t="s">
        <v>7</v>
      </c>
      <c r="E18" s="120" t="s">
        <v>8</v>
      </c>
      <c r="F18" s="119" t="s">
        <v>184</v>
      </c>
      <c r="G18" s="120" t="s">
        <v>22</v>
      </c>
      <c r="H18" s="120"/>
      <c r="I18" s="121"/>
      <c r="J18" s="122"/>
      <c r="K18" s="123"/>
      <c r="L18" s="123"/>
      <c r="M18" s="131"/>
      <c r="N18" s="39">
        <f t="shared" si="0"/>
        <v>0</v>
      </c>
    </row>
    <row r="19" spans="2:14" ht="21.75" customHeight="1" x14ac:dyDescent="0.25">
      <c r="B19" s="82">
        <v>12</v>
      </c>
      <c r="C19" t="s">
        <v>172</v>
      </c>
      <c r="D19" s="119" t="s">
        <v>9</v>
      </c>
      <c r="E19" s="120" t="s">
        <v>8</v>
      </c>
      <c r="F19" s="119" t="s">
        <v>185</v>
      </c>
      <c r="G19" s="120" t="s">
        <v>22</v>
      </c>
      <c r="H19" s="120"/>
      <c r="I19" s="121"/>
      <c r="J19" s="122"/>
      <c r="K19" s="123"/>
      <c r="L19" s="123"/>
      <c r="M19" s="131"/>
      <c r="N19" s="39">
        <f t="shared" si="0"/>
        <v>0</v>
      </c>
    </row>
    <row r="20" spans="2:14" ht="21.75" customHeight="1" x14ac:dyDescent="0.25">
      <c r="B20" s="82">
        <v>13</v>
      </c>
      <c r="C20" t="s">
        <v>172</v>
      </c>
      <c r="D20" s="119" t="s">
        <v>10</v>
      </c>
      <c r="E20" s="120" t="s">
        <v>8</v>
      </c>
      <c r="F20" s="119" t="s">
        <v>186</v>
      </c>
      <c r="G20" s="120" t="s">
        <v>22</v>
      </c>
      <c r="H20" s="120"/>
      <c r="I20" s="121"/>
      <c r="J20" s="122"/>
      <c r="K20" s="123"/>
      <c r="L20" s="123"/>
      <c r="M20" s="131"/>
      <c r="N20" s="39">
        <f t="shared" si="0"/>
        <v>0</v>
      </c>
    </row>
    <row r="21" spans="2:14" ht="21.75" customHeight="1" x14ac:dyDescent="0.25">
      <c r="B21" s="82">
        <v>14</v>
      </c>
      <c r="C21" t="s">
        <v>172</v>
      </c>
      <c r="D21" s="119" t="s">
        <v>11</v>
      </c>
      <c r="E21" s="120" t="s">
        <v>8</v>
      </c>
      <c r="F21" s="119" t="s">
        <v>187</v>
      </c>
      <c r="G21" s="120" t="s">
        <v>22</v>
      </c>
      <c r="H21" s="120"/>
      <c r="I21" s="121"/>
      <c r="J21" s="122"/>
      <c r="K21" s="123"/>
      <c r="L21" s="123"/>
      <c r="M21" s="131"/>
      <c r="N21" s="39">
        <f t="shared" si="0"/>
        <v>0</v>
      </c>
    </row>
    <row r="22" spans="2:14" ht="21.75" customHeight="1" x14ac:dyDescent="0.25">
      <c r="B22" s="82">
        <v>15</v>
      </c>
      <c r="C22" t="s">
        <v>172</v>
      </c>
      <c r="D22" s="119" t="s">
        <v>12</v>
      </c>
      <c r="E22" s="120" t="s">
        <v>8</v>
      </c>
      <c r="F22" s="119" t="s">
        <v>188</v>
      </c>
      <c r="G22" s="120" t="s">
        <v>22</v>
      </c>
      <c r="H22" s="120"/>
      <c r="I22" s="121"/>
      <c r="J22" s="122"/>
      <c r="K22" s="123"/>
      <c r="L22" s="123"/>
      <c r="M22" s="131"/>
      <c r="N22" s="39">
        <f t="shared" si="0"/>
        <v>0</v>
      </c>
    </row>
    <row r="23" spans="2:14" ht="21.75" customHeight="1" x14ac:dyDescent="0.25">
      <c r="B23" s="82">
        <v>16</v>
      </c>
      <c r="C23" t="s">
        <v>172</v>
      </c>
      <c r="D23" s="119" t="s">
        <v>13</v>
      </c>
      <c r="E23" s="120" t="s">
        <v>8</v>
      </c>
      <c r="F23" s="119" t="s">
        <v>189</v>
      </c>
      <c r="G23" s="120" t="s">
        <v>22</v>
      </c>
      <c r="H23" s="120"/>
      <c r="I23" s="121"/>
      <c r="J23" s="122"/>
      <c r="K23" s="123"/>
      <c r="L23" s="123"/>
      <c r="M23" s="131"/>
      <c r="N23" s="39">
        <f t="shared" si="0"/>
        <v>0</v>
      </c>
    </row>
    <row r="24" spans="2:14" ht="21.75" customHeight="1" x14ac:dyDescent="0.25">
      <c r="B24" s="82">
        <v>17</v>
      </c>
      <c r="C24" t="s">
        <v>172</v>
      </c>
      <c r="D24" s="119" t="s">
        <v>14</v>
      </c>
      <c r="E24" s="120" t="s">
        <v>8</v>
      </c>
      <c r="F24" s="119" t="s">
        <v>190</v>
      </c>
      <c r="G24" s="120" t="s">
        <v>22</v>
      </c>
      <c r="H24" s="120"/>
      <c r="I24" s="121"/>
      <c r="J24" s="122"/>
      <c r="K24" s="123"/>
      <c r="L24" s="123"/>
      <c r="M24" s="131"/>
      <c r="N24" s="39">
        <f t="shared" si="0"/>
        <v>0</v>
      </c>
    </row>
    <row r="25" spans="2:14" ht="21.75" customHeight="1" x14ac:dyDescent="0.25">
      <c r="B25" s="82">
        <v>18</v>
      </c>
      <c r="C25" t="s">
        <v>172</v>
      </c>
      <c r="D25" s="119" t="s">
        <v>15</v>
      </c>
      <c r="E25" s="120" t="s">
        <v>8</v>
      </c>
      <c r="F25" s="119" t="s">
        <v>191</v>
      </c>
      <c r="G25" s="120" t="s">
        <v>22</v>
      </c>
      <c r="H25" s="120"/>
      <c r="I25" s="121"/>
      <c r="J25" s="122"/>
      <c r="K25" s="123"/>
      <c r="L25" s="123"/>
      <c r="M25" s="131"/>
      <c r="N25" s="39">
        <f t="shared" si="0"/>
        <v>0</v>
      </c>
    </row>
    <row r="26" spans="2:14" ht="21.75" customHeight="1" x14ac:dyDescent="0.25">
      <c r="B26" s="82">
        <v>19</v>
      </c>
      <c r="C26" t="s">
        <v>172</v>
      </c>
      <c r="D26" s="119" t="s">
        <v>16</v>
      </c>
      <c r="E26" s="120" t="s">
        <v>8</v>
      </c>
      <c r="F26" s="119" t="s">
        <v>192</v>
      </c>
      <c r="G26" s="120" t="s">
        <v>22</v>
      </c>
      <c r="H26" s="120"/>
      <c r="I26" s="121"/>
      <c r="J26" s="122"/>
      <c r="K26" s="123"/>
      <c r="L26" s="123"/>
      <c r="M26" s="131"/>
      <c r="N26" s="39">
        <f t="shared" si="0"/>
        <v>0</v>
      </c>
    </row>
    <row r="27" spans="2:14" ht="21.75" customHeight="1" x14ac:dyDescent="0.25">
      <c r="B27" s="82">
        <v>20</v>
      </c>
      <c r="C27" t="s">
        <v>172</v>
      </c>
      <c r="D27" s="119" t="s">
        <v>17</v>
      </c>
      <c r="E27" s="120" t="s">
        <v>8</v>
      </c>
      <c r="F27" s="119" t="s">
        <v>193</v>
      </c>
      <c r="G27" s="120" t="s">
        <v>22</v>
      </c>
      <c r="H27" s="120"/>
      <c r="I27" s="121"/>
      <c r="J27" s="122"/>
      <c r="K27" s="123"/>
      <c r="L27" s="123"/>
      <c r="M27" s="131"/>
      <c r="N27" s="39">
        <f t="shared" si="0"/>
        <v>0</v>
      </c>
    </row>
    <row r="28" spans="2:14" ht="21.75" customHeight="1" x14ac:dyDescent="0.25">
      <c r="B28" s="82">
        <v>21</v>
      </c>
      <c r="C28" t="s">
        <v>172</v>
      </c>
      <c r="D28" s="119" t="s">
        <v>138</v>
      </c>
      <c r="E28" s="120" t="s">
        <v>8</v>
      </c>
      <c r="F28" s="119" t="s">
        <v>194</v>
      </c>
      <c r="G28" s="120" t="s">
        <v>22</v>
      </c>
      <c r="H28" s="120"/>
      <c r="I28" s="121"/>
      <c r="J28" s="122"/>
      <c r="K28" s="123"/>
      <c r="L28" s="123"/>
      <c r="M28" s="131"/>
      <c r="N28" s="39">
        <f t="shared" si="0"/>
        <v>0</v>
      </c>
    </row>
    <row r="29" spans="2:14" ht="21.75" customHeight="1" x14ac:dyDescent="0.25">
      <c r="B29" s="82">
        <v>22</v>
      </c>
      <c r="C29" t="s">
        <v>172</v>
      </c>
      <c r="D29" s="119" t="s">
        <v>74</v>
      </c>
      <c r="E29" s="120" t="s">
        <v>8</v>
      </c>
      <c r="F29" s="119" t="s">
        <v>195</v>
      </c>
      <c r="G29" s="120" t="s">
        <v>22</v>
      </c>
      <c r="H29" s="120"/>
      <c r="I29" s="121"/>
      <c r="J29" s="122"/>
      <c r="K29" s="123"/>
      <c r="L29" s="123"/>
      <c r="M29" s="131"/>
      <c r="N29" s="39">
        <f t="shared" si="0"/>
        <v>0</v>
      </c>
    </row>
    <row r="30" spans="2:14" ht="21.75" customHeight="1" x14ac:dyDescent="0.25">
      <c r="B30" s="82">
        <v>23</v>
      </c>
      <c r="C30" t="s">
        <v>172</v>
      </c>
      <c r="D30" s="119" t="s">
        <v>7</v>
      </c>
      <c r="E30" s="120" t="s">
        <v>21</v>
      </c>
      <c r="F30" s="119" t="s">
        <v>196</v>
      </c>
      <c r="G30" s="120" t="s">
        <v>22</v>
      </c>
      <c r="H30" s="120"/>
      <c r="I30" s="121"/>
      <c r="J30" s="122"/>
      <c r="K30" s="123"/>
      <c r="L30" s="123"/>
      <c r="M30" s="131"/>
      <c r="N30" s="39">
        <f t="shared" si="0"/>
        <v>0</v>
      </c>
    </row>
    <row r="31" spans="2:14" ht="21.75" customHeight="1" x14ac:dyDescent="0.25">
      <c r="B31" s="82">
        <v>24</v>
      </c>
      <c r="C31" t="s">
        <v>172</v>
      </c>
      <c r="D31" s="119" t="s">
        <v>9</v>
      </c>
      <c r="E31" s="120" t="s">
        <v>21</v>
      </c>
      <c r="F31" s="119" t="s">
        <v>197</v>
      </c>
      <c r="G31" s="120" t="s">
        <v>22</v>
      </c>
      <c r="H31" s="120"/>
      <c r="I31" s="121"/>
      <c r="J31" s="122"/>
      <c r="K31" s="123"/>
      <c r="L31" s="123"/>
      <c r="M31" s="131"/>
      <c r="N31" s="39">
        <f t="shared" si="0"/>
        <v>0</v>
      </c>
    </row>
    <row r="32" spans="2:14" ht="21.75" customHeight="1" x14ac:dyDescent="0.25">
      <c r="B32" s="82">
        <v>25</v>
      </c>
      <c r="C32" t="s">
        <v>172</v>
      </c>
      <c r="D32" s="119" t="s">
        <v>10</v>
      </c>
      <c r="E32" s="120" t="s">
        <v>21</v>
      </c>
      <c r="F32" s="119" t="s">
        <v>198</v>
      </c>
      <c r="G32" s="120" t="s">
        <v>22</v>
      </c>
      <c r="H32" s="120"/>
      <c r="I32" s="121"/>
      <c r="J32" s="122"/>
      <c r="K32" s="123"/>
      <c r="L32" s="123"/>
      <c r="M32" s="131"/>
      <c r="N32" s="39">
        <f t="shared" si="0"/>
        <v>0</v>
      </c>
    </row>
    <row r="33" spans="2:14" ht="21.75" customHeight="1" x14ac:dyDescent="0.25">
      <c r="B33" s="124">
        <v>26</v>
      </c>
      <c r="C33" t="s">
        <v>172</v>
      </c>
      <c r="D33" s="125" t="s">
        <v>87</v>
      </c>
      <c r="E33" s="126" t="s">
        <v>70</v>
      </c>
      <c r="F33" s="119" t="s">
        <v>199</v>
      </c>
      <c r="G33" s="126" t="s">
        <v>22</v>
      </c>
      <c r="H33" s="126"/>
      <c r="I33" s="121"/>
      <c r="J33" s="122"/>
      <c r="K33" s="123"/>
      <c r="L33" s="123"/>
      <c r="M33" s="131"/>
      <c r="N33" s="39">
        <f t="shared" si="0"/>
        <v>0</v>
      </c>
    </row>
    <row r="34" spans="2:14" ht="21.75" customHeight="1" x14ac:dyDescent="0.25">
      <c r="B34" s="124">
        <v>27</v>
      </c>
      <c r="C34" t="s">
        <v>172</v>
      </c>
      <c r="D34" s="125" t="s">
        <v>88</v>
      </c>
      <c r="E34" s="126" t="s">
        <v>71</v>
      </c>
      <c r="F34" s="119" t="s">
        <v>200</v>
      </c>
      <c r="G34" s="126" t="s">
        <v>22</v>
      </c>
      <c r="H34" s="126"/>
      <c r="I34" s="121"/>
      <c r="J34" s="122"/>
      <c r="K34" s="123"/>
      <c r="L34" s="123"/>
      <c r="M34" s="131"/>
      <c r="N34" s="39">
        <f t="shared" si="0"/>
        <v>0</v>
      </c>
    </row>
    <row r="35" spans="2:14" ht="21.75" customHeight="1" x14ac:dyDescent="0.25">
      <c r="B35" s="124">
        <v>28</v>
      </c>
      <c r="C35" t="s">
        <v>172</v>
      </c>
      <c r="D35" s="125" t="s">
        <v>164</v>
      </c>
      <c r="E35" s="126" t="s">
        <v>8</v>
      </c>
      <c r="F35" s="119" t="s">
        <v>201</v>
      </c>
      <c r="G35" s="126" t="s">
        <v>22</v>
      </c>
      <c r="H35" s="126"/>
      <c r="I35" s="121"/>
      <c r="J35" s="122"/>
      <c r="K35" s="123"/>
      <c r="L35" s="123"/>
      <c r="M35" s="131"/>
      <c r="N35" s="39">
        <f t="shared" si="0"/>
        <v>0</v>
      </c>
    </row>
    <row r="36" spans="2:14" x14ac:dyDescent="0.25">
      <c r="B36" s="6"/>
      <c r="C36" s="6"/>
      <c r="D36" s="6"/>
      <c r="E36" s="6"/>
      <c r="F36" s="6"/>
      <c r="G36" s="6"/>
      <c r="H36" s="6"/>
      <c r="I36" s="57"/>
      <c r="J36" s="57"/>
      <c r="K36" s="57"/>
      <c r="L36" s="127"/>
      <c r="M36" s="56"/>
      <c r="N36" s="56"/>
    </row>
    <row r="37" spans="2:14" x14ac:dyDescent="0.25">
      <c r="B37" s="6"/>
      <c r="C37" s="6"/>
      <c r="D37" s="6"/>
      <c r="E37" s="6"/>
      <c r="F37" s="6"/>
      <c r="G37" s="6"/>
      <c r="H37" s="6"/>
      <c r="I37" s="57"/>
      <c r="J37" s="57"/>
      <c r="K37" s="57"/>
      <c r="L37" s="127"/>
      <c r="M37" s="56"/>
      <c r="N37" s="56"/>
    </row>
    <row r="38" spans="2:14" x14ac:dyDescent="0.25">
      <c r="B38" s="6"/>
      <c r="C38" s="6"/>
      <c r="D38" s="6"/>
      <c r="E38" s="6"/>
      <c r="F38" s="6"/>
      <c r="G38" s="6"/>
      <c r="H38" s="6"/>
      <c r="I38" s="57"/>
      <c r="J38" s="57"/>
      <c r="K38" s="57"/>
      <c r="L38" s="127"/>
      <c r="M38" s="56"/>
      <c r="N38" s="56"/>
    </row>
    <row r="39" spans="2:14" x14ac:dyDescent="0.25">
      <c r="B39" s="6"/>
      <c r="C39" s="6"/>
      <c r="D39" s="6"/>
      <c r="E39" s="6"/>
      <c r="F39" s="6"/>
      <c r="G39" s="6"/>
      <c r="H39" s="6"/>
      <c r="I39" s="57"/>
      <c r="J39" s="57"/>
      <c r="K39" s="57"/>
      <c r="L39" s="127"/>
      <c r="M39" s="56"/>
      <c r="N39" s="56"/>
    </row>
    <row r="40" spans="2:14" x14ac:dyDescent="0.25">
      <c r="B40" s="6"/>
      <c r="C40" s="6"/>
      <c r="D40" s="6"/>
      <c r="E40" s="6"/>
      <c r="F40" s="6"/>
      <c r="G40" s="6"/>
      <c r="H40" s="6"/>
      <c r="I40" s="57"/>
      <c r="J40" s="57"/>
      <c r="K40" s="57"/>
      <c r="L40" s="127"/>
      <c r="M40" s="56"/>
      <c r="N40" s="56"/>
    </row>
    <row r="41" spans="2:14" x14ac:dyDescent="0.25">
      <c r="B41" s="6"/>
      <c r="C41" s="6"/>
      <c r="D41" s="6"/>
      <c r="E41" s="6"/>
      <c r="F41" s="6"/>
      <c r="G41" s="6"/>
      <c r="H41" s="6"/>
      <c r="I41" s="57"/>
      <c r="J41" s="57"/>
      <c r="K41" s="57"/>
      <c r="L41" s="127"/>
      <c r="M41" s="56"/>
      <c r="N41" s="56"/>
    </row>
    <row r="42" spans="2:14" x14ac:dyDescent="0.25">
      <c r="B42" s="6"/>
      <c r="C42" s="6"/>
      <c r="D42" s="6"/>
      <c r="E42" s="6"/>
      <c r="F42" s="6"/>
      <c r="G42" s="6"/>
      <c r="H42" s="6"/>
      <c r="I42" s="57"/>
      <c r="J42" s="57"/>
      <c r="K42" s="57"/>
      <c r="L42" s="127"/>
      <c r="M42" s="56"/>
      <c r="N42" s="56"/>
    </row>
    <row r="43" spans="2:14" x14ac:dyDescent="0.25">
      <c r="B43" s="6"/>
      <c r="C43" s="6"/>
      <c r="D43" s="6"/>
      <c r="E43" s="6"/>
      <c r="F43" s="6"/>
      <c r="G43" s="6"/>
      <c r="H43" s="6"/>
      <c r="I43" s="57"/>
      <c r="J43" s="57"/>
      <c r="K43" s="57"/>
      <c r="L43" s="127"/>
      <c r="M43" s="56"/>
      <c r="N43" s="56"/>
    </row>
    <row r="44" spans="2:14" x14ac:dyDescent="0.25">
      <c r="B44" s="6"/>
      <c r="C44" s="6"/>
      <c r="D44" s="6"/>
      <c r="E44" s="6"/>
      <c r="F44" s="6"/>
      <c r="G44" s="6"/>
      <c r="H44" s="6"/>
      <c r="I44" s="57"/>
      <c r="J44" s="57"/>
      <c r="K44" s="57"/>
      <c r="L44" s="127"/>
      <c r="M44" s="56"/>
      <c r="N44" s="56"/>
    </row>
    <row r="45" spans="2:14" x14ac:dyDescent="0.25">
      <c r="B45" s="6"/>
      <c r="C45" s="6"/>
      <c r="D45" s="6"/>
      <c r="E45" s="6"/>
      <c r="F45" s="6"/>
      <c r="G45" s="6"/>
      <c r="H45" s="6"/>
      <c r="I45" s="57"/>
      <c r="J45" s="57"/>
      <c r="K45" s="57"/>
      <c r="L45" s="127"/>
      <c r="M45" s="56"/>
      <c r="N45" s="56"/>
    </row>
    <row r="46" spans="2:14" x14ac:dyDescent="0.25">
      <c r="B46" s="6"/>
      <c r="C46" s="6"/>
      <c r="D46" s="6"/>
      <c r="E46" s="6"/>
      <c r="F46" s="6"/>
      <c r="G46" s="6"/>
      <c r="H46" s="6"/>
      <c r="I46" s="57"/>
      <c r="J46" s="57"/>
      <c r="K46" s="57"/>
      <c r="L46" s="127"/>
      <c r="M46" s="56"/>
      <c r="N46" s="56"/>
    </row>
    <row r="47" spans="2:14" x14ac:dyDescent="0.25">
      <c r="B47" s="6"/>
      <c r="C47" s="6"/>
      <c r="D47" s="6"/>
      <c r="E47" s="6"/>
      <c r="F47" s="6"/>
      <c r="G47" s="6"/>
      <c r="H47" s="6"/>
      <c r="I47" s="57"/>
      <c r="J47" s="57"/>
      <c r="K47" s="57"/>
      <c r="L47" s="127"/>
      <c r="M47" s="56"/>
      <c r="N47" s="56"/>
    </row>
    <row r="48" spans="2:14" x14ac:dyDescent="0.25">
      <c r="B48" s="6"/>
      <c r="C48" s="6"/>
      <c r="D48" s="6"/>
      <c r="E48" s="6"/>
      <c r="F48" s="6"/>
      <c r="G48" s="6"/>
      <c r="H48" s="6"/>
      <c r="I48" s="57"/>
      <c r="J48" s="57"/>
      <c r="K48" s="57"/>
      <c r="L48" s="127"/>
      <c r="M48" s="56"/>
      <c r="N48" s="56"/>
    </row>
    <row r="49" spans="2:14" x14ac:dyDescent="0.25">
      <c r="B49" s="6"/>
      <c r="C49" s="6"/>
      <c r="D49" s="6"/>
      <c r="E49" s="6"/>
      <c r="F49" s="6"/>
      <c r="G49" s="6"/>
      <c r="H49" s="6"/>
      <c r="I49" s="57"/>
      <c r="J49" s="57"/>
      <c r="K49" s="57"/>
      <c r="L49" s="127"/>
      <c r="M49" s="56"/>
      <c r="N49" s="56"/>
    </row>
    <row r="50" spans="2:14" x14ac:dyDescent="0.25">
      <c r="B50" s="6"/>
      <c r="C50" s="6"/>
      <c r="D50" s="6"/>
      <c r="E50" s="6"/>
      <c r="F50" s="6"/>
      <c r="G50" s="6"/>
      <c r="H50" s="6"/>
      <c r="I50" s="57"/>
      <c r="J50" s="57"/>
      <c r="K50" s="57"/>
      <c r="L50" s="127"/>
      <c r="M50" s="56"/>
      <c r="N50" s="56"/>
    </row>
    <row r="51" spans="2:14" x14ac:dyDescent="0.25">
      <c r="B51" s="6"/>
      <c r="C51" s="6"/>
      <c r="D51" s="6"/>
      <c r="E51" s="6"/>
      <c r="F51" s="6"/>
      <c r="G51" s="6"/>
      <c r="H51" s="6"/>
      <c r="I51" s="57"/>
      <c r="J51" s="57"/>
      <c r="K51" s="57"/>
      <c r="L51" s="127"/>
      <c r="M51" s="56"/>
      <c r="N51" s="56"/>
    </row>
    <row r="52" spans="2:14" x14ac:dyDescent="0.25">
      <c r="B52" s="6"/>
      <c r="C52" s="6"/>
      <c r="D52" s="6"/>
      <c r="E52" s="6"/>
      <c r="F52" s="6"/>
      <c r="G52" s="6"/>
      <c r="H52" s="6"/>
      <c r="I52" s="57"/>
      <c r="J52" s="57"/>
      <c r="K52" s="57"/>
      <c r="L52" s="127"/>
      <c r="M52" s="56"/>
      <c r="N52" s="56"/>
    </row>
    <row r="53" spans="2:14" x14ac:dyDescent="0.25">
      <c r="B53" s="6"/>
      <c r="C53" s="6"/>
      <c r="D53" s="6"/>
      <c r="E53" s="6"/>
      <c r="F53" s="6"/>
      <c r="G53" s="6"/>
      <c r="H53" s="6"/>
      <c r="I53" s="57"/>
      <c r="J53" s="57"/>
      <c r="K53" s="57"/>
      <c r="L53" s="127"/>
      <c r="M53" s="56"/>
      <c r="N53" s="56"/>
    </row>
    <row r="54" spans="2:14" x14ac:dyDescent="0.25">
      <c r="B54" s="6"/>
      <c r="C54" s="6"/>
      <c r="D54" s="6"/>
      <c r="E54" s="6"/>
      <c r="F54" s="6"/>
      <c r="G54" s="6"/>
      <c r="H54" s="6"/>
      <c r="I54" s="57"/>
      <c r="J54" s="57"/>
      <c r="K54" s="57"/>
      <c r="L54" s="127"/>
      <c r="M54" s="56"/>
      <c r="N54" s="56"/>
    </row>
    <row r="55" spans="2:14" x14ac:dyDescent="0.25">
      <c r="B55" s="6"/>
      <c r="C55" s="6"/>
      <c r="D55" s="6"/>
      <c r="E55" s="6"/>
      <c r="F55" s="6"/>
      <c r="G55" s="6"/>
      <c r="H55" s="6"/>
      <c r="I55" s="57"/>
      <c r="J55" s="57"/>
      <c r="K55" s="57"/>
      <c r="L55" s="127"/>
      <c r="M55" s="56"/>
      <c r="N55" s="56"/>
    </row>
    <row r="56" spans="2:14" x14ac:dyDescent="0.25">
      <c r="B56" s="6"/>
      <c r="C56" s="6"/>
      <c r="D56" s="6"/>
      <c r="E56" s="6"/>
      <c r="F56" s="6"/>
      <c r="G56" s="6"/>
      <c r="H56" s="6"/>
      <c r="I56" s="57"/>
      <c r="J56" s="57"/>
      <c r="K56" s="57"/>
      <c r="L56" s="127"/>
      <c r="M56" s="56"/>
      <c r="N56" s="56"/>
    </row>
    <row r="57" spans="2:14" x14ac:dyDescent="0.25">
      <c r="B57" s="6"/>
      <c r="C57" s="6"/>
      <c r="D57" s="6"/>
      <c r="E57" s="6"/>
      <c r="F57" s="6"/>
      <c r="G57" s="6"/>
      <c r="H57" s="6"/>
      <c r="I57" s="57"/>
      <c r="J57" s="57"/>
      <c r="K57" s="57"/>
      <c r="L57" s="127"/>
      <c r="M57" s="56"/>
      <c r="N57" s="56"/>
    </row>
    <row r="58" spans="2:14" x14ac:dyDescent="0.25">
      <c r="B58" s="6"/>
      <c r="C58" s="6"/>
      <c r="D58" s="6"/>
      <c r="E58" s="6"/>
      <c r="F58" s="6"/>
      <c r="G58" s="6"/>
      <c r="H58" s="6"/>
      <c r="I58" s="57"/>
      <c r="J58" s="57"/>
      <c r="K58" s="57"/>
      <c r="L58" s="127"/>
      <c r="M58" s="56"/>
      <c r="N58" s="56"/>
    </row>
    <row r="59" spans="2:14" x14ac:dyDescent="0.25">
      <c r="B59" s="6"/>
      <c r="C59" s="6"/>
      <c r="D59" s="6"/>
      <c r="E59" s="6"/>
      <c r="F59" s="6"/>
      <c r="G59" s="6"/>
      <c r="H59" s="6"/>
      <c r="I59" s="57"/>
      <c r="J59" s="57"/>
      <c r="K59" s="57"/>
      <c r="L59" s="127"/>
      <c r="M59" s="56"/>
      <c r="N59" s="56"/>
    </row>
    <row r="60" spans="2:14" x14ac:dyDescent="0.25">
      <c r="B60" s="6"/>
      <c r="C60" s="6"/>
      <c r="D60" s="6"/>
      <c r="E60" s="6"/>
      <c r="F60" s="6"/>
      <c r="G60" s="6"/>
      <c r="H60" s="6"/>
      <c r="I60" s="57"/>
      <c r="J60" s="57"/>
      <c r="K60" s="57"/>
      <c r="L60" s="127"/>
      <c r="M60" s="56"/>
      <c r="N60" s="56"/>
    </row>
    <row r="61" spans="2:14" x14ac:dyDescent="0.25">
      <c r="B61" s="6"/>
      <c r="C61" s="6"/>
      <c r="D61" s="6"/>
      <c r="E61" s="6"/>
      <c r="F61" s="6"/>
      <c r="G61" s="6"/>
      <c r="H61" s="6"/>
      <c r="I61" s="57"/>
      <c r="J61" s="57"/>
      <c r="K61" s="57"/>
      <c r="L61" s="127"/>
      <c r="M61" s="56"/>
      <c r="N61" s="56"/>
    </row>
    <row r="62" spans="2:14" x14ac:dyDescent="0.25">
      <c r="B62" s="6"/>
      <c r="C62" s="6"/>
      <c r="D62" s="6"/>
      <c r="E62" s="6"/>
      <c r="F62" s="6"/>
      <c r="G62" s="6"/>
      <c r="H62" s="6"/>
      <c r="I62" s="57"/>
      <c r="J62" s="57"/>
      <c r="K62" s="57"/>
      <c r="L62" s="127"/>
      <c r="M62" s="56"/>
      <c r="N62" s="56"/>
    </row>
    <row r="63" spans="2:14" x14ac:dyDescent="0.25">
      <c r="B63" s="6"/>
      <c r="C63" s="6"/>
      <c r="D63" s="6"/>
      <c r="E63" s="6"/>
      <c r="F63" s="6"/>
      <c r="G63" s="6"/>
      <c r="H63" s="6"/>
      <c r="I63" s="57"/>
      <c r="J63" s="57"/>
      <c r="K63" s="57"/>
      <c r="L63" s="127"/>
      <c r="M63" s="56"/>
      <c r="N63" s="56"/>
    </row>
    <row r="64" spans="2:14" x14ac:dyDescent="0.25">
      <c r="B64" s="6"/>
      <c r="C64" s="6"/>
      <c r="D64" s="6"/>
      <c r="E64" s="6"/>
      <c r="F64" s="6"/>
      <c r="G64" s="6"/>
      <c r="H64" s="6"/>
      <c r="I64" s="57"/>
      <c r="J64" s="57"/>
      <c r="K64" s="57"/>
      <c r="L64" s="127"/>
      <c r="M64" s="56"/>
      <c r="N64" s="56"/>
    </row>
    <row r="65" spans="2:14" x14ac:dyDescent="0.25">
      <c r="B65" s="6"/>
      <c r="C65" s="6"/>
      <c r="D65" s="6"/>
      <c r="E65" s="6"/>
      <c r="F65" s="6"/>
      <c r="G65" s="6"/>
      <c r="H65" s="6"/>
      <c r="I65" s="57"/>
      <c r="J65" s="57"/>
      <c r="K65" s="57"/>
      <c r="L65" s="127"/>
      <c r="M65" s="56"/>
      <c r="N65" s="56"/>
    </row>
    <row r="66" spans="2:14" x14ac:dyDescent="0.25">
      <c r="B66" s="6"/>
      <c r="C66" s="6"/>
      <c r="D66" s="6"/>
      <c r="E66" s="6"/>
      <c r="F66" s="6"/>
      <c r="G66" s="6"/>
      <c r="H66" s="6"/>
      <c r="I66" s="57"/>
      <c r="J66" s="57"/>
      <c r="K66" s="57"/>
      <c r="L66" s="127"/>
      <c r="M66" s="56"/>
      <c r="N66" s="56"/>
    </row>
    <row r="67" spans="2:14" x14ac:dyDescent="0.25">
      <c r="B67" s="6"/>
      <c r="C67" s="6"/>
      <c r="D67" s="6"/>
      <c r="E67" s="6"/>
      <c r="F67" s="6"/>
      <c r="G67" s="6"/>
      <c r="H67" s="6"/>
      <c r="I67" s="57"/>
      <c r="J67" s="57"/>
      <c r="K67" s="57"/>
      <c r="L67" s="127"/>
      <c r="M67" s="56"/>
      <c r="N67" s="56"/>
    </row>
    <row r="68" spans="2:14" x14ac:dyDescent="0.25">
      <c r="B68" s="6"/>
      <c r="C68" s="6"/>
      <c r="D68" s="6"/>
      <c r="E68" s="6"/>
      <c r="F68" s="6"/>
      <c r="G68" s="6"/>
      <c r="H68" s="6"/>
      <c r="I68" s="57"/>
      <c r="J68" s="57"/>
      <c r="K68" s="57"/>
      <c r="L68" s="127"/>
      <c r="M68" s="56"/>
      <c r="N68" s="56"/>
    </row>
    <row r="69" spans="2:14" x14ac:dyDescent="0.25">
      <c r="B69" s="6"/>
      <c r="C69" s="6"/>
      <c r="D69" s="6"/>
      <c r="E69" s="6"/>
      <c r="F69" s="6"/>
      <c r="G69" s="6"/>
      <c r="H69" s="6"/>
      <c r="I69" s="57"/>
      <c r="J69" s="57"/>
      <c r="K69" s="57"/>
      <c r="L69" s="127"/>
      <c r="M69" s="56"/>
      <c r="N69" s="56"/>
    </row>
    <row r="70" spans="2:14" x14ac:dyDescent="0.25">
      <c r="B70" s="6"/>
      <c r="C70" s="6"/>
      <c r="D70" s="6"/>
      <c r="E70" s="6"/>
      <c r="F70" s="6"/>
      <c r="G70" s="6"/>
      <c r="H70" s="6"/>
      <c r="I70" s="57"/>
      <c r="J70" s="57"/>
      <c r="K70" s="57"/>
      <c r="L70" s="127"/>
      <c r="M70" s="56"/>
      <c r="N70" s="56"/>
    </row>
    <row r="71" spans="2:14" x14ac:dyDescent="0.25">
      <c r="B71" s="6"/>
      <c r="C71" s="6"/>
      <c r="D71" s="6"/>
      <c r="E71" s="6"/>
      <c r="F71" s="6"/>
      <c r="G71" s="6"/>
      <c r="H71" s="6"/>
      <c r="I71" s="57"/>
      <c r="J71" s="57"/>
      <c r="K71" s="57"/>
      <c r="L71" s="127"/>
      <c r="M71" s="56"/>
      <c r="N71" s="56"/>
    </row>
    <row r="72" spans="2:14" x14ac:dyDescent="0.25">
      <c r="B72" s="6"/>
      <c r="C72" s="6"/>
      <c r="D72" s="6"/>
      <c r="E72" s="6"/>
      <c r="F72" s="6"/>
      <c r="G72" s="6"/>
      <c r="H72" s="6"/>
      <c r="I72" s="57"/>
      <c r="J72" s="57"/>
      <c r="K72" s="57"/>
      <c r="L72" s="127"/>
      <c r="M72" s="56"/>
      <c r="N72" s="56"/>
    </row>
    <row r="73" spans="2:14" x14ac:dyDescent="0.25">
      <c r="B73" s="6"/>
      <c r="C73" s="6"/>
      <c r="D73" s="6"/>
      <c r="E73" s="6"/>
      <c r="F73" s="6"/>
      <c r="G73" s="6"/>
      <c r="H73" s="6"/>
      <c r="I73" s="57"/>
      <c r="J73" s="57"/>
      <c r="K73" s="57"/>
      <c r="L73" s="127"/>
      <c r="M73" s="56"/>
      <c r="N73" s="56"/>
    </row>
    <row r="74" spans="2:14" x14ac:dyDescent="0.25">
      <c r="B74" s="6"/>
      <c r="C74" s="6"/>
      <c r="D74" s="6"/>
      <c r="E74" s="6"/>
      <c r="F74" s="6"/>
      <c r="G74" s="6"/>
      <c r="H74" s="6"/>
      <c r="I74" s="57"/>
      <c r="J74" s="57"/>
      <c r="K74" s="57"/>
      <c r="L74" s="127"/>
      <c r="M74" s="56"/>
      <c r="N74" s="56"/>
    </row>
    <row r="75" spans="2:14" x14ac:dyDescent="0.25">
      <c r="B75" s="6"/>
      <c r="C75" s="6"/>
      <c r="D75" s="6"/>
      <c r="E75" s="6"/>
      <c r="F75" s="6"/>
      <c r="G75" s="6"/>
      <c r="H75" s="6"/>
      <c r="I75" s="57"/>
      <c r="J75" s="57"/>
      <c r="K75" s="57"/>
      <c r="L75" s="127"/>
      <c r="M75" s="56"/>
      <c r="N75" s="56"/>
    </row>
    <row r="76" spans="2:14" x14ac:dyDescent="0.25">
      <c r="B76" s="6"/>
      <c r="C76" s="6"/>
      <c r="D76" s="6"/>
      <c r="E76" s="6"/>
      <c r="F76" s="6"/>
      <c r="G76" s="6"/>
      <c r="H76" s="6"/>
      <c r="I76" s="57"/>
      <c r="J76" s="57"/>
      <c r="K76" s="57"/>
      <c r="L76" s="127"/>
      <c r="M76" s="56"/>
      <c r="N76" s="56"/>
    </row>
    <row r="77" spans="2:14" x14ac:dyDescent="0.25">
      <c r="B77" s="6"/>
      <c r="C77" s="6"/>
      <c r="D77" s="6"/>
      <c r="E77" s="6"/>
      <c r="F77" s="6"/>
      <c r="G77" s="6"/>
      <c r="H77" s="6"/>
      <c r="I77" s="57"/>
      <c r="J77" s="57"/>
      <c r="K77" s="57"/>
      <c r="L77" s="127"/>
      <c r="M77" s="56"/>
      <c r="N77" s="56"/>
    </row>
    <row r="78" spans="2:14" x14ac:dyDescent="0.25">
      <c r="B78" s="6"/>
      <c r="C78" s="6"/>
      <c r="D78" s="6"/>
      <c r="E78" s="6"/>
      <c r="F78" s="6"/>
      <c r="G78" s="6"/>
      <c r="H78" s="6"/>
      <c r="I78" s="57"/>
      <c r="J78" s="57"/>
      <c r="K78" s="57"/>
      <c r="L78" s="127"/>
      <c r="M78" s="56"/>
      <c r="N78" s="56"/>
    </row>
    <row r="79" spans="2:14" x14ac:dyDescent="0.25">
      <c r="B79" s="6"/>
      <c r="C79" s="6"/>
      <c r="D79" s="6"/>
      <c r="E79" s="6"/>
      <c r="F79" s="6"/>
      <c r="G79" s="6"/>
      <c r="H79" s="6"/>
      <c r="I79" s="57"/>
      <c r="J79" s="57"/>
      <c r="K79" s="57"/>
      <c r="L79" s="127"/>
      <c r="M79" s="56"/>
      <c r="N79" s="56"/>
    </row>
    <row r="80" spans="2:14" x14ac:dyDescent="0.25">
      <c r="B80" s="6"/>
      <c r="C80" s="6"/>
      <c r="D80" s="6"/>
      <c r="E80" s="6"/>
      <c r="F80" s="6"/>
      <c r="G80" s="6"/>
      <c r="H80" s="6"/>
      <c r="I80" s="57"/>
      <c r="J80" s="57"/>
      <c r="K80" s="57"/>
      <c r="L80" s="127"/>
      <c r="M80" s="56"/>
      <c r="N80" s="56"/>
    </row>
    <row r="81" spans="2:14" x14ac:dyDescent="0.25">
      <c r="B81" s="6"/>
      <c r="C81" s="6"/>
      <c r="D81" s="6"/>
      <c r="E81" s="6"/>
      <c r="F81" s="6"/>
      <c r="G81" s="6"/>
      <c r="H81" s="6"/>
      <c r="I81" s="57"/>
      <c r="J81" s="57"/>
      <c r="K81" s="57"/>
      <c r="L81" s="127"/>
      <c r="M81" s="56"/>
      <c r="N81" s="56"/>
    </row>
    <row r="82" spans="2:14" x14ac:dyDescent="0.25">
      <c r="B82" s="6"/>
      <c r="C82" s="6"/>
      <c r="D82" s="6"/>
      <c r="E82" s="6"/>
      <c r="F82" s="6"/>
      <c r="G82" s="6"/>
      <c r="H82" s="6"/>
      <c r="I82" s="57"/>
      <c r="J82" s="57"/>
      <c r="K82" s="57"/>
      <c r="L82" s="127"/>
      <c r="M82" s="56"/>
      <c r="N82" s="56"/>
    </row>
    <row r="83" spans="2:14" x14ac:dyDescent="0.25">
      <c r="B83" s="6"/>
      <c r="C83" s="6"/>
      <c r="D83" s="6"/>
      <c r="E83" s="6"/>
      <c r="F83" s="6"/>
      <c r="G83" s="6"/>
      <c r="H83" s="6"/>
      <c r="I83" s="57"/>
      <c r="J83" s="57"/>
      <c r="K83" s="57"/>
      <c r="L83" s="127"/>
      <c r="M83" s="56"/>
      <c r="N83" s="56"/>
    </row>
    <row r="84" spans="2:14" x14ac:dyDescent="0.25">
      <c r="B84" s="6"/>
      <c r="C84" s="6"/>
      <c r="D84" s="6"/>
      <c r="E84" s="6"/>
      <c r="F84" s="6"/>
      <c r="G84" s="6"/>
      <c r="H84" s="6"/>
      <c r="I84" s="57"/>
      <c r="J84" s="57"/>
      <c r="K84" s="57"/>
      <c r="L84" s="127"/>
      <c r="M84" s="56"/>
      <c r="N84" s="56"/>
    </row>
    <row r="85" spans="2:14" x14ac:dyDescent="0.25">
      <c r="B85" s="6"/>
      <c r="C85" s="6"/>
      <c r="D85" s="6"/>
      <c r="E85" s="6"/>
      <c r="F85" s="6"/>
      <c r="G85" s="6"/>
      <c r="H85" s="6"/>
      <c r="I85" s="57"/>
      <c r="J85" s="57"/>
      <c r="K85" s="57"/>
      <c r="L85" s="127"/>
      <c r="M85" s="56"/>
      <c r="N85" s="56"/>
    </row>
    <row r="86" spans="2:14" x14ac:dyDescent="0.25">
      <c r="B86" s="6"/>
      <c r="C86" s="6"/>
      <c r="D86" s="6"/>
      <c r="E86" s="6"/>
      <c r="F86" s="6"/>
      <c r="G86" s="6"/>
      <c r="H86" s="6"/>
      <c r="I86" s="57"/>
      <c r="J86" s="57"/>
      <c r="K86" s="57"/>
      <c r="L86" s="127"/>
      <c r="M86" s="56"/>
      <c r="N86" s="56"/>
    </row>
    <row r="87" spans="2:14" x14ac:dyDescent="0.25">
      <c r="B87" s="6"/>
      <c r="C87" s="6"/>
      <c r="D87" s="6"/>
      <c r="E87" s="6"/>
      <c r="F87" s="6"/>
      <c r="G87" s="6"/>
      <c r="H87" s="6"/>
      <c r="I87" s="57"/>
      <c r="J87" s="57"/>
      <c r="K87" s="57"/>
      <c r="L87" s="127"/>
      <c r="M87" s="56"/>
      <c r="N87" s="56"/>
    </row>
    <row r="88" spans="2:14" x14ac:dyDescent="0.25">
      <c r="B88" s="6"/>
      <c r="C88" s="6"/>
      <c r="D88" s="6"/>
      <c r="E88" s="6"/>
      <c r="F88" s="6"/>
      <c r="G88" s="6"/>
      <c r="H88" s="6"/>
      <c r="I88" s="57"/>
      <c r="J88" s="57"/>
      <c r="K88" s="57"/>
      <c r="L88" s="127"/>
      <c r="M88" s="56"/>
      <c r="N88" s="56"/>
    </row>
    <row r="89" spans="2:14" x14ac:dyDescent="0.25">
      <c r="B89" s="6"/>
      <c r="C89" s="6"/>
      <c r="D89" s="6"/>
      <c r="E89" s="6"/>
      <c r="F89" s="6"/>
      <c r="G89" s="6"/>
      <c r="H89" s="6"/>
      <c r="I89" s="57"/>
      <c r="J89" s="57"/>
      <c r="K89" s="57"/>
      <c r="L89" s="127"/>
      <c r="M89" s="56"/>
      <c r="N89" s="56"/>
    </row>
    <row r="90" spans="2:14" x14ac:dyDescent="0.25">
      <c r="B90" s="6"/>
      <c r="C90" s="6"/>
      <c r="D90" s="6"/>
      <c r="E90" s="6"/>
      <c r="F90" s="6"/>
      <c r="G90" s="6"/>
      <c r="H90" s="6"/>
      <c r="I90" s="57"/>
      <c r="J90" s="57"/>
      <c r="K90" s="57"/>
      <c r="L90" s="127"/>
      <c r="M90" s="56"/>
      <c r="N90" s="56"/>
    </row>
    <row r="91" spans="2:14" x14ac:dyDescent="0.25">
      <c r="B91" s="6"/>
      <c r="C91" s="6"/>
      <c r="D91" s="6"/>
      <c r="E91" s="6"/>
      <c r="F91" s="6"/>
      <c r="G91" s="6"/>
      <c r="H91" s="6"/>
      <c r="I91" s="57"/>
      <c r="J91" s="57"/>
      <c r="K91" s="57"/>
      <c r="L91" s="127"/>
      <c r="M91" s="56"/>
      <c r="N91" s="56"/>
    </row>
    <row r="92" spans="2:14" x14ac:dyDescent="0.25">
      <c r="B92" s="6"/>
      <c r="C92" s="6"/>
      <c r="D92" s="6"/>
      <c r="E92" s="6"/>
      <c r="F92" s="6"/>
      <c r="G92" s="6"/>
      <c r="H92" s="6"/>
      <c r="I92" s="57"/>
      <c r="J92" s="57"/>
      <c r="K92" s="57"/>
      <c r="L92" s="127"/>
      <c r="M92" s="56"/>
      <c r="N92" s="56"/>
    </row>
    <row r="93" spans="2:14" x14ac:dyDescent="0.25">
      <c r="B93" s="6"/>
      <c r="C93" s="6"/>
      <c r="D93" s="6"/>
      <c r="E93" s="6"/>
      <c r="F93" s="6"/>
      <c r="G93" s="6"/>
      <c r="H93" s="6"/>
      <c r="I93" s="57"/>
      <c r="J93" s="57"/>
      <c r="K93" s="57"/>
      <c r="L93" s="127"/>
      <c r="M93" s="56"/>
      <c r="N93" s="56"/>
    </row>
    <row r="94" spans="2:14" x14ac:dyDescent="0.25">
      <c r="B94" s="6"/>
      <c r="C94" s="6"/>
      <c r="D94" s="6"/>
      <c r="E94" s="6"/>
      <c r="F94" s="6"/>
      <c r="G94" s="6"/>
      <c r="H94" s="6"/>
      <c r="I94" s="57"/>
      <c r="J94" s="57"/>
      <c r="K94" s="57"/>
      <c r="L94" s="127"/>
      <c r="M94" s="56"/>
      <c r="N94" s="56"/>
    </row>
    <row r="95" spans="2:14" x14ac:dyDescent="0.25">
      <c r="B95" s="6"/>
      <c r="C95" s="6"/>
      <c r="D95" s="6"/>
      <c r="E95" s="6"/>
      <c r="F95" s="6"/>
      <c r="G95" s="6"/>
      <c r="H95" s="6"/>
      <c r="I95" s="57"/>
      <c r="J95" s="57"/>
      <c r="K95" s="57"/>
      <c r="L95" s="127"/>
      <c r="M95" s="56"/>
      <c r="N95" s="56"/>
    </row>
    <row r="96" spans="2:14" x14ac:dyDescent="0.25">
      <c r="B96" s="6"/>
      <c r="C96" s="6"/>
      <c r="D96" s="6"/>
      <c r="E96" s="6"/>
      <c r="F96" s="6"/>
      <c r="G96" s="6"/>
      <c r="H96" s="6"/>
      <c r="I96" s="57"/>
      <c r="J96" s="57"/>
      <c r="K96" s="57"/>
      <c r="L96" s="127"/>
      <c r="M96" s="56"/>
      <c r="N96" s="56"/>
    </row>
    <row r="97" spans="2:14" x14ac:dyDescent="0.25">
      <c r="B97" s="6"/>
      <c r="C97" s="6"/>
      <c r="D97" s="6"/>
      <c r="E97" s="6"/>
      <c r="F97" s="6"/>
      <c r="G97" s="6"/>
      <c r="H97" s="6"/>
      <c r="I97" s="57"/>
      <c r="J97" s="57"/>
      <c r="K97" s="57"/>
      <c r="L97" s="127"/>
      <c r="M97" s="56"/>
      <c r="N97" s="56"/>
    </row>
    <row r="98" spans="2:14" x14ac:dyDescent="0.25">
      <c r="B98" s="6"/>
      <c r="C98" s="6"/>
      <c r="D98" s="6"/>
      <c r="E98" s="6"/>
      <c r="F98" s="6"/>
      <c r="G98" s="6"/>
      <c r="H98" s="6"/>
      <c r="I98" s="57"/>
      <c r="J98" s="57"/>
      <c r="K98" s="57"/>
      <c r="L98" s="127"/>
      <c r="M98" s="56"/>
      <c r="N98" s="56"/>
    </row>
    <row r="99" spans="2:14" x14ac:dyDescent="0.25">
      <c r="B99" s="6"/>
      <c r="C99" s="6"/>
      <c r="D99" s="6"/>
      <c r="E99" s="6"/>
      <c r="F99" s="6"/>
      <c r="G99" s="6"/>
      <c r="H99" s="6"/>
      <c r="I99" s="57"/>
      <c r="J99" s="57"/>
      <c r="K99" s="57"/>
      <c r="L99" s="127"/>
      <c r="M99" s="56"/>
      <c r="N99" s="56"/>
    </row>
    <row r="100" spans="2:14" x14ac:dyDescent="0.25">
      <c r="B100" s="6"/>
      <c r="C100" s="6"/>
      <c r="D100" s="6"/>
      <c r="E100" s="6"/>
      <c r="F100" s="6"/>
      <c r="G100" s="6"/>
      <c r="H100" s="6"/>
      <c r="I100" s="57"/>
      <c r="J100" s="57"/>
      <c r="K100" s="57"/>
      <c r="L100" s="127"/>
      <c r="M100" s="56"/>
      <c r="N100" s="56"/>
    </row>
    <row r="101" spans="2:14" x14ac:dyDescent="0.25">
      <c r="B101" s="6"/>
      <c r="C101" s="6"/>
      <c r="D101" s="6"/>
      <c r="E101" s="6"/>
      <c r="F101" s="6"/>
      <c r="G101" s="6"/>
      <c r="H101" s="6"/>
      <c r="I101" s="57"/>
      <c r="J101" s="57"/>
      <c r="K101" s="57"/>
      <c r="L101" s="127"/>
      <c r="M101" s="56"/>
      <c r="N101" s="56"/>
    </row>
    <row r="102" spans="2:14" x14ac:dyDescent="0.25">
      <c r="B102" s="6"/>
      <c r="C102" s="6"/>
      <c r="D102" s="6"/>
      <c r="E102" s="6"/>
      <c r="F102" s="6"/>
      <c r="G102" s="6"/>
      <c r="H102" s="6"/>
      <c r="I102" s="57"/>
      <c r="J102" s="57"/>
      <c r="K102" s="57"/>
      <c r="L102" s="127"/>
      <c r="M102" s="56"/>
      <c r="N102" s="56"/>
    </row>
    <row r="103" spans="2:14" x14ac:dyDescent="0.25">
      <c r="B103" s="6"/>
      <c r="C103" s="6"/>
      <c r="D103" s="6"/>
      <c r="E103" s="6"/>
      <c r="F103" s="6"/>
      <c r="G103" s="6"/>
      <c r="H103" s="6"/>
      <c r="I103" s="57"/>
      <c r="J103" s="57"/>
      <c r="K103" s="57"/>
      <c r="L103" s="127"/>
      <c r="M103" s="56"/>
      <c r="N103" s="56"/>
    </row>
    <row r="104" spans="2:14" x14ac:dyDescent="0.25">
      <c r="B104" s="6"/>
      <c r="C104" s="6"/>
      <c r="D104" s="6"/>
      <c r="E104" s="6"/>
      <c r="F104" s="6"/>
      <c r="G104" s="6"/>
      <c r="H104" s="6"/>
      <c r="I104" s="57"/>
      <c r="J104" s="57"/>
      <c r="K104" s="57"/>
      <c r="L104" s="127"/>
      <c r="M104" s="56"/>
      <c r="N104" s="56"/>
    </row>
    <row r="105" spans="2:14" x14ac:dyDescent="0.25">
      <c r="B105" s="6"/>
      <c r="C105" s="6"/>
      <c r="D105" s="6"/>
      <c r="E105" s="6"/>
      <c r="F105" s="6"/>
      <c r="G105" s="6"/>
      <c r="H105" s="6"/>
      <c r="I105" s="57"/>
      <c r="J105" s="57"/>
      <c r="K105" s="57"/>
      <c r="L105" s="127"/>
      <c r="M105" s="56"/>
      <c r="N105" s="56"/>
    </row>
    <row r="106" spans="2:14" x14ac:dyDescent="0.25">
      <c r="B106" s="6"/>
      <c r="C106" s="6"/>
      <c r="D106" s="6"/>
      <c r="E106" s="6"/>
      <c r="F106" s="6"/>
      <c r="G106" s="6"/>
      <c r="H106" s="6"/>
      <c r="I106" s="57"/>
      <c r="J106" s="57"/>
      <c r="K106" s="57"/>
      <c r="L106" s="127"/>
      <c r="M106" s="56"/>
      <c r="N106" s="56"/>
    </row>
    <row r="107" spans="2:14" x14ac:dyDescent="0.25">
      <c r="B107" s="6"/>
      <c r="C107" s="6"/>
      <c r="D107" s="6"/>
      <c r="E107" s="6"/>
      <c r="F107" s="6"/>
      <c r="G107" s="6"/>
      <c r="H107" s="6"/>
      <c r="I107" s="57"/>
      <c r="J107" s="57"/>
      <c r="K107" s="57"/>
      <c r="L107" s="127"/>
      <c r="M107" s="56"/>
      <c r="N107" s="56"/>
    </row>
    <row r="108" spans="2:14" x14ac:dyDescent="0.25">
      <c r="B108" s="6"/>
      <c r="C108" s="6"/>
      <c r="D108" s="6"/>
      <c r="E108" s="6"/>
      <c r="F108" s="6"/>
      <c r="G108" s="6"/>
      <c r="H108" s="6"/>
      <c r="I108" s="57"/>
      <c r="J108" s="57"/>
      <c r="K108" s="57"/>
      <c r="L108" s="127"/>
      <c r="M108" s="56"/>
      <c r="N108" s="56"/>
    </row>
    <row r="109" spans="2:14" x14ac:dyDescent="0.25">
      <c r="B109" s="6"/>
      <c r="C109" s="6"/>
      <c r="D109" s="6"/>
      <c r="E109" s="6"/>
      <c r="F109" s="6"/>
      <c r="G109" s="6"/>
      <c r="H109" s="6"/>
      <c r="I109" s="57"/>
      <c r="J109" s="57"/>
      <c r="K109" s="57"/>
      <c r="L109" s="127"/>
      <c r="M109" s="56"/>
      <c r="N109" s="56"/>
    </row>
    <row r="110" spans="2:14" x14ac:dyDescent="0.25">
      <c r="B110" s="6"/>
      <c r="C110" s="6"/>
      <c r="D110" s="6"/>
      <c r="E110" s="6"/>
      <c r="F110" s="6"/>
      <c r="G110" s="6"/>
      <c r="H110" s="6"/>
      <c r="I110" s="57"/>
      <c r="J110" s="57"/>
      <c r="K110" s="57"/>
      <c r="L110" s="127"/>
      <c r="M110" s="56"/>
      <c r="N110" s="56"/>
    </row>
    <row r="111" spans="2:14" x14ac:dyDescent="0.25">
      <c r="B111" s="6"/>
      <c r="C111" s="6"/>
      <c r="D111" s="6"/>
      <c r="E111" s="6"/>
      <c r="F111" s="6"/>
      <c r="G111" s="6"/>
      <c r="H111" s="6"/>
      <c r="I111" s="57"/>
      <c r="J111" s="57"/>
      <c r="K111" s="57"/>
      <c r="L111" s="127"/>
      <c r="M111" s="56"/>
      <c r="N111" s="56"/>
    </row>
    <row r="112" spans="2:14" x14ac:dyDescent="0.25">
      <c r="B112" s="6"/>
      <c r="C112" s="6"/>
      <c r="D112" s="6"/>
      <c r="E112" s="6"/>
      <c r="F112" s="6"/>
      <c r="G112" s="6"/>
      <c r="H112" s="6"/>
      <c r="I112" s="57"/>
      <c r="J112" s="57"/>
      <c r="K112" s="57"/>
      <c r="L112" s="127"/>
      <c r="M112" s="56"/>
      <c r="N112" s="56"/>
    </row>
    <row r="113" spans="2:14" x14ac:dyDescent="0.25">
      <c r="B113" s="6"/>
      <c r="C113" s="6"/>
      <c r="D113" s="6"/>
      <c r="E113" s="6"/>
      <c r="F113" s="6"/>
      <c r="G113" s="6"/>
      <c r="H113" s="6"/>
      <c r="I113" s="57"/>
      <c r="J113" s="57"/>
      <c r="K113" s="57"/>
      <c r="L113" s="127"/>
      <c r="M113" s="56"/>
      <c r="N113" s="56"/>
    </row>
    <row r="114" spans="2:14" x14ac:dyDescent="0.25">
      <c r="B114" s="6"/>
      <c r="C114" s="6"/>
      <c r="D114" s="6"/>
      <c r="E114" s="6"/>
      <c r="F114" s="6"/>
      <c r="G114" s="6"/>
      <c r="H114" s="6"/>
      <c r="I114" s="57"/>
      <c r="J114" s="57"/>
      <c r="K114" s="57"/>
      <c r="L114" s="127"/>
      <c r="M114" s="56"/>
      <c r="N114" s="56"/>
    </row>
    <row r="115" spans="2:14" x14ac:dyDescent="0.25">
      <c r="B115" s="6"/>
      <c r="C115" s="6"/>
      <c r="D115" s="6"/>
      <c r="E115" s="6"/>
      <c r="F115" s="6"/>
      <c r="G115" s="6"/>
      <c r="H115" s="6"/>
      <c r="I115" s="57"/>
      <c r="J115" s="57"/>
      <c r="K115" s="57"/>
      <c r="L115" s="127"/>
    </row>
    <row r="116" spans="2:14" x14ac:dyDescent="0.25">
      <c r="B116" s="6"/>
      <c r="C116" s="6"/>
      <c r="D116" s="6"/>
      <c r="E116" s="6"/>
      <c r="F116" s="6"/>
      <c r="G116" s="6"/>
      <c r="H116" s="6"/>
      <c r="I116" s="57"/>
      <c r="J116" s="57"/>
      <c r="K116" s="57"/>
      <c r="L116" s="127"/>
    </row>
    <row r="117" spans="2:14" x14ac:dyDescent="0.25">
      <c r="B117" s="6"/>
      <c r="C117" s="6"/>
      <c r="D117" s="6"/>
      <c r="E117" s="6"/>
      <c r="F117" s="6"/>
      <c r="G117" s="6"/>
      <c r="H117" s="6"/>
      <c r="I117" s="57"/>
      <c r="J117" s="57"/>
      <c r="K117" s="57"/>
      <c r="L117" s="127"/>
    </row>
    <row r="118" spans="2:14" x14ac:dyDescent="0.25">
      <c r="B118" s="6"/>
      <c r="C118" s="6"/>
      <c r="D118" s="6"/>
      <c r="E118" s="6"/>
      <c r="F118" s="6"/>
      <c r="G118" s="6"/>
      <c r="H118" s="6"/>
      <c r="I118" s="57"/>
      <c r="J118" s="57"/>
      <c r="K118" s="57"/>
      <c r="L118" s="127"/>
    </row>
    <row r="119" spans="2:14" x14ac:dyDescent="0.25">
      <c r="B119" s="6"/>
      <c r="C119" s="6"/>
      <c r="D119" s="6"/>
      <c r="E119" s="6"/>
      <c r="F119" s="6"/>
      <c r="G119" s="6"/>
      <c r="H119" s="6"/>
      <c r="I119" s="57"/>
      <c r="J119" s="57"/>
      <c r="K119" s="57"/>
      <c r="L119" s="127"/>
    </row>
    <row r="120" spans="2:14" x14ac:dyDescent="0.25">
      <c r="B120" s="6"/>
      <c r="C120" s="6"/>
      <c r="D120" s="6"/>
      <c r="E120" s="6"/>
      <c r="F120" s="6"/>
      <c r="G120" s="6"/>
      <c r="H120" s="6"/>
      <c r="I120" s="57"/>
      <c r="J120" s="57"/>
      <c r="K120" s="57"/>
      <c r="L120" s="127"/>
    </row>
    <row r="121" spans="2:14" x14ac:dyDescent="0.25">
      <c r="B121" s="6"/>
      <c r="C121" s="6"/>
      <c r="D121" s="6"/>
      <c r="E121" s="6"/>
      <c r="F121" s="6"/>
      <c r="G121" s="6"/>
      <c r="H121" s="6"/>
      <c r="I121" s="57"/>
      <c r="J121" s="57"/>
      <c r="K121" s="57"/>
      <c r="L121" s="127"/>
    </row>
    <row r="122" spans="2:14" x14ac:dyDescent="0.25">
      <c r="B122" s="6"/>
      <c r="C122" s="6"/>
      <c r="D122" s="6"/>
      <c r="E122" s="6"/>
      <c r="F122" s="6"/>
      <c r="G122" s="6"/>
      <c r="H122" s="6"/>
      <c r="I122" s="57"/>
      <c r="J122" s="57"/>
      <c r="K122" s="57"/>
      <c r="L122" s="127"/>
    </row>
    <row r="123" spans="2:14" x14ac:dyDescent="0.25">
      <c r="B123" s="6"/>
      <c r="C123" s="6"/>
      <c r="D123" s="6"/>
      <c r="E123" s="6"/>
      <c r="F123" s="6"/>
      <c r="G123" s="6"/>
      <c r="H123" s="6"/>
      <c r="I123" s="57"/>
      <c r="J123" s="57"/>
      <c r="K123" s="57"/>
      <c r="L123" s="127"/>
    </row>
    <row r="124" spans="2:14" x14ac:dyDescent="0.25">
      <c r="B124" s="6"/>
      <c r="C124" s="6"/>
      <c r="D124" s="6"/>
      <c r="E124" s="6"/>
      <c r="F124" s="6"/>
      <c r="G124" s="6"/>
      <c r="H124" s="6"/>
      <c r="I124" s="57"/>
      <c r="J124" s="57"/>
      <c r="K124" s="57"/>
      <c r="L124" s="127"/>
    </row>
    <row r="125" spans="2:14" x14ac:dyDescent="0.25">
      <c r="B125" s="6"/>
      <c r="C125" s="6"/>
      <c r="D125" s="6"/>
      <c r="E125" s="6"/>
      <c r="F125" s="6"/>
      <c r="G125" s="6"/>
      <c r="H125" s="6"/>
      <c r="I125" s="57"/>
      <c r="J125" s="57"/>
      <c r="K125" s="57"/>
      <c r="L125" s="127"/>
    </row>
    <row r="126" spans="2:14" x14ac:dyDescent="0.25">
      <c r="B126" s="6"/>
      <c r="C126" s="6"/>
      <c r="D126" s="6"/>
      <c r="E126" s="6"/>
      <c r="F126" s="6"/>
      <c r="G126" s="6"/>
      <c r="H126" s="6"/>
      <c r="I126" s="57"/>
      <c r="J126" s="57"/>
      <c r="K126" s="57"/>
      <c r="L126" s="127"/>
    </row>
    <row r="127" spans="2:14" x14ac:dyDescent="0.25">
      <c r="B127" s="6"/>
      <c r="C127" s="6"/>
      <c r="D127" s="6"/>
      <c r="E127" s="6"/>
      <c r="F127" s="6"/>
      <c r="G127" s="6"/>
      <c r="H127" s="6"/>
      <c r="I127" s="57"/>
      <c r="J127" s="57"/>
      <c r="K127" s="57"/>
      <c r="L127" s="127"/>
    </row>
    <row r="128" spans="2:14" x14ac:dyDescent="0.25">
      <c r="B128" s="6"/>
      <c r="C128" s="6"/>
      <c r="D128" s="6"/>
      <c r="E128" s="6"/>
      <c r="F128" s="6"/>
      <c r="G128" s="6"/>
      <c r="H128" s="6"/>
      <c r="I128" s="57"/>
      <c r="J128" s="57"/>
      <c r="K128" s="57"/>
      <c r="L128" s="127"/>
    </row>
    <row r="129" spans="2:12" x14ac:dyDescent="0.25">
      <c r="B129" s="6"/>
      <c r="C129" s="6"/>
      <c r="D129" s="6"/>
      <c r="E129" s="6"/>
      <c r="F129" s="6"/>
      <c r="G129" s="6"/>
      <c r="H129" s="6"/>
      <c r="I129" s="57"/>
      <c r="J129" s="57"/>
      <c r="K129" s="57"/>
      <c r="L129" s="127"/>
    </row>
    <row r="130" spans="2:12" x14ac:dyDescent="0.25">
      <c r="B130" s="6"/>
      <c r="C130" s="6"/>
      <c r="D130" s="6"/>
      <c r="E130" s="6"/>
      <c r="F130" s="6"/>
      <c r="G130" s="6"/>
      <c r="H130" s="6"/>
      <c r="I130" s="57"/>
      <c r="J130" s="57"/>
      <c r="K130" s="57"/>
      <c r="L130" s="127"/>
    </row>
    <row r="131" spans="2:12" x14ac:dyDescent="0.25">
      <c r="B131" s="6"/>
      <c r="C131" s="6"/>
      <c r="D131" s="6"/>
      <c r="E131" s="6"/>
      <c r="F131" s="6"/>
      <c r="G131" s="6"/>
      <c r="H131" s="6"/>
      <c r="I131" s="57"/>
      <c r="J131" s="57"/>
      <c r="K131" s="57"/>
      <c r="L131" s="127"/>
    </row>
    <row r="132" spans="2:12" x14ac:dyDescent="0.25">
      <c r="B132" s="6"/>
      <c r="C132" s="6"/>
      <c r="D132" s="6"/>
      <c r="E132" s="6"/>
      <c r="F132" s="6"/>
      <c r="G132" s="6"/>
      <c r="H132" s="6"/>
      <c r="I132" s="57"/>
      <c r="J132" s="57"/>
      <c r="K132" s="57"/>
      <c r="L132" s="127"/>
    </row>
    <row r="133" spans="2:12" x14ac:dyDescent="0.25">
      <c r="B133" s="6"/>
      <c r="C133" s="6"/>
      <c r="D133" s="6"/>
      <c r="E133" s="6"/>
      <c r="F133" s="6"/>
      <c r="G133" s="6"/>
      <c r="H133" s="6"/>
      <c r="I133" s="57"/>
      <c r="J133" s="57"/>
      <c r="K133" s="57"/>
      <c r="L133" s="127"/>
    </row>
    <row r="134" spans="2:12" x14ac:dyDescent="0.25">
      <c r="B134" s="6"/>
      <c r="C134" s="6"/>
      <c r="D134" s="6"/>
      <c r="E134" s="6"/>
      <c r="F134" s="6"/>
      <c r="G134" s="6"/>
      <c r="H134" s="6"/>
      <c r="I134" s="57"/>
      <c r="J134" s="57"/>
      <c r="K134" s="57"/>
      <c r="L134" s="127"/>
    </row>
    <row r="135" spans="2:12" x14ac:dyDescent="0.25">
      <c r="B135" s="6"/>
      <c r="C135" s="6"/>
      <c r="D135" s="6"/>
      <c r="E135" s="6"/>
      <c r="F135" s="6"/>
      <c r="G135" s="6"/>
      <c r="H135" s="6"/>
      <c r="I135" s="57"/>
      <c r="J135" s="57"/>
      <c r="K135" s="57"/>
      <c r="L135" s="127"/>
    </row>
    <row r="136" spans="2:12" x14ac:dyDescent="0.25">
      <c r="B136" s="6"/>
      <c r="C136" s="6"/>
      <c r="D136" s="6"/>
      <c r="E136" s="6"/>
      <c r="F136" s="6"/>
      <c r="G136" s="6"/>
      <c r="H136" s="6"/>
      <c r="I136" s="57"/>
      <c r="J136" s="57"/>
      <c r="K136" s="57"/>
      <c r="L136" s="127"/>
    </row>
    <row r="137" spans="2:12" x14ac:dyDescent="0.25">
      <c r="B137" s="6"/>
      <c r="C137" s="6"/>
      <c r="D137" s="6"/>
      <c r="E137" s="6"/>
      <c r="F137" s="6"/>
      <c r="G137" s="6"/>
      <c r="H137" s="6"/>
      <c r="I137" s="57"/>
      <c r="J137" s="57"/>
      <c r="K137" s="57"/>
      <c r="L137" s="127"/>
    </row>
    <row r="138" spans="2:12" x14ac:dyDescent="0.25">
      <c r="B138" s="6"/>
      <c r="C138" s="6"/>
      <c r="D138" s="6"/>
      <c r="E138" s="6"/>
      <c r="F138" s="6"/>
      <c r="G138" s="6"/>
      <c r="H138" s="6"/>
      <c r="I138" s="57"/>
      <c r="J138" s="57"/>
      <c r="K138" s="57"/>
      <c r="L138" s="127"/>
    </row>
    <row r="139" spans="2:12" x14ac:dyDescent="0.25">
      <c r="B139" s="6"/>
      <c r="C139" s="6"/>
      <c r="D139" s="6"/>
      <c r="E139" s="6"/>
      <c r="F139" s="6"/>
      <c r="G139" s="6"/>
      <c r="H139" s="6"/>
      <c r="I139" s="57"/>
      <c r="J139" s="57"/>
      <c r="K139" s="57"/>
      <c r="L139" s="127"/>
    </row>
    <row r="140" spans="2:12" x14ac:dyDescent="0.25">
      <c r="B140" s="6"/>
      <c r="C140" s="6"/>
      <c r="D140" s="6"/>
      <c r="E140" s="6"/>
      <c r="F140" s="6"/>
      <c r="G140" s="6"/>
      <c r="H140" s="6"/>
      <c r="I140" s="57"/>
      <c r="J140" s="57"/>
      <c r="K140" s="57"/>
      <c r="L140" s="127"/>
    </row>
    <row r="141" spans="2:12" x14ac:dyDescent="0.25">
      <c r="B141" s="6"/>
      <c r="C141" s="6"/>
      <c r="D141" s="6"/>
      <c r="E141" s="6"/>
      <c r="F141" s="6"/>
      <c r="G141" s="6"/>
      <c r="H141" s="6"/>
      <c r="I141" s="57"/>
      <c r="J141" s="57"/>
      <c r="K141" s="57"/>
      <c r="L141" s="127"/>
    </row>
    <row r="142" spans="2:12" x14ac:dyDescent="0.25">
      <c r="B142" s="6"/>
      <c r="C142" s="6"/>
      <c r="D142" s="6"/>
      <c r="E142" s="6"/>
      <c r="F142" s="6"/>
      <c r="G142" s="6"/>
      <c r="H142" s="6"/>
      <c r="I142" s="57"/>
      <c r="J142" s="57"/>
      <c r="K142" s="57"/>
      <c r="L142" s="127"/>
    </row>
    <row r="143" spans="2:12" x14ac:dyDescent="0.25">
      <c r="B143" s="6"/>
      <c r="C143" s="6"/>
      <c r="D143" s="6"/>
      <c r="E143" s="6"/>
      <c r="F143" s="6"/>
      <c r="G143" s="6"/>
      <c r="H143" s="6"/>
      <c r="I143" s="57"/>
      <c r="J143" s="57"/>
      <c r="K143" s="57"/>
      <c r="L143" s="127"/>
    </row>
    <row r="144" spans="2:12" x14ac:dyDescent="0.25">
      <c r="B144" s="6"/>
      <c r="C144" s="6"/>
      <c r="D144" s="6"/>
      <c r="E144" s="6"/>
      <c r="F144" s="6"/>
      <c r="G144" s="6"/>
      <c r="H144" s="6"/>
      <c r="I144" s="57"/>
      <c r="J144" s="57"/>
      <c r="K144" s="57"/>
      <c r="L144" s="127"/>
    </row>
    <row r="145" spans="2:12" x14ac:dyDescent="0.25">
      <c r="B145" s="6"/>
      <c r="C145" s="6"/>
      <c r="D145" s="6"/>
      <c r="E145" s="6"/>
      <c r="F145" s="6"/>
      <c r="G145" s="6"/>
      <c r="H145" s="6"/>
      <c r="I145" s="57"/>
      <c r="J145" s="57"/>
      <c r="K145" s="57"/>
      <c r="L145" s="127"/>
    </row>
    <row r="146" spans="2:12" x14ac:dyDescent="0.25">
      <c r="B146" s="6"/>
      <c r="C146" s="6"/>
      <c r="D146" s="6"/>
      <c r="E146" s="6"/>
      <c r="F146" s="6"/>
      <c r="G146" s="6"/>
      <c r="H146" s="6"/>
      <c r="I146" s="57"/>
      <c r="J146" s="57"/>
      <c r="K146" s="57"/>
      <c r="L146" s="127"/>
    </row>
    <row r="147" spans="2:12" x14ac:dyDescent="0.25">
      <c r="B147" s="6"/>
      <c r="C147" s="6"/>
      <c r="D147" s="6"/>
      <c r="E147" s="6"/>
      <c r="F147" s="6"/>
      <c r="G147" s="6"/>
      <c r="H147" s="6"/>
      <c r="I147" s="57"/>
      <c r="J147" s="57"/>
      <c r="K147" s="57"/>
      <c r="L147" s="127"/>
    </row>
    <row r="148" spans="2:12" x14ac:dyDescent="0.25">
      <c r="B148" s="6"/>
      <c r="C148" s="6"/>
      <c r="D148" s="6"/>
      <c r="E148" s="6"/>
      <c r="F148" s="6"/>
      <c r="G148" s="6"/>
      <c r="H148" s="6"/>
      <c r="I148" s="57"/>
      <c r="J148" s="57"/>
      <c r="K148" s="57"/>
      <c r="L148" s="127"/>
    </row>
    <row r="149" spans="2:12" x14ac:dyDescent="0.25">
      <c r="B149" s="6"/>
      <c r="C149" s="6"/>
      <c r="D149" s="6"/>
      <c r="E149" s="6"/>
      <c r="F149" s="6"/>
      <c r="G149" s="6"/>
      <c r="H149" s="6"/>
      <c r="I149" s="57"/>
      <c r="J149" s="57"/>
      <c r="K149" s="57"/>
      <c r="L149" s="127"/>
    </row>
    <row r="150" spans="2:12" x14ac:dyDescent="0.25">
      <c r="B150" s="6"/>
      <c r="C150" s="6"/>
      <c r="D150" s="6"/>
      <c r="E150" s="6"/>
      <c r="F150" s="6"/>
      <c r="G150" s="6"/>
      <c r="H150" s="6"/>
      <c r="I150" s="57"/>
      <c r="J150" s="57"/>
      <c r="K150" s="57"/>
      <c r="L150" s="127"/>
    </row>
    <row r="151" spans="2:12" x14ac:dyDescent="0.25">
      <c r="B151" s="6"/>
      <c r="C151" s="6"/>
      <c r="D151" s="6"/>
      <c r="E151" s="6"/>
      <c r="F151" s="6"/>
      <c r="G151" s="6"/>
      <c r="H151" s="6"/>
      <c r="I151" s="57"/>
      <c r="J151" s="57"/>
      <c r="K151" s="57"/>
      <c r="L151" s="127"/>
    </row>
    <row r="152" spans="2:12" x14ac:dyDescent="0.25">
      <c r="B152" s="6"/>
      <c r="C152" s="6"/>
      <c r="D152" s="6"/>
      <c r="E152" s="6"/>
      <c r="F152" s="6"/>
      <c r="G152" s="6"/>
      <c r="H152" s="6"/>
      <c r="I152" s="57"/>
      <c r="J152" s="57"/>
      <c r="K152" s="57"/>
      <c r="L152" s="127"/>
    </row>
    <row r="153" spans="2:12" x14ac:dyDescent="0.25">
      <c r="B153" s="6"/>
      <c r="C153" s="6"/>
      <c r="D153" s="6"/>
      <c r="E153" s="6"/>
      <c r="F153" s="6"/>
      <c r="G153" s="6"/>
      <c r="H153" s="6"/>
      <c r="I153" s="57"/>
      <c r="J153" s="57"/>
      <c r="K153" s="57"/>
      <c r="L153" s="127"/>
    </row>
    <row r="154" spans="2:12" x14ac:dyDescent="0.25">
      <c r="B154" s="6"/>
      <c r="C154" s="6"/>
      <c r="D154" s="6"/>
      <c r="E154" s="6"/>
      <c r="F154" s="6"/>
      <c r="G154" s="6"/>
      <c r="H154" s="6"/>
      <c r="I154" s="57"/>
      <c r="J154" s="57"/>
      <c r="K154" s="57"/>
      <c r="L154" s="127"/>
    </row>
    <row r="155" spans="2:12" x14ac:dyDescent="0.25">
      <c r="B155" s="6"/>
      <c r="C155" s="6"/>
      <c r="D155" s="6"/>
      <c r="E155" s="6"/>
      <c r="F155" s="6"/>
      <c r="G155" s="6"/>
      <c r="H155" s="6"/>
      <c r="I155" s="57"/>
      <c r="J155" s="57"/>
      <c r="K155" s="57"/>
      <c r="L155" s="127"/>
    </row>
    <row r="156" spans="2:12" x14ac:dyDescent="0.25">
      <c r="B156" s="6"/>
      <c r="C156" s="6"/>
      <c r="D156" s="6"/>
      <c r="E156" s="6"/>
      <c r="F156" s="6"/>
      <c r="G156" s="6"/>
      <c r="H156" s="6"/>
      <c r="I156" s="57"/>
      <c r="J156" s="57"/>
      <c r="K156" s="57"/>
      <c r="L156" s="127"/>
    </row>
    <row r="157" spans="2:12" x14ac:dyDescent="0.25">
      <c r="B157" s="6"/>
      <c r="C157" s="6"/>
      <c r="D157" s="6"/>
      <c r="E157" s="6"/>
      <c r="F157" s="6"/>
      <c r="G157" s="6"/>
      <c r="H157" s="6"/>
      <c r="I157" s="57"/>
      <c r="J157" s="57"/>
      <c r="K157" s="57"/>
      <c r="L157" s="127"/>
    </row>
    <row r="158" spans="2:12" x14ac:dyDescent="0.25">
      <c r="B158" s="6"/>
      <c r="C158" s="6"/>
      <c r="D158" s="6"/>
      <c r="E158" s="6"/>
      <c r="F158" s="6"/>
      <c r="G158" s="6"/>
      <c r="H158" s="6"/>
      <c r="I158" s="57"/>
      <c r="J158" s="57"/>
      <c r="K158" s="57"/>
      <c r="L158" s="127"/>
    </row>
    <row r="159" spans="2:12" x14ac:dyDescent="0.25">
      <c r="B159" s="6"/>
      <c r="C159" s="6"/>
      <c r="D159" s="6"/>
      <c r="E159" s="6"/>
      <c r="F159" s="6"/>
      <c r="G159" s="6"/>
      <c r="H159" s="6"/>
      <c r="I159" s="57"/>
      <c r="J159" s="57"/>
      <c r="K159" s="57"/>
      <c r="L159" s="127"/>
    </row>
    <row r="160" spans="2:12" x14ac:dyDescent="0.25">
      <c r="B160" s="6"/>
      <c r="C160" s="6"/>
      <c r="D160" s="6"/>
      <c r="E160" s="6"/>
      <c r="F160" s="6"/>
      <c r="G160" s="6"/>
      <c r="H160" s="6"/>
      <c r="I160" s="57"/>
      <c r="J160" s="57"/>
      <c r="K160" s="57"/>
      <c r="L160" s="127"/>
    </row>
    <row r="161" spans="2:12" x14ac:dyDescent="0.25">
      <c r="B161" s="6"/>
      <c r="C161" s="6"/>
      <c r="D161" s="6"/>
      <c r="E161" s="6"/>
      <c r="F161" s="6"/>
      <c r="G161" s="6"/>
      <c r="H161" s="6"/>
      <c r="I161" s="57"/>
      <c r="J161" s="57"/>
      <c r="K161" s="57"/>
      <c r="L161" s="127"/>
    </row>
    <row r="162" spans="2:12" x14ac:dyDescent="0.25">
      <c r="B162" s="6"/>
      <c r="C162" s="6"/>
      <c r="D162" s="6"/>
      <c r="E162" s="6"/>
      <c r="F162" s="6"/>
      <c r="G162" s="6"/>
      <c r="H162" s="6"/>
      <c r="I162" s="57"/>
      <c r="J162" s="57"/>
      <c r="K162" s="57"/>
      <c r="L162" s="127"/>
    </row>
    <row r="163" spans="2:12" x14ac:dyDescent="0.25">
      <c r="B163" s="6"/>
      <c r="C163" s="6"/>
      <c r="D163" s="6"/>
      <c r="E163" s="6"/>
      <c r="F163" s="6"/>
      <c r="G163" s="6"/>
      <c r="H163" s="6"/>
      <c r="I163" s="57"/>
      <c r="J163" s="57"/>
      <c r="K163" s="57"/>
      <c r="L163" s="127"/>
    </row>
    <row r="164" spans="2:12" x14ac:dyDescent="0.25">
      <c r="B164" s="6"/>
      <c r="C164" s="6"/>
      <c r="D164" s="6"/>
      <c r="E164" s="6"/>
      <c r="F164" s="6"/>
      <c r="G164" s="6"/>
      <c r="H164" s="6"/>
      <c r="I164" s="57"/>
      <c r="J164" s="57"/>
      <c r="K164" s="57"/>
      <c r="L164" s="127"/>
    </row>
    <row r="165" spans="2:12" x14ac:dyDescent="0.25">
      <c r="B165" s="6"/>
      <c r="C165" s="6"/>
      <c r="D165" s="6"/>
      <c r="E165" s="6"/>
      <c r="F165" s="6"/>
      <c r="G165" s="6"/>
      <c r="H165" s="6"/>
      <c r="I165" s="57"/>
      <c r="J165" s="57"/>
      <c r="K165" s="57"/>
      <c r="L165" s="127"/>
    </row>
    <row r="166" spans="2:12" x14ac:dyDescent="0.25">
      <c r="B166" s="6"/>
      <c r="C166" s="6"/>
      <c r="D166" s="6"/>
      <c r="E166" s="6"/>
      <c r="F166" s="6"/>
      <c r="G166" s="6"/>
      <c r="H166" s="6"/>
      <c r="I166" s="57"/>
      <c r="J166" s="57"/>
      <c r="K166" s="57"/>
      <c r="L166" s="127"/>
    </row>
    <row r="167" spans="2:12" x14ac:dyDescent="0.25">
      <c r="B167" s="6"/>
      <c r="C167" s="6"/>
      <c r="D167" s="6"/>
      <c r="E167" s="6"/>
      <c r="F167" s="6"/>
      <c r="G167" s="6"/>
      <c r="H167" s="6"/>
      <c r="I167" s="57"/>
      <c r="J167" s="57"/>
      <c r="K167" s="57"/>
      <c r="L167" s="127"/>
    </row>
    <row r="168" spans="2:12" x14ac:dyDescent="0.25">
      <c r="B168" s="6"/>
      <c r="C168" s="6"/>
      <c r="D168" s="6"/>
      <c r="E168" s="6"/>
      <c r="F168" s="6"/>
      <c r="G168" s="6"/>
      <c r="H168" s="6"/>
      <c r="I168" s="57"/>
      <c r="J168" s="57"/>
      <c r="K168" s="57"/>
      <c r="L168" s="127"/>
    </row>
    <row r="169" spans="2:12" x14ac:dyDescent="0.25">
      <c r="B169" s="6"/>
      <c r="C169" s="6"/>
      <c r="D169" s="6"/>
      <c r="E169" s="6"/>
      <c r="F169" s="6"/>
      <c r="G169" s="6"/>
      <c r="H169" s="6"/>
      <c r="I169" s="57"/>
      <c r="J169" s="57"/>
      <c r="K169" s="57"/>
      <c r="L169" s="127"/>
    </row>
    <row r="170" spans="2:12" x14ac:dyDescent="0.25">
      <c r="B170" s="6"/>
      <c r="C170" s="6"/>
      <c r="D170" s="6"/>
      <c r="E170" s="6"/>
      <c r="F170" s="6"/>
      <c r="G170" s="6"/>
      <c r="H170" s="6"/>
      <c r="I170" s="57"/>
      <c r="J170" s="57"/>
      <c r="K170" s="57"/>
      <c r="L170" s="127"/>
    </row>
    <row r="171" spans="2:12" x14ac:dyDescent="0.25">
      <c r="B171" s="6"/>
      <c r="C171" s="6"/>
      <c r="D171" s="6"/>
      <c r="E171" s="6"/>
      <c r="F171" s="6"/>
      <c r="G171" s="6"/>
      <c r="H171" s="6"/>
      <c r="I171" s="57"/>
      <c r="J171" s="57"/>
      <c r="K171" s="57"/>
      <c r="L171" s="127"/>
    </row>
    <row r="172" spans="2:12" x14ac:dyDescent="0.25">
      <c r="B172" s="6"/>
      <c r="C172" s="6"/>
      <c r="D172" s="6"/>
      <c r="E172" s="6"/>
      <c r="F172" s="6"/>
      <c r="G172" s="6"/>
      <c r="H172" s="6"/>
      <c r="I172" s="57"/>
      <c r="J172" s="57"/>
      <c r="K172" s="57"/>
      <c r="L172" s="127"/>
    </row>
    <row r="173" spans="2:12" x14ac:dyDescent="0.25">
      <c r="B173" s="6"/>
      <c r="C173" s="6"/>
      <c r="D173" s="6"/>
      <c r="E173" s="6"/>
      <c r="F173" s="6"/>
      <c r="G173" s="6"/>
      <c r="H173" s="6"/>
      <c r="I173" s="57"/>
      <c r="J173" s="57"/>
      <c r="K173" s="57"/>
      <c r="L173" s="127"/>
    </row>
    <row r="174" spans="2:12" x14ac:dyDescent="0.25">
      <c r="B174" s="6"/>
      <c r="C174" s="6"/>
      <c r="D174" s="6"/>
      <c r="E174" s="6"/>
      <c r="F174" s="6"/>
      <c r="G174" s="6"/>
      <c r="H174" s="6"/>
      <c r="I174" s="57"/>
      <c r="J174" s="57"/>
      <c r="K174" s="57"/>
      <c r="L174" s="127"/>
    </row>
    <row r="175" spans="2:12" x14ac:dyDescent="0.25">
      <c r="B175" s="6"/>
      <c r="C175" s="6"/>
      <c r="D175" s="6"/>
      <c r="E175" s="6"/>
      <c r="F175" s="6"/>
      <c r="G175" s="6"/>
      <c r="H175" s="6"/>
      <c r="I175" s="57"/>
      <c r="J175" s="57"/>
      <c r="K175" s="57"/>
      <c r="L175" s="127"/>
    </row>
    <row r="176" spans="2:12" x14ac:dyDescent="0.25">
      <c r="B176" s="6"/>
      <c r="C176" s="6"/>
      <c r="D176" s="6"/>
      <c r="E176" s="6"/>
      <c r="F176" s="6"/>
      <c r="G176" s="6"/>
      <c r="H176" s="6"/>
      <c r="I176" s="57"/>
      <c r="J176" s="57"/>
      <c r="K176" s="57"/>
      <c r="L176" s="127"/>
    </row>
    <row r="177" spans="2:12" x14ac:dyDescent="0.25">
      <c r="B177" s="6"/>
      <c r="C177" s="6"/>
      <c r="D177" s="6"/>
      <c r="E177" s="6"/>
      <c r="F177" s="6"/>
      <c r="G177" s="6"/>
      <c r="H177" s="6"/>
      <c r="I177" s="57"/>
      <c r="J177" s="57"/>
      <c r="K177" s="57"/>
      <c r="L177" s="127"/>
    </row>
    <row r="178" spans="2:12" x14ac:dyDescent="0.25">
      <c r="B178" s="6"/>
      <c r="C178" s="6"/>
      <c r="D178" s="6"/>
      <c r="E178" s="6"/>
      <c r="F178" s="6"/>
      <c r="G178" s="6"/>
      <c r="H178" s="6"/>
      <c r="I178" s="57"/>
      <c r="J178" s="57"/>
      <c r="K178" s="57"/>
      <c r="L178" s="127"/>
    </row>
    <row r="179" spans="2:12" x14ac:dyDescent="0.25">
      <c r="B179" s="6"/>
      <c r="C179" s="6"/>
      <c r="D179" s="6"/>
      <c r="E179" s="6"/>
      <c r="F179" s="6"/>
      <c r="G179" s="6"/>
      <c r="H179" s="6"/>
      <c r="I179" s="57"/>
      <c r="J179" s="57"/>
      <c r="K179" s="57"/>
      <c r="L179" s="127"/>
    </row>
    <row r="180" spans="2:12" x14ac:dyDescent="0.25">
      <c r="B180" s="6"/>
      <c r="C180" s="6"/>
      <c r="D180" s="6"/>
      <c r="E180" s="6"/>
      <c r="F180" s="6"/>
      <c r="G180" s="6"/>
      <c r="H180" s="6"/>
      <c r="I180" s="57"/>
      <c r="J180" s="57"/>
      <c r="K180" s="57"/>
      <c r="L180" s="127"/>
    </row>
    <row r="181" spans="2:12" x14ac:dyDescent="0.25">
      <c r="B181" s="6"/>
      <c r="C181" s="6"/>
      <c r="D181" s="6"/>
      <c r="E181" s="6"/>
      <c r="F181" s="6"/>
      <c r="G181" s="6"/>
      <c r="H181" s="6"/>
      <c r="I181" s="57"/>
      <c r="J181" s="57"/>
      <c r="K181" s="57"/>
      <c r="L181" s="127"/>
    </row>
    <row r="182" spans="2:12" x14ac:dyDescent="0.25">
      <c r="B182" s="6"/>
      <c r="C182" s="6"/>
      <c r="D182" s="6"/>
      <c r="E182" s="6"/>
      <c r="F182" s="6"/>
      <c r="G182" s="6"/>
      <c r="H182" s="6"/>
      <c r="I182" s="57"/>
      <c r="J182" s="57"/>
      <c r="K182" s="57"/>
      <c r="L182" s="127"/>
    </row>
    <row r="183" spans="2:12" x14ac:dyDescent="0.25">
      <c r="B183" s="6"/>
      <c r="C183" s="6"/>
      <c r="D183" s="6"/>
      <c r="E183" s="6"/>
      <c r="F183" s="6"/>
      <c r="G183" s="6"/>
      <c r="H183" s="6"/>
      <c r="I183" s="57"/>
      <c r="J183" s="57"/>
      <c r="K183" s="57"/>
      <c r="L183" s="127"/>
    </row>
    <row r="184" spans="2:12" x14ac:dyDescent="0.25">
      <c r="B184" s="6"/>
      <c r="C184" s="6"/>
      <c r="D184" s="6"/>
      <c r="E184" s="6"/>
      <c r="F184" s="6"/>
      <c r="G184" s="6"/>
      <c r="H184" s="6"/>
      <c r="I184" s="57"/>
      <c r="J184" s="57"/>
      <c r="K184" s="57"/>
      <c r="L184" s="127"/>
    </row>
    <row r="185" spans="2:12" x14ac:dyDescent="0.25">
      <c r="B185" s="6"/>
      <c r="C185" s="6"/>
      <c r="D185" s="6"/>
      <c r="E185" s="6"/>
      <c r="F185" s="6"/>
      <c r="G185" s="6"/>
      <c r="H185" s="6"/>
      <c r="I185" s="57"/>
      <c r="J185" s="57"/>
      <c r="K185" s="57"/>
      <c r="L185" s="127"/>
    </row>
    <row r="186" spans="2:12" x14ac:dyDescent="0.25">
      <c r="B186" s="6"/>
      <c r="C186" s="6"/>
      <c r="D186" s="6"/>
      <c r="E186" s="6"/>
      <c r="F186" s="6"/>
      <c r="G186" s="6"/>
      <c r="H186" s="6"/>
      <c r="I186" s="57"/>
      <c r="J186" s="57"/>
      <c r="K186" s="57"/>
      <c r="L186" s="127"/>
    </row>
    <row r="187" spans="2:12" x14ac:dyDescent="0.25">
      <c r="B187" s="6"/>
      <c r="C187" s="6"/>
      <c r="D187" s="6"/>
      <c r="E187" s="6"/>
      <c r="F187" s="6"/>
      <c r="G187" s="6"/>
      <c r="H187" s="6"/>
      <c r="I187" s="57"/>
      <c r="J187" s="57"/>
      <c r="K187" s="57"/>
      <c r="L187" s="127"/>
    </row>
    <row r="188" spans="2:12" x14ac:dyDescent="0.25">
      <c r="B188" s="6"/>
      <c r="C188" s="6"/>
      <c r="D188" s="6"/>
      <c r="E188" s="6"/>
      <c r="F188" s="6"/>
      <c r="G188" s="6"/>
      <c r="H188" s="6"/>
      <c r="I188" s="57"/>
      <c r="J188" s="57"/>
      <c r="K188" s="57"/>
      <c r="L188" s="127"/>
    </row>
    <row r="189" spans="2:12" x14ac:dyDescent="0.25">
      <c r="B189" s="6"/>
      <c r="C189" s="6"/>
      <c r="D189" s="6"/>
      <c r="E189" s="6"/>
      <c r="F189" s="6"/>
      <c r="G189" s="6"/>
      <c r="H189" s="6"/>
      <c r="I189" s="57"/>
      <c r="J189" s="57"/>
      <c r="K189" s="57"/>
      <c r="L189" s="127"/>
    </row>
    <row r="190" spans="2:12" x14ac:dyDescent="0.25">
      <c r="B190" s="6"/>
      <c r="C190" s="6"/>
      <c r="D190" s="6"/>
      <c r="E190" s="6"/>
      <c r="F190" s="6"/>
      <c r="G190" s="6"/>
      <c r="H190" s="6"/>
      <c r="I190" s="57"/>
      <c r="J190" s="57"/>
      <c r="K190" s="57"/>
      <c r="L190" s="127"/>
    </row>
    <row r="191" spans="2:12" x14ac:dyDescent="0.25">
      <c r="B191" s="6"/>
      <c r="C191" s="6"/>
      <c r="D191" s="6"/>
      <c r="E191" s="6"/>
      <c r="F191" s="6"/>
      <c r="G191" s="6"/>
      <c r="H191" s="6"/>
      <c r="I191" s="57"/>
      <c r="J191" s="57"/>
      <c r="K191" s="57"/>
      <c r="L191" s="127"/>
    </row>
    <row r="192" spans="2:12" x14ac:dyDescent="0.25">
      <c r="B192" s="6"/>
      <c r="C192" s="6"/>
      <c r="D192" s="6"/>
      <c r="E192" s="6"/>
      <c r="F192" s="6"/>
      <c r="G192" s="6"/>
      <c r="H192" s="6"/>
      <c r="I192" s="57"/>
      <c r="J192" s="57"/>
      <c r="K192" s="57"/>
      <c r="L192" s="127"/>
    </row>
    <row r="193" spans="2:12" x14ac:dyDescent="0.25">
      <c r="B193" s="6"/>
      <c r="C193" s="6"/>
      <c r="D193" s="6"/>
      <c r="E193" s="6"/>
      <c r="F193" s="6"/>
      <c r="G193" s="6"/>
      <c r="H193" s="6"/>
      <c r="I193" s="57"/>
      <c r="J193" s="57"/>
      <c r="K193" s="57"/>
      <c r="L193" s="127"/>
    </row>
    <row r="194" spans="2:12" x14ac:dyDescent="0.25">
      <c r="B194" s="6"/>
      <c r="C194" s="6"/>
      <c r="D194" s="6"/>
      <c r="E194" s="6"/>
      <c r="F194" s="6"/>
      <c r="G194" s="6"/>
      <c r="H194" s="6"/>
      <c r="I194" s="57"/>
      <c r="J194" s="57"/>
      <c r="K194" s="57"/>
      <c r="L194" s="127"/>
    </row>
    <row r="195" spans="2:12" x14ac:dyDescent="0.25">
      <c r="B195" s="6"/>
      <c r="C195" s="6"/>
      <c r="D195" s="6"/>
      <c r="E195" s="6"/>
      <c r="F195" s="6"/>
      <c r="G195" s="6"/>
      <c r="H195" s="6"/>
      <c r="I195" s="57"/>
      <c r="J195" s="57"/>
      <c r="K195" s="57"/>
      <c r="L195" s="127"/>
    </row>
    <row r="196" spans="2:12" x14ac:dyDescent="0.25">
      <c r="B196" s="6"/>
      <c r="C196" s="6"/>
      <c r="D196" s="6"/>
      <c r="E196" s="6"/>
      <c r="F196" s="6"/>
      <c r="G196" s="6"/>
      <c r="H196" s="6"/>
      <c r="I196" s="57"/>
      <c r="J196" s="57"/>
      <c r="K196" s="57"/>
      <c r="L196" s="127"/>
    </row>
    <row r="197" spans="2:12" x14ac:dyDescent="0.25">
      <c r="B197" s="6"/>
      <c r="C197" s="6"/>
      <c r="D197" s="6"/>
      <c r="E197" s="6"/>
      <c r="F197" s="6"/>
      <c r="G197" s="6"/>
      <c r="H197" s="6"/>
      <c r="I197" s="57"/>
      <c r="J197" s="57"/>
      <c r="K197" s="57"/>
      <c r="L197" s="127"/>
    </row>
    <row r="198" spans="2:12" x14ac:dyDescent="0.25">
      <c r="B198" s="6"/>
      <c r="C198" s="6"/>
      <c r="D198" s="6"/>
      <c r="E198" s="6"/>
      <c r="F198" s="6"/>
      <c r="G198" s="6"/>
      <c r="H198" s="6"/>
      <c r="I198" s="57"/>
      <c r="J198" s="57"/>
      <c r="K198" s="57"/>
      <c r="L198" s="127"/>
    </row>
    <row r="199" spans="2:12" x14ac:dyDescent="0.25">
      <c r="B199" s="6"/>
      <c r="C199" s="6"/>
      <c r="D199" s="6"/>
      <c r="E199" s="6"/>
      <c r="F199" s="6"/>
      <c r="G199" s="6"/>
      <c r="H199" s="6"/>
      <c r="I199" s="57"/>
      <c r="J199" s="57"/>
      <c r="K199" s="57"/>
      <c r="L199" s="127"/>
    </row>
    <row r="200" spans="2:12" x14ac:dyDescent="0.25">
      <c r="B200" s="6"/>
      <c r="C200" s="6"/>
      <c r="D200" s="6"/>
      <c r="E200" s="6"/>
      <c r="F200" s="6"/>
      <c r="G200" s="6"/>
      <c r="H200" s="6"/>
      <c r="I200" s="57"/>
      <c r="J200" s="57"/>
      <c r="K200" s="57"/>
      <c r="L200" s="127"/>
    </row>
    <row r="201" spans="2:12" x14ac:dyDescent="0.25">
      <c r="B201" s="6"/>
      <c r="C201" s="6"/>
      <c r="D201" s="6"/>
      <c r="E201" s="6"/>
      <c r="F201" s="6"/>
      <c r="G201" s="6"/>
      <c r="H201" s="6"/>
      <c r="I201" s="57"/>
      <c r="J201" s="57"/>
      <c r="K201" s="57"/>
      <c r="L201" s="127"/>
    </row>
    <row r="202" spans="2:12" x14ac:dyDescent="0.25">
      <c r="B202" s="6"/>
      <c r="C202" s="6"/>
      <c r="D202" s="6"/>
      <c r="E202" s="6"/>
      <c r="F202" s="6"/>
      <c r="G202" s="6"/>
      <c r="H202" s="6"/>
      <c r="I202" s="57"/>
      <c r="J202" s="57"/>
      <c r="K202" s="57"/>
      <c r="L202" s="127"/>
    </row>
    <row r="203" spans="2:12" x14ac:dyDescent="0.25">
      <c r="B203" s="6"/>
      <c r="C203" s="6"/>
      <c r="D203" s="6"/>
      <c r="E203" s="6"/>
      <c r="F203" s="6"/>
      <c r="G203" s="6"/>
      <c r="H203" s="6"/>
      <c r="I203" s="57"/>
      <c r="J203" s="57"/>
      <c r="K203" s="57"/>
      <c r="L203" s="127"/>
    </row>
    <row r="204" spans="2:12" x14ac:dyDescent="0.25">
      <c r="B204" s="6"/>
      <c r="C204" s="6"/>
      <c r="D204" s="6"/>
      <c r="E204" s="6"/>
      <c r="F204" s="6"/>
      <c r="G204" s="6"/>
      <c r="H204" s="6"/>
      <c r="I204" s="57"/>
      <c r="J204" s="57"/>
      <c r="K204" s="57"/>
      <c r="L204" s="127"/>
    </row>
    <row r="205" spans="2:12" x14ac:dyDescent="0.25">
      <c r="B205" s="6"/>
      <c r="C205" s="6"/>
      <c r="D205" s="6"/>
      <c r="E205" s="6"/>
      <c r="F205" s="6"/>
      <c r="G205" s="6"/>
      <c r="H205" s="6"/>
      <c r="I205" s="57"/>
      <c r="J205" s="57"/>
      <c r="K205" s="57"/>
      <c r="L205" s="127"/>
    </row>
    <row r="206" spans="2:12" x14ac:dyDescent="0.25">
      <c r="B206" s="6"/>
      <c r="C206" s="6"/>
      <c r="D206" s="6"/>
      <c r="E206" s="6"/>
      <c r="F206" s="6"/>
      <c r="G206" s="6"/>
      <c r="H206" s="6"/>
      <c r="I206" s="57"/>
      <c r="J206" s="57"/>
      <c r="K206" s="57"/>
      <c r="L206" s="127"/>
    </row>
    <row r="207" spans="2:12" x14ac:dyDescent="0.25">
      <c r="B207" s="6"/>
      <c r="C207" s="6"/>
      <c r="D207" s="6"/>
      <c r="E207" s="6"/>
      <c r="F207" s="6"/>
      <c r="G207" s="6"/>
      <c r="H207" s="6"/>
      <c r="I207" s="57"/>
      <c r="J207" s="57"/>
      <c r="K207" s="57"/>
      <c r="L207" s="127"/>
    </row>
    <row r="208" spans="2:12" x14ac:dyDescent="0.25">
      <c r="B208" s="6"/>
      <c r="C208" s="6"/>
      <c r="D208" s="6"/>
      <c r="E208" s="6"/>
      <c r="F208" s="6"/>
      <c r="G208" s="6"/>
      <c r="H208" s="6"/>
      <c r="I208" s="57"/>
      <c r="J208" s="57"/>
      <c r="K208" s="57"/>
      <c r="L208" s="127"/>
    </row>
    <row r="209" spans="2:12" x14ac:dyDescent="0.25">
      <c r="B209" s="6"/>
      <c r="C209" s="6"/>
      <c r="D209" s="6"/>
      <c r="E209" s="6"/>
      <c r="F209" s="6"/>
      <c r="G209" s="6"/>
      <c r="H209" s="6"/>
      <c r="I209" s="57"/>
      <c r="J209" s="57"/>
      <c r="K209" s="57"/>
      <c r="L209" s="127"/>
    </row>
    <row r="210" spans="2:12" x14ac:dyDescent="0.25">
      <c r="B210" s="6"/>
      <c r="C210" s="6"/>
      <c r="D210" s="6"/>
      <c r="E210" s="6"/>
      <c r="F210" s="6"/>
      <c r="G210" s="6"/>
      <c r="H210" s="6"/>
      <c r="I210" s="57"/>
      <c r="J210" s="57"/>
      <c r="K210" s="57"/>
      <c r="L210" s="127"/>
    </row>
    <row r="211" spans="2:12" x14ac:dyDescent="0.25">
      <c r="B211" s="6"/>
      <c r="C211" s="6"/>
      <c r="D211" s="6"/>
      <c r="E211" s="6"/>
      <c r="F211" s="6"/>
      <c r="G211" s="6"/>
      <c r="H211" s="6"/>
      <c r="I211" s="57"/>
      <c r="J211" s="57"/>
      <c r="K211" s="57"/>
      <c r="L211" s="127"/>
    </row>
    <row r="212" spans="2:12" x14ac:dyDescent="0.25">
      <c r="B212" s="6"/>
      <c r="C212" s="6"/>
      <c r="D212" s="6"/>
      <c r="E212" s="6"/>
      <c r="F212" s="6"/>
      <c r="G212" s="6"/>
      <c r="H212" s="6"/>
      <c r="I212" s="57"/>
      <c r="J212" s="57"/>
      <c r="K212" s="57"/>
      <c r="L212" s="127"/>
    </row>
    <row r="213" spans="2:12" x14ac:dyDescent="0.25">
      <c r="B213" s="6"/>
      <c r="C213" s="6"/>
      <c r="D213" s="6"/>
      <c r="E213" s="6"/>
      <c r="F213" s="6"/>
      <c r="G213" s="6"/>
      <c r="H213" s="6"/>
      <c r="I213" s="57"/>
      <c r="J213" s="57"/>
      <c r="K213" s="57"/>
      <c r="L213" s="127"/>
    </row>
    <row r="214" spans="2:12" x14ac:dyDescent="0.25">
      <c r="B214" s="6"/>
      <c r="C214" s="6"/>
      <c r="D214" s="6"/>
      <c r="E214" s="6"/>
      <c r="F214" s="6"/>
      <c r="G214" s="6"/>
      <c r="H214" s="6"/>
      <c r="I214" s="57"/>
      <c r="J214" s="57"/>
      <c r="K214" s="57"/>
      <c r="L214" s="127"/>
    </row>
    <row r="215" spans="2:12" x14ac:dyDescent="0.25">
      <c r="B215" s="6"/>
      <c r="C215" s="6"/>
      <c r="D215" s="6"/>
      <c r="E215" s="6"/>
      <c r="F215" s="6"/>
      <c r="G215" s="6"/>
      <c r="H215" s="6"/>
      <c r="I215" s="57"/>
      <c r="J215" s="57"/>
      <c r="K215" s="57"/>
      <c r="L215" s="127"/>
    </row>
    <row r="216" spans="2:12" x14ac:dyDescent="0.25">
      <c r="B216" s="6"/>
      <c r="C216" s="6"/>
      <c r="D216" s="6"/>
      <c r="E216" s="6"/>
      <c r="F216" s="6"/>
      <c r="G216" s="6"/>
      <c r="H216" s="6"/>
      <c r="I216" s="57"/>
      <c r="J216" s="57"/>
      <c r="K216" s="57"/>
      <c r="L216" s="127"/>
    </row>
    <row r="217" spans="2:12" x14ac:dyDescent="0.25">
      <c r="B217" s="6"/>
      <c r="C217" s="6"/>
      <c r="D217" s="6"/>
      <c r="E217" s="6"/>
      <c r="F217" s="6"/>
      <c r="G217" s="6"/>
      <c r="H217" s="6"/>
      <c r="I217" s="57"/>
      <c r="J217" s="57"/>
      <c r="K217" s="57"/>
      <c r="L217" s="127"/>
    </row>
    <row r="218" spans="2:12" x14ac:dyDescent="0.25">
      <c r="B218" s="6"/>
      <c r="C218" s="6"/>
      <c r="D218" s="6"/>
      <c r="E218" s="6"/>
      <c r="F218" s="6"/>
      <c r="G218" s="6"/>
      <c r="H218" s="6"/>
      <c r="I218" s="57"/>
      <c r="J218" s="57"/>
      <c r="K218" s="57"/>
      <c r="L218" s="127"/>
    </row>
    <row r="219" spans="2:12" x14ac:dyDescent="0.25">
      <c r="B219" s="6"/>
      <c r="C219" s="6"/>
      <c r="D219" s="6"/>
      <c r="E219" s="6"/>
      <c r="F219" s="6"/>
      <c r="G219" s="6"/>
      <c r="H219" s="6"/>
      <c r="I219" s="57"/>
      <c r="J219" s="57"/>
      <c r="K219" s="57"/>
      <c r="L219" s="127"/>
    </row>
    <row r="220" spans="2:12" x14ac:dyDescent="0.25">
      <c r="B220" s="6"/>
      <c r="C220" s="6"/>
      <c r="D220" s="6"/>
      <c r="E220" s="6"/>
      <c r="F220" s="6"/>
      <c r="G220" s="6"/>
      <c r="H220" s="6"/>
      <c r="I220" s="57"/>
      <c r="J220" s="57"/>
      <c r="K220" s="57"/>
      <c r="L220" s="127"/>
    </row>
    <row r="221" spans="2:12" x14ac:dyDescent="0.25">
      <c r="B221" s="6"/>
      <c r="C221" s="6"/>
      <c r="D221" s="6"/>
      <c r="E221" s="6"/>
      <c r="F221" s="6"/>
      <c r="G221" s="6"/>
      <c r="H221" s="6"/>
      <c r="I221" s="57"/>
      <c r="J221" s="57"/>
      <c r="K221" s="57"/>
      <c r="L221" s="127"/>
    </row>
    <row r="222" spans="2:12" x14ac:dyDescent="0.25">
      <c r="B222" s="6"/>
      <c r="C222" s="6"/>
      <c r="D222" s="6"/>
      <c r="E222" s="6"/>
      <c r="F222" s="6"/>
      <c r="G222" s="6"/>
      <c r="H222" s="6"/>
      <c r="I222" s="57"/>
      <c r="J222" s="57"/>
      <c r="K222" s="57"/>
      <c r="L222" s="127"/>
    </row>
    <row r="223" spans="2:12" x14ac:dyDescent="0.25">
      <c r="B223" s="6"/>
      <c r="C223" s="6"/>
      <c r="D223" s="6"/>
      <c r="E223" s="6"/>
      <c r="F223" s="6"/>
      <c r="G223" s="6"/>
      <c r="H223" s="6"/>
      <c r="I223" s="57"/>
      <c r="J223" s="57"/>
      <c r="K223" s="57"/>
      <c r="L223" s="127"/>
    </row>
    <row r="224" spans="2:12" x14ac:dyDescent="0.25">
      <c r="B224" s="6"/>
      <c r="C224" s="6"/>
      <c r="D224" s="6"/>
      <c r="E224" s="6"/>
      <c r="F224" s="6"/>
      <c r="G224" s="6"/>
      <c r="H224" s="6"/>
      <c r="I224" s="57"/>
      <c r="J224" s="57"/>
      <c r="K224" s="57"/>
      <c r="L224" s="127"/>
    </row>
    <row r="225" spans="2:12" x14ac:dyDescent="0.25">
      <c r="B225" s="6"/>
      <c r="C225" s="6"/>
      <c r="D225" s="6"/>
      <c r="E225" s="6"/>
      <c r="F225" s="6"/>
      <c r="G225" s="6"/>
      <c r="H225" s="6"/>
      <c r="I225" s="57"/>
      <c r="J225" s="57"/>
      <c r="K225" s="57"/>
      <c r="L225" s="127"/>
    </row>
    <row r="226" spans="2:12" x14ac:dyDescent="0.25">
      <c r="B226" s="6"/>
      <c r="C226" s="6"/>
      <c r="D226" s="6"/>
      <c r="E226" s="6"/>
      <c r="F226" s="6"/>
      <c r="G226" s="6"/>
      <c r="H226" s="6"/>
      <c r="I226" s="57"/>
      <c r="J226" s="57"/>
      <c r="K226" s="57"/>
      <c r="L226" s="127"/>
    </row>
    <row r="227" spans="2:12" x14ac:dyDescent="0.25">
      <c r="B227" s="6"/>
      <c r="C227" s="6"/>
      <c r="D227" s="6"/>
      <c r="E227" s="6"/>
      <c r="F227" s="6"/>
      <c r="G227" s="6"/>
      <c r="H227" s="6"/>
      <c r="I227" s="57"/>
      <c r="J227" s="57"/>
      <c r="K227" s="57"/>
      <c r="L227" s="127"/>
    </row>
    <row r="228" spans="2:12" x14ac:dyDescent="0.25">
      <c r="B228" s="6"/>
      <c r="C228" s="6"/>
      <c r="D228" s="6"/>
      <c r="E228" s="6"/>
      <c r="F228" s="6"/>
      <c r="G228" s="6"/>
      <c r="H228" s="6"/>
      <c r="I228" s="57"/>
      <c r="J228" s="57"/>
      <c r="K228" s="57"/>
      <c r="L228" s="127"/>
    </row>
    <row r="229" spans="2:12" x14ac:dyDescent="0.25">
      <c r="B229" s="6"/>
      <c r="C229" s="6"/>
      <c r="D229" s="6"/>
      <c r="E229" s="6"/>
      <c r="F229" s="6"/>
      <c r="G229" s="6"/>
      <c r="H229" s="6"/>
      <c r="I229" s="57"/>
      <c r="J229" s="57"/>
      <c r="K229" s="57"/>
      <c r="L229" s="127"/>
    </row>
    <row r="230" spans="2:12" x14ac:dyDescent="0.25">
      <c r="B230" s="6"/>
      <c r="C230" s="6"/>
      <c r="D230" s="6"/>
      <c r="E230" s="6"/>
      <c r="F230" s="6"/>
      <c r="G230" s="6"/>
      <c r="H230" s="6"/>
      <c r="I230" s="57"/>
      <c r="J230" s="57"/>
      <c r="K230" s="57"/>
      <c r="L230" s="127"/>
    </row>
    <row r="231" spans="2:12" x14ac:dyDescent="0.25">
      <c r="B231" s="6"/>
      <c r="C231" s="6"/>
      <c r="D231" s="6"/>
      <c r="E231" s="6"/>
      <c r="F231" s="6"/>
      <c r="G231" s="6"/>
      <c r="H231" s="6"/>
      <c r="I231" s="57"/>
      <c r="J231" s="57"/>
      <c r="K231" s="57"/>
      <c r="L231" s="127"/>
    </row>
    <row r="232" spans="2:12" x14ac:dyDescent="0.25">
      <c r="B232" s="6"/>
      <c r="C232" s="6"/>
      <c r="D232" s="6"/>
      <c r="E232" s="6"/>
      <c r="F232" s="6"/>
      <c r="G232" s="6"/>
      <c r="H232" s="6"/>
      <c r="I232" s="57"/>
      <c r="J232" s="57"/>
      <c r="K232" s="57"/>
      <c r="L232" s="127"/>
    </row>
    <row r="233" spans="2:12" x14ac:dyDescent="0.25">
      <c r="B233" s="6"/>
      <c r="C233" s="6"/>
      <c r="D233" s="6"/>
      <c r="E233" s="6"/>
      <c r="F233" s="6"/>
      <c r="G233" s="6"/>
      <c r="H233" s="6"/>
      <c r="I233" s="57"/>
      <c r="J233" s="57"/>
      <c r="K233" s="57"/>
      <c r="L233" s="127"/>
    </row>
    <row r="234" spans="2:12" x14ac:dyDescent="0.25">
      <c r="B234" s="6"/>
      <c r="C234" s="6"/>
      <c r="D234" s="6"/>
      <c r="E234" s="6"/>
      <c r="F234" s="6"/>
      <c r="G234" s="6"/>
      <c r="H234" s="6"/>
      <c r="I234" s="57"/>
      <c r="J234" s="57"/>
      <c r="K234" s="57"/>
      <c r="L234" s="127"/>
    </row>
    <row r="235" spans="2:12" x14ac:dyDescent="0.25">
      <c r="B235" s="6"/>
      <c r="C235" s="6"/>
      <c r="D235" s="6"/>
      <c r="E235" s="6"/>
      <c r="F235" s="6"/>
      <c r="G235" s="6"/>
      <c r="H235" s="6"/>
      <c r="I235" s="57"/>
      <c r="J235" s="57"/>
      <c r="K235" s="57"/>
      <c r="L235" s="127"/>
    </row>
    <row r="236" spans="2:12" x14ac:dyDescent="0.25">
      <c r="B236" s="6"/>
      <c r="C236" s="6"/>
      <c r="D236" s="6"/>
      <c r="E236" s="6"/>
      <c r="F236" s="6"/>
      <c r="G236" s="6"/>
      <c r="H236" s="6"/>
      <c r="I236" s="57"/>
      <c r="J236" s="57"/>
      <c r="K236" s="57"/>
      <c r="L236" s="127"/>
    </row>
  </sheetData>
  <autoFilter ref="B7:K35"/>
  <mergeCells count="6">
    <mergeCell ref="I6:K6"/>
    <mergeCell ref="B1:E1"/>
    <mergeCell ref="B3:E3"/>
    <mergeCell ref="B2:E2"/>
    <mergeCell ref="B6:G6"/>
    <mergeCell ref="B4:E4"/>
  </mergeCells>
  <conditionalFormatting sqref="B7:K35">
    <cfRule type="expression" dxfId="88" priority="3">
      <formula>$K7&lt;0</formula>
    </cfRule>
    <cfRule type="expression" dxfId="87" priority="4">
      <formula>$K7&lt;=0</formula>
    </cfRule>
  </conditionalFormatting>
  <conditionalFormatting sqref="L8:L35">
    <cfRule type="expression" dxfId="86" priority="1">
      <formula>$K8&lt;0</formula>
    </cfRule>
    <cfRule type="expression" dxfId="85" priority="2">
      <formula>$K8&lt;=0</formula>
    </cfRule>
  </conditionalFormatting>
  <pageMargins left="0.70866141732283472" right="0.70866141732283472" top="0.74803149606299213" bottom="0.74803149606299213" header="0.31496062992125984" footer="0.31496062992125984"/>
  <pageSetup paperSize="9" scale="7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415"/>
  <sheetViews>
    <sheetView zoomScale="130" zoomScaleNormal="130" workbookViewId="0">
      <pane ySplit="7" topLeftCell="A23" activePane="bottomLeft" state="frozen"/>
      <selection activeCell="I13" sqref="I13"/>
      <selection pane="bottomLeft" activeCell="D6" sqref="D6"/>
    </sheetView>
  </sheetViews>
  <sheetFormatPr defaultColWidth="9" defaultRowHeight="15" outlineLevelCol="1" x14ac:dyDescent="0.25"/>
  <cols>
    <col min="1" max="1" width="2.125" style="3" customWidth="1"/>
    <col min="2" max="2" width="5.25" style="3" customWidth="1"/>
    <col min="3" max="3" width="8.375" style="3" customWidth="1"/>
    <col min="4" max="4" width="49.25" style="3" customWidth="1"/>
    <col min="5" max="5" width="10.25" style="3" customWidth="1"/>
    <col min="6" max="7" width="8.25" style="3" customWidth="1"/>
    <col min="8" max="8" width="9.75" style="3" customWidth="1"/>
    <col min="9" max="9" width="10.875" style="3" customWidth="1"/>
    <col min="10" max="10" width="9.25" style="3" customWidth="1"/>
    <col min="11" max="11" width="11.25" style="3" customWidth="1"/>
    <col min="12" max="12" width="11" style="3" customWidth="1"/>
    <col min="13" max="13" width="10.25" style="3" customWidth="1"/>
    <col min="14" max="14" width="11.875" style="3" hidden="1" customWidth="1"/>
    <col min="15" max="15" width="13.25" style="3" hidden="1" customWidth="1" outlineLevel="1"/>
    <col min="16" max="17" width="14.375" style="3" hidden="1" customWidth="1" outlineLevel="1"/>
    <col min="18" max="18" width="9.25" style="3" customWidth="1" collapsed="1"/>
    <col min="19" max="19" width="9" style="3" customWidth="1"/>
    <col min="20" max="16384" width="9" style="3"/>
  </cols>
  <sheetData>
    <row r="1" spans="2:19" ht="16.5" thickTop="1" x14ac:dyDescent="0.25">
      <c r="B1" s="153" t="s">
        <v>39</v>
      </c>
      <c r="C1" s="154"/>
      <c r="D1" s="154"/>
      <c r="E1" s="155"/>
      <c r="F1" s="1"/>
      <c r="G1" s="1"/>
      <c r="H1" s="1"/>
      <c r="I1" s="1"/>
      <c r="J1" s="1"/>
      <c r="K1" s="1"/>
      <c r="L1" s="1"/>
      <c r="M1" s="2"/>
    </row>
    <row r="2" spans="2:19" ht="12" customHeight="1" thickBot="1" x14ac:dyDescent="0.3">
      <c r="B2" s="139"/>
      <c r="C2" s="140"/>
      <c r="D2" s="140"/>
      <c r="E2" s="140"/>
      <c r="F2" s="6"/>
      <c r="G2" s="6"/>
      <c r="H2" s="6"/>
      <c r="I2" s="6"/>
      <c r="J2" s="6"/>
      <c r="K2" s="6"/>
      <c r="L2" s="6"/>
      <c r="M2" s="7"/>
    </row>
    <row r="3" spans="2:19" x14ac:dyDescent="0.25">
      <c r="B3" s="156" t="s">
        <v>89</v>
      </c>
      <c r="C3" s="157"/>
      <c r="D3" s="157"/>
      <c r="E3" s="158"/>
      <c r="F3" s="6"/>
      <c r="G3" s="6"/>
      <c r="H3" s="6"/>
      <c r="I3" s="6"/>
      <c r="J3" s="6"/>
      <c r="K3" s="6"/>
      <c r="L3" s="6"/>
      <c r="M3" s="7"/>
      <c r="O3" s="145" t="s">
        <v>111</v>
      </c>
      <c r="P3" s="146"/>
      <c r="Q3" s="147"/>
    </row>
    <row r="4" spans="2:19" ht="12" customHeight="1" thickBot="1" x14ac:dyDescent="0.3">
      <c r="B4" s="143"/>
      <c r="C4" s="144"/>
      <c r="D4" s="144"/>
      <c r="E4" s="144"/>
      <c r="F4" s="6"/>
      <c r="G4" s="6"/>
      <c r="H4" s="6"/>
      <c r="I4" s="6"/>
      <c r="J4" s="6"/>
      <c r="K4" s="6"/>
      <c r="L4" s="6"/>
      <c r="M4" s="7"/>
      <c r="O4" s="148"/>
      <c r="P4" s="149"/>
      <c r="Q4" s="150"/>
    </row>
    <row r="5" spans="2:19" ht="16.5" thickBot="1" x14ac:dyDescent="0.3">
      <c r="B5" s="10" t="s">
        <v>102</v>
      </c>
      <c r="C5" s="11"/>
      <c r="D5" s="77">
        <f>PVC!D5</f>
        <v>43435</v>
      </c>
      <c r="E5" s="59"/>
      <c r="F5" s="6"/>
      <c r="G5" s="6"/>
      <c r="H5" s="6"/>
      <c r="I5" s="6"/>
      <c r="J5" s="6"/>
      <c r="K5" s="6"/>
      <c r="L5" s="6"/>
      <c r="M5" s="7"/>
    </row>
    <row r="6" spans="2:19" ht="16.5" thickTop="1" thickBot="1" x14ac:dyDescent="0.3">
      <c r="B6" s="68"/>
      <c r="C6" s="6"/>
      <c r="D6" s="6"/>
      <c r="E6" s="6"/>
      <c r="F6" s="6"/>
      <c r="G6" s="6"/>
      <c r="H6" s="6"/>
      <c r="I6" s="6"/>
      <c r="J6" s="6"/>
      <c r="K6" s="151" t="s">
        <v>23</v>
      </c>
      <c r="L6" s="152"/>
      <c r="M6" s="7"/>
      <c r="O6" s="13" t="s">
        <v>112</v>
      </c>
      <c r="P6" s="13" t="s">
        <v>113</v>
      </c>
      <c r="Q6" s="13" t="s">
        <v>114</v>
      </c>
    </row>
    <row r="7" spans="2:19" ht="38.25" customHeight="1" thickTop="1" thickBot="1" x14ac:dyDescent="0.3">
      <c r="B7" s="96" t="s">
        <v>0</v>
      </c>
      <c r="C7" s="92" t="s">
        <v>38</v>
      </c>
      <c r="D7" s="92" t="s">
        <v>1</v>
      </c>
      <c r="E7" s="92" t="s">
        <v>6</v>
      </c>
      <c r="F7" s="92" t="s">
        <v>2</v>
      </c>
      <c r="G7" s="93" t="s">
        <v>62</v>
      </c>
      <c r="H7" s="94" t="s">
        <v>3</v>
      </c>
      <c r="I7" s="95" t="s">
        <v>4</v>
      </c>
      <c r="J7" s="18" t="s">
        <v>5</v>
      </c>
      <c r="K7" s="19" t="s">
        <v>25</v>
      </c>
      <c r="L7" s="19" t="s">
        <v>26</v>
      </c>
      <c r="M7" s="60" t="s">
        <v>55</v>
      </c>
      <c r="N7" s="21" t="s">
        <v>93</v>
      </c>
      <c r="O7" s="22" t="s">
        <v>115</v>
      </c>
      <c r="P7" s="22" t="s">
        <v>116</v>
      </c>
      <c r="Q7" s="22" t="s">
        <v>117</v>
      </c>
      <c r="R7" s="20" t="s">
        <v>103</v>
      </c>
      <c r="S7" s="20" t="s">
        <v>104</v>
      </c>
    </row>
    <row r="8" spans="2:19" ht="19.5" customHeight="1" thickTop="1" x14ac:dyDescent="0.25">
      <c r="B8" s="65">
        <v>1</v>
      </c>
      <c r="C8" s="29" t="s">
        <v>36</v>
      </c>
      <c r="D8" s="69" t="s">
        <v>24</v>
      </c>
      <c r="E8" s="44" t="s">
        <v>78</v>
      </c>
      <c r="F8" s="29" t="s">
        <v>22</v>
      </c>
      <c r="G8" s="29">
        <v>3531</v>
      </c>
      <c r="H8" s="30">
        <v>3531</v>
      </c>
      <c r="I8" s="31">
        <f>3531</f>
        <v>3531</v>
      </c>
      <c r="J8" s="32">
        <f t="shared" ref="J8:J21" si="0">H8-I8</f>
        <v>0</v>
      </c>
      <c r="K8" s="62">
        <f t="shared" ref="K8:K21" si="1">J8-L8</f>
        <v>0</v>
      </c>
      <c r="L8" s="33">
        <v>0</v>
      </c>
      <c r="M8" s="34">
        <f t="shared" ref="M8:M21" si="2">G8-H8</f>
        <v>0</v>
      </c>
      <c r="N8" s="35">
        <v>0</v>
      </c>
      <c r="O8" s="36">
        <v>0</v>
      </c>
      <c r="P8" s="37">
        <v>0</v>
      </c>
      <c r="Q8" s="38">
        <v>0</v>
      </c>
      <c r="R8" s="46">
        <v>3531</v>
      </c>
      <c r="S8" s="61">
        <f t="shared" ref="S8:S67" si="3">I8-R8</f>
        <v>0</v>
      </c>
    </row>
    <row r="9" spans="2:19" ht="19.5" customHeight="1" x14ac:dyDescent="0.25">
      <c r="B9" s="66">
        <v>2</v>
      </c>
      <c r="C9" s="44" t="s">
        <v>36</v>
      </c>
      <c r="D9" s="69" t="s">
        <v>24</v>
      </c>
      <c r="E9" s="44" t="s">
        <v>79</v>
      </c>
      <c r="F9" s="44" t="s">
        <v>22</v>
      </c>
      <c r="G9" s="44">
        <v>317</v>
      </c>
      <c r="H9" s="45">
        <v>317</v>
      </c>
      <c r="I9" s="46">
        <f>3+10+15+6+50+50</f>
        <v>134</v>
      </c>
      <c r="J9" s="47">
        <f t="shared" si="0"/>
        <v>183</v>
      </c>
      <c r="K9" s="63">
        <f t="shared" si="1"/>
        <v>0</v>
      </c>
      <c r="L9" s="106">
        <f>283-50-50</f>
        <v>183</v>
      </c>
      <c r="M9" s="48">
        <f t="shared" si="2"/>
        <v>0</v>
      </c>
      <c r="N9" s="35">
        <v>0</v>
      </c>
      <c r="O9" s="49">
        <v>0</v>
      </c>
      <c r="P9" s="50">
        <v>0</v>
      </c>
      <c r="Q9" s="51">
        <v>0</v>
      </c>
      <c r="R9" s="46">
        <v>134</v>
      </c>
      <c r="S9" s="46">
        <f t="shared" si="3"/>
        <v>0</v>
      </c>
    </row>
    <row r="10" spans="2:19" ht="19.5" customHeight="1" x14ac:dyDescent="0.25">
      <c r="B10" s="66">
        <v>3</v>
      </c>
      <c r="C10" s="44" t="s">
        <v>36</v>
      </c>
      <c r="D10" s="69" t="s">
        <v>28</v>
      </c>
      <c r="E10" s="44" t="s">
        <v>78</v>
      </c>
      <c r="F10" s="44" t="s">
        <v>22</v>
      </c>
      <c r="G10" s="44">
        <v>16364</v>
      </c>
      <c r="H10" s="45">
        <v>16364</v>
      </c>
      <c r="I10" s="46">
        <v>16364</v>
      </c>
      <c r="J10" s="47">
        <f t="shared" si="0"/>
        <v>0</v>
      </c>
      <c r="K10" s="63">
        <f t="shared" si="1"/>
        <v>0</v>
      </c>
      <c r="L10" s="44">
        <v>0</v>
      </c>
      <c r="M10" s="48">
        <f t="shared" si="2"/>
        <v>0</v>
      </c>
      <c r="N10" s="35">
        <v>0</v>
      </c>
      <c r="O10" s="49">
        <v>0</v>
      </c>
      <c r="P10" s="50">
        <v>0</v>
      </c>
      <c r="Q10" s="51">
        <v>0</v>
      </c>
      <c r="R10" s="46">
        <v>16364</v>
      </c>
      <c r="S10" s="46">
        <f t="shared" si="3"/>
        <v>0</v>
      </c>
    </row>
    <row r="11" spans="2:19" ht="19.5" customHeight="1" x14ac:dyDescent="0.25">
      <c r="B11" s="66">
        <v>4</v>
      </c>
      <c r="C11" s="44" t="s">
        <v>36</v>
      </c>
      <c r="D11" s="71" t="s">
        <v>28</v>
      </c>
      <c r="E11" s="44" t="s">
        <v>79</v>
      </c>
      <c r="F11" s="44" t="s">
        <v>22</v>
      </c>
      <c r="G11" s="44">
        <f>376+500</f>
        <v>876</v>
      </c>
      <c r="H11" s="45">
        <f>376+500</f>
        <v>876</v>
      </c>
      <c r="I11" s="46">
        <f>126+30+50+20+150+500-500+500</f>
        <v>876</v>
      </c>
      <c r="J11" s="47">
        <f t="shared" si="0"/>
        <v>0</v>
      </c>
      <c r="K11" s="109">
        <f t="shared" si="1"/>
        <v>0</v>
      </c>
      <c r="L11" s="44">
        <f>500-500</f>
        <v>0</v>
      </c>
      <c r="M11" s="48">
        <f t="shared" si="2"/>
        <v>0</v>
      </c>
      <c r="N11" s="35">
        <v>0</v>
      </c>
      <c r="O11" s="49">
        <v>0</v>
      </c>
      <c r="P11" s="50">
        <v>0</v>
      </c>
      <c r="Q11" s="51">
        <v>0</v>
      </c>
      <c r="R11" s="46">
        <v>876</v>
      </c>
      <c r="S11" s="46">
        <f t="shared" si="3"/>
        <v>0</v>
      </c>
    </row>
    <row r="12" spans="2:19" ht="19.5" customHeight="1" x14ac:dyDescent="0.25">
      <c r="B12" s="66">
        <v>5</v>
      </c>
      <c r="C12" s="44" t="s">
        <v>36</v>
      </c>
      <c r="D12" s="69" t="s">
        <v>29</v>
      </c>
      <c r="E12" s="44" t="s">
        <v>78</v>
      </c>
      <c r="F12" s="44" t="s">
        <v>22</v>
      </c>
      <c r="G12" s="44">
        <v>4000</v>
      </c>
      <c r="H12" s="45">
        <v>4000</v>
      </c>
      <c r="I12" s="46">
        <v>4000</v>
      </c>
      <c r="J12" s="47">
        <f t="shared" si="0"/>
        <v>0</v>
      </c>
      <c r="K12" s="63">
        <f t="shared" si="1"/>
        <v>0</v>
      </c>
      <c r="L12" s="44">
        <v>0</v>
      </c>
      <c r="M12" s="48">
        <f t="shared" si="2"/>
        <v>0</v>
      </c>
      <c r="N12" s="35">
        <v>0</v>
      </c>
      <c r="O12" s="49">
        <v>0</v>
      </c>
      <c r="P12" s="50">
        <v>0</v>
      </c>
      <c r="Q12" s="51">
        <v>0</v>
      </c>
      <c r="R12" s="46">
        <v>4000</v>
      </c>
      <c r="S12" s="46">
        <f t="shared" si="3"/>
        <v>0</v>
      </c>
    </row>
    <row r="13" spans="2:19" ht="19.5" customHeight="1" x14ac:dyDescent="0.25">
      <c r="B13" s="66">
        <v>6</v>
      </c>
      <c r="C13" s="44" t="s">
        <v>36</v>
      </c>
      <c r="D13" s="69" t="s">
        <v>29</v>
      </c>
      <c r="E13" s="44" t="s">
        <v>79</v>
      </c>
      <c r="F13" s="44" t="s">
        <v>22</v>
      </c>
      <c r="G13" s="44">
        <v>300</v>
      </c>
      <c r="H13" s="45">
        <v>300</v>
      </c>
      <c r="I13" s="46">
        <v>300</v>
      </c>
      <c r="J13" s="47">
        <f t="shared" si="0"/>
        <v>0</v>
      </c>
      <c r="K13" s="109">
        <f t="shared" si="1"/>
        <v>0</v>
      </c>
      <c r="L13" s="44">
        <v>0</v>
      </c>
      <c r="M13" s="48">
        <f t="shared" si="2"/>
        <v>0</v>
      </c>
      <c r="N13" s="35">
        <v>0</v>
      </c>
      <c r="O13" s="49">
        <v>0</v>
      </c>
      <c r="P13" s="50">
        <v>0</v>
      </c>
      <c r="Q13" s="51">
        <v>0</v>
      </c>
      <c r="R13" s="46">
        <v>300</v>
      </c>
      <c r="S13" s="46">
        <f t="shared" si="3"/>
        <v>0</v>
      </c>
    </row>
    <row r="14" spans="2:19" ht="19.5" customHeight="1" x14ac:dyDescent="0.25">
      <c r="B14" s="66">
        <v>7</v>
      </c>
      <c r="C14" s="44" t="s">
        <v>36</v>
      </c>
      <c r="D14" s="69" t="s">
        <v>30</v>
      </c>
      <c r="E14" s="44" t="s">
        <v>78</v>
      </c>
      <c r="F14" s="44" t="s">
        <v>22</v>
      </c>
      <c r="G14" s="44">
        <v>1819</v>
      </c>
      <c r="H14" s="45">
        <v>1819</v>
      </c>
      <c r="I14" s="46">
        <f>220+100+50+100+50+100+500+50+300+150+199</f>
        <v>1819</v>
      </c>
      <c r="J14" s="47">
        <f t="shared" si="0"/>
        <v>0</v>
      </c>
      <c r="K14" s="63">
        <f t="shared" si="1"/>
        <v>0</v>
      </c>
      <c r="L14" s="44">
        <v>0</v>
      </c>
      <c r="M14" s="48">
        <f t="shared" si="2"/>
        <v>0</v>
      </c>
      <c r="N14" s="35">
        <v>0</v>
      </c>
      <c r="O14" s="49">
        <v>0</v>
      </c>
      <c r="P14" s="50">
        <v>0</v>
      </c>
      <c r="Q14" s="51">
        <v>0</v>
      </c>
      <c r="R14" s="46">
        <v>1819</v>
      </c>
      <c r="S14" s="46">
        <f t="shared" si="3"/>
        <v>0</v>
      </c>
    </row>
    <row r="15" spans="2:19" ht="19.5" customHeight="1" x14ac:dyDescent="0.25">
      <c r="B15" s="66">
        <v>8</v>
      </c>
      <c r="C15" s="44" t="s">
        <v>36</v>
      </c>
      <c r="D15" s="69" t="s">
        <v>30</v>
      </c>
      <c r="E15" s="44" t="s">
        <v>79</v>
      </c>
      <c r="F15" s="44" t="s">
        <v>22</v>
      </c>
      <c r="G15" s="44">
        <f>180+200</f>
        <v>380</v>
      </c>
      <c r="H15" s="45">
        <f>180+200</f>
        <v>380</v>
      </c>
      <c r="I15" s="46">
        <f>30+15+165</f>
        <v>210</v>
      </c>
      <c r="J15" s="47">
        <f t="shared" si="0"/>
        <v>170</v>
      </c>
      <c r="K15" s="63">
        <f t="shared" si="1"/>
        <v>0</v>
      </c>
      <c r="L15" s="106">
        <f>200-30</f>
        <v>170</v>
      </c>
      <c r="M15" s="48">
        <f t="shared" si="2"/>
        <v>0</v>
      </c>
      <c r="N15" s="35">
        <v>0</v>
      </c>
      <c r="O15" s="49">
        <v>0</v>
      </c>
      <c r="P15" s="50">
        <v>0</v>
      </c>
      <c r="Q15" s="51">
        <v>0</v>
      </c>
      <c r="R15" s="46">
        <v>210</v>
      </c>
      <c r="S15" s="46">
        <f t="shared" si="3"/>
        <v>0</v>
      </c>
    </row>
    <row r="16" spans="2:19" ht="19.5" customHeight="1" x14ac:dyDescent="0.25">
      <c r="B16" s="66">
        <v>9</v>
      </c>
      <c r="C16" s="44" t="s">
        <v>36</v>
      </c>
      <c r="D16" s="69" t="s">
        <v>64</v>
      </c>
      <c r="E16" s="44" t="s">
        <v>78</v>
      </c>
      <c r="F16" s="44" t="s">
        <v>22</v>
      </c>
      <c r="G16" s="44">
        <v>5000</v>
      </c>
      <c r="H16" s="45">
        <v>5000</v>
      </c>
      <c r="I16" s="46">
        <v>5000</v>
      </c>
      <c r="J16" s="47">
        <f t="shared" si="0"/>
        <v>0</v>
      </c>
      <c r="K16" s="63">
        <f t="shared" si="1"/>
        <v>0</v>
      </c>
      <c r="L16" s="44">
        <v>0</v>
      </c>
      <c r="M16" s="48">
        <f t="shared" si="2"/>
        <v>0</v>
      </c>
      <c r="N16" s="35">
        <v>0</v>
      </c>
      <c r="O16" s="49">
        <v>0</v>
      </c>
      <c r="P16" s="50">
        <v>0</v>
      </c>
      <c r="Q16" s="51">
        <v>0</v>
      </c>
      <c r="R16" s="46">
        <v>5000</v>
      </c>
      <c r="S16" s="46">
        <f>I16-R16</f>
        <v>0</v>
      </c>
    </row>
    <row r="17" spans="2:20" ht="19.5" customHeight="1" x14ac:dyDescent="0.25">
      <c r="B17" s="66">
        <v>9</v>
      </c>
      <c r="C17" s="44" t="s">
        <v>36</v>
      </c>
      <c r="D17" s="69" t="s">
        <v>64</v>
      </c>
      <c r="E17" s="44" t="s">
        <v>79</v>
      </c>
      <c r="F17" s="44" t="s">
        <v>22</v>
      </c>
      <c r="G17" s="44">
        <f>200</f>
        <v>200</v>
      </c>
      <c r="H17" s="45">
        <f>200</f>
        <v>200</v>
      </c>
      <c r="I17" s="46">
        <f>100+100</f>
        <v>200</v>
      </c>
      <c r="J17" s="47">
        <f t="shared" si="0"/>
        <v>0</v>
      </c>
      <c r="K17" s="63">
        <f t="shared" si="1"/>
        <v>0</v>
      </c>
      <c r="L17" s="98">
        <f>200-100-100</f>
        <v>0</v>
      </c>
      <c r="M17" s="48">
        <f t="shared" si="2"/>
        <v>0</v>
      </c>
      <c r="N17" s="35">
        <v>0</v>
      </c>
      <c r="O17" s="49">
        <v>0</v>
      </c>
      <c r="P17" s="50">
        <v>0</v>
      </c>
      <c r="Q17" s="51">
        <v>0</v>
      </c>
      <c r="R17" s="46">
        <v>200</v>
      </c>
      <c r="S17" s="46">
        <f t="shared" si="3"/>
        <v>0</v>
      </c>
    </row>
    <row r="18" spans="2:20" ht="19.5" customHeight="1" x14ac:dyDescent="0.25">
      <c r="B18" s="66">
        <v>10</v>
      </c>
      <c r="C18" s="44" t="s">
        <v>36</v>
      </c>
      <c r="D18" s="69" t="s">
        <v>154</v>
      </c>
      <c r="E18" s="44" t="s">
        <v>109</v>
      </c>
      <c r="F18" s="44" t="s">
        <v>75</v>
      </c>
      <c r="G18" s="44">
        <f>2+25+33</f>
        <v>60</v>
      </c>
      <c r="H18" s="45">
        <f>2+25+33</f>
        <v>60</v>
      </c>
      <c r="I18" s="46">
        <f>2+1+2+1+1+3+3+2+3+3+2+3+1+5+2+2+6-5+5+5+1+3+1+8</f>
        <v>60</v>
      </c>
      <c r="J18" s="47">
        <f t="shared" si="0"/>
        <v>0</v>
      </c>
      <c r="K18" s="85">
        <f t="shared" si="1"/>
        <v>0</v>
      </c>
      <c r="L18" s="44">
        <f>25-1-2-1-1-3-3-5-3-2-3-1</f>
        <v>0</v>
      </c>
      <c r="M18" s="48">
        <f t="shared" si="2"/>
        <v>0</v>
      </c>
      <c r="N18" s="35">
        <v>0</v>
      </c>
      <c r="O18" s="49">
        <v>0</v>
      </c>
      <c r="P18" s="50">
        <v>0</v>
      </c>
      <c r="Q18" s="51">
        <v>0</v>
      </c>
      <c r="R18" s="46">
        <v>60</v>
      </c>
      <c r="S18" s="46">
        <f>I18-R18</f>
        <v>0</v>
      </c>
    </row>
    <row r="19" spans="2:20" ht="19.5" customHeight="1" x14ac:dyDescent="0.25">
      <c r="B19" s="66">
        <v>11</v>
      </c>
      <c r="C19" s="44" t="s">
        <v>36</v>
      </c>
      <c r="D19" s="71" t="s">
        <v>155</v>
      </c>
      <c r="E19" s="44" t="s">
        <v>109</v>
      </c>
      <c r="F19" s="44" t="s">
        <v>22</v>
      </c>
      <c r="G19" s="44">
        <f>50+1000+200+2000+400+100</f>
        <v>3750</v>
      </c>
      <c r="H19" s="45">
        <f>50+200+1000+2000+400+100</f>
        <v>3750</v>
      </c>
      <c r="I19" s="46">
        <f>50+100+100+200+24+500+76+200+500+1500+20-20+20+100</f>
        <v>3370</v>
      </c>
      <c r="J19" s="47">
        <f t="shared" si="0"/>
        <v>380</v>
      </c>
      <c r="K19" s="109">
        <f t="shared" si="1"/>
        <v>0</v>
      </c>
      <c r="L19" s="106">
        <f>200+1000-100-100-200-100-500-200+400-20</f>
        <v>380</v>
      </c>
      <c r="M19" s="48">
        <f t="shared" si="2"/>
        <v>0</v>
      </c>
      <c r="N19" s="35">
        <v>0</v>
      </c>
      <c r="O19" s="49">
        <v>0</v>
      </c>
      <c r="P19" s="50">
        <v>0</v>
      </c>
      <c r="Q19" s="51">
        <v>0</v>
      </c>
      <c r="R19" s="46">
        <v>3370</v>
      </c>
      <c r="S19" s="46">
        <f>I19-R19</f>
        <v>0</v>
      </c>
    </row>
    <row r="20" spans="2:20" ht="19.5" customHeight="1" x14ac:dyDescent="0.25">
      <c r="B20" s="66">
        <v>12</v>
      </c>
      <c r="C20" s="44" t="s">
        <v>36</v>
      </c>
      <c r="D20" s="69" t="s">
        <v>154</v>
      </c>
      <c r="E20" s="44" t="s">
        <v>78</v>
      </c>
      <c r="F20" s="44" t="s">
        <v>75</v>
      </c>
      <c r="G20" s="44">
        <f>66+300</f>
        <v>366</v>
      </c>
      <c r="H20" s="45">
        <f>66+126+174</f>
        <v>366</v>
      </c>
      <c r="I20" s="46">
        <f>2+1+1+3+3+10+10+1+2+5+5+3+2+1+2+2+8+10+3+2+19+4+3+5+5+2+5+3+5+2+1+5+3+2+3+1+4+5+1+5+1+4+2+2+1+1+2+2</f>
        <v>174</v>
      </c>
      <c r="J20" s="47">
        <f t="shared" si="0"/>
        <v>192</v>
      </c>
      <c r="K20" s="63">
        <f t="shared" si="1"/>
        <v>0</v>
      </c>
      <c r="L20" s="106">
        <f>126+174-8-1-5-9-6-15-3-3-2-5-6-1-5-5-3-5-5-1-5-2-1-2-2-2-1-1-2-2</f>
        <v>192</v>
      </c>
      <c r="M20" s="48">
        <f t="shared" si="2"/>
        <v>0</v>
      </c>
      <c r="N20" s="35">
        <v>0</v>
      </c>
      <c r="O20" s="49">
        <v>0</v>
      </c>
      <c r="P20" s="50">
        <v>0</v>
      </c>
      <c r="Q20" s="51">
        <v>0</v>
      </c>
      <c r="R20" s="46">
        <v>174</v>
      </c>
      <c r="S20" s="46">
        <f>I20-R20</f>
        <v>0</v>
      </c>
    </row>
    <row r="21" spans="2:20" ht="19.5" customHeight="1" x14ac:dyDescent="0.25">
      <c r="B21" s="66">
        <v>13</v>
      </c>
      <c r="C21" s="44" t="s">
        <v>36</v>
      </c>
      <c r="D21" s="69" t="s">
        <v>155</v>
      </c>
      <c r="E21" s="44" t="s">
        <v>78</v>
      </c>
      <c r="F21" s="44" t="s">
        <v>22</v>
      </c>
      <c r="G21" s="44">
        <f>4000+6000+1500</f>
        <v>11500</v>
      </c>
      <c r="H21" s="45">
        <f>4000+2500+3500+1100+400</f>
        <v>11500</v>
      </c>
      <c r="I21" s="46">
        <f>50+50+20+60+100+100+200+200+450+250+50+250+200+250+250+250+200+10+220+100+100+250+500+500+90+50+50+500+500+250+250+50+200+70+1000+1100+830+100+350+400+20+2+50-20+220+50+100+100-300+100+50+20</f>
        <v>10792</v>
      </c>
      <c r="J21" s="47">
        <f t="shared" si="0"/>
        <v>708</v>
      </c>
      <c r="K21" s="109">
        <f t="shared" si="1"/>
        <v>0</v>
      </c>
      <c r="L21" s="106">
        <f>2500+3500-250-450-1000-50-300-250-50-200-70-2000-100-700-130-100-350+1100+400-400-20-2-50-200-50-100-100-100+300-50-20</f>
        <v>708</v>
      </c>
      <c r="M21" s="48">
        <f t="shared" si="2"/>
        <v>0</v>
      </c>
      <c r="N21" s="35">
        <v>0</v>
      </c>
      <c r="O21" s="49">
        <v>0</v>
      </c>
      <c r="P21" s="50">
        <v>0</v>
      </c>
      <c r="Q21" s="51">
        <v>0</v>
      </c>
      <c r="R21" s="46">
        <v>10792</v>
      </c>
      <c r="S21" s="46">
        <f>I21-R21</f>
        <v>0</v>
      </c>
    </row>
    <row r="22" spans="2:20" ht="19.5" customHeight="1" x14ac:dyDescent="0.25">
      <c r="B22" s="66">
        <v>14</v>
      </c>
      <c r="C22" s="70" t="s">
        <v>37</v>
      </c>
      <c r="D22" s="69" t="s">
        <v>105</v>
      </c>
      <c r="E22" s="44" t="s">
        <v>107</v>
      </c>
      <c r="F22" s="44" t="s">
        <v>75</v>
      </c>
      <c r="G22" s="44">
        <f>5</f>
        <v>5</v>
      </c>
      <c r="H22" s="45">
        <f>5</f>
        <v>5</v>
      </c>
      <c r="I22" s="46">
        <f>1+4</f>
        <v>5</v>
      </c>
      <c r="J22" s="47">
        <f t="shared" ref="J22:J30" si="4">H22-I22</f>
        <v>0</v>
      </c>
      <c r="K22" s="109">
        <f t="shared" ref="K22:K30" si="5">J22-L22</f>
        <v>0</v>
      </c>
      <c r="L22" s="106">
        <f>4-4</f>
        <v>0</v>
      </c>
      <c r="M22" s="48">
        <f t="shared" ref="M22:M30" si="6">G22-H22</f>
        <v>0</v>
      </c>
      <c r="N22" s="35">
        <v>0</v>
      </c>
      <c r="O22" s="49">
        <v>0</v>
      </c>
      <c r="P22" s="50">
        <v>0</v>
      </c>
      <c r="Q22" s="51">
        <v>0</v>
      </c>
      <c r="R22" s="46">
        <v>5</v>
      </c>
      <c r="S22" s="46">
        <f t="shared" si="3"/>
        <v>0</v>
      </c>
    </row>
    <row r="23" spans="2:20" ht="19.5" customHeight="1" x14ac:dyDescent="0.25">
      <c r="B23" s="66">
        <v>15</v>
      </c>
      <c r="C23" s="70" t="s">
        <v>37</v>
      </c>
      <c r="D23" s="69" t="s">
        <v>105</v>
      </c>
      <c r="E23" s="44" t="s">
        <v>108</v>
      </c>
      <c r="F23" s="44" t="s">
        <v>75</v>
      </c>
      <c r="G23" s="44">
        <f>5</f>
        <v>5</v>
      </c>
      <c r="H23" s="45">
        <f>5</f>
        <v>5</v>
      </c>
      <c r="I23" s="46">
        <f>5-3+3</f>
        <v>5</v>
      </c>
      <c r="J23" s="47">
        <f t="shared" si="4"/>
        <v>0</v>
      </c>
      <c r="K23" s="109">
        <f t="shared" si="5"/>
        <v>0</v>
      </c>
      <c r="L23" s="44">
        <v>0</v>
      </c>
      <c r="M23" s="48">
        <f t="shared" si="6"/>
        <v>0</v>
      </c>
      <c r="N23" s="35">
        <v>0</v>
      </c>
      <c r="O23" s="49">
        <v>0</v>
      </c>
      <c r="P23" s="50">
        <v>0</v>
      </c>
      <c r="Q23" s="51">
        <v>0</v>
      </c>
      <c r="R23" s="46">
        <v>5</v>
      </c>
      <c r="S23" s="46">
        <f t="shared" si="3"/>
        <v>0</v>
      </c>
    </row>
    <row r="24" spans="2:20" ht="19.5" customHeight="1" x14ac:dyDescent="0.25">
      <c r="B24" s="66">
        <v>16</v>
      </c>
      <c r="C24" s="70" t="s">
        <v>37</v>
      </c>
      <c r="D24" s="69" t="s">
        <v>157</v>
      </c>
      <c r="E24" s="44" t="s">
        <v>109</v>
      </c>
      <c r="F24" s="44" t="s">
        <v>75</v>
      </c>
      <c r="G24" s="44">
        <f>15+200</f>
        <v>215</v>
      </c>
      <c r="H24" s="45">
        <f>15+42+110+48</f>
        <v>215</v>
      </c>
      <c r="I24" s="46">
        <f>2+4+9+4+5+5+1+10+5+13+5+7+10+4+5+5+3+5+10+5+1+1-15+3+5+6+1+2+5+11+2+2+6+3+23+3+3+1+3+3+2+5+5+3+7+4-1+1</f>
        <v>212</v>
      </c>
      <c r="J24" s="47">
        <f t="shared" si="4"/>
        <v>3</v>
      </c>
      <c r="K24" s="109">
        <f t="shared" si="5"/>
        <v>0</v>
      </c>
      <c r="L24" s="106">
        <f>100-3-1-1-10-7-5-5-3-15-8-3-3-4-5-5-5-10-4+1-4+4-1</f>
        <v>3</v>
      </c>
      <c r="M24" s="48">
        <f t="shared" si="6"/>
        <v>0</v>
      </c>
      <c r="N24" s="35">
        <v>0</v>
      </c>
      <c r="O24" s="49">
        <v>0</v>
      </c>
      <c r="P24" s="50">
        <v>4</v>
      </c>
      <c r="Q24" s="51">
        <v>0</v>
      </c>
      <c r="R24" s="46">
        <v>212</v>
      </c>
      <c r="S24" s="46">
        <f t="shared" si="3"/>
        <v>0</v>
      </c>
    </row>
    <row r="25" spans="2:20" ht="19.5" customHeight="1" x14ac:dyDescent="0.25">
      <c r="B25" s="66">
        <v>17</v>
      </c>
      <c r="C25" s="70" t="s">
        <v>37</v>
      </c>
      <c r="D25" s="71" t="s">
        <v>157</v>
      </c>
      <c r="E25" s="44" t="s">
        <v>78</v>
      </c>
      <c r="F25" s="44" t="s">
        <v>75</v>
      </c>
      <c r="G25" s="44">
        <f>130+100+400+70+280+350+20+300+500+250+150+82+30+50+50</f>
        <v>2762</v>
      </c>
      <c r="H25" s="45">
        <f>130+100+120+5+200+40+35+70+1+49+230+40+310+20+6+20+207+67+25+475+165+20+80+50+17+150+30+50+50</f>
        <v>2762</v>
      </c>
      <c r="I25" s="46">
        <f>45+3+5+5+5+5+2+10+2+7+5+5+15+4+6+6+4+25+3+20+5+10+10+3+10+10+15+20+5+10+4+6+2+10+10+6+5+1+2+1+15+7+6+10+10+13+10+10+6+15+15+9+5+14+5+6+6+6+5+4+5+5+6+4+10+5+5+6+30+9+9+10+5+4+6+7+20+15+25+10+1+20+25+20+35+25+10+15+10+15+10+5+10+20+12+10+10+10+10+10+5+10+5+17+20+10+35+15+10+5+5+5+15+15+10+10+10+20+20+10+15+20+10+5+10+5+10+3+3+10+10+20+10+10+10+5+5+10+11+2+2+5+10+10+10+10+10+15+3+2+5+5+10+5+5+5+5+5+5+5+5+15+10+10+10+20+5+5+5+5+5+5+5+5+14+10+5+15+5+5+11+5+3+5+15+5+5+15+10+10+10+10+5+5+5+5+5+5+5+10+5+5+10+10+3+5+5+5+7+3+3+5+5+1+4+5+5+10+2+3+5+10+2+10+10+10+2+10+5+5+15+5+10+5+5+5+47+5+8+5+2+1+1+5+18+20+20+20+15+15+20+15+10+9+2+8+5+5+2+2+5+2+1+10+2+10+2+2+5+5+2+4+76+7+3+5+2+2+3+5+10+2+2+5+5+5+10+2+2+10+5+3+22+10+2+2+3+7+2+2+3+10+5+3+7+1+30+20+10+1+2+2+10+10+3+10+2+10+2+2+11</f>
        <v>2757</v>
      </c>
      <c r="J25" s="47">
        <f t="shared" si="4"/>
        <v>5</v>
      </c>
      <c r="K25" s="109">
        <f>J25-L25</f>
        <v>0</v>
      </c>
      <c r="L25" s="106">
        <f>82-22-12-12-12-12-12+230-40-36-10-20-20-15-22-20-12-15-20+310-35-30-50-30-20-25-55-30-35+20+207-30-10+67+475-20-50-10-10-10-10-20-10-30-10-20-20-10-15-40-15-10-28-5-15-10-10-20-10-5-10-5-5-10-5-5-10-10-3-5-20+165-3-5-10-5-15-5-5-12-10-5-5-10-2-15-1-5-5-5-10-5-8-15-10-18-15-5-15-15-10-20-20-20-10-15-15-10-10-5-10-9+50-20+50-10-2-3-10-10-3-10-10-2-2-2-2-1-2-2-2-2</f>
        <v>5</v>
      </c>
      <c r="M25" s="48">
        <f t="shared" si="6"/>
        <v>0</v>
      </c>
      <c r="N25" s="35">
        <v>0</v>
      </c>
      <c r="O25" s="49">
        <v>0</v>
      </c>
      <c r="P25" s="50">
        <v>0</v>
      </c>
      <c r="Q25" s="51">
        <v>0</v>
      </c>
      <c r="R25" s="46">
        <v>2757</v>
      </c>
      <c r="S25" s="46">
        <f t="shared" si="3"/>
        <v>0</v>
      </c>
      <c r="T25" s="86">
        <v>85</v>
      </c>
    </row>
    <row r="26" spans="2:20" ht="19.5" customHeight="1" x14ac:dyDescent="0.25">
      <c r="B26" s="66">
        <v>18</v>
      </c>
      <c r="C26" s="70" t="s">
        <v>37</v>
      </c>
      <c r="D26" s="69" t="s">
        <v>156</v>
      </c>
      <c r="E26" s="44" t="s">
        <v>79</v>
      </c>
      <c r="F26" s="44" t="s">
        <v>75</v>
      </c>
      <c r="G26" s="44">
        <f>4</f>
        <v>4</v>
      </c>
      <c r="H26" s="45">
        <f>4</f>
        <v>4</v>
      </c>
      <c r="I26" s="46">
        <v>4</v>
      </c>
      <c r="J26" s="47">
        <f>H26-I26</f>
        <v>0</v>
      </c>
      <c r="K26" s="109">
        <f>J26-L26</f>
        <v>0</v>
      </c>
      <c r="L26" s="44">
        <f>4-4</f>
        <v>0</v>
      </c>
      <c r="M26" s="48">
        <f>G26-H26</f>
        <v>0</v>
      </c>
      <c r="N26" s="35">
        <v>0</v>
      </c>
      <c r="O26" s="49">
        <v>0</v>
      </c>
      <c r="P26" s="50">
        <v>0</v>
      </c>
      <c r="Q26" s="51">
        <v>0</v>
      </c>
      <c r="R26" s="46">
        <v>4</v>
      </c>
      <c r="S26" s="46">
        <f t="shared" si="3"/>
        <v>0</v>
      </c>
    </row>
    <row r="27" spans="2:20" ht="19.5" customHeight="1" x14ac:dyDescent="0.25">
      <c r="B27" s="66">
        <v>18</v>
      </c>
      <c r="C27" s="70" t="s">
        <v>37</v>
      </c>
      <c r="D27" s="69" t="s">
        <v>156</v>
      </c>
      <c r="E27" s="44" t="s">
        <v>150</v>
      </c>
      <c r="F27" s="44" t="s">
        <v>75</v>
      </c>
      <c r="G27" s="44">
        <f>1+2+3</f>
        <v>6</v>
      </c>
      <c r="H27" s="45">
        <f>1+2+2+1</f>
        <v>6</v>
      </c>
      <c r="I27" s="46">
        <f>1+2+1+1+1</f>
        <v>6</v>
      </c>
      <c r="J27" s="47">
        <f t="shared" si="4"/>
        <v>0</v>
      </c>
      <c r="K27" s="109">
        <f t="shared" si="5"/>
        <v>0</v>
      </c>
      <c r="L27" s="44">
        <f>2-1-1</f>
        <v>0</v>
      </c>
      <c r="M27" s="48">
        <f t="shared" si="6"/>
        <v>0</v>
      </c>
      <c r="N27" s="35">
        <v>0</v>
      </c>
      <c r="O27" s="49">
        <v>0</v>
      </c>
      <c r="P27" s="50">
        <v>0</v>
      </c>
      <c r="Q27" s="51">
        <v>0</v>
      </c>
      <c r="R27" s="46">
        <v>6</v>
      </c>
      <c r="S27" s="46">
        <f>I27-R27</f>
        <v>0</v>
      </c>
    </row>
    <row r="28" spans="2:20" ht="19.5" customHeight="1" x14ac:dyDescent="0.25">
      <c r="B28" s="66">
        <v>19</v>
      </c>
      <c r="C28" s="70" t="s">
        <v>37</v>
      </c>
      <c r="D28" s="69" t="s">
        <v>106</v>
      </c>
      <c r="E28" s="44" t="s">
        <v>107</v>
      </c>
      <c r="F28" s="44" t="s">
        <v>22</v>
      </c>
      <c r="G28" s="44">
        <f>200</f>
        <v>200</v>
      </c>
      <c r="H28" s="45">
        <f>200</f>
        <v>200</v>
      </c>
      <c r="I28" s="46">
        <v>0</v>
      </c>
      <c r="J28" s="47">
        <f>H28-I28</f>
        <v>200</v>
      </c>
      <c r="K28" s="109">
        <f>J28-L28</f>
        <v>0</v>
      </c>
      <c r="L28" s="106">
        <f>200</f>
        <v>200</v>
      </c>
      <c r="M28" s="48">
        <f>G28-H28</f>
        <v>0</v>
      </c>
      <c r="N28" s="35">
        <v>0</v>
      </c>
      <c r="O28" s="49">
        <v>0</v>
      </c>
      <c r="P28" s="50">
        <v>0</v>
      </c>
      <c r="Q28" s="51">
        <v>0</v>
      </c>
      <c r="R28" s="46">
        <v>0</v>
      </c>
      <c r="S28" s="46">
        <f>I28-R28</f>
        <v>0</v>
      </c>
    </row>
    <row r="29" spans="2:20" ht="19.5" customHeight="1" x14ac:dyDescent="0.25">
      <c r="B29" s="66">
        <v>19</v>
      </c>
      <c r="C29" s="70" t="s">
        <v>37</v>
      </c>
      <c r="D29" s="71" t="s">
        <v>106</v>
      </c>
      <c r="E29" s="44" t="s">
        <v>108</v>
      </c>
      <c r="F29" s="44" t="s">
        <v>22</v>
      </c>
      <c r="G29" s="44">
        <f>200</f>
        <v>200</v>
      </c>
      <c r="H29" s="45">
        <f>200</f>
        <v>200</v>
      </c>
      <c r="I29" s="46">
        <v>0</v>
      </c>
      <c r="J29" s="47">
        <f>H29-I29</f>
        <v>200</v>
      </c>
      <c r="K29" s="109">
        <f>J29-L29</f>
        <v>0</v>
      </c>
      <c r="L29" s="106">
        <f>200</f>
        <v>200</v>
      </c>
      <c r="M29" s="48">
        <f>G29-H29</f>
        <v>0</v>
      </c>
      <c r="N29" s="35">
        <v>0</v>
      </c>
      <c r="O29" s="49">
        <v>0</v>
      </c>
      <c r="P29" s="50">
        <v>0</v>
      </c>
      <c r="Q29" s="51">
        <v>0</v>
      </c>
      <c r="R29" s="46">
        <v>0</v>
      </c>
      <c r="S29" s="46">
        <f>I29-R29</f>
        <v>0</v>
      </c>
    </row>
    <row r="30" spans="2:20" ht="19.5" customHeight="1" x14ac:dyDescent="0.25">
      <c r="B30" s="66">
        <v>19</v>
      </c>
      <c r="C30" s="70" t="s">
        <v>37</v>
      </c>
      <c r="D30" s="71" t="s">
        <v>106</v>
      </c>
      <c r="E30" s="44" t="s">
        <v>109</v>
      </c>
      <c r="F30" s="44" t="s">
        <v>22</v>
      </c>
      <c r="G30" s="44">
        <f>3000+3000+3000</f>
        <v>9000</v>
      </c>
      <c r="H30" s="45">
        <f>100+2900+3000+2170+830</f>
        <v>9000</v>
      </c>
      <c r="I30" s="46">
        <f>100+450+150+1000+950+350+1000+500+1000+500+250+580-350+25+10+315+75+145+50+50</f>
        <v>7150</v>
      </c>
      <c r="J30" s="47">
        <f t="shared" si="4"/>
        <v>1850</v>
      </c>
      <c r="K30" s="109">
        <f t="shared" si="5"/>
        <v>0</v>
      </c>
      <c r="L30" s="106">
        <f>2170-75-145-50-50</f>
        <v>1850</v>
      </c>
      <c r="M30" s="48">
        <f t="shared" si="6"/>
        <v>0</v>
      </c>
      <c r="N30" s="35">
        <v>0</v>
      </c>
      <c r="O30" s="49">
        <v>0</v>
      </c>
      <c r="P30" s="50">
        <v>0</v>
      </c>
      <c r="Q30" s="51">
        <v>0</v>
      </c>
      <c r="R30" s="46">
        <v>7150</v>
      </c>
      <c r="S30" s="46">
        <f t="shared" si="3"/>
        <v>0</v>
      </c>
    </row>
    <row r="31" spans="2:20" ht="19.5" customHeight="1" x14ac:dyDescent="0.25">
      <c r="B31" s="66">
        <v>20</v>
      </c>
      <c r="C31" s="70" t="s">
        <v>37</v>
      </c>
      <c r="D31" s="71" t="s">
        <v>106</v>
      </c>
      <c r="E31" s="44" t="s">
        <v>78</v>
      </c>
      <c r="F31" s="44" t="s">
        <v>22</v>
      </c>
      <c r="G31" s="44">
        <f>16977+15000+2000+13000+9800+1320+1500+15000+20000+1500+10000+623+377</f>
        <v>107097</v>
      </c>
      <c r="H31" s="45">
        <f>6977+10000+15000+2000+13000+9800+1320+1500+15000+3521+9679+6800+1500+10000+623+377</f>
        <v>107097</v>
      </c>
      <c r="I31" s="46">
        <f>3677+1185+200+300+200+1500+50+300+140+300+1600+300+4000+2000+925+300+200+7000+500+1000+400+1500+1000+1000+500+1500+200+200+900+300+400+2400+4000+800+1900+2000+500+1200+200+400+240+480+480+1000+800+2000+2000+800+400+1600+800+480+40+1000+3000+2000+520+520+920+1600+800+400+400+800+500+800+1200+800+200+400+240+200+200+500+400+1800+221+100+250+100+100+50+1000+1500+250+250+500+250+500+250+3+5+250+250+100+1000+1000+250+250+250+1000+100+500+500+250+500+225+500+250+2000+500+500+667+200+200+250+400+79+100+50+1350+500+500+500+2000+2000+2000+500+1525+475+500+200+300</f>
        <v>107097</v>
      </c>
      <c r="J31" s="47">
        <f t="shared" ref="J31:J55" si="7">H31-I31</f>
        <v>0</v>
      </c>
      <c r="K31" s="109">
        <f t="shared" ref="K31:K55" si="8">J31-L31</f>
        <v>0</v>
      </c>
      <c r="L31" s="44">
        <f>623-500+377-500</f>
        <v>0</v>
      </c>
      <c r="M31" s="48">
        <f t="shared" ref="M31:M55" si="9">G31-H31</f>
        <v>0</v>
      </c>
      <c r="N31" s="35">
        <v>0</v>
      </c>
      <c r="O31" s="49">
        <v>0</v>
      </c>
      <c r="P31" s="50">
        <v>0</v>
      </c>
      <c r="Q31" s="51">
        <v>0</v>
      </c>
      <c r="R31" s="46">
        <f>106097-475+975+500-38+38</f>
        <v>107097</v>
      </c>
      <c r="S31" s="46">
        <f t="shared" si="3"/>
        <v>0</v>
      </c>
      <c r="T31" s="3" t="s">
        <v>168</v>
      </c>
    </row>
    <row r="32" spans="2:20" ht="19.5" customHeight="1" x14ac:dyDescent="0.25">
      <c r="B32" s="66">
        <v>20</v>
      </c>
      <c r="C32" s="70" t="s">
        <v>37</v>
      </c>
      <c r="D32" s="71" t="s">
        <v>106</v>
      </c>
      <c r="E32" s="44" t="s">
        <v>79</v>
      </c>
      <c r="F32" s="44" t="s">
        <v>22</v>
      </c>
      <c r="G32" s="44">
        <f>1000</f>
        <v>1000</v>
      </c>
      <c r="H32" s="45">
        <f>1000</f>
        <v>1000</v>
      </c>
      <c r="I32" s="46">
        <v>0</v>
      </c>
      <c r="J32" s="47">
        <f t="shared" si="7"/>
        <v>1000</v>
      </c>
      <c r="K32" s="109">
        <f t="shared" si="8"/>
        <v>0</v>
      </c>
      <c r="L32" s="106">
        <f>1000</f>
        <v>1000</v>
      </c>
      <c r="M32" s="48">
        <f t="shared" si="9"/>
        <v>0</v>
      </c>
      <c r="N32" s="35">
        <v>0</v>
      </c>
      <c r="O32" s="49">
        <v>0</v>
      </c>
      <c r="P32" s="50">
        <v>0</v>
      </c>
      <c r="Q32" s="51">
        <v>0</v>
      </c>
      <c r="R32" s="46">
        <v>0</v>
      </c>
      <c r="S32" s="46">
        <f>I32-R32</f>
        <v>0</v>
      </c>
    </row>
    <row r="33" spans="2:20" ht="19.5" customHeight="1" x14ac:dyDescent="0.25">
      <c r="B33" s="66">
        <v>21</v>
      </c>
      <c r="C33" s="70" t="s">
        <v>37</v>
      </c>
      <c r="D33" s="71" t="s">
        <v>68</v>
      </c>
      <c r="E33" s="44" t="s">
        <v>78</v>
      </c>
      <c r="F33" s="44" t="s">
        <v>22</v>
      </c>
      <c r="G33" s="44">
        <f>9346+20000+15000+10000+4327+5000+15000+25000+1500+1000+1000+1000+500+1000</f>
        <v>109673</v>
      </c>
      <c r="H33" s="45">
        <f>7346+2000+540+1000+2500+6000+7500+2460+8000+7000+5000+2500+2500+4327+15000+5000+2700+13800+8500+1500+1000+1000+1000+500+1000</f>
        <v>109673</v>
      </c>
      <c r="I33" s="46">
        <f>5100+200+220+60+200+250+100+20+25+100+20+50+100+20+20+100+50+300+50+100+50+100+50+20+41+20+50+200+1000+100+100+500+30+250+100+100+120+300+290+300+80+200+550+300+150+150+300+150+30+50+50+300+100+50+20+1000+100+150+40+300+50+70+90+450+50+300+10+150+20+40+550+30+200+500+100+100+200+50+200+200+500+500+500+50+40+50+50+100+100+50+100+50+50+100+200+50+500+50+250+450+220+200+500+200+500+500+50+100+300+50+50+50+550+50+200+100+50+30+50+40+85+200+400+200+300+100+200+50+200+200+50+450+100+100+50+50+100+50+200+50+50+50+250+95+400+400+50+150+50+150+1000+400+300+300+250+1000+80+400+300+200+500+500+2500+150+60+200+50+100+100+50+100+200+500+150+340+200+200+800+400+800+50+800+100+300+450+100+207+250+500+400+450+300+300+1800+90+300+100+500+750+1150+300+400+200+150+200+250+300+250+150+200+100+300+400+300+200+250+200+200+300+100+200+600+400+300+250+200+300+100+220+100+100+300+200+500+100+500+200+100+1000+100+200+500+250+100+200+100+500+500+250+500+300+200+100+380+500+500+400+500+100+600+500+750+400+300+700+600+1700+2500+200+500+300+150+150+300+100+500+50+200+100+500+350+450+150+100+100+200+200+50+100+100+100+100+200+100+50+190+100+200+150+150+100+200+100+50+100+100+200+100+100+200+100+100+200+100+300+50+100+100+100+100+300+100+250+500+150+100+100+100+250+100+200+100+200+150+50+250+150+350+50+200+50+50+500+200+100+200+200+250+200+50+100+100+2550+150+150+50+200+200+200+200+100+100+200+106+150+50+100+200+200+250+250+250+250+300+200+500+150+150+300+300+300+500+500+300+200+150+250+250+500+500+250+250+300+300+250+250+250+4+100+200+100+200+300+100+100+50+350+1000+1000+150+100+150+50+100+100+300+100+100+50+50+150+300+200+20+2</f>
        <v>109095</v>
      </c>
      <c r="J33" s="47">
        <f t="shared" si="7"/>
        <v>578</v>
      </c>
      <c r="K33" s="109">
        <f t="shared" si="8"/>
        <v>0</v>
      </c>
      <c r="L33" s="106">
        <f>2500-100-400-200-200-150-150-150-100+2460-15-200-400-200-100-100-100-300-300-200-400-400-300-400+8000-95+7000-800-100-300-1000-400-300-300-250-1080-400-300-300-400+5000-400-1800-200-400-400-400-500+4327-207-100-250-500-400-500-400-300-300-500-500-2640-500-300-2500-2500-1900+15000+5000-2500-2500-2500-500-500-400-500-600-600-750-400-300-700-400-400-1500-2500-2000-450+2700-400-600-250-300-100-300-200-100+13800-200-100-150-100-180-100-60-100-250-100-100-250-350-100-200-200-200-200-200-100-300-100-200-200-150-100-200-250-150-500-100-100-100-100-100-250-200-200-500-50-500-250-200-100-100-500-500-200-200-500-100-2000+50-100-100-150-400-200-200-200-200-500+8500-150-150-1000-1000-2000-2000-2000-206-4+1500-200-100-100-200-300-100-150-350+1000-150-100-150-50-100-300-100-50+500-100-50-100-100-150+600-20-2</f>
        <v>578</v>
      </c>
      <c r="M33" s="48">
        <f t="shared" si="9"/>
        <v>0</v>
      </c>
      <c r="N33" s="35">
        <v>0</v>
      </c>
      <c r="O33" s="49">
        <v>0</v>
      </c>
      <c r="P33" s="50">
        <v>0</v>
      </c>
      <c r="Q33" s="51">
        <v>0</v>
      </c>
      <c r="R33" s="46">
        <v>109095</v>
      </c>
      <c r="S33" s="46">
        <f t="shared" si="3"/>
        <v>0</v>
      </c>
    </row>
    <row r="34" spans="2:20" ht="19.5" customHeight="1" x14ac:dyDescent="0.25">
      <c r="B34" s="66">
        <v>22</v>
      </c>
      <c r="C34" s="70" t="s">
        <v>37</v>
      </c>
      <c r="D34" s="71" t="s">
        <v>68</v>
      </c>
      <c r="E34" s="44" t="s">
        <v>150</v>
      </c>
      <c r="F34" s="44" t="s">
        <v>22</v>
      </c>
      <c r="G34" s="44">
        <f>28+25+100</f>
        <v>153</v>
      </c>
      <c r="H34" s="45">
        <f>28+25+100</f>
        <v>153</v>
      </c>
      <c r="I34" s="46">
        <v>153</v>
      </c>
      <c r="J34" s="47">
        <f t="shared" si="7"/>
        <v>0</v>
      </c>
      <c r="K34" s="109">
        <f t="shared" si="8"/>
        <v>0</v>
      </c>
      <c r="L34" s="44">
        <f>100-100</f>
        <v>0</v>
      </c>
      <c r="M34" s="48">
        <f t="shared" si="9"/>
        <v>0</v>
      </c>
      <c r="N34" s="35">
        <v>28</v>
      </c>
      <c r="O34" s="49">
        <v>0</v>
      </c>
      <c r="P34" s="50">
        <v>0</v>
      </c>
      <c r="Q34" s="51">
        <v>0</v>
      </c>
      <c r="R34" s="46">
        <v>153</v>
      </c>
      <c r="S34" s="46">
        <f>I34-R34</f>
        <v>0</v>
      </c>
    </row>
    <row r="35" spans="2:20" ht="19.5" customHeight="1" x14ac:dyDescent="0.25">
      <c r="B35" s="66">
        <v>23</v>
      </c>
      <c r="C35" s="70" t="s">
        <v>37</v>
      </c>
      <c r="D35" s="71" t="s">
        <v>31</v>
      </c>
      <c r="E35" s="44" t="s">
        <v>78</v>
      </c>
      <c r="F35" s="44" t="s">
        <v>22</v>
      </c>
      <c r="G35" s="44">
        <f>10000+6000+5000+12000+5000+700+10000+5000+5940+5000+10000+3000+20000+2000</f>
        <v>99640</v>
      </c>
      <c r="H35" s="45">
        <f>10000+6000+2450+2550+12000+5000+700+10000+5000+5690+250+2268+2732+1430+2000+3500+3070+3000+13200+6800+2000</f>
        <v>99640</v>
      </c>
      <c r="I35" s="46">
        <f>6500+100+200+500+100+1500+300+300+500+1500+1000+1000+250+500+300+1000+250+300+1000+100+200+200+500+1500+500+100+400+300+100+500+500+800+500+1000+500+1000+1000+200+1500+250+3000+1000+250+500+400+500+1000+1000+850+300+450+400+150+2500+150+1000+1000+250+250+250+500+1000+250+250+500+200+250+500+1000+300+1000+500+1000+1100+1400+750+100+1340+750+1500+250+250+250+500+250+250+1268+750+250+180+250+250+750+250+500+250+1500+250+250+250+400+100+250+750+550+500+475+500+250+750+250+550+500+200+250+1500+250+825+250+500+250+477+475+1500+1250+500+250+1000+500+500+500+250+100+250-300+250+250+250+250+300+200+250+100+300+100+100+250+250+3850+500+1000-300+500+300+500+500+1000+750+310+250-2385</f>
        <v>93565</v>
      </c>
      <c r="J35" s="47">
        <f t="shared" si="7"/>
        <v>6075</v>
      </c>
      <c r="K35" s="109">
        <f t="shared" si="8"/>
        <v>0</v>
      </c>
      <c r="L35" s="106">
        <f>5000-500-1000-3500+2732+2000-2000+3500-1000-1000+3070-25-3000-1000-1500-1300+3000-1500-1500-477+13200-3200-2000-2000-250-500-250-250-100+6800-250-500-1000-2700-500-1000-200-300-750-310-250+2385</f>
        <v>6075</v>
      </c>
      <c r="M35" s="48">
        <f t="shared" si="9"/>
        <v>0</v>
      </c>
      <c r="N35" s="35">
        <f>6000+700</f>
        <v>6700</v>
      </c>
      <c r="O35" s="49">
        <v>0</v>
      </c>
      <c r="P35" s="50">
        <v>1000</v>
      </c>
      <c r="Q35" s="51">
        <v>0</v>
      </c>
      <c r="R35" s="46">
        <v>93565</v>
      </c>
      <c r="S35" s="46">
        <f t="shared" si="3"/>
        <v>0</v>
      </c>
    </row>
    <row r="36" spans="2:20" ht="19.5" customHeight="1" x14ac:dyDescent="0.25">
      <c r="B36" s="66">
        <v>24</v>
      </c>
      <c r="C36" s="70" t="s">
        <v>37</v>
      </c>
      <c r="D36" s="71" t="s">
        <v>31</v>
      </c>
      <c r="E36" s="44" t="s">
        <v>150</v>
      </c>
      <c r="F36" s="44" t="s">
        <v>22</v>
      </c>
      <c r="G36" s="44">
        <f>18+20+200</f>
        <v>238</v>
      </c>
      <c r="H36" s="45">
        <f>18+20+200</f>
        <v>238</v>
      </c>
      <c r="I36" s="46">
        <f>18+20+200</f>
        <v>238</v>
      </c>
      <c r="J36" s="47">
        <f t="shared" si="7"/>
        <v>0</v>
      </c>
      <c r="K36" s="109">
        <f t="shared" si="8"/>
        <v>0</v>
      </c>
      <c r="L36" s="44">
        <f>200-200</f>
        <v>0</v>
      </c>
      <c r="M36" s="48">
        <f t="shared" si="9"/>
        <v>0</v>
      </c>
      <c r="N36" s="35">
        <v>0</v>
      </c>
      <c r="O36" s="49">
        <v>0</v>
      </c>
      <c r="P36" s="50">
        <v>1000</v>
      </c>
      <c r="Q36" s="51">
        <v>0</v>
      </c>
      <c r="R36" s="46">
        <v>238</v>
      </c>
      <c r="S36" s="46">
        <f>I36-R36</f>
        <v>0</v>
      </c>
    </row>
    <row r="37" spans="2:20" ht="19.5" customHeight="1" x14ac:dyDescent="0.25">
      <c r="B37" s="66">
        <v>25</v>
      </c>
      <c r="C37" s="70" t="s">
        <v>37</v>
      </c>
      <c r="D37" s="71" t="s">
        <v>32</v>
      </c>
      <c r="E37" s="44" t="s">
        <v>78</v>
      </c>
      <c r="F37" s="44" t="s">
        <v>22</v>
      </c>
      <c r="G37" s="44">
        <f>9000+2500+20000+6000+5000+10000+14500+5280+3000+30000+30000+2000+1000</f>
        <v>138280</v>
      </c>
      <c r="H37" s="45">
        <f>9000+2500+4000+2000+7000+5000+1000+650+350+6000+5000+10000+4350+1000+9150+5280+3000+2000+1000+2800+24200+6800+2500+10500+10200+2000+1000</f>
        <v>138280</v>
      </c>
      <c r="I37" s="46">
        <f>7675+700+300+325+500+500+500+300+100+100+500+1000+1750+300+250+200+250+250+300+1000+250+150+300+300+1500+1000+200+500+1000+250+1000+500+500+300+500+200+500+500+250+300+100+100+500+2000+1000+200+300+1000+750+1000+500+250+1000+250+1750+500+400+500+1000+1000+500+500+400+200+2500+4000+1000+1000+25+500+500+475+250+1000+500+500+500+100+500+500+250+150+100+500+250+250+1250+2000+2000+500+500+1000+1400+500+3000+500+500+1280+250+500+250+500+250+250+250+700+250+250+250+250+50+100+250+250+300+100+1000+1000+250+250+525+250+250+275+1000+250+750+500+500+250+25+250+750+1750+2000+250+500+500+500+500+500+500+1000+750+250+2000+250+500+500+500+500+1000+250+500+250+250+500+500+500+500+500+500+500+500+425+750+950+2500+500+250+500+750+500+100+1000+500+500+500+250+250+1150+250+500+200+250+50+500+100+250+1000+250+250+100+100+300+10250+250+1000+1000+700+300+475+500+1000+500+500+38-2900+100+250+50</f>
        <v>134343</v>
      </c>
      <c r="J37" s="47">
        <f t="shared" si="7"/>
        <v>3937</v>
      </c>
      <c r="K37" s="109">
        <f t="shared" si="8"/>
        <v>0</v>
      </c>
      <c r="L37" s="106">
        <f>2000-2000+1000-1000+24200-25-3000-1000-2000-1500-2000-2500-2000-2000-2000-1000-1500-500-1000-1175-1000+6800-2800-2000-2000+2500-1000+10500-1000-500-400-250-1000-250-750-250-600-250-1000-500-250-250+10200-1250-250-500-5000-3250-250-1000-1000-500-200-300-475-500-38+1000+2900-250-100-50</f>
        <v>3937</v>
      </c>
      <c r="M37" s="48">
        <f t="shared" si="9"/>
        <v>0</v>
      </c>
      <c r="N37" s="35">
        <v>2500</v>
      </c>
      <c r="O37" s="49">
        <v>0</v>
      </c>
      <c r="P37" s="50">
        <v>0</v>
      </c>
      <c r="Q37" s="51">
        <v>0</v>
      </c>
      <c r="R37" s="46">
        <v>134343</v>
      </c>
      <c r="S37" s="46">
        <f t="shared" si="3"/>
        <v>0</v>
      </c>
      <c r="T37" s="3" t="s">
        <v>166</v>
      </c>
    </row>
    <row r="38" spans="2:20" ht="19.5" customHeight="1" x14ac:dyDescent="0.25">
      <c r="B38" s="66">
        <v>26</v>
      </c>
      <c r="C38" s="70" t="s">
        <v>37</v>
      </c>
      <c r="D38" s="71" t="s">
        <v>32</v>
      </c>
      <c r="E38" s="44" t="s">
        <v>150</v>
      </c>
      <c r="F38" s="44" t="s">
        <v>22</v>
      </c>
      <c r="G38" s="44">
        <f>18+75+200</f>
        <v>293</v>
      </c>
      <c r="H38" s="45">
        <f>18+75+200</f>
        <v>293</v>
      </c>
      <c r="I38" s="46">
        <f>18+75+200-125</f>
        <v>168</v>
      </c>
      <c r="J38" s="47">
        <f t="shared" si="7"/>
        <v>125</v>
      </c>
      <c r="K38" s="109">
        <f t="shared" si="8"/>
        <v>0</v>
      </c>
      <c r="L38" s="106">
        <f>200-200+125</f>
        <v>125</v>
      </c>
      <c r="M38" s="48">
        <f t="shared" si="9"/>
        <v>0</v>
      </c>
      <c r="N38" s="35">
        <v>0</v>
      </c>
      <c r="O38" s="49">
        <v>0</v>
      </c>
      <c r="P38" s="50">
        <v>0</v>
      </c>
      <c r="Q38" s="51">
        <v>0</v>
      </c>
      <c r="R38" s="46">
        <v>168</v>
      </c>
      <c r="S38" s="46">
        <f>I38-R38</f>
        <v>0</v>
      </c>
    </row>
    <row r="39" spans="2:20" ht="19.5" customHeight="1" x14ac:dyDescent="0.25">
      <c r="B39" s="66">
        <v>27</v>
      </c>
      <c r="C39" s="70" t="s">
        <v>37</v>
      </c>
      <c r="D39" s="71" t="s">
        <v>128</v>
      </c>
      <c r="E39" s="44" t="s">
        <v>109</v>
      </c>
      <c r="F39" s="44" t="s">
        <v>22</v>
      </c>
      <c r="G39" s="44">
        <f>1000</f>
        <v>1000</v>
      </c>
      <c r="H39" s="45">
        <f>440+560</f>
        <v>1000</v>
      </c>
      <c r="I39" s="46">
        <f>440+250+310</f>
        <v>1000</v>
      </c>
      <c r="J39" s="47">
        <f t="shared" si="7"/>
        <v>0</v>
      </c>
      <c r="K39" s="109">
        <f t="shared" si="8"/>
        <v>0</v>
      </c>
      <c r="L39" s="44">
        <v>0</v>
      </c>
      <c r="M39" s="48">
        <f t="shared" si="9"/>
        <v>0</v>
      </c>
      <c r="N39" s="35">
        <v>0</v>
      </c>
      <c r="O39" s="49">
        <v>0</v>
      </c>
      <c r="P39" s="50">
        <v>0</v>
      </c>
      <c r="Q39" s="51">
        <v>0</v>
      </c>
      <c r="R39" s="46">
        <v>1000</v>
      </c>
      <c r="S39" s="46">
        <f>I39-R39</f>
        <v>0</v>
      </c>
    </row>
    <row r="40" spans="2:20" ht="19.5" customHeight="1" x14ac:dyDescent="0.25">
      <c r="B40" s="66">
        <v>28</v>
      </c>
      <c r="C40" s="70" t="s">
        <v>37</v>
      </c>
      <c r="D40" s="71" t="s">
        <v>128</v>
      </c>
      <c r="E40" s="44" t="s">
        <v>78</v>
      </c>
      <c r="F40" s="44" t="s">
        <v>22</v>
      </c>
      <c r="G40" s="44">
        <f>2000+3000</f>
        <v>5000</v>
      </c>
      <c r="H40" s="45">
        <f>400+1600+1400+1600</f>
        <v>5000</v>
      </c>
      <c r="I40" s="46">
        <f>100+300+200+400+400+250+1750-200+200-1100+50</f>
        <v>2350</v>
      </c>
      <c r="J40" s="47">
        <f t="shared" si="7"/>
        <v>2650</v>
      </c>
      <c r="K40" s="109">
        <f t="shared" si="8"/>
        <v>0</v>
      </c>
      <c r="L40" s="106">
        <f>1600+1100-50</f>
        <v>2650</v>
      </c>
      <c r="M40" s="48">
        <f t="shared" si="9"/>
        <v>0</v>
      </c>
      <c r="N40" s="35">
        <v>0</v>
      </c>
      <c r="O40" s="49">
        <v>0</v>
      </c>
      <c r="P40" s="50">
        <v>0</v>
      </c>
      <c r="Q40" s="51">
        <v>0</v>
      </c>
      <c r="R40" s="46">
        <v>2350</v>
      </c>
      <c r="S40" s="46">
        <f>I40-R40</f>
        <v>0</v>
      </c>
      <c r="T40" s="3" t="s">
        <v>167</v>
      </c>
    </row>
    <row r="41" spans="2:20" ht="19.5" customHeight="1" x14ac:dyDescent="0.25">
      <c r="B41" s="66">
        <v>29</v>
      </c>
      <c r="C41" s="70" t="s">
        <v>37</v>
      </c>
      <c r="D41" s="71" t="s">
        <v>84</v>
      </c>
      <c r="E41" s="44" t="s">
        <v>109</v>
      </c>
      <c r="F41" s="44" t="s">
        <v>22</v>
      </c>
      <c r="G41" s="44">
        <f>15000+500</f>
        <v>15500</v>
      </c>
      <c r="H41" s="45">
        <f>8000+4500+2500+500</f>
        <v>15500</v>
      </c>
      <c r="I41" s="46">
        <f>3000+500+500+1000+200+500+500+1000+500+500+500+200+500+200+1000+250+4650</f>
        <v>15500</v>
      </c>
      <c r="J41" s="47">
        <f t="shared" si="7"/>
        <v>0</v>
      </c>
      <c r="K41" s="109">
        <f t="shared" si="8"/>
        <v>0</v>
      </c>
      <c r="L41" s="44">
        <v>0</v>
      </c>
      <c r="M41" s="48">
        <f t="shared" si="9"/>
        <v>0</v>
      </c>
      <c r="N41" s="35">
        <v>0</v>
      </c>
      <c r="O41" s="49">
        <v>0</v>
      </c>
      <c r="P41" s="50">
        <v>0</v>
      </c>
      <c r="Q41" s="51">
        <v>0</v>
      </c>
      <c r="R41" s="46">
        <v>15500</v>
      </c>
      <c r="S41" s="46">
        <f t="shared" si="3"/>
        <v>0</v>
      </c>
    </row>
    <row r="42" spans="2:20" ht="19.5" customHeight="1" x14ac:dyDescent="0.25">
      <c r="B42" s="66">
        <v>30</v>
      </c>
      <c r="C42" s="70" t="s">
        <v>37</v>
      </c>
      <c r="D42" s="71" t="s">
        <v>84</v>
      </c>
      <c r="E42" s="44" t="s">
        <v>78</v>
      </c>
      <c r="F42" s="44" t="s">
        <v>22</v>
      </c>
      <c r="G42" s="44">
        <f>5000+20000+2000+10000+9600+1500+25000+20000+10000+3000</f>
        <v>106100</v>
      </c>
      <c r="H42" s="45">
        <f>5000+3000+3000+1000+10750+1250+350+650+2000+1000+6500+2500+9600+1500+1100+4000+1990+14710+1000+1500+1000+3200+9700+6800+10000+3000</f>
        <v>106100</v>
      </c>
      <c r="I42" s="46">
        <f>1000+500+1000+1000+250+250+100+1000+1000+500+400+500+1000+1500+625+500+500+1500+500+500+225+500+2975+500+500+1000+500+500+500+500+1000+1000+500+600+775+550+750+200+600+2500+500+500+1000+1500+200+250+500+1000+200+1000+1000+1000+1000+1500+1500+2000+1000+400+250+250+250+250+500+250+250+100+500+500+250+250+250+250+500+250+250+500+250+250+250+500+250+1500+240+500+500+250+250+250+250+500+250+500+250+500+500+500+510+1000+1000+1500+500+1000+400+500+250+250+500+250+3100+250+500+500+250+100+500+200+150+250+1000+250+150+250+750+250+250+250+500+250+3650+1000+250+500+500+250+100+1000+500+250+200+100+50+500+500+250+250+200+500+250+500+1000+250+1000+500+1300+200+500+1000+250+250+1000+300+250+250+500+250+200+500+250+1000+900+1160+500+350+550+1000+400-217+7+500+750+500+100</f>
        <v>106100</v>
      </c>
      <c r="J42" s="47">
        <f t="shared" si="7"/>
        <v>0</v>
      </c>
      <c r="K42" s="109">
        <f t="shared" si="8"/>
        <v>0</v>
      </c>
      <c r="L42" s="63">
        <f>4000-2000-2000+14710-500-2000-500-2000-510-2000-1500-2000-2000+1500-250-1500-250+1000-1250-100-500-350+3200+9700-250+6800-250-250-250-1900-250-500-2000-2000-150-1000-500-500-500-350-500-250-500-500-200-200-100-50-50-500-250-250-200-250-250-300-250-200-300-1000-2750-200+3010-1000-250-500-100-1160</f>
        <v>0</v>
      </c>
      <c r="M42" s="48">
        <f t="shared" si="9"/>
        <v>0</v>
      </c>
      <c r="N42" s="35">
        <v>0</v>
      </c>
      <c r="O42" s="49">
        <v>0</v>
      </c>
      <c r="P42" s="50">
        <v>0</v>
      </c>
      <c r="Q42" s="51">
        <v>0</v>
      </c>
      <c r="R42" s="46">
        <v>106100</v>
      </c>
      <c r="S42" s="100">
        <f t="shared" si="3"/>
        <v>0</v>
      </c>
      <c r="T42" s="84" t="s">
        <v>159</v>
      </c>
    </row>
    <row r="43" spans="2:20" ht="19.5" customHeight="1" x14ac:dyDescent="0.25">
      <c r="B43" s="66">
        <v>31</v>
      </c>
      <c r="C43" s="70" t="s">
        <v>37</v>
      </c>
      <c r="D43" s="71" t="s">
        <v>84</v>
      </c>
      <c r="E43" s="44" t="s">
        <v>150</v>
      </c>
      <c r="F43" s="44" t="s">
        <v>22</v>
      </c>
      <c r="G43" s="44">
        <f>18+35+200</f>
        <v>253</v>
      </c>
      <c r="H43" s="45">
        <f>18+35+200</f>
        <v>253</v>
      </c>
      <c r="I43" s="46">
        <f>18+35+200</f>
        <v>253</v>
      </c>
      <c r="J43" s="47">
        <f t="shared" si="7"/>
        <v>0</v>
      </c>
      <c r="K43" s="63">
        <f t="shared" si="8"/>
        <v>0</v>
      </c>
      <c r="L43" s="44">
        <f>200-200</f>
        <v>0</v>
      </c>
      <c r="M43" s="48">
        <f t="shared" si="9"/>
        <v>0</v>
      </c>
      <c r="N43" s="35">
        <v>0</v>
      </c>
      <c r="O43" s="49">
        <v>0</v>
      </c>
      <c r="P43" s="50">
        <v>0</v>
      </c>
      <c r="Q43" s="51">
        <v>0</v>
      </c>
      <c r="R43" s="46">
        <v>253</v>
      </c>
      <c r="S43" s="46">
        <f>I43-R43</f>
        <v>0</v>
      </c>
    </row>
    <row r="44" spans="2:20" ht="19.5" customHeight="1" x14ac:dyDescent="0.25">
      <c r="B44" s="66">
        <v>32</v>
      </c>
      <c r="C44" s="70" t="s">
        <v>37</v>
      </c>
      <c r="D44" s="71" t="s">
        <v>61</v>
      </c>
      <c r="E44" s="44" t="s">
        <v>109</v>
      </c>
      <c r="F44" s="44" t="s">
        <v>22</v>
      </c>
      <c r="G44" s="44">
        <f>1000+1000</f>
        <v>2000</v>
      </c>
      <c r="H44" s="45">
        <f>1000+1000</f>
        <v>2000</v>
      </c>
      <c r="I44" s="46">
        <f>1000</f>
        <v>1000</v>
      </c>
      <c r="J44" s="47">
        <f t="shared" si="7"/>
        <v>1000</v>
      </c>
      <c r="K44" s="63">
        <f t="shared" si="8"/>
        <v>0</v>
      </c>
      <c r="L44" s="106">
        <f>1000</f>
        <v>1000</v>
      </c>
      <c r="M44" s="48">
        <f t="shared" si="9"/>
        <v>0</v>
      </c>
      <c r="N44" s="35">
        <v>0</v>
      </c>
      <c r="O44" s="49">
        <v>0</v>
      </c>
      <c r="P44" s="50">
        <v>0</v>
      </c>
      <c r="Q44" s="51">
        <v>0</v>
      </c>
      <c r="R44" s="46">
        <v>1000</v>
      </c>
      <c r="S44" s="46">
        <f t="shared" si="3"/>
        <v>0</v>
      </c>
    </row>
    <row r="45" spans="2:20" ht="19.5" customHeight="1" x14ac:dyDescent="0.25">
      <c r="B45" s="66">
        <v>33</v>
      </c>
      <c r="C45" s="70" t="s">
        <v>37</v>
      </c>
      <c r="D45" s="71" t="s">
        <v>61</v>
      </c>
      <c r="E45" s="44" t="s">
        <v>78</v>
      </c>
      <c r="F45" s="44" t="s">
        <v>22</v>
      </c>
      <c r="G45" s="44">
        <f>17000+5000+700+15000+3255+15000+10000+20000+3000+20000+1496+50000+10000+20000+50000+20000+50000</f>
        <v>310451</v>
      </c>
      <c r="H45" s="45">
        <f>17000+1000+1200+500+700+1300+3255+500+500+14000+10000+5000+10000+1000+20000+1000+2000+20000+1496+6400+15000+10000+1200+14500+2900+6700+3300+20000+12000+12000+9000+17000+33000+20000+17000</f>
        <v>310451</v>
      </c>
      <c r="I45" s="46">
        <f>17000+900+100+300+600+300+700+500+300+1000+3255+500+1000+500+500+5000+750+2400+2000+1000+100+1250+500+2000+1000+500+600+1050+500+2000+2000+1000+1000+600+1000+400+400+2000+1600+800+1400+500+1000+800+1000+1000+350+1000+1000+1000+2000+1000+1600+2000+1400+2000+2000+2000+1000+400+400+1000+1200+900+100+1000+500+200+300+2000+1000+4000+2000+2000+2000+1000+1000+1000+1000+1000+600+1000+400+996+100+250+150+500+1500+500+500+500+100+1300+700+200+600+1000+1400+1400+4000+3000+2000+3000+1000+1000+1400+2400+2000+1400+600+600+900+900+1950+2050+3000+3050+1700+1000+2100+900+900+900+1050+1900+1050+750+3300+250+1000+500+200+500+250+300+250+200+200+250+250+500+250+250+300+250+200+250+200+500+1000+250+500+1000+300+300+500+250+250+500+2000+300+500+800+250+500+200+300+500+500+500+250+250+250+800+500+500+150+250+500+500+1500+250+250+500+500+1000+500+1000+500+500+1000+500+1000+1000+750+1000+500+1000+300+250+500+500+500+500+1000+100+500+1000+500+300+1000+500+500+500+500+1000+1000+1000+1000+500+500+1000+500+1000+250+500+900+800+400+400+250+400+400+600+600+600+600+400+400+400+1000+600+400+600+400+200+400+1200+1600+400+800+400+1000+200+2200+200+400+400+600+400+1000+400+400+400+200+600+400+600+500+300+500+200+200+400+500+200+800+600+400+1000+200+600+1000+600+200+200+100+200+400+200+1000+400+600+1000+400+600+600+1000+1000+600+1000+200+600+1000+1000+1000+500+200+400+1000+1000+1000+1000+600+400+400+1400+2000+2000+400+1000+1000+1000+400+500+2000+5000+2000+2000+2000+600+900+400+600+600+5000+600+500+600+400+1000+1000+200-17700-3190</f>
        <v>289461</v>
      </c>
      <c r="J45" s="47">
        <f t="shared" si="7"/>
        <v>20990</v>
      </c>
      <c r="K45" s="63">
        <f t="shared" si="8"/>
        <v>0</v>
      </c>
      <c r="L45" s="106">
        <f>12000+17000-200-1000-2000-5000-4000-2000-2000-2000-2000-2000-2000+33000-4000-2000-2000-1000-1000-800-400-400-200-400-400-1000-800-1000-600-400-1000-200-1600-600+20000-200-200-1000-200-400-600-1000+17000-600-400-1000-600-400-600-1000-1000-1600-600-600-2600-1000-3000-400-400-400-1400-900-1000-400-2400-500-1000-1000-5000-5000-1000-600-2000-2000-400-600-600-5600-600-500-400-1000-1000-200+17700+3190</f>
        <v>20990</v>
      </c>
      <c r="M45" s="48">
        <f t="shared" si="9"/>
        <v>0</v>
      </c>
      <c r="N45" s="35">
        <f>3255+1496</f>
        <v>4751</v>
      </c>
      <c r="O45" s="49">
        <v>0</v>
      </c>
      <c r="P45" s="50">
        <v>0</v>
      </c>
      <c r="Q45" s="51">
        <v>0</v>
      </c>
      <c r="R45" s="46">
        <v>289461</v>
      </c>
      <c r="S45" s="46">
        <f t="shared" si="3"/>
        <v>0</v>
      </c>
    </row>
    <row r="46" spans="2:20" ht="19.5" customHeight="1" x14ac:dyDescent="0.25">
      <c r="B46" s="66">
        <v>34</v>
      </c>
      <c r="C46" s="70" t="s">
        <v>37</v>
      </c>
      <c r="D46" s="71" t="s">
        <v>61</v>
      </c>
      <c r="E46" s="44" t="s">
        <v>150</v>
      </c>
      <c r="F46" s="44" t="s">
        <v>22</v>
      </c>
      <c r="G46" s="44">
        <f>50+50+470</f>
        <v>570</v>
      </c>
      <c r="H46" s="45">
        <f>50+50+205+265</f>
        <v>570</v>
      </c>
      <c r="I46" s="46">
        <f>50+50+205+265-65+65-200+200</f>
        <v>570</v>
      </c>
      <c r="J46" s="47">
        <f t="shared" si="7"/>
        <v>0</v>
      </c>
      <c r="K46" s="109">
        <f t="shared" si="8"/>
        <v>0</v>
      </c>
      <c r="L46" s="44">
        <f>205-205+65-65</f>
        <v>0</v>
      </c>
      <c r="M46" s="48">
        <f t="shared" si="9"/>
        <v>0</v>
      </c>
      <c r="N46" s="35">
        <v>0</v>
      </c>
      <c r="O46" s="49">
        <v>0</v>
      </c>
      <c r="P46" s="50">
        <v>0</v>
      </c>
      <c r="Q46" s="51">
        <v>0</v>
      </c>
      <c r="R46" s="46">
        <v>570</v>
      </c>
      <c r="S46" s="46">
        <f>I46-R46</f>
        <v>0</v>
      </c>
      <c r="T46" s="86">
        <v>30</v>
      </c>
    </row>
    <row r="47" spans="2:20" ht="19.5" customHeight="1" x14ac:dyDescent="0.25">
      <c r="B47" s="66">
        <v>35</v>
      </c>
      <c r="C47" s="70" t="s">
        <v>37</v>
      </c>
      <c r="D47" s="71" t="s">
        <v>63</v>
      </c>
      <c r="E47" s="44" t="s">
        <v>109</v>
      </c>
      <c r="F47" s="44" t="s">
        <v>22</v>
      </c>
      <c r="G47" s="44">
        <f>1000</f>
        <v>1000</v>
      </c>
      <c r="H47" s="45">
        <v>1000</v>
      </c>
      <c r="I47" s="46">
        <v>0</v>
      </c>
      <c r="J47" s="47">
        <f t="shared" si="7"/>
        <v>1000</v>
      </c>
      <c r="K47" s="63">
        <f t="shared" si="8"/>
        <v>0</v>
      </c>
      <c r="L47" s="106">
        <v>1000</v>
      </c>
      <c r="M47" s="48">
        <f t="shared" si="9"/>
        <v>0</v>
      </c>
      <c r="N47" s="35">
        <v>0</v>
      </c>
      <c r="O47" s="49">
        <v>0</v>
      </c>
      <c r="P47" s="50">
        <v>0</v>
      </c>
      <c r="Q47" s="51">
        <v>0</v>
      </c>
      <c r="R47" s="46">
        <v>0</v>
      </c>
      <c r="S47" s="46">
        <f>I47-R47</f>
        <v>0</v>
      </c>
      <c r="T47" s="86">
        <v>1000</v>
      </c>
    </row>
    <row r="48" spans="2:20" ht="19.5" customHeight="1" x14ac:dyDescent="0.25">
      <c r="B48" s="66">
        <v>35</v>
      </c>
      <c r="C48" s="70" t="s">
        <v>37</v>
      </c>
      <c r="D48" s="71" t="s">
        <v>63</v>
      </c>
      <c r="E48" s="44" t="s">
        <v>78</v>
      </c>
      <c r="F48" s="44" t="s">
        <v>22</v>
      </c>
      <c r="G48" s="44">
        <f>10000+10000+20000+6000+5000+789+14211+1000-3400+3400+3400+16600+6600+5000+50000+20000</f>
        <v>168600</v>
      </c>
      <c r="H48" s="45">
        <f>10000+10000+20000+6000+1250+3500+250+789+1000+3400+5300+5511+3400+7100+9500+6600+5000+11000+39000+2000+11200+6800</f>
        <v>168600</v>
      </c>
      <c r="I48" s="46">
        <f>7800+2200+3000+1000+1500+200+2000+500+1800+2000+2000+1000+2000+1000+2200+2000+100+3000+1000+1700+2000+1000+1000+2000+1500+500+550+700+1000+1500+1000+250+789+200+300+500+1000+2400+2500+1000+500+1300+3000+1500+511+1000+500+1000+500+500+400+1000+1000+1000+1000+100+2000+1500+1000+3000+1000+1000+1000+2000+1000+1000+1000+500+2000+1100+1200+750+2000+500+50+300+200+200+700+300+300+200+200+500+1000+500+500+500+300+500+500+400+300+1400+300+200+300+500+300+500+300+500+200+300+300+500+1000+300+1000+1000+500+500+700+300+500+300+1000+300+300+300+1000+500+500+500+1000+300+1000+500+500+1000+500+500+1000+1000+1000+500+2000+200+500+300+1000+300+300+500+500+500+300+1000+1000+1000+500+6900+2000+2000+3000+500+400+500+100+100+1000+200+200+200+200+500+3000+500+500+1200+1500+1000+1000+550+1200+50</f>
        <v>168600</v>
      </c>
      <c r="J48" s="47">
        <f t="shared" si="7"/>
        <v>0</v>
      </c>
      <c r="K48" s="63">
        <f t="shared" si="8"/>
        <v>0</v>
      </c>
      <c r="L48" s="98">
        <f>7100-2000+9500-4100-4500-6000+11000-11000+1900+11200+6800-500-500-300-1000-2000-2000-600-200-200-1200-200-3500-200-500-500-200-1000-1000-500-1000-1000-550-200-1000-50</f>
        <v>0</v>
      </c>
      <c r="M48" s="48">
        <f t="shared" si="9"/>
        <v>0</v>
      </c>
      <c r="N48" s="35">
        <v>0</v>
      </c>
      <c r="O48" s="49">
        <v>0</v>
      </c>
      <c r="P48" s="50">
        <v>0</v>
      </c>
      <c r="Q48" s="51">
        <v>0</v>
      </c>
      <c r="R48" s="46">
        <v>168600</v>
      </c>
      <c r="S48" s="46">
        <f t="shared" si="3"/>
        <v>0</v>
      </c>
    </row>
    <row r="49" spans="2:20" ht="19.5" customHeight="1" x14ac:dyDescent="0.25">
      <c r="B49" s="66">
        <v>36</v>
      </c>
      <c r="C49" s="70" t="s">
        <v>37</v>
      </c>
      <c r="D49" s="71" t="s">
        <v>63</v>
      </c>
      <c r="E49" s="44" t="s">
        <v>150</v>
      </c>
      <c r="F49" s="44" t="s">
        <v>22</v>
      </c>
      <c r="G49" s="44">
        <v>30</v>
      </c>
      <c r="H49" s="45">
        <v>30</v>
      </c>
      <c r="I49" s="46">
        <v>30</v>
      </c>
      <c r="J49" s="47">
        <f t="shared" si="7"/>
        <v>0</v>
      </c>
      <c r="K49" s="63">
        <f t="shared" si="8"/>
        <v>0</v>
      </c>
      <c r="L49" s="44">
        <v>0</v>
      </c>
      <c r="M49" s="48">
        <f t="shared" si="9"/>
        <v>0</v>
      </c>
      <c r="N49" s="35">
        <v>0</v>
      </c>
      <c r="O49" s="49">
        <v>0</v>
      </c>
      <c r="P49" s="50">
        <v>0</v>
      </c>
      <c r="Q49" s="51">
        <v>0</v>
      </c>
      <c r="R49" s="46">
        <v>30</v>
      </c>
      <c r="S49" s="46">
        <f>I49-R49</f>
        <v>0</v>
      </c>
    </row>
    <row r="50" spans="2:20" ht="19.5" customHeight="1" x14ac:dyDescent="0.25">
      <c r="B50" s="66">
        <v>37</v>
      </c>
      <c r="C50" s="70" t="s">
        <v>37</v>
      </c>
      <c r="D50" s="71" t="s">
        <v>131</v>
      </c>
      <c r="E50" s="44" t="s">
        <v>33</v>
      </c>
      <c r="F50" s="44" t="s">
        <v>22</v>
      </c>
      <c r="G50" s="44">
        <f>3000+18300+100+10000+10000+10000+12000+3300+5000+15000+12000+100+5000+6500</f>
        <v>110300</v>
      </c>
      <c r="H50" s="45">
        <f>3000+18300+100+6000+8000+2000+4000+4000+6000+6000+6000+3300+5000+5000+2000+8000+7920+4080+100+750+4250+6500</f>
        <v>110300</v>
      </c>
      <c r="I50" s="46">
        <f>15950+400+700+100+150+100+50+350+100+100+50+300+500+100+100+500+100+100+200+200+200+150+1000+200+200+600+150+300+200+100+200+100+200+500+200+200+300+200+200+300+100+100+100+250+400+100+50+500+300+200+50+200+500+500+100+400+500+150+1000+500+850+1000+500+100+1100+500+500+100+300+300+200+1000+200+500+100+300+500+500+350+100+750+500+350+150+500+2000+2000+1000+300+300+200+200+500+200+300+2000+500+500+500+500+1000+500+1500+600+700+500+750+100+650+150+500+350+100+500+250+150+200+250+50+500+200+200+250+200+200+250+250+250+500+500+300+250+250+250+300+350+100+400+200+150+150+200+700+300+500+500+250+250+250+300+250+300+250+200+250+250+200+200+200+500+100+400+150+300+300+300+200+500+500+500+900+500+350+200+450+500+500+250+500+150+200+800+250+250+200+400+200+200+500+100+150+450+500-500+400+100+50+350+200+150+900+270+300+300+50+200+200+100+50+50+1000+100+100+150+250+300+50+50+200+100+100+100+550+250+450+100+200+250+100+100+200+100+100+250+500+250+50+200+1000+500+200+500+750+130+100+250+500+100+150+100+100+100+200+200+100+100+50+200+100+500+200+2050+250+500+600+500+250+500+500+500+500+100+500+500+150+500+650</f>
        <v>110300</v>
      </c>
      <c r="J50" s="47">
        <f t="shared" si="7"/>
        <v>0</v>
      </c>
      <c r="K50" s="63">
        <f t="shared" si="8"/>
        <v>0</v>
      </c>
      <c r="L50" s="44">
        <f>3000-250-500-500-500-500+4000-750-1000-500+6000-500+6000-500-1000-1000-500-500-1000-500-1000-1500-1000-1000-500-200+5000+2000-500-500-1000-1000+8000-50-1000-1000-500-500-500-500-500-1000-500-250-500-1000-1000-500-1000-500-400-1000-500-1000-1000-500-200-400+7920-520-1000-350-650-100-100-1000-100-300-500-100-100-200-100-100-50-1250-100-200-200-250-300-100-250+4080-300-700-650-1000-200-500-730</f>
        <v>0</v>
      </c>
      <c r="M50" s="48">
        <f t="shared" si="9"/>
        <v>0</v>
      </c>
      <c r="N50" s="35">
        <v>100</v>
      </c>
      <c r="O50" s="49">
        <v>0</v>
      </c>
      <c r="P50" s="50">
        <v>0</v>
      </c>
      <c r="Q50" s="51">
        <v>0</v>
      </c>
      <c r="R50" s="46">
        <v>110300</v>
      </c>
      <c r="S50" s="46">
        <f t="shared" si="3"/>
        <v>0</v>
      </c>
    </row>
    <row r="51" spans="2:20" ht="19.5" customHeight="1" x14ac:dyDescent="0.25">
      <c r="B51" s="66">
        <v>38</v>
      </c>
      <c r="C51" s="70" t="s">
        <v>37</v>
      </c>
      <c r="D51" s="71" t="s">
        <v>131</v>
      </c>
      <c r="E51" s="44" t="s">
        <v>34</v>
      </c>
      <c r="F51" s="44" t="s">
        <v>22</v>
      </c>
      <c r="G51" s="44">
        <f>1500+1500+2000</f>
        <v>5000</v>
      </c>
      <c r="H51" s="45">
        <f>1500+1500+2000</f>
        <v>5000</v>
      </c>
      <c r="I51" s="46">
        <f>1500+250+500+500+750+500+300+200+500</f>
        <v>5000</v>
      </c>
      <c r="J51" s="47">
        <f t="shared" si="7"/>
        <v>0</v>
      </c>
      <c r="K51" s="63">
        <f t="shared" si="8"/>
        <v>0</v>
      </c>
      <c r="L51" s="44">
        <f>2000-500-1000-500</f>
        <v>0</v>
      </c>
      <c r="M51" s="48">
        <f t="shared" si="9"/>
        <v>0</v>
      </c>
      <c r="N51" s="35">
        <v>0</v>
      </c>
      <c r="O51" s="49">
        <v>0</v>
      </c>
      <c r="P51" s="50">
        <v>0</v>
      </c>
      <c r="Q51" s="51">
        <v>0</v>
      </c>
      <c r="R51" s="46">
        <v>5000</v>
      </c>
      <c r="S51" s="46">
        <f t="shared" si="3"/>
        <v>0</v>
      </c>
    </row>
    <row r="52" spans="2:20" ht="19.5" customHeight="1" x14ac:dyDescent="0.25">
      <c r="B52" s="66">
        <v>39</v>
      </c>
      <c r="C52" s="70" t="s">
        <v>37</v>
      </c>
      <c r="D52" s="71" t="s">
        <v>132</v>
      </c>
      <c r="E52" s="44" t="s">
        <v>33</v>
      </c>
      <c r="F52" s="44" t="s">
        <v>22</v>
      </c>
      <c r="G52" s="44">
        <f>3000+1500+1500+7000</f>
        <v>13000</v>
      </c>
      <c r="H52" s="45">
        <f>120+880+650+1164+186+800+700+590+1600+910+1249+220+3931</f>
        <v>13000</v>
      </c>
      <c r="I52" s="46">
        <f>120+300+250+50+200+20+50+20+500+1304+186+50+50+50+150+100+100+200+200+100+150+350+100+250+40+100+100+400+200+200+100+300+20+200+100+100+150+100+150+50+100+100+100+150+50+40+100+250+100+200+150+150+100+1000+300+50+50-300</f>
        <v>9850</v>
      </c>
      <c r="J52" s="47">
        <f t="shared" si="7"/>
        <v>3150</v>
      </c>
      <c r="K52" s="63">
        <f t="shared" si="8"/>
        <v>0</v>
      </c>
      <c r="L52" s="106">
        <f>800-500-300+1600+910-400+1249-500-500+3931-150-150-150-200-300-50-200-40-100-100-200-150-100-150-200-1000-100-50-50+300</f>
        <v>3150</v>
      </c>
      <c r="M52" s="48">
        <f t="shared" si="9"/>
        <v>0</v>
      </c>
      <c r="N52" s="35">
        <v>0</v>
      </c>
      <c r="O52" s="49">
        <v>0</v>
      </c>
      <c r="P52" s="50">
        <v>150</v>
      </c>
      <c r="Q52" s="51">
        <v>0</v>
      </c>
      <c r="R52" s="46">
        <v>9850</v>
      </c>
      <c r="S52" s="46">
        <f t="shared" si="3"/>
        <v>0</v>
      </c>
    </row>
    <row r="53" spans="2:20" ht="19.5" customHeight="1" x14ac:dyDescent="0.25">
      <c r="B53" s="66">
        <v>40</v>
      </c>
      <c r="C53" s="70" t="s">
        <v>37</v>
      </c>
      <c r="D53" s="71" t="s">
        <v>133</v>
      </c>
      <c r="E53" s="44" t="s">
        <v>33</v>
      </c>
      <c r="F53" s="44" t="s">
        <v>22</v>
      </c>
      <c r="G53" s="44">
        <f>550+1000+150+3000</f>
        <v>4700</v>
      </c>
      <c r="H53" s="45">
        <f>550+1000+150+1450+64+1486</f>
        <v>4700</v>
      </c>
      <c r="I53" s="46">
        <f>80+145+100+100+20+25+80+500+50+100+50+50+100+50+50+20+180+500+64-180-220-100+100+36</f>
        <v>1900</v>
      </c>
      <c r="J53" s="47">
        <f t="shared" si="7"/>
        <v>2800</v>
      </c>
      <c r="K53" s="63">
        <f t="shared" si="8"/>
        <v>0</v>
      </c>
      <c r="L53" s="106">
        <f>1000-500-250-250+1450-500+1486-100+600-100-36</f>
        <v>2800</v>
      </c>
      <c r="M53" s="48">
        <f t="shared" si="9"/>
        <v>0</v>
      </c>
      <c r="N53" s="35">
        <v>0</v>
      </c>
      <c r="O53" s="49">
        <v>0</v>
      </c>
      <c r="P53" s="50">
        <v>100</v>
      </c>
      <c r="Q53" s="51">
        <v>0</v>
      </c>
      <c r="R53" s="46">
        <v>1900</v>
      </c>
      <c r="S53" s="46">
        <f t="shared" si="3"/>
        <v>0</v>
      </c>
    </row>
    <row r="54" spans="2:20" ht="19.5" customHeight="1" x14ac:dyDescent="0.25">
      <c r="B54" s="66">
        <v>41</v>
      </c>
      <c r="C54" s="70" t="s">
        <v>37</v>
      </c>
      <c r="D54" s="71" t="s">
        <v>134</v>
      </c>
      <c r="E54" s="44" t="s">
        <v>47</v>
      </c>
      <c r="F54" s="44" t="s">
        <v>22</v>
      </c>
      <c r="G54" s="44">
        <f>2000+78+1000+1000</f>
        <v>4078</v>
      </c>
      <c r="H54" s="45">
        <f>8+337+78+1655+1000+1000</f>
        <v>4078</v>
      </c>
      <c r="I54" s="46">
        <f>8+50+150+150+65+500+55+200+200+500+200+100+50+50+100+200+50+100+200+150+50+50+50+250+100+50+70+400-20-125+125</f>
        <v>4078</v>
      </c>
      <c r="J54" s="47">
        <f t="shared" si="7"/>
        <v>0</v>
      </c>
      <c r="K54" s="63">
        <f t="shared" si="8"/>
        <v>0</v>
      </c>
      <c r="L54" s="44">
        <f>1000-100-50-250-100-50-70-100-280+125-125</f>
        <v>0</v>
      </c>
      <c r="M54" s="48">
        <f t="shared" si="9"/>
        <v>0</v>
      </c>
      <c r="N54" s="35">
        <v>78</v>
      </c>
      <c r="O54" s="49">
        <v>0</v>
      </c>
      <c r="P54" s="50">
        <v>600</v>
      </c>
      <c r="Q54" s="51">
        <v>0</v>
      </c>
      <c r="R54" s="46">
        <f>4078-125+125</f>
        <v>4078</v>
      </c>
      <c r="S54" s="46">
        <f t="shared" si="3"/>
        <v>0</v>
      </c>
    </row>
    <row r="55" spans="2:20" ht="19.5" customHeight="1" x14ac:dyDescent="0.25">
      <c r="B55" s="66">
        <v>42</v>
      </c>
      <c r="C55" s="70" t="s">
        <v>37</v>
      </c>
      <c r="D55" s="71" t="s">
        <v>151</v>
      </c>
      <c r="E55" s="44" t="s">
        <v>150</v>
      </c>
      <c r="F55" s="44" t="s">
        <v>22</v>
      </c>
      <c r="G55" s="44">
        <f>18+10+200</f>
        <v>228</v>
      </c>
      <c r="H55" s="45">
        <f>18+10+100+100</f>
        <v>228</v>
      </c>
      <c r="I55" s="46">
        <f>18+10+1+100+99-125</f>
        <v>103</v>
      </c>
      <c r="J55" s="47">
        <f t="shared" si="7"/>
        <v>125</v>
      </c>
      <c r="K55" s="63">
        <f t="shared" si="8"/>
        <v>0</v>
      </c>
      <c r="L55" s="106">
        <f>100-100+125</f>
        <v>125</v>
      </c>
      <c r="M55" s="48">
        <f t="shared" si="9"/>
        <v>0</v>
      </c>
      <c r="N55" s="35">
        <v>0</v>
      </c>
      <c r="O55" s="49">
        <v>0</v>
      </c>
      <c r="P55" s="50">
        <v>600</v>
      </c>
      <c r="Q55" s="51">
        <v>0</v>
      </c>
      <c r="R55" s="46">
        <v>103</v>
      </c>
      <c r="S55" s="46">
        <f>I55-R55</f>
        <v>0</v>
      </c>
    </row>
    <row r="56" spans="2:20" ht="19.5" customHeight="1" x14ac:dyDescent="0.25">
      <c r="B56" s="66">
        <v>43</v>
      </c>
      <c r="C56" s="70" t="s">
        <v>37</v>
      </c>
      <c r="D56" s="71" t="s">
        <v>135</v>
      </c>
      <c r="E56" s="44" t="s">
        <v>33</v>
      </c>
      <c r="F56" s="44" t="s">
        <v>22</v>
      </c>
      <c r="G56" s="44">
        <v>1000</v>
      </c>
      <c r="H56" s="45">
        <v>1000</v>
      </c>
      <c r="I56" s="46">
        <f>500+200+200+100</f>
        <v>1000</v>
      </c>
      <c r="J56" s="47">
        <f t="shared" ref="J56:J62" si="10">H56-I56</f>
        <v>0</v>
      </c>
      <c r="K56" s="63">
        <f t="shared" ref="K56:K62" si="11">J56-L56</f>
        <v>0</v>
      </c>
      <c r="L56" s="44">
        <v>0</v>
      </c>
      <c r="M56" s="48">
        <f t="shared" ref="M56:M63" si="12">G56-H56</f>
        <v>0</v>
      </c>
      <c r="N56" s="35">
        <v>0</v>
      </c>
      <c r="O56" s="49">
        <v>0</v>
      </c>
      <c r="P56" s="50">
        <v>1100</v>
      </c>
      <c r="Q56" s="51">
        <v>0</v>
      </c>
      <c r="R56" s="46">
        <v>1000</v>
      </c>
      <c r="S56" s="46">
        <f t="shared" si="3"/>
        <v>0</v>
      </c>
    </row>
    <row r="57" spans="2:20" ht="19.5" customHeight="1" x14ac:dyDescent="0.25">
      <c r="B57" s="66">
        <v>44</v>
      </c>
      <c r="C57" s="70" t="s">
        <v>37</v>
      </c>
      <c r="D57" s="71" t="s">
        <v>35</v>
      </c>
      <c r="E57" s="44" t="s">
        <v>33</v>
      </c>
      <c r="F57" s="44" t="s">
        <v>22</v>
      </c>
      <c r="G57" s="44">
        <v>8000</v>
      </c>
      <c r="H57" s="45">
        <v>8000</v>
      </c>
      <c r="I57" s="46">
        <f>4600+100+300+300+200+300+100+500+100+1500</f>
        <v>8000</v>
      </c>
      <c r="J57" s="47">
        <f t="shared" si="10"/>
        <v>0</v>
      </c>
      <c r="K57" s="63">
        <f t="shared" si="11"/>
        <v>0</v>
      </c>
      <c r="L57" s="44">
        <f>3000-500-500-500-1500</f>
        <v>0</v>
      </c>
      <c r="M57" s="48">
        <f t="shared" si="12"/>
        <v>0</v>
      </c>
      <c r="N57" s="35">
        <v>0</v>
      </c>
      <c r="O57" s="49">
        <v>0</v>
      </c>
      <c r="P57" s="50">
        <v>0</v>
      </c>
      <c r="Q57" s="51">
        <v>0</v>
      </c>
      <c r="R57" s="46">
        <v>8000</v>
      </c>
      <c r="S57" s="46">
        <f t="shared" si="3"/>
        <v>0</v>
      </c>
    </row>
    <row r="58" spans="2:20" ht="19.5" customHeight="1" x14ac:dyDescent="0.25">
      <c r="B58" s="66">
        <v>45</v>
      </c>
      <c r="C58" s="70" t="s">
        <v>37</v>
      </c>
      <c r="D58" s="71" t="s">
        <v>136</v>
      </c>
      <c r="E58" s="44" t="s">
        <v>33</v>
      </c>
      <c r="F58" s="44" t="s">
        <v>22</v>
      </c>
      <c r="G58" s="44">
        <f>500+500+500</f>
        <v>1500</v>
      </c>
      <c r="H58" s="45">
        <f>500+500+500</f>
        <v>1500</v>
      </c>
      <c r="I58" s="46">
        <f>50+50+150+250+100+400+150+350</f>
        <v>1500</v>
      </c>
      <c r="J58" s="47">
        <f t="shared" si="10"/>
        <v>0</v>
      </c>
      <c r="K58" s="63">
        <f t="shared" si="11"/>
        <v>0</v>
      </c>
      <c r="L58" s="44">
        <v>0</v>
      </c>
      <c r="M58" s="48">
        <f t="shared" si="12"/>
        <v>0</v>
      </c>
      <c r="N58" s="35">
        <v>0</v>
      </c>
      <c r="O58" s="49">
        <v>0</v>
      </c>
      <c r="P58" s="50">
        <v>0</v>
      </c>
      <c r="Q58" s="51">
        <v>0</v>
      </c>
      <c r="R58" s="46">
        <v>1500</v>
      </c>
      <c r="S58" s="46">
        <f t="shared" si="3"/>
        <v>0</v>
      </c>
    </row>
    <row r="59" spans="2:20" ht="19.5" customHeight="1" x14ac:dyDescent="0.25">
      <c r="B59" s="66">
        <v>46</v>
      </c>
      <c r="C59" s="70" t="s">
        <v>37</v>
      </c>
      <c r="D59" s="71" t="s">
        <v>137</v>
      </c>
      <c r="E59" s="44" t="s">
        <v>33</v>
      </c>
      <c r="F59" s="44" t="s">
        <v>22</v>
      </c>
      <c r="G59" s="44">
        <f>5000+10000+5000+2000+5000+1500+5000+4000+2500+2000+5300</f>
        <v>47300</v>
      </c>
      <c r="H59" s="45">
        <f>3200+1000+200+500+1100+3100+5900+5000+2000+2500+2500+1500+2500+1450+4000+1050+2500+950+1050+3300+2000</f>
        <v>47300</v>
      </c>
      <c r="I59" s="46">
        <f>3200+500+500+100+100+150+50+300+500+100+500+300+500+500+1000+500+100+350+500+500+1000+400+1000+100+150+2100+500+100+500+200+500+400+500+500+500+700+200+400+250+500+1250+200+1700+50+250+300+500+300+200+500+200+250+250+200+250+200+500+250+300+100+50+450+50+200+200+100+100+400+500+200+500+300+300+300+300+400+200+100+300+100+200+500+200+200+500+200+200+500+100+100+150+200+200+250+250+100+100+100+200+500+50+100+200+250+100+200+100-100+200+100+400+100+100+100+500+100+100+500+100+100+50+250+100+250+200+600+250+500+500+500+200+300+300+250+200+300-450+300-300+130+200+70</f>
        <v>46300</v>
      </c>
      <c r="J59" s="47">
        <f>H59-I59</f>
        <v>1000</v>
      </c>
      <c r="K59" s="109">
        <f>J59-L59</f>
        <v>0</v>
      </c>
      <c r="L59" s="106">
        <f>2000-250-500-500-750+2500-500+1450-50-500-500-500-500-500+4000-500-400-250-1000-1000-500-100-500+2500-1000-200-550-100-200-100-100-100-200-400-200+1270-200-20-50</f>
        <v>1000</v>
      </c>
      <c r="M59" s="48">
        <f>G59-H59</f>
        <v>0</v>
      </c>
      <c r="N59" s="35">
        <v>0</v>
      </c>
      <c r="O59" s="49">
        <v>0</v>
      </c>
      <c r="P59" s="50">
        <v>1500</v>
      </c>
      <c r="Q59" s="51">
        <v>0</v>
      </c>
      <c r="R59" s="46">
        <v>46300</v>
      </c>
      <c r="S59" s="46">
        <f>I59-R59</f>
        <v>0</v>
      </c>
    </row>
    <row r="60" spans="2:20" ht="19.5" customHeight="1" x14ac:dyDescent="0.25">
      <c r="B60" s="66">
        <v>47</v>
      </c>
      <c r="C60" s="70" t="s">
        <v>37</v>
      </c>
      <c r="D60" s="71" t="s">
        <v>120</v>
      </c>
      <c r="E60" s="44" t="s">
        <v>109</v>
      </c>
      <c r="F60" s="44" t="s">
        <v>22</v>
      </c>
      <c r="G60" s="44">
        <f>1000+2000+200</f>
        <v>3200</v>
      </c>
      <c r="H60" s="45">
        <f>1000+2000+200</f>
        <v>3200</v>
      </c>
      <c r="I60" s="46">
        <f>1000+2</f>
        <v>1002</v>
      </c>
      <c r="J60" s="47">
        <f>H60-I60</f>
        <v>2198</v>
      </c>
      <c r="K60" s="109">
        <f>J60-L60</f>
        <v>0</v>
      </c>
      <c r="L60" s="106">
        <f>2000-2+200</f>
        <v>2198</v>
      </c>
      <c r="M60" s="48">
        <f>G60-H60</f>
        <v>0</v>
      </c>
      <c r="N60" s="35">
        <v>0</v>
      </c>
      <c r="O60" s="49">
        <v>0</v>
      </c>
      <c r="P60" s="50">
        <v>0</v>
      </c>
      <c r="Q60" s="51">
        <v>0</v>
      </c>
      <c r="R60" s="46">
        <v>1002</v>
      </c>
      <c r="S60" s="46">
        <f>I60-R60</f>
        <v>0</v>
      </c>
    </row>
    <row r="61" spans="2:20" ht="19.5" customHeight="1" x14ac:dyDescent="0.25">
      <c r="B61" s="66">
        <v>48</v>
      </c>
      <c r="C61" s="70" t="s">
        <v>37</v>
      </c>
      <c r="D61" s="71" t="s">
        <v>121</v>
      </c>
      <c r="E61" s="44" t="s">
        <v>78</v>
      </c>
      <c r="F61" s="44" t="s">
        <v>22</v>
      </c>
      <c r="G61" s="44">
        <f>1000+2000+500</f>
        <v>3500</v>
      </c>
      <c r="H61" s="45">
        <f>1000+1950+50+500</f>
        <v>3500</v>
      </c>
      <c r="I61" s="46">
        <f>1000+1+100+100</f>
        <v>1201</v>
      </c>
      <c r="J61" s="47">
        <f>H61-I61</f>
        <v>2299</v>
      </c>
      <c r="K61" s="109">
        <f>J61-L61</f>
        <v>0</v>
      </c>
      <c r="L61" s="106">
        <f>1950+50-1+300</f>
        <v>2299</v>
      </c>
      <c r="M61" s="48">
        <f>G61-H61</f>
        <v>0</v>
      </c>
      <c r="N61" s="35">
        <v>0</v>
      </c>
      <c r="O61" s="49">
        <v>0</v>
      </c>
      <c r="P61" s="50">
        <v>0</v>
      </c>
      <c r="Q61" s="51">
        <v>0</v>
      </c>
      <c r="R61" s="46">
        <v>1201</v>
      </c>
      <c r="S61" s="46">
        <f>I61-R61</f>
        <v>0</v>
      </c>
    </row>
    <row r="62" spans="2:20" ht="19.5" customHeight="1" x14ac:dyDescent="0.25">
      <c r="B62" s="66">
        <v>49</v>
      </c>
      <c r="C62" s="70" t="s">
        <v>37</v>
      </c>
      <c r="D62" s="71" t="s">
        <v>58</v>
      </c>
      <c r="E62" s="44" t="s">
        <v>59</v>
      </c>
      <c r="F62" s="44" t="s">
        <v>22</v>
      </c>
      <c r="G62" s="44">
        <f>19800+100+1000+1000+1000+500+5000+10000+10000+8000+10000+20000+25000+650+6000</f>
        <v>118050</v>
      </c>
      <c r="H62" s="45">
        <f>9600+6550+3650+100+1000+1000+1000+500+1500+3500+10000+5000+5000+8000+5486+4514+10000+5000+5000+5000+1000+10500+150+9000+6000</f>
        <v>118050</v>
      </c>
      <c r="I62" s="46">
        <f>3300+350+300+500+500+100+100+100+200+500+200+300+1000+1000+1000+200+200+2000+200+300+1000+1000+1000+500+1000+1000+20+1000+500+1000+530+1000+1000+500+600+400+500+1500+500+200+300+1000+2500+4000+3000+300+200+500+500+500+500+500+500+100+1000+400+1000+500+500+1000+1000+500+1000+3000+4000+500+500+1250+500+2000+200+300+250-14+200+250+500+500+500+2000+1000+250+514+1000+1000+500+500+500+1000+300+1000+500+1000+500+500+500+1000+1000+500+500+500+500+1000+500+500+200+300+1000+150+600+300+800+400-250+250+300+950+500+3500+1000+300+500+200+500+200+250+200+300+500+500+500+500+1000+2000+500+500+200+500+450+300+500+150+2600+50+200+150+200+200+2000+500+500+1000+2000+1000+200+300+150+3650</f>
        <v>116650</v>
      </c>
      <c r="J62" s="47">
        <f t="shared" si="10"/>
        <v>1400</v>
      </c>
      <c r="K62" s="103">
        <f t="shared" si="11"/>
        <v>0</v>
      </c>
      <c r="L62" s="107">
        <f>6550-1000-1000-500-1000-1000-2050+10000-1000-1000-1000-1000-500-2000-1000-1000-1000-500+1000-300-700+10500-700-250-200-300-500-500-500-3100-1000-500-200-500-1000-1250+9000-3000-300-1000-500-500-1000-1000-300</f>
        <v>1400</v>
      </c>
      <c r="M62" s="48">
        <f t="shared" si="12"/>
        <v>0</v>
      </c>
      <c r="N62" s="35">
        <f>100+1000+1000+1000+500</f>
        <v>3600</v>
      </c>
      <c r="O62" s="49">
        <v>0</v>
      </c>
      <c r="P62" s="50">
        <v>1100</v>
      </c>
      <c r="Q62" s="51">
        <v>0</v>
      </c>
      <c r="R62" s="46">
        <f>109350+2000+1000+200+4100</f>
        <v>116650</v>
      </c>
      <c r="S62" s="46">
        <f t="shared" si="3"/>
        <v>0</v>
      </c>
      <c r="T62" s="86"/>
    </row>
    <row r="63" spans="2:20" ht="19.5" customHeight="1" x14ac:dyDescent="0.25">
      <c r="B63" s="66">
        <v>50</v>
      </c>
      <c r="C63" s="70" t="s">
        <v>37</v>
      </c>
      <c r="D63" s="71" t="s">
        <v>83</v>
      </c>
      <c r="E63" s="44" t="s">
        <v>59</v>
      </c>
      <c r="F63" s="44" t="s">
        <v>22</v>
      </c>
      <c r="G63" s="44">
        <f>500+1000</f>
        <v>1500</v>
      </c>
      <c r="H63" s="45">
        <f>500+1000</f>
        <v>1500</v>
      </c>
      <c r="I63" s="46">
        <f>200+100+100+100+1000</f>
        <v>1500</v>
      </c>
      <c r="J63" s="47">
        <f t="shared" ref="J63:J71" si="13">H63-I63</f>
        <v>0</v>
      </c>
      <c r="K63" s="64">
        <f t="shared" ref="K63:K71" si="14">J63-L63</f>
        <v>0</v>
      </c>
      <c r="L63" s="70">
        <v>0</v>
      </c>
      <c r="M63" s="48">
        <f t="shared" si="12"/>
        <v>0</v>
      </c>
      <c r="N63" s="35">
        <v>0</v>
      </c>
      <c r="O63" s="49">
        <v>0</v>
      </c>
      <c r="P63" s="50">
        <v>0</v>
      </c>
      <c r="Q63" s="51">
        <v>0</v>
      </c>
      <c r="R63" s="46">
        <v>1500</v>
      </c>
      <c r="S63" s="46">
        <f t="shared" si="3"/>
        <v>0</v>
      </c>
    </row>
    <row r="64" spans="2:20" ht="19.5" customHeight="1" x14ac:dyDescent="0.25">
      <c r="B64" s="66">
        <v>51</v>
      </c>
      <c r="C64" s="70" t="s">
        <v>66</v>
      </c>
      <c r="D64" s="71" t="s">
        <v>67</v>
      </c>
      <c r="E64" s="44" t="s">
        <v>78</v>
      </c>
      <c r="F64" s="44" t="s">
        <v>22</v>
      </c>
      <c r="G64" s="44">
        <f>3935+10000+10000+5000+3000+5000+10000+2100+2000</f>
        <v>51035</v>
      </c>
      <c r="H64" s="45">
        <f>1000+44+1250+750+300+50+541+914+5000+3000+1086+1000+4250+4750+2000+1000+2000+1800+200+5250+750+2000+4600+2500+1000+1000+1000+1100+900</f>
        <v>51035</v>
      </c>
      <c r="I64" s="46">
        <f>2564+200+110+240+80+50+50+40+10+100+200+291+400+100+100+80+30+324+150+100+200+50+100+300+500+30+30+50+70+200+50+50+50+50+150+50+50+100+50+80+120+100+100+150+40+50+20+100+100+250+80+100+150+25+21+100+100+30+300+160+100+50+300+150+100+500+120+50+150+40+100+50+50+300+500+150+30+70+500+500+110+300+500+50+100+100+150+200+400+500+100+50+50+100+500+480+210+100+300+300+250+200+100+600+50+50+200+200+300+300+200+200+300+50+150+500+200+200+100+200+200+500+200+300+500+250+300+600+150+200+400+400+300+700+200+300+300+150+200+100+150+300+1200+300+400+400+150+50+250+600+200+100+50+100+100+100+100+50+100+100+100+200+100+50+250+100+100+100+100+100+100+100+100+100+200+200+200+100+100+250+200+350+50+200+200+200+200+300+300+200+100+300+300+200+100+400+100+100+300+350+150+250+150+150+150+150+300+200+200+200+150+200+150+150+200+100+50+100+100+150+1270+100+150+250+30+550+1000+1000+1000+100+1000+310+100+50+100+100+30-100+40</f>
        <v>50765</v>
      </c>
      <c r="J64" s="47">
        <f t="shared" si="13"/>
        <v>270</v>
      </c>
      <c r="K64" s="85">
        <f t="shared" si="14"/>
        <v>0</v>
      </c>
      <c r="L64" s="106">
        <f>5000+1086+3000-120-150-150-2466-1000-1200-1200-1200+1000+4250+4750-300-300-250-500-300-200+1800-200-200-300-300+200-200-200-500+5250-1000-600-500-300-200-500-250-600-300-200-300-200-400-500-300-300-400-300-300-300-300-300-800-600-500-200+2000-100-150-100-100-200-100-100-200-200-200-200-50-300+4600-250-200-100-100-200-100-100-100-200-200-200-200-250-200-300-500-200-200-300-300-200-200-300-100-100-100-300-200-100-100-100-500-150-150-100-150-150-300-300-150-200-200-200-150-200-300+2500-200-100-50-200-150-100-150-620-400-30-550+900-310-100-50-100-100-30-100+200-15-10-5-10</f>
        <v>270</v>
      </c>
      <c r="M64" s="48">
        <f>G64-H64</f>
        <v>0</v>
      </c>
      <c r="N64" s="35">
        <v>0</v>
      </c>
      <c r="O64" s="49">
        <v>0</v>
      </c>
      <c r="P64" s="50">
        <v>20</v>
      </c>
      <c r="Q64" s="51">
        <v>0</v>
      </c>
      <c r="R64" s="46">
        <v>50765</v>
      </c>
      <c r="S64" s="46">
        <f t="shared" si="3"/>
        <v>0</v>
      </c>
      <c r="T64" s="86"/>
    </row>
    <row r="65" spans="2:20" ht="19.5" customHeight="1" x14ac:dyDescent="0.25">
      <c r="B65" s="66">
        <v>52</v>
      </c>
      <c r="C65" s="70" t="s">
        <v>66</v>
      </c>
      <c r="D65" s="71" t="s">
        <v>76</v>
      </c>
      <c r="E65" s="44" t="s">
        <v>78</v>
      </c>
      <c r="F65" s="44" t="s">
        <v>22</v>
      </c>
      <c r="G65" s="44">
        <f>11000+10000+20000+10000+8000+3000+10000+5000+20000+6000+5000</f>
        <v>108000</v>
      </c>
      <c r="H65" s="45">
        <f>11000+10000+5000+2000+5000+2100+5900+5000+5000+8000+3000+2450+2000+5500+1000+4000+2000+50+2000+4500+4700+2000+4800+6000+5000</f>
        <v>108000</v>
      </c>
      <c r="I65" s="46">
        <f>6000+400+1800+900+1400+300+200+2000+300+1000+300+300+500+100+500+100+500+500+300+500+500+1000+1500+200+1000+2000+500+500+1000+1000+500+3300+200+1000+1000+300+500+200+1000+3600+1000+2000+3400+600+300+2000+1000+500+500+1000+1000+1000+500+2000+500+2000+1000+1000+1000+200+250+250+400+300+300+500+200+300+450+100+200+1000+500+300+200+1000+500+600+1000+1400+200+650+150+1000+1500+1500+500+500+2000+500+200+500+200+200+200+1000+250+500+500+1500+500+500+500+200+500+500+200+500+300+200+500+1000+500+1000+500+500+100+1000+500+500+2500+500+200+300+300+2000+500+500+500+1200+610+500+3890</f>
        <v>108000</v>
      </c>
      <c r="J65" s="47">
        <f t="shared" si="13"/>
        <v>0</v>
      </c>
      <c r="K65" s="109">
        <f t="shared" si="14"/>
        <v>0</v>
      </c>
      <c r="L65" s="44">
        <f>5500-2000-100-1000-2400+1000-1000+50+2000-1000-1050+4500-2000-2500+4700+2000-500-500+4800-1000-1000-100-300-1000-1000-2000-3000-1000-100+6000-1000-300-1000-2000-1700</f>
        <v>0</v>
      </c>
      <c r="M65" s="48">
        <f>G65-H65</f>
        <v>0</v>
      </c>
      <c r="N65" s="35">
        <v>0</v>
      </c>
      <c r="O65" s="49">
        <v>0</v>
      </c>
      <c r="P65" s="50">
        <v>150</v>
      </c>
      <c r="Q65" s="51">
        <v>0</v>
      </c>
      <c r="R65" s="46">
        <f>103250+4750</f>
        <v>108000</v>
      </c>
      <c r="S65" s="46">
        <f t="shared" si="3"/>
        <v>0</v>
      </c>
    </row>
    <row r="66" spans="2:20" ht="19.5" customHeight="1" x14ac:dyDescent="0.25">
      <c r="B66" s="66">
        <v>53</v>
      </c>
      <c r="C66" s="70" t="s">
        <v>66</v>
      </c>
      <c r="D66" s="71" t="s">
        <v>165</v>
      </c>
      <c r="E66" s="44" t="s">
        <v>78</v>
      </c>
      <c r="F66" s="44" t="s">
        <v>22</v>
      </c>
      <c r="G66" s="44">
        <f>5000+7000+20000+2000+20000+20000+5000+30000+20000+4000</f>
        <v>133000</v>
      </c>
      <c r="H66" s="45">
        <f>5000+7000+3490+4000+1000+9500+2010+2000+10000+2800+1000+2000+1500+2700+3000+9300+7700+1500+3500+7000+1900+3100+18000+13200+6800+4000</f>
        <v>133000</v>
      </c>
      <c r="I66" s="46">
        <f>5000+1000+500+2000+2000+450+500+900+1000+150+500+200+1290+300+200+1000+1000+200+500+500+200+1000+100+1000+500+1000+500+500+2000+100+700+1500+1710+2000+950+600+450+2000+1000+2000+2000+1000+450+750+300+500+2000+800+500+300+200+800+200+500+400+500+300+300+100+400+2200+1000+1500+500+500+2700+600+1200+2550+450+900+900+2500+1000+900+1500+1800+300+450+200+200+250+100+200+150+200+150+450+450+450+150+300+450+300+250+900+2550+900+2000+150+700+1050+450+600+750+1050+900+500+200+400+500+200+300+200+200+300+200+200+1000+200+100+200+600+500+300+1000+1000+400+1000+150+2000+750+600+300+200+500+1500+150+6250+1000+200+50+300+300+500+250+1000+500+1000+500+500+500+1000+250+500+1000+4900+550+1000+300+700+300+200</f>
        <v>130200</v>
      </c>
      <c r="J66" s="47">
        <f t="shared" si="13"/>
        <v>2800</v>
      </c>
      <c r="K66" s="109">
        <f t="shared" si="14"/>
        <v>0</v>
      </c>
      <c r="L66" s="106">
        <f>18000+13200-500-200-500-400-1000-200-200-200-1000-200-100-200-1200-500+6800-500-300-1000-600-1200-700-3000-2000-4000-2000-150-1000-200-400-1000-1500-1000-500-1000-500-500-250-500-5600-350-250-300-1000-300+3000-200</f>
        <v>2800</v>
      </c>
      <c r="M66" s="48">
        <f>G66-H66</f>
        <v>0</v>
      </c>
      <c r="N66" s="35">
        <v>0</v>
      </c>
      <c r="O66" s="49">
        <v>0</v>
      </c>
      <c r="P66" s="50">
        <v>0</v>
      </c>
      <c r="Q66" s="51">
        <v>0</v>
      </c>
      <c r="R66" s="46">
        <v>130200</v>
      </c>
      <c r="S66" s="46">
        <f t="shared" si="3"/>
        <v>0</v>
      </c>
    </row>
    <row r="67" spans="2:20" ht="19.5" customHeight="1" x14ac:dyDescent="0.25">
      <c r="B67" s="66">
        <v>54</v>
      </c>
      <c r="C67" s="70" t="s">
        <v>66</v>
      </c>
      <c r="D67" s="71" t="s">
        <v>77</v>
      </c>
      <c r="E67" s="44" t="s">
        <v>78</v>
      </c>
      <c r="F67" s="44" t="s">
        <v>22</v>
      </c>
      <c r="G67" s="44">
        <f>5000+5000+10000+10000+487+4513+10000+3000+25000+15000+4000+4000</f>
        <v>96000</v>
      </c>
      <c r="H67" s="45">
        <f>5000+5000+10000+10000+487+4513+9000+1000+3000+20000+5000+15000+4000+4000</f>
        <v>96000</v>
      </c>
      <c r="I67" s="46">
        <f>5000+3000+1000+200+600+200+2000+1500+2000+2000+1000+1500+1000+1000+200+800+1000+1000+1000+500+1000+2500+200+200+87+800+713+2000+1000+500+1000+500+1000+1000+4000+1000+1000+1000+500+500+500+300+300+200+200+500+300+500+1000+1000+300+300+200+1000+1000+500+1000+1000+1000+200+500+300+200+500+500+500+500+1700+500+500+500+500+500+500+200+500+300+600+1500+900+500+300+200+300+300+200+200+200+300+1000+200+400+200+1000+500+200+500+300+1000+400+1000+400+200+500+400+500+200+100+500+200+500+300+1000+200+500+500+500+800+100+1400+500+200+1000+2000+100+100+100+4000</f>
        <v>96000</v>
      </c>
      <c r="J67" s="47">
        <f t="shared" si="13"/>
        <v>0</v>
      </c>
      <c r="K67" s="64">
        <f t="shared" si="14"/>
        <v>0</v>
      </c>
      <c r="L67" s="70">
        <f>4513-1513-3000+9000-2000+1000-4000-4000+20000-10000-2000-2000-2000-2000+15000-1000-200-300-1000-200-400-1700-200-500-300-1000-1400-400-200-500-400-500-1000-1000-1000-1000-500-500-800-1000+4000-700-200-500-2000-600</f>
        <v>0</v>
      </c>
      <c r="M67" s="48">
        <f>G67-H67</f>
        <v>0</v>
      </c>
      <c r="N67" s="35">
        <v>0</v>
      </c>
      <c r="O67" s="49">
        <v>0</v>
      </c>
      <c r="P67" s="50">
        <v>750</v>
      </c>
      <c r="Q67" s="51">
        <v>0</v>
      </c>
      <c r="R67" s="46">
        <v>96000</v>
      </c>
      <c r="S67" s="46">
        <f t="shared" si="3"/>
        <v>0</v>
      </c>
    </row>
    <row r="68" spans="2:20" ht="19.5" customHeight="1" x14ac:dyDescent="0.25">
      <c r="B68" s="87">
        <v>55</v>
      </c>
      <c r="C68" s="88" t="s">
        <v>66</v>
      </c>
      <c r="D68" s="104" t="s">
        <v>127</v>
      </c>
      <c r="E68" s="44" t="s">
        <v>78</v>
      </c>
      <c r="F68" s="74" t="s">
        <v>22</v>
      </c>
      <c r="G68" s="74">
        <f>1000+6600+2500+5000</f>
        <v>15100</v>
      </c>
      <c r="H68" s="75">
        <f>1000+6600+2500+5000</f>
        <v>15100</v>
      </c>
      <c r="I68" s="73">
        <f>500+500+200+400+200+550+1000+1000+25+2000+500+475+250+500+300+400+200+200+500+400+500+500+2000+500+500+200+300+100+200+200</f>
        <v>15100</v>
      </c>
      <c r="J68" s="76">
        <f t="shared" si="13"/>
        <v>0</v>
      </c>
      <c r="K68" s="101">
        <f t="shared" si="14"/>
        <v>0</v>
      </c>
      <c r="L68" s="88">
        <f>1000-1000+5000-1000-2000-500-500-1000</f>
        <v>0</v>
      </c>
      <c r="M68" s="78">
        <f>G68-H68</f>
        <v>0</v>
      </c>
      <c r="N68" s="89">
        <v>0</v>
      </c>
      <c r="O68" s="79">
        <v>0</v>
      </c>
      <c r="P68" s="80">
        <v>0</v>
      </c>
      <c r="Q68" s="81">
        <v>0</v>
      </c>
      <c r="R68" s="99">
        <v>15100</v>
      </c>
      <c r="S68" s="67">
        <f>I68-R68</f>
        <v>0</v>
      </c>
    </row>
    <row r="69" spans="2:20" x14ac:dyDescent="0.25">
      <c r="B69" s="83"/>
      <c r="C69" s="83"/>
      <c r="D69" s="105" t="s">
        <v>160</v>
      </c>
      <c r="E69" s="44" t="s">
        <v>78</v>
      </c>
      <c r="F69" s="83" t="s">
        <v>22</v>
      </c>
      <c r="G69" s="83">
        <f>2000+6000</f>
        <v>8000</v>
      </c>
      <c r="H69" s="90">
        <f>2000+6000</f>
        <v>8000</v>
      </c>
      <c r="I69" s="91">
        <f>1000+200+100+2900</f>
        <v>4200</v>
      </c>
      <c r="J69" s="76">
        <f t="shared" si="13"/>
        <v>3800</v>
      </c>
      <c r="K69" s="110">
        <f t="shared" si="14"/>
        <v>0</v>
      </c>
      <c r="L69" s="108">
        <f>2000-1000-200-100+3100</f>
        <v>3800</v>
      </c>
      <c r="M69" s="78">
        <f t="shared" ref="M69:M71" si="15">G69-H69</f>
        <v>0</v>
      </c>
      <c r="N69" s="83"/>
      <c r="O69" s="82"/>
      <c r="P69" s="83"/>
      <c r="Q69" s="83"/>
      <c r="R69" s="99">
        <f>1300+2900</f>
        <v>4200</v>
      </c>
      <c r="S69" s="67">
        <f t="shared" ref="S69:S71" si="16">I69-R69</f>
        <v>0</v>
      </c>
      <c r="T69" s="6"/>
    </row>
    <row r="70" spans="2:20" x14ac:dyDescent="0.25">
      <c r="B70" s="83"/>
      <c r="C70" s="83"/>
      <c r="D70" s="71" t="s">
        <v>162</v>
      </c>
      <c r="E70" s="83" t="s">
        <v>163</v>
      </c>
      <c r="F70" s="83" t="s">
        <v>22</v>
      </c>
      <c r="G70" s="83">
        <f>1000+500+250</f>
        <v>1750</v>
      </c>
      <c r="H70" s="90">
        <f>1000+500+250</f>
        <v>1750</v>
      </c>
      <c r="I70" s="91">
        <f>1000+500+250</f>
        <v>1750</v>
      </c>
      <c r="J70" s="76">
        <f t="shared" si="13"/>
        <v>0</v>
      </c>
      <c r="K70" s="102">
        <f t="shared" si="14"/>
        <v>0</v>
      </c>
      <c r="L70" s="83">
        <f>500-500</f>
        <v>0</v>
      </c>
      <c r="M70" s="78">
        <f t="shared" si="15"/>
        <v>0</v>
      </c>
      <c r="N70" s="83"/>
      <c r="O70" s="82"/>
      <c r="P70" s="83"/>
      <c r="Q70" s="83"/>
      <c r="R70" s="99">
        <v>1750</v>
      </c>
      <c r="S70" s="67">
        <f t="shared" si="16"/>
        <v>0</v>
      </c>
      <c r="T70" s="6"/>
    </row>
    <row r="71" spans="2:20" x14ac:dyDescent="0.25">
      <c r="B71" s="83"/>
      <c r="C71" s="83"/>
      <c r="D71" s="83"/>
      <c r="E71" s="83"/>
      <c r="F71" s="83"/>
      <c r="G71" s="83"/>
      <c r="H71" s="90"/>
      <c r="I71" s="91"/>
      <c r="J71" s="76">
        <f t="shared" si="13"/>
        <v>0</v>
      </c>
      <c r="K71" s="101">
        <f t="shared" si="14"/>
        <v>0</v>
      </c>
      <c r="L71" s="97"/>
      <c r="M71" s="78">
        <f t="shared" si="15"/>
        <v>0</v>
      </c>
      <c r="N71" s="83"/>
      <c r="O71" s="82"/>
      <c r="P71" s="83"/>
      <c r="Q71" s="83"/>
      <c r="R71" s="99"/>
      <c r="S71" s="67">
        <f t="shared" si="16"/>
        <v>0</v>
      </c>
      <c r="T71" s="6"/>
    </row>
    <row r="72" spans="2:20" x14ac:dyDescent="0.25">
      <c r="B72" s="6"/>
      <c r="C72" s="6"/>
      <c r="D72" s="6"/>
      <c r="E72" s="6"/>
      <c r="F72" s="6"/>
      <c r="G72" s="6" t="s">
        <v>161</v>
      </c>
      <c r="H72" s="6"/>
      <c r="I72" s="6"/>
      <c r="J72" s="6"/>
      <c r="K72" s="6"/>
      <c r="L72" s="6"/>
      <c r="M72" s="6"/>
      <c r="O72" s="56"/>
      <c r="P72" s="6"/>
      <c r="Q72" s="6"/>
    </row>
    <row r="73" spans="2:20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O73" s="56"/>
      <c r="P73" s="6"/>
      <c r="Q73" s="6"/>
    </row>
    <row r="74" spans="2:20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O74" s="56"/>
      <c r="P74" s="6"/>
      <c r="Q74" s="6"/>
    </row>
    <row r="75" spans="2:20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O75" s="56"/>
      <c r="P75" s="6"/>
      <c r="Q75" s="6"/>
    </row>
    <row r="76" spans="2:20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O76" s="56"/>
      <c r="P76" s="6"/>
      <c r="Q76" s="6"/>
    </row>
    <row r="77" spans="2:20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O77" s="56"/>
      <c r="P77" s="6"/>
      <c r="Q77" s="6"/>
    </row>
    <row r="78" spans="2:20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O78" s="56"/>
      <c r="P78" s="6"/>
      <c r="Q78" s="6"/>
    </row>
    <row r="79" spans="2:20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O79" s="56"/>
      <c r="P79" s="6"/>
      <c r="Q79" s="6"/>
    </row>
    <row r="80" spans="2:20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O80" s="56"/>
      <c r="P80" s="6"/>
      <c r="Q80" s="6"/>
    </row>
    <row r="81" spans="2:17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O81" s="56"/>
      <c r="P81" s="6"/>
      <c r="Q81" s="6"/>
    </row>
    <row r="82" spans="2:17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O82" s="56"/>
      <c r="P82" s="6"/>
      <c r="Q82" s="6"/>
    </row>
    <row r="83" spans="2:17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O83" s="56"/>
      <c r="P83" s="6"/>
      <c r="Q83" s="6"/>
    </row>
    <row r="84" spans="2:17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O84" s="56"/>
      <c r="P84" s="6"/>
      <c r="Q84" s="6"/>
    </row>
    <row r="85" spans="2:17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O85" s="56"/>
      <c r="P85" s="6"/>
      <c r="Q85" s="6"/>
    </row>
    <row r="86" spans="2:17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O86" s="56"/>
      <c r="P86" s="6"/>
      <c r="Q86" s="6"/>
    </row>
    <row r="87" spans="2:17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O87" s="56"/>
      <c r="P87" s="6"/>
      <c r="Q87" s="6"/>
    </row>
    <row r="88" spans="2:17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O88" s="56"/>
      <c r="P88" s="6"/>
      <c r="Q88" s="6"/>
    </row>
    <row r="89" spans="2:17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O89" s="56"/>
      <c r="P89" s="6"/>
      <c r="Q89" s="6"/>
    </row>
    <row r="90" spans="2:17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O90" s="56"/>
      <c r="P90" s="6"/>
      <c r="Q90" s="6"/>
    </row>
    <row r="91" spans="2:17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O91" s="56"/>
      <c r="P91" s="6"/>
      <c r="Q91" s="6"/>
    </row>
    <row r="92" spans="2:17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O92" s="56"/>
      <c r="P92" s="6"/>
      <c r="Q92" s="6"/>
    </row>
    <row r="93" spans="2:17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O93" s="56"/>
      <c r="P93" s="6"/>
      <c r="Q93" s="6"/>
    </row>
    <row r="94" spans="2:17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O94" s="56"/>
      <c r="P94" s="6"/>
      <c r="Q94" s="6"/>
    </row>
    <row r="95" spans="2:17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O95" s="56"/>
      <c r="P95" s="6"/>
      <c r="Q95" s="6"/>
    </row>
    <row r="96" spans="2:17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O96" s="56"/>
      <c r="P96" s="6"/>
      <c r="Q96" s="6"/>
    </row>
    <row r="97" spans="2:17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O97" s="56"/>
      <c r="P97" s="6"/>
      <c r="Q97" s="6"/>
    </row>
    <row r="98" spans="2:17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O98" s="56"/>
      <c r="P98" s="6"/>
      <c r="Q98" s="6"/>
    </row>
    <row r="99" spans="2:17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O99" s="56"/>
      <c r="P99" s="6"/>
      <c r="Q99" s="6"/>
    </row>
    <row r="100" spans="2:17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O100" s="56"/>
      <c r="P100" s="6"/>
      <c r="Q100" s="6"/>
    </row>
    <row r="101" spans="2:17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O101" s="56"/>
      <c r="P101" s="6"/>
      <c r="Q101" s="6"/>
    </row>
    <row r="102" spans="2:17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O102" s="56"/>
      <c r="P102" s="6"/>
      <c r="Q102" s="6"/>
    </row>
    <row r="103" spans="2:17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O103" s="56"/>
      <c r="P103" s="6"/>
      <c r="Q103" s="6"/>
    </row>
    <row r="104" spans="2:17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O104" s="56"/>
      <c r="P104" s="6"/>
      <c r="Q104" s="6"/>
    </row>
    <row r="105" spans="2:17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O105" s="56"/>
      <c r="P105" s="6"/>
      <c r="Q105" s="6"/>
    </row>
    <row r="106" spans="2:17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O106" s="56"/>
      <c r="P106" s="6"/>
      <c r="Q106" s="6"/>
    </row>
    <row r="107" spans="2:17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O107" s="56"/>
      <c r="P107" s="6"/>
      <c r="Q107" s="6"/>
    </row>
    <row r="108" spans="2:17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O108" s="56"/>
      <c r="P108" s="6"/>
      <c r="Q108" s="6"/>
    </row>
    <row r="109" spans="2:17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O109" s="56"/>
      <c r="P109" s="6"/>
      <c r="Q109" s="6"/>
    </row>
    <row r="110" spans="2:17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O110" s="56"/>
      <c r="P110" s="6"/>
      <c r="Q110" s="6"/>
    </row>
    <row r="111" spans="2:17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O111" s="56"/>
      <c r="P111" s="6"/>
      <c r="Q111" s="6"/>
    </row>
    <row r="112" spans="2:17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O112" s="56"/>
      <c r="P112" s="6"/>
      <c r="Q112" s="6"/>
    </row>
    <row r="113" spans="2:17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O113" s="56"/>
      <c r="P113" s="6"/>
      <c r="Q113" s="6"/>
    </row>
    <row r="114" spans="2:17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O114" s="56"/>
      <c r="P114" s="6"/>
      <c r="Q114" s="6"/>
    </row>
    <row r="115" spans="2:17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O115" s="56"/>
      <c r="P115" s="6"/>
      <c r="Q115" s="6"/>
    </row>
    <row r="116" spans="2:17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O116" s="56"/>
      <c r="P116" s="6"/>
      <c r="Q116" s="6"/>
    </row>
    <row r="117" spans="2:17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O117" s="56"/>
      <c r="P117" s="6"/>
      <c r="Q117" s="6"/>
    </row>
    <row r="118" spans="2:17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O118" s="56"/>
      <c r="P118" s="6"/>
      <c r="Q118" s="6"/>
    </row>
    <row r="119" spans="2:17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O119" s="56"/>
      <c r="P119" s="6"/>
      <c r="Q119" s="6"/>
    </row>
    <row r="120" spans="2:17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O120" s="56"/>
      <c r="P120" s="6"/>
      <c r="Q120" s="6"/>
    </row>
    <row r="121" spans="2:17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O121" s="56"/>
      <c r="P121" s="6"/>
      <c r="Q121" s="6"/>
    </row>
    <row r="122" spans="2:17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O122" s="56"/>
      <c r="P122" s="6"/>
      <c r="Q122" s="6"/>
    </row>
    <row r="123" spans="2:17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O123" s="56"/>
      <c r="P123" s="6"/>
      <c r="Q123" s="6"/>
    </row>
    <row r="124" spans="2:17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O124" s="56"/>
      <c r="P124" s="6"/>
      <c r="Q124" s="6"/>
    </row>
    <row r="125" spans="2:17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O125" s="56"/>
      <c r="P125" s="6"/>
      <c r="Q125" s="6"/>
    </row>
    <row r="126" spans="2:17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O126" s="56"/>
      <c r="P126" s="6"/>
      <c r="Q126" s="6"/>
    </row>
    <row r="127" spans="2:17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O127" s="56"/>
      <c r="P127" s="6"/>
      <c r="Q127" s="6"/>
    </row>
    <row r="128" spans="2:17" x14ac:dyDescent="0.25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O128" s="56"/>
      <c r="P128" s="6"/>
      <c r="Q128" s="6"/>
    </row>
    <row r="129" spans="2:17" x14ac:dyDescent="0.25"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O129" s="56"/>
      <c r="P129" s="6"/>
      <c r="Q129" s="6"/>
    </row>
    <row r="130" spans="2:17" x14ac:dyDescent="0.25"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O130" s="56"/>
      <c r="P130" s="6"/>
      <c r="Q130" s="6"/>
    </row>
    <row r="131" spans="2:17" x14ac:dyDescent="0.25"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O131" s="56"/>
      <c r="P131" s="6"/>
      <c r="Q131" s="6"/>
    </row>
    <row r="132" spans="2:17" x14ac:dyDescent="0.25"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O132" s="56"/>
      <c r="P132" s="6"/>
      <c r="Q132" s="6"/>
    </row>
    <row r="133" spans="2:17" x14ac:dyDescent="0.25"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O133" s="56"/>
      <c r="P133" s="6"/>
      <c r="Q133" s="6"/>
    </row>
    <row r="134" spans="2:17" x14ac:dyDescent="0.25"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O134" s="56"/>
      <c r="P134" s="6"/>
      <c r="Q134" s="6"/>
    </row>
    <row r="135" spans="2:17" x14ac:dyDescent="0.25"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O135" s="56"/>
      <c r="P135" s="6"/>
      <c r="Q135" s="6"/>
    </row>
    <row r="136" spans="2:17" x14ac:dyDescent="0.25"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O136" s="56"/>
      <c r="P136" s="6"/>
      <c r="Q136" s="6"/>
    </row>
    <row r="137" spans="2:17" x14ac:dyDescent="0.25"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O137" s="56"/>
      <c r="P137" s="6"/>
      <c r="Q137" s="6"/>
    </row>
    <row r="138" spans="2:17" x14ac:dyDescent="0.25"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O138" s="56"/>
      <c r="P138" s="6"/>
      <c r="Q138" s="6"/>
    </row>
    <row r="139" spans="2:17" x14ac:dyDescent="0.25"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O139" s="56"/>
      <c r="P139" s="6"/>
      <c r="Q139" s="6"/>
    </row>
    <row r="140" spans="2:17" x14ac:dyDescent="0.25"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O140" s="56"/>
      <c r="P140" s="6"/>
      <c r="Q140" s="6"/>
    </row>
    <row r="141" spans="2:17" x14ac:dyDescent="0.25"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O141" s="56"/>
      <c r="P141" s="6"/>
      <c r="Q141" s="6"/>
    </row>
    <row r="142" spans="2:17" x14ac:dyDescent="0.25"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O142" s="56"/>
      <c r="P142" s="6"/>
      <c r="Q142" s="6"/>
    </row>
    <row r="143" spans="2:17" x14ac:dyDescent="0.25"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O143" s="56"/>
      <c r="P143" s="6"/>
      <c r="Q143" s="6"/>
    </row>
    <row r="144" spans="2:17" x14ac:dyDescent="0.25"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O144" s="56"/>
      <c r="P144" s="6"/>
      <c r="Q144" s="6"/>
    </row>
    <row r="145" spans="2:17" x14ac:dyDescent="0.25"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O145" s="56"/>
      <c r="P145" s="6"/>
      <c r="Q145" s="6"/>
    </row>
    <row r="146" spans="2:17" x14ac:dyDescent="0.25"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O146" s="56"/>
      <c r="P146" s="6"/>
      <c r="Q146" s="6"/>
    </row>
    <row r="147" spans="2:17" x14ac:dyDescent="0.25"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O147" s="56"/>
      <c r="P147" s="6"/>
      <c r="Q147" s="6"/>
    </row>
    <row r="148" spans="2:17" x14ac:dyDescent="0.25"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O148" s="56"/>
      <c r="P148" s="6"/>
      <c r="Q148" s="6"/>
    </row>
    <row r="149" spans="2:17" x14ac:dyDescent="0.25"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O149" s="56"/>
      <c r="P149" s="6"/>
      <c r="Q149" s="6"/>
    </row>
    <row r="150" spans="2:17" x14ac:dyDescent="0.25"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O150" s="56"/>
      <c r="P150" s="6"/>
      <c r="Q150" s="6"/>
    </row>
    <row r="151" spans="2:17" x14ac:dyDescent="0.25"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O151" s="56"/>
      <c r="P151" s="6"/>
      <c r="Q151" s="6"/>
    </row>
    <row r="152" spans="2:17" x14ac:dyDescent="0.25"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O152" s="56"/>
      <c r="P152" s="6"/>
      <c r="Q152" s="6"/>
    </row>
    <row r="153" spans="2:17" x14ac:dyDescent="0.25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O153" s="56"/>
      <c r="P153" s="6"/>
      <c r="Q153" s="6"/>
    </row>
    <row r="154" spans="2:17" x14ac:dyDescent="0.25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O154" s="56"/>
      <c r="P154" s="6"/>
      <c r="Q154" s="6"/>
    </row>
    <row r="155" spans="2:17" x14ac:dyDescent="0.25"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O155" s="56"/>
      <c r="P155" s="6"/>
      <c r="Q155" s="6"/>
    </row>
    <row r="156" spans="2:17" x14ac:dyDescent="0.25"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O156" s="56"/>
      <c r="P156" s="6"/>
      <c r="Q156" s="6"/>
    </row>
    <row r="157" spans="2:17" x14ac:dyDescent="0.25"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O157" s="56"/>
      <c r="P157" s="6"/>
      <c r="Q157" s="6"/>
    </row>
    <row r="158" spans="2:17" x14ac:dyDescent="0.25"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O158" s="56"/>
      <c r="P158" s="6"/>
      <c r="Q158" s="6"/>
    </row>
    <row r="159" spans="2:17" x14ac:dyDescent="0.25"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O159" s="56"/>
      <c r="P159" s="6"/>
      <c r="Q159" s="6"/>
    </row>
    <row r="160" spans="2:17" x14ac:dyDescent="0.25"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O160" s="56"/>
      <c r="P160" s="6"/>
      <c r="Q160" s="6"/>
    </row>
    <row r="161" spans="2:17" x14ac:dyDescent="0.25"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O161" s="56"/>
      <c r="P161" s="6"/>
      <c r="Q161" s="6"/>
    </row>
    <row r="162" spans="2:17" x14ac:dyDescent="0.25"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O162" s="56"/>
      <c r="P162" s="6"/>
      <c r="Q162" s="6"/>
    </row>
    <row r="163" spans="2:17" x14ac:dyDescent="0.25"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O163" s="56"/>
      <c r="P163" s="6"/>
      <c r="Q163" s="6"/>
    </row>
    <row r="164" spans="2:17" x14ac:dyDescent="0.25"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O164" s="56"/>
      <c r="P164" s="6"/>
      <c r="Q164" s="6"/>
    </row>
    <row r="165" spans="2:17" x14ac:dyDescent="0.25"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O165" s="56"/>
      <c r="P165" s="6"/>
      <c r="Q165" s="6"/>
    </row>
    <row r="166" spans="2:17" x14ac:dyDescent="0.25"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O166" s="56"/>
      <c r="P166" s="6"/>
      <c r="Q166" s="6"/>
    </row>
    <row r="167" spans="2:17" x14ac:dyDescent="0.25"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O167" s="56"/>
      <c r="P167" s="6"/>
      <c r="Q167" s="6"/>
    </row>
    <row r="168" spans="2:17" x14ac:dyDescent="0.25"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O168" s="56"/>
      <c r="P168" s="6"/>
      <c r="Q168" s="6"/>
    </row>
    <row r="169" spans="2:17" x14ac:dyDescent="0.25"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O169" s="56"/>
      <c r="P169" s="6"/>
      <c r="Q169" s="6"/>
    </row>
    <row r="170" spans="2:17" x14ac:dyDescent="0.25"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O170" s="56"/>
      <c r="P170" s="6"/>
      <c r="Q170" s="6"/>
    </row>
    <row r="171" spans="2:17" x14ac:dyDescent="0.25"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O171" s="56"/>
      <c r="P171" s="6"/>
      <c r="Q171" s="6"/>
    </row>
    <row r="172" spans="2:17" x14ac:dyDescent="0.25"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O172" s="56"/>
      <c r="P172" s="6"/>
      <c r="Q172" s="6"/>
    </row>
    <row r="173" spans="2:17" x14ac:dyDescent="0.25"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O173" s="56"/>
      <c r="P173" s="6"/>
      <c r="Q173" s="6"/>
    </row>
    <row r="174" spans="2:17" x14ac:dyDescent="0.25"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O174" s="56"/>
      <c r="P174" s="6"/>
      <c r="Q174" s="6"/>
    </row>
    <row r="175" spans="2:17" x14ac:dyDescent="0.25"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O175" s="56"/>
      <c r="P175" s="6"/>
      <c r="Q175" s="6"/>
    </row>
    <row r="176" spans="2:17" x14ac:dyDescent="0.25"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O176" s="56"/>
      <c r="P176" s="6"/>
      <c r="Q176" s="6"/>
    </row>
    <row r="177" spans="2:17" x14ac:dyDescent="0.25"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O177" s="56"/>
      <c r="P177" s="6"/>
      <c r="Q177" s="6"/>
    </row>
    <row r="178" spans="2:17" x14ac:dyDescent="0.25"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O178" s="56"/>
      <c r="P178" s="6"/>
      <c r="Q178" s="6"/>
    </row>
    <row r="179" spans="2:17" x14ac:dyDescent="0.25"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O179" s="56"/>
      <c r="P179" s="6"/>
      <c r="Q179" s="6"/>
    </row>
    <row r="180" spans="2:17" x14ac:dyDescent="0.25"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O180" s="56"/>
      <c r="P180" s="6"/>
      <c r="Q180" s="6"/>
    </row>
    <row r="181" spans="2:17" x14ac:dyDescent="0.25"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O181" s="56"/>
      <c r="P181" s="6"/>
      <c r="Q181" s="6"/>
    </row>
    <row r="182" spans="2:17" x14ac:dyDescent="0.25"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O182" s="56"/>
      <c r="P182" s="6"/>
      <c r="Q182" s="6"/>
    </row>
    <row r="183" spans="2:17" x14ac:dyDescent="0.25"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O183" s="56"/>
      <c r="P183" s="6"/>
      <c r="Q183" s="6"/>
    </row>
    <row r="184" spans="2:17" x14ac:dyDescent="0.25"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O184" s="56"/>
      <c r="P184" s="6"/>
      <c r="Q184" s="6"/>
    </row>
    <row r="185" spans="2:17" x14ac:dyDescent="0.25"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O185" s="56"/>
      <c r="P185" s="6"/>
      <c r="Q185" s="6"/>
    </row>
    <row r="186" spans="2:17" x14ac:dyDescent="0.25"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O186" s="56"/>
      <c r="P186" s="6"/>
      <c r="Q186" s="6"/>
    </row>
    <row r="187" spans="2:17" x14ac:dyDescent="0.25"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O187" s="56"/>
      <c r="P187" s="6"/>
      <c r="Q187" s="6"/>
    </row>
    <row r="188" spans="2:17" x14ac:dyDescent="0.25"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O188" s="56"/>
      <c r="P188" s="6"/>
      <c r="Q188" s="6"/>
    </row>
    <row r="189" spans="2:17" x14ac:dyDescent="0.25"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O189" s="56"/>
      <c r="P189" s="6"/>
      <c r="Q189" s="6"/>
    </row>
    <row r="190" spans="2:17" x14ac:dyDescent="0.25"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O190" s="56"/>
      <c r="P190" s="6"/>
      <c r="Q190" s="6"/>
    </row>
    <row r="191" spans="2:17" x14ac:dyDescent="0.25"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O191" s="56"/>
      <c r="P191" s="6"/>
      <c r="Q191" s="6"/>
    </row>
    <row r="192" spans="2:17" x14ac:dyDescent="0.25"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O192" s="56"/>
      <c r="P192" s="6"/>
      <c r="Q192" s="6"/>
    </row>
    <row r="193" spans="2:17" x14ac:dyDescent="0.25"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O193" s="56"/>
      <c r="P193" s="6"/>
      <c r="Q193" s="6"/>
    </row>
    <row r="194" spans="2:17" x14ac:dyDescent="0.25"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O194" s="56"/>
      <c r="P194" s="6"/>
      <c r="Q194" s="6"/>
    </row>
    <row r="195" spans="2:17" x14ac:dyDescent="0.25"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O195" s="56"/>
      <c r="P195" s="6"/>
      <c r="Q195" s="6"/>
    </row>
    <row r="196" spans="2:17" x14ac:dyDescent="0.25"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O196" s="56"/>
      <c r="P196" s="6"/>
      <c r="Q196" s="6"/>
    </row>
    <row r="197" spans="2:17" x14ac:dyDescent="0.25"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O197" s="56"/>
      <c r="P197" s="6"/>
      <c r="Q197" s="6"/>
    </row>
    <row r="198" spans="2:17" x14ac:dyDescent="0.25"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O198" s="56"/>
      <c r="P198" s="6"/>
      <c r="Q198" s="6"/>
    </row>
    <row r="199" spans="2:17" x14ac:dyDescent="0.25"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O199" s="56"/>
      <c r="P199" s="6"/>
      <c r="Q199" s="6"/>
    </row>
    <row r="200" spans="2:17" x14ac:dyDescent="0.25"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O200" s="56"/>
      <c r="P200" s="6"/>
      <c r="Q200" s="6"/>
    </row>
    <row r="201" spans="2:17" x14ac:dyDescent="0.25"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O201" s="56"/>
      <c r="P201" s="6"/>
      <c r="Q201" s="6"/>
    </row>
    <row r="202" spans="2:17" x14ac:dyDescent="0.25"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O202" s="56"/>
      <c r="P202" s="6"/>
      <c r="Q202" s="6"/>
    </row>
    <row r="203" spans="2:17" x14ac:dyDescent="0.25"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O203" s="56"/>
      <c r="P203" s="6"/>
      <c r="Q203" s="6"/>
    </row>
    <row r="204" spans="2:17" x14ac:dyDescent="0.25"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O204" s="56"/>
      <c r="P204" s="6"/>
      <c r="Q204" s="6"/>
    </row>
    <row r="205" spans="2:17" x14ac:dyDescent="0.25"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O205" s="56"/>
      <c r="P205" s="6"/>
      <c r="Q205" s="6"/>
    </row>
    <row r="206" spans="2:17" x14ac:dyDescent="0.25"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O206" s="56"/>
      <c r="P206" s="6"/>
      <c r="Q206" s="6"/>
    </row>
    <row r="207" spans="2:17" x14ac:dyDescent="0.25"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O207" s="56"/>
      <c r="P207" s="6"/>
      <c r="Q207" s="6"/>
    </row>
    <row r="208" spans="2:17" x14ac:dyDescent="0.25"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O208" s="56"/>
      <c r="P208" s="6"/>
      <c r="Q208" s="6"/>
    </row>
    <row r="209" spans="2:17" x14ac:dyDescent="0.25"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O209" s="56"/>
      <c r="P209" s="6"/>
      <c r="Q209" s="6"/>
    </row>
    <row r="210" spans="2:17" x14ac:dyDescent="0.25"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O210" s="56"/>
      <c r="P210" s="6"/>
      <c r="Q210" s="6"/>
    </row>
    <row r="211" spans="2:17" x14ac:dyDescent="0.25"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O211" s="56"/>
      <c r="P211" s="6"/>
      <c r="Q211" s="6"/>
    </row>
    <row r="212" spans="2:17" x14ac:dyDescent="0.25"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O212" s="56"/>
      <c r="P212" s="6"/>
      <c r="Q212" s="6"/>
    </row>
    <row r="213" spans="2:17" x14ac:dyDescent="0.25"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O213" s="56"/>
      <c r="P213" s="6"/>
      <c r="Q213" s="6"/>
    </row>
    <row r="214" spans="2:17" x14ac:dyDescent="0.25"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O214" s="56"/>
      <c r="P214" s="6"/>
      <c r="Q214" s="6"/>
    </row>
    <row r="215" spans="2:17" x14ac:dyDescent="0.25"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O215" s="56"/>
      <c r="P215" s="6"/>
      <c r="Q215" s="6"/>
    </row>
    <row r="216" spans="2:17" x14ac:dyDescent="0.25"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O216" s="56"/>
      <c r="P216" s="6"/>
      <c r="Q216" s="6"/>
    </row>
    <row r="217" spans="2:17" x14ac:dyDescent="0.25"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O217" s="56"/>
      <c r="P217" s="6"/>
      <c r="Q217" s="6"/>
    </row>
    <row r="218" spans="2:17" x14ac:dyDescent="0.25"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O218" s="56"/>
      <c r="P218" s="6"/>
      <c r="Q218" s="6"/>
    </row>
    <row r="219" spans="2:17" x14ac:dyDescent="0.25"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O219" s="56"/>
      <c r="P219" s="6"/>
      <c r="Q219" s="6"/>
    </row>
    <row r="220" spans="2:17" x14ac:dyDescent="0.25"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O220" s="56"/>
      <c r="P220" s="6"/>
      <c r="Q220" s="6"/>
    </row>
    <row r="221" spans="2:17" x14ac:dyDescent="0.25"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O221" s="56"/>
      <c r="P221" s="6"/>
      <c r="Q221" s="6"/>
    </row>
    <row r="222" spans="2:17" x14ac:dyDescent="0.25"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O222" s="56"/>
      <c r="P222" s="6"/>
      <c r="Q222" s="6"/>
    </row>
    <row r="223" spans="2:17" x14ac:dyDescent="0.25"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O223" s="56"/>
      <c r="P223" s="6"/>
      <c r="Q223" s="6"/>
    </row>
    <row r="224" spans="2:17" x14ac:dyDescent="0.25"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O224" s="56"/>
      <c r="P224" s="6"/>
      <c r="Q224" s="6"/>
    </row>
    <row r="225" spans="2:17" x14ac:dyDescent="0.25"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O225" s="56"/>
      <c r="P225" s="6"/>
      <c r="Q225" s="6"/>
    </row>
    <row r="226" spans="2:17" x14ac:dyDescent="0.25"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O226" s="56"/>
      <c r="P226" s="6"/>
      <c r="Q226" s="6"/>
    </row>
    <row r="227" spans="2:17" x14ac:dyDescent="0.25"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O227" s="56"/>
      <c r="P227" s="6"/>
      <c r="Q227" s="6"/>
    </row>
    <row r="228" spans="2:17" x14ac:dyDescent="0.25"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O228" s="56"/>
      <c r="P228" s="6"/>
      <c r="Q228" s="6"/>
    </row>
    <row r="229" spans="2:17" x14ac:dyDescent="0.25"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O229" s="56"/>
      <c r="P229" s="6"/>
      <c r="Q229" s="6"/>
    </row>
    <row r="230" spans="2:17" x14ac:dyDescent="0.25"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O230" s="56"/>
      <c r="P230" s="6"/>
      <c r="Q230" s="6"/>
    </row>
    <row r="231" spans="2:17" x14ac:dyDescent="0.25"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O231" s="56"/>
      <c r="P231" s="6"/>
      <c r="Q231" s="6"/>
    </row>
    <row r="232" spans="2:17" x14ac:dyDescent="0.25"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O232" s="56"/>
      <c r="P232" s="6"/>
      <c r="Q232" s="6"/>
    </row>
    <row r="233" spans="2:17" x14ac:dyDescent="0.25"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O233" s="56"/>
      <c r="P233" s="6"/>
      <c r="Q233" s="6"/>
    </row>
    <row r="234" spans="2:17" x14ac:dyDescent="0.25"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O234" s="56"/>
      <c r="P234" s="6"/>
      <c r="Q234" s="6"/>
    </row>
    <row r="235" spans="2:17" x14ac:dyDescent="0.25"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O235" s="56"/>
      <c r="P235" s="6"/>
      <c r="Q235" s="6"/>
    </row>
    <row r="236" spans="2:17" x14ac:dyDescent="0.25"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O236" s="56"/>
      <c r="P236" s="6"/>
      <c r="Q236" s="6"/>
    </row>
    <row r="237" spans="2:17" x14ac:dyDescent="0.25"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O237" s="56"/>
      <c r="P237" s="6"/>
      <c r="Q237" s="6"/>
    </row>
    <row r="238" spans="2:17" x14ac:dyDescent="0.25"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O238" s="56"/>
      <c r="P238" s="6"/>
      <c r="Q238" s="6"/>
    </row>
    <row r="239" spans="2:17" x14ac:dyDescent="0.25"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O239" s="56"/>
      <c r="P239" s="6"/>
      <c r="Q239" s="6"/>
    </row>
    <row r="240" spans="2:17" x14ac:dyDescent="0.25"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O240" s="56"/>
      <c r="P240" s="6"/>
      <c r="Q240" s="6"/>
    </row>
    <row r="241" spans="2:17" x14ac:dyDescent="0.25"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O241" s="56"/>
      <c r="P241" s="6"/>
      <c r="Q241" s="6"/>
    </row>
    <row r="242" spans="2:17" x14ac:dyDescent="0.25"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O242" s="56"/>
      <c r="P242" s="6"/>
      <c r="Q242" s="6"/>
    </row>
    <row r="243" spans="2:17" x14ac:dyDescent="0.25"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O243" s="56"/>
      <c r="P243" s="6"/>
      <c r="Q243" s="6"/>
    </row>
    <row r="244" spans="2:17" x14ac:dyDescent="0.25"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O244" s="56"/>
      <c r="P244" s="6"/>
      <c r="Q244" s="6"/>
    </row>
    <row r="245" spans="2:17" x14ac:dyDescent="0.25"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O245" s="56"/>
      <c r="P245" s="6"/>
      <c r="Q245" s="6"/>
    </row>
    <row r="246" spans="2:17" x14ac:dyDescent="0.25"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O246" s="56"/>
      <c r="P246" s="6"/>
      <c r="Q246" s="6"/>
    </row>
    <row r="247" spans="2:17" x14ac:dyDescent="0.25"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O247" s="56"/>
      <c r="P247" s="6"/>
      <c r="Q247" s="6"/>
    </row>
    <row r="248" spans="2:17" x14ac:dyDescent="0.25"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O248" s="56"/>
      <c r="P248" s="6"/>
      <c r="Q248" s="6"/>
    </row>
    <row r="249" spans="2:17" x14ac:dyDescent="0.25"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O249" s="56"/>
      <c r="P249" s="6"/>
      <c r="Q249" s="6"/>
    </row>
    <row r="250" spans="2:17" x14ac:dyDescent="0.25"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O250" s="56"/>
      <c r="P250" s="6"/>
      <c r="Q250" s="6"/>
    </row>
    <row r="251" spans="2:17" x14ac:dyDescent="0.25"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O251" s="56"/>
      <c r="P251" s="6"/>
      <c r="Q251" s="6"/>
    </row>
    <row r="252" spans="2:17" x14ac:dyDescent="0.25"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O252" s="56"/>
      <c r="P252" s="6"/>
      <c r="Q252" s="6"/>
    </row>
    <row r="253" spans="2:17" x14ac:dyDescent="0.25"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O253" s="56"/>
      <c r="P253" s="6"/>
      <c r="Q253" s="6"/>
    </row>
    <row r="254" spans="2:17" x14ac:dyDescent="0.25"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O254" s="56"/>
      <c r="P254" s="6"/>
      <c r="Q254" s="6"/>
    </row>
    <row r="255" spans="2:17" x14ac:dyDescent="0.25"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O255" s="56"/>
      <c r="P255" s="6"/>
      <c r="Q255" s="6"/>
    </row>
    <row r="256" spans="2:17" x14ac:dyDescent="0.25"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O256" s="56"/>
      <c r="P256" s="6"/>
      <c r="Q256" s="6"/>
    </row>
    <row r="257" spans="2:17" x14ac:dyDescent="0.25"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O257" s="56"/>
      <c r="P257" s="6"/>
      <c r="Q257" s="6"/>
    </row>
    <row r="258" spans="2:17" x14ac:dyDescent="0.25"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O258" s="56"/>
      <c r="P258" s="6"/>
      <c r="Q258" s="6"/>
    </row>
    <row r="259" spans="2:17" x14ac:dyDescent="0.25"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O259" s="56"/>
      <c r="P259" s="6"/>
      <c r="Q259" s="6"/>
    </row>
    <row r="260" spans="2:17" x14ac:dyDescent="0.25"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O260" s="56"/>
      <c r="P260" s="6"/>
      <c r="Q260" s="6"/>
    </row>
    <row r="261" spans="2:17" x14ac:dyDescent="0.25"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O261" s="56"/>
      <c r="P261" s="6"/>
      <c r="Q261" s="6"/>
    </row>
    <row r="262" spans="2:17" x14ac:dyDescent="0.25"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O262" s="56"/>
      <c r="P262" s="6"/>
      <c r="Q262" s="6"/>
    </row>
    <row r="263" spans="2:17" x14ac:dyDescent="0.25"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O263" s="56"/>
      <c r="P263" s="6"/>
      <c r="Q263" s="6"/>
    </row>
    <row r="264" spans="2:17" x14ac:dyDescent="0.25"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O264" s="56"/>
      <c r="P264" s="6"/>
      <c r="Q264" s="6"/>
    </row>
    <row r="265" spans="2:17" x14ac:dyDescent="0.25">
      <c r="O265" s="56"/>
      <c r="P265" s="6"/>
      <c r="Q265" s="6"/>
    </row>
    <row r="266" spans="2:17" x14ac:dyDescent="0.25">
      <c r="O266" s="56"/>
      <c r="P266" s="6"/>
      <c r="Q266" s="6"/>
    </row>
    <row r="267" spans="2:17" x14ac:dyDescent="0.25">
      <c r="O267" s="56"/>
      <c r="P267" s="6"/>
      <c r="Q267" s="6"/>
    </row>
    <row r="268" spans="2:17" x14ac:dyDescent="0.25">
      <c r="O268" s="56"/>
      <c r="P268" s="6"/>
      <c r="Q268" s="6"/>
    </row>
    <row r="269" spans="2:17" x14ac:dyDescent="0.25">
      <c r="O269" s="56"/>
      <c r="P269" s="6"/>
      <c r="Q269" s="6"/>
    </row>
    <row r="270" spans="2:17" x14ac:dyDescent="0.25">
      <c r="O270" s="56"/>
      <c r="P270" s="6"/>
      <c r="Q270" s="6"/>
    </row>
    <row r="271" spans="2:17" x14ac:dyDescent="0.25">
      <c r="O271" s="56"/>
      <c r="P271" s="6"/>
      <c r="Q271" s="6"/>
    </row>
    <row r="272" spans="2:17" x14ac:dyDescent="0.25">
      <c r="O272" s="56"/>
      <c r="P272" s="6"/>
      <c r="Q272" s="6"/>
    </row>
    <row r="273" spans="15:17" x14ac:dyDescent="0.25">
      <c r="O273" s="56"/>
      <c r="P273" s="6"/>
      <c r="Q273" s="6"/>
    </row>
    <row r="274" spans="15:17" x14ac:dyDescent="0.25">
      <c r="O274" s="56"/>
      <c r="P274" s="6"/>
      <c r="Q274" s="6"/>
    </row>
    <row r="275" spans="15:17" x14ac:dyDescent="0.25">
      <c r="O275" s="56"/>
      <c r="P275" s="6"/>
      <c r="Q275" s="6"/>
    </row>
    <row r="276" spans="15:17" x14ac:dyDescent="0.25">
      <c r="O276" s="56"/>
      <c r="P276" s="6"/>
      <c r="Q276" s="6"/>
    </row>
    <row r="277" spans="15:17" x14ac:dyDescent="0.25">
      <c r="O277" s="56"/>
      <c r="P277" s="6"/>
      <c r="Q277" s="6"/>
    </row>
    <row r="278" spans="15:17" x14ac:dyDescent="0.25">
      <c r="O278" s="56"/>
      <c r="P278" s="6"/>
      <c r="Q278" s="6"/>
    </row>
    <row r="279" spans="15:17" x14ac:dyDescent="0.25">
      <c r="O279" s="56"/>
      <c r="P279" s="6"/>
      <c r="Q279" s="6"/>
    </row>
    <row r="280" spans="15:17" x14ac:dyDescent="0.25">
      <c r="O280" s="56"/>
      <c r="P280" s="6"/>
      <c r="Q280" s="6"/>
    </row>
    <row r="281" spans="15:17" x14ac:dyDescent="0.25">
      <c r="O281" s="56"/>
      <c r="P281" s="6"/>
      <c r="Q281" s="6"/>
    </row>
    <row r="282" spans="15:17" x14ac:dyDescent="0.25">
      <c r="O282" s="56"/>
      <c r="P282" s="6"/>
      <c r="Q282" s="6"/>
    </row>
    <row r="283" spans="15:17" x14ac:dyDescent="0.25">
      <c r="O283" s="56"/>
      <c r="P283" s="6"/>
      <c r="Q283" s="6"/>
    </row>
    <row r="284" spans="15:17" x14ac:dyDescent="0.25">
      <c r="O284" s="56"/>
      <c r="P284" s="6"/>
      <c r="Q284" s="6"/>
    </row>
    <row r="285" spans="15:17" x14ac:dyDescent="0.25">
      <c r="O285" s="56"/>
      <c r="P285" s="6"/>
      <c r="Q285" s="6"/>
    </row>
    <row r="286" spans="15:17" x14ac:dyDescent="0.25">
      <c r="O286" s="56"/>
      <c r="P286" s="6"/>
      <c r="Q286" s="6"/>
    </row>
    <row r="287" spans="15:17" x14ac:dyDescent="0.25">
      <c r="O287" s="56"/>
      <c r="P287" s="6"/>
      <c r="Q287" s="6"/>
    </row>
    <row r="288" spans="15:17" x14ac:dyDescent="0.25">
      <c r="O288" s="56"/>
      <c r="P288" s="6"/>
      <c r="Q288" s="6"/>
    </row>
    <row r="289" spans="15:17" x14ac:dyDescent="0.25">
      <c r="O289" s="56"/>
      <c r="P289" s="6"/>
      <c r="Q289" s="6"/>
    </row>
    <row r="290" spans="15:17" x14ac:dyDescent="0.25">
      <c r="O290" s="56"/>
      <c r="P290" s="6"/>
      <c r="Q290" s="6"/>
    </row>
    <row r="291" spans="15:17" x14ac:dyDescent="0.25">
      <c r="O291" s="56"/>
      <c r="P291" s="6"/>
      <c r="Q291" s="6"/>
    </row>
    <row r="292" spans="15:17" x14ac:dyDescent="0.25">
      <c r="O292" s="56"/>
      <c r="P292" s="6"/>
      <c r="Q292" s="6"/>
    </row>
    <row r="293" spans="15:17" x14ac:dyDescent="0.25">
      <c r="O293" s="56"/>
      <c r="P293" s="6"/>
      <c r="Q293" s="6"/>
    </row>
    <row r="294" spans="15:17" x14ac:dyDescent="0.25">
      <c r="O294" s="56"/>
      <c r="P294" s="6"/>
      <c r="Q294" s="6"/>
    </row>
    <row r="295" spans="15:17" x14ac:dyDescent="0.25">
      <c r="O295" s="56"/>
      <c r="P295" s="6"/>
      <c r="Q295" s="6"/>
    </row>
    <row r="296" spans="15:17" x14ac:dyDescent="0.25">
      <c r="O296" s="56"/>
      <c r="P296" s="6"/>
      <c r="Q296" s="6"/>
    </row>
    <row r="297" spans="15:17" x14ac:dyDescent="0.25">
      <c r="O297" s="56"/>
      <c r="P297" s="6"/>
      <c r="Q297" s="6"/>
    </row>
    <row r="298" spans="15:17" x14ac:dyDescent="0.25">
      <c r="O298" s="56"/>
      <c r="P298" s="6"/>
      <c r="Q298" s="6"/>
    </row>
    <row r="299" spans="15:17" x14ac:dyDescent="0.25">
      <c r="O299" s="56"/>
      <c r="P299" s="6"/>
      <c r="Q299" s="6"/>
    </row>
    <row r="300" spans="15:17" x14ac:dyDescent="0.25">
      <c r="O300" s="56"/>
      <c r="P300" s="6"/>
      <c r="Q300" s="6"/>
    </row>
    <row r="301" spans="15:17" x14ac:dyDescent="0.25">
      <c r="O301" s="56"/>
      <c r="P301" s="6"/>
      <c r="Q301" s="6"/>
    </row>
    <row r="302" spans="15:17" x14ac:dyDescent="0.25">
      <c r="O302" s="56"/>
      <c r="P302" s="6"/>
      <c r="Q302" s="6"/>
    </row>
    <row r="303" spans="15:17" x14ac:dyDescent="0.25">
      <c r="O303" s="56"/>
      <c r="P303" s="6"/>
      <c r="Q303" s="6"/>
    </row>
    <row r="304" spans="15:17" x14ac:dyDescent="0.25">
      <c r="O304" s="56"/>
      <c r="P304" s="6"/>
      <c r="Q304" s="6"/>
    </row>
    <row r="305" spans="15:17" x14ac:dyDescent="0.25">
      <c r="O305" s="56"/>
      <c r="P305" s="6"/>
      <c r="Q305" s="6"/>
    </row>
    <row r="306" spans="15:17" x14ac:dyDescent="0.25">
      <c r="O306" s="56"/>
      <c r="P306" s="6"/>
      <c r="Q306" s="6"/>
    </row>
    <row r="307" spans="15:17" x14ac:dyDescent="0.25">
      <c r="O307" s="56"/>
      <c r="P307" s="6"/>
      <c r="Q307" s="6"/>
    </row>
    <row r="308" spans="15:17" x14ac:dyDescent="0.25">
      <c r="O308" s="56"/>
      <c r="P308" s="6"/>
      <c r="Q308" s="6"/>
    </row>
    <row r="309" spans="15:17" x14ac:dyDescent="0.25">
      <c r="O309" s="56"/>
      <c r="P309" s="6"/>
      <c r="Q309" s="6"/>
    </row>
    <row r="310" spans="15:17" x14ac:dyDescent="0.25">
      <c r="O310" s="56"/>
      <c r="P310" s="6"/>
      <c r="Q310" s="6"/>
    </row>
    <row r="311" spans="15:17" x14ac:dyDescent="0.25">
      <c r="O311" s="56"/>
      <c r="P311" s="6"/>
      <c r="Q311" s="6"/>
    </row>
    <row r="312" spans="15:17" x14ac:dyDescent="0.25">
      <c r="O312" s="56"/>
      <c r="P312" s="6"/>
      <c r="Q312" s="6"/>
    </row>
    <row r="313" spans="15:17" x14ac:dyDescent="0.25">
      <c r="O313" s="56"/>
      <c r="P313" s="6"/>
      <c r="Q313" s="6"/>
    </row>
    <row r="314" spans="15:17" x14ac:dyDescent="0.25">
      <c r="O314" s="56"/>
      <c r="P314" s="6"/>
      <c r="Q314" s="6"/>
    </row>
    <row r="315" spans="15:17" x14ac:dyDescent="0.25">
      <c r="O315" s="56"/>
      <c r="P315" s="6"/>
      <c r="Q315" s="6"/>
    </row>
    <row r="316" spans="15:17" x14ac:dyDescent="0.25">
      <c r="O316" s="56"/>
      <c r="P316" s="6"/>
      <c r="Q316" s="6"/>
    </row>
    <row r="317" spans="15:17" x14ac:dyDescent="0.25">
      <c r="O317" s="56"/>
      <c r="P317" s="6"/>
      <c r="Q317" s="6"/>
    </row>
    <row r="318" spans="15:17" x14ac:dyDescent="0.25">
      <c r="O318" s="56"/>
      <c r="P318" s="6"/>
      <c r="Q318" s="6"/>
    </row>
    <row r="319" spans="15:17" x14ac:dyDescent="0.25">
      <c r="O319" s="56"/>
      <c r="P319" s="6"/>
      <c r="Q319" s="6"/>
    </row>
    <row r="320" spans="15:17" x14ac:dyDescent="0.25">
      <c r="O320" s="56"/>
      <c r="P320" s="6"/>
      <c r="Q320" s="6"/>
    </row>
    <row r="321" spans="15:17" x14ac:dyDescent="0.25">
      <c r="O321" s="56"/>
      <c r="P321" s="6"/>
      <c r="Q321" s="6"/>
    </row>
    <row r="322" spans="15:17" x14ac:dyDescent="0.25">
      <c r="O322" s="56"/>
      <c r="P322" s="6"/>
      <c r="Q322" s="6"/>
    </row>
    <row r="323" spans="15:17" x14ac:dyDescent="0.25">
      <c r="O323" s="56"/>
      <c r="P323" s="6"/>
      <c r="Q323" s="6"/>
    </row>
    <row r="324" spans="15:17" x14ac:dyDescent="0.25">
      <c r="O324" s="56"/>
      <c r="P324" s="6"/>
      <c r="Q324" s="6"/>
    </row>
    <row r="325" spans="15:17" x14ac:dyDescent="0.25">
      <c r="O325" s="56"/>
      <c r="P325" s="6"/>
      <c r="Q325" s="6"/>
    </row>
    <row r="326" spans="15:17" x14ac:dyDescent="0.25">
      <c r="O326" s="56"/>
      <c r="P326" s="6"/>
      <c r="Q326" s="6"/>
    </row>
    <row r="327" spans="15:17" x14ac:dyDescent="0.25">
      <c r="O327" s="56"/>
      <c r="P327" s="6"/>
      <c r="Q327" s="6"/>
    </row>
    <row r="328" spans="15:17" x14ac:dyDescent="0.25">
      <c r="O328" s="56"/>
      <c r="P328" s="6"/>
      <c r="Q328" s="6"/>
    </row>
    <row r="329" spans="15:17" x14ac:dyDescent="0.25">
      <c r="O329" s="56"/>
      <c r="P329" s="6"/>
      <c r="Q329" s="6"/>
    </row>
    <row r="330" spans="15:17" x14ac:dyDescent="0.25">
      <c r="O330" s="56"/>
      <c r="P330" s="6"/>
      <c r="Q330" s="6"/>
    </row>
    <row r="331" spans="15:17" x14ac:dyDescent="0.25">
      <c r="O331" s="56"/>
      <c r="P331" s="6"/>
      <c r="Q331" s="6"/>
    </row>
    <row r="332" spans="15:17" x14ac:dyDescent="0.25">
      <c r="O332" s="56"/>
      <c r="P332" s="6"/>
      <c r="Q332" s="6"/>
    </row>
    <row r="333" spans="15:17" x14ac:dyDescent="0.25">
      <c r="O333" s="56"/>
      <c r="P333" s="6"/>
      <c r="Q333" s="6"/>
    </row>
    <row r="334" spans="15:17" x14ac:dyDescent="0.25">
      <c r="O334" s="56"/>
      <c r="P334" s="6"/>
      <c r="Q334" s="6"/>
    </row>
    <row r="335" spans="15:17" x14ac:dyDescent="0.25">
      <c r="O335" s="56"/>
      <c r="P335" s="6"/>
      <c r="Q335" s="6"/>
    </row>
    <row r="336" spans="15:17" x14ac:dyDescent="0.25">
      <c r="O336" s="56"/>
      <c r="P336" s="6"/>
      <c r="Q336" s="6"/>
    </row>
    <row r="337" spans="15:17" x14ac:dyDescent="0.25">
      <c r="O337" s="56"/>
      <c r="P337" s="6"/>
      <c r="Q337" s="6"/>
    </row>
    <row r="338" spans="15:17" x14ac:dyDescent="0.25">
      <c r="O338" s="56"/>
      <c r="P338" s="6"/>
      <c r="Q338" s="6"/>
    </row>
    <row r="339" spans="15:17" x14ac:dyDescent="0.25">
      <c r="O339" s="56"/>
      <c r="P339" s="6"/>
      <c r="Q339" s="6"/>
    </row>
    <row r="340" spans="15:17" x14ac:dyDescent="0.25">
      <c r="O340" s="56"/>
      <c r="P340" s="6"/>
      <c r="Q340" s="6"/>
    </row>
    <row r="341" spans="15:17" x14ac:dyDescent="0.25">
      <c r="O341" s="56"/>
      <c r="P341" s="6"/>
      <c r="Q341" s="6"/>
    </row>
    <row r="342" spans="15:17" x14ac:dyDescent="0.25">
      <c r="O342" s="56"/>
      <c r="P342" s="6"/>
      <c r="Q342" s="6"/>
    </row>
    <row r="343" spans="15:17" x14ac:dyDescent="0.25">
      <c r="O343" s="56"/>
      <c r="P343" s="6"/>
      <c r="Q343" s="6"/>
    </row>
    <row r="344" spans="15:17" x14ac:dyDescent="0.25">
      <c r="O344" s="56"/>
      <c r="P344" s="6"/>
      <c r="Q344" s="6"/>
    </row>
    <row r="345" spans="15:17" x14ac:dyDescent="0.25">
      <c r="O345" s="56"/>
      <c r="P345" s="6"/>
      <c r="Q345" s="6"/>
    </row>
    <row r="346" spans="15:17" x14ac:dyDescent="0.25">
      <c r="O346" s="56"/>
      <c r="P346" s="6"/>
      <c r="Q346" s="6"/>
    </row>
    <row r="347" spans="15:17" x14ac:dyDescent="0.25">
      <c r="O347" s="56"/>
      <c r="P347" s="6"/>
      <c r="Q347" s="6"/>
    </row>
    <row r="348" spans="15:17" x14ac:dyDescent="0.25">
      <c r="O348" s="56"/>
      <c r="P348" s="6"/>
      <c r="Q348" s="6"/>
    </row>
    <row r="349" spans="15:17" x14ac:dyDescent="0.25">
      <c r="O349" s="56"/>
      <c r="P349" s="6"/>
      <c r="Q349" s="6"/>
    </row>
    <row r="350" spans="15:17" x14ac:dyDescent="0.25">
      <c r="O350" s="56"/>
      <c r="P350" s="6"/>
      <c r="Q350" s="6"/>
    </row>
    <row r="351" spans="15:17" x14ac:dyDescent="0.25">
      <c r="O351" s="56"/>
      <c r="P351" s="6"/>
      <c r="Q351" s="6"/>
    </row>
    <row r="352" spans="15:17" x14ac:dyDescent="0.25">
      <c r="O352" s="56"/>
      <c r="P352" s="6"/>
      <c r="Q352" s="6"/>
    </row>
    <row r="353" spans="15:17" x14ac:dyDescent="0.25">
      <c r="O353" s="56"/>
      <c r="P353" s="6"/>
      <c r="Q353" s="6"/>
    </row>
    <row r="354" spans="15:17" x14ac:dyDescent="0.25">
      <c r="O354" s="56"/>
      <c r="P354" s="6"/>
      <c r="Q354" s="6"/>
    </row>
    <row r="355" spans="15:17" x14ac:dyDescent="0.25">
      <c r="O355" s="56"/>
      <c r="P355" s="6"/>
      <c r="Q355" s="6"/>
    </row>
    <row r="356" spans="15:17" x14ac:dyDescent="0.25">
      <c r="O356" s="56"/>
      <c r="P356" s="6"/>
      <c r="Q356" s="6"/>
    </row>
    <row r="357" spans="15:17" x14ac:dyDescent="0.25">
      <c r="O357" s="56"/>
      <c r="P357" s="6"/>
      <c r="Q357" s="6"/>
    </row>
    <row r="358" spans="15:17" x14ac:dyDescent="0.25">
      <c r="O358" s="56"/>
      <c r="P358" s="6"/>
      <c r="Q358" s="6"/>
    </row>
    <row r="359" spans="15:17" x14ac:dyDescent="0.25">
      <c r="O359" s="56"/>
      <c r="P359" s="6"/>
      <c r="Q359" s="6"/>
    </row>
    <row r="360" spans="15:17" x14ac:dyDescent="0.25">
      <c r="O360" s="56"/>
      <c r="P360" s="6"/>
      <c r="Q360" s="6"/>
    </row>
    <row r="361" spans="15:17" x14ac:dyDescent="0.25">
      <c r="O361" s="56"/>
      <c r="P361" s="6"/>
      <c r="Q361" s="6"/>
    </row>
    <row r="362" spans="15:17" x14ac:dyDescent="0.25">
      <c r="O362" s="56"/>
      <c r="P362" s="6"/>
      <c r="Q362" s="6"/>
    </row>
    <row r="363" spans="15:17" x14ac:dyDescent="0.25">
      <c r="O363" s="56"/>
      <c r="P363" s="6"/>
      <c r="Q363" s="6"/>
    </row>
    <row r="364" spans="15:17" x14ac:dyDescent="0.25">
      <c r="O364" s="56"/>
      <c r="P364" s="6"/>
      <c r="Q364" s="6"/>
    </row>
    <row r="365" spans="15:17" x14ac:dyDescent="0.25">
      <c r="O365" s="56"/>
      <c r="P365" s="6"/>
      <c r="Q365" s="6"/>
    </row>
    <row r="366" spans="15:17" x14ac:dyDescent="0.25">
      <c r="O366" s="56"/>
      <c r="P366" s="6"/>
      <c r="Q366" s="6"/>
    </row>
    <row r="367" spans="15:17" x14ac:dyDescent="0.25">
      <c r="O367" s="56"/>
      <c r="P367" s="6"/>
      <c r="Q367" s="6"/>
    </row>
    <row r="368" spans="15:17" x14ac:dyDescent="0.25">
      <c r="O368" s="56"/>
      <c r="P368" s="6"/>
      <c r="Q368" s="6"/>
    </row>
    <row r="369" spans="15:17" x14ac:dyDescent="0.25">
      <c r="O369" s="56"/>
      <c r="P369" s="6"/>
      <c r="Q369" s="6"/>
    </row>
    <row r="370" spans="15:17" x14ac:dyDescent="0.25">
      <c r="O370" s="56"/>
      <c r="P370" s="6"/>
      <c r="Q370" s="6"/>
    </row>
    <row r="371" spans="15:17" x14ac:dyDescent="0.25">
      <c r="O371" s="56"/>
      <c r="P371" s="6"/>
      <c r="Q371" s="6"/>
    </row>
    <row r="372" spans="15:17" x14ac:dyDescent="0.25">
      <c r="O372" s="56"/>
      <c r="P372" s="6"/>
      <c r="Q372" s="6"/>
    </row>
    <row r="373" spans="15:17" x14ac:dyDescent="0.25">
      <c r="O373" s="56"/>
      <c r="P373" s="6"/>
      <c r="Q373" s="6"/>
    </row>
    <row r="374" spans="15:17" x14ac:dyDescent="0.25">
      <c r="O374" s="56"/>
      <c r="P374" s="6"/>
      <c r="Q374" s="6"/>
    </row>
    <row r="375" spans="15:17" x14ac:dyDescent="0.25">
      <c r="O375" s="56"/>
      <c r="P375" s="6"/>
      <c r="Q375" s="6"/>
    </row>
    <row r="376" spans="15:17" x14ac:dyDescent="0.25">
      <c r="O376" s="56"/>
      <c r="P376" s="6"/>
      <c r="Q376" s="6"/>
    </row>
    <row r="377" spans="15:17" x14ac:dyDescent="0.25">
      <c r="O377" s="56"/>
      <c r="P377" s="6"/>
      <c r="Q377" s="6"/>
    </row>
    <row r="378" spans="15:17" x14ac:dyDescent="0.25">
      <c r="O378" s="56"/>
      <c r="P378" s="6"/>
      <c r="Q378" s="6"/>
    </row>
    <row r="379" spans="15:17" x14ac:dyDescent="0.25">
      <c r="O379" s="56"/>
      <c r="P379" s="6"/>
      <c r="Q379" s="6"/>
    </row>
    <row r="380" spans="15:17" x14ac:dyDescent="0.25">
      <c r="O380" s="56"/>
      <c r="P380" s="6"/>
      <c r="Q380" s="6"/>
    </row>
    <row r="381" spans="15:17" x14ac:dyDescent="0.25">
      <c r="O381" s="56"/>
      <c r="P381" s="6"/>
      <c r="Q381" s="6"/>
    </row>
    <row r="382" spans="15:17" x14ac:dyDescent="0.25">
      <c r="O382" s="56"/>
      <c r="P382" s="6"/>
      <c r="Q382" s="6"/>
    </row>
    <row r="383" spans="15:17" x14ac:dyDescent="0.25">
      <c r="O383" s="56"/>
      <c r="P383" s="6"/>
      <c r="Q383" s="6"/>
    </row>
    <row r="384" spans="15:17" x14ac:dyDescent="0.25">
      <c r="O384" s="56"/>
      <c r="P384" s="6"/>
      <c r="Q384" s="6"/>
    </row>
    <row r="385" spans="15:17" x14ac:dyDescent="0.25">
      <c r="O385" s="56"/>
      <c r="P385" s="6"/>
      <c r="Q385" s="6"/>
    </row>
    <row r="386" spans="15:17" x14ac:dyDescent="0.25">
      <c r="O386" s="56"/>
      <c r="P386" s="6"/>
      <c r="Q386" s="6"/>
    </row>
    <row r="387" spans="15:17" x14ac:dyDescent="0.25">
      <c r="O387" s="56"/>
      <c r="P387" s="6"/>
      <c r="Q387" s="6"/>
    </row>
    <row r="388" spans="15:17" x14ac:dyDescent="0.25">
      <c r="O388" s="56"/>
      <c r="P388" s="6"/>
      <c r="Q388" s="6"/>
    </row>
    <row r="389" spans="15:17" x14ac:dyDescent="0.25">
      <c r="O389" s="56"/>
      <c r="P389" s="6"/>
      <c r="Q389" s="6"/>
    </row>
    <row r="390" spans="15:17" x14ac:dyDescent="0.25">
      <c r="O390" s="56"/>
      <c r="P390" s="6"/>
      <c r="Q390" s="6"/>
    </row>
    <row r="391" spans="15:17" x14ac:dyDescent="0.25">
      <c r="O391" s="56"/>
      <c r="P391" s="6"/>
      <c r="Q391" s="6"/>
    </row>
    <row r="392" spans="15:17" x14ac:dyDescent="0.25">
      <c r="O392" s="56"/>
      <c r="P392" s="6"/>
      <c r="Q392" s="6"/>
    </row>
    <row r="393" spans="15:17" x14ac:dyDescent="0.25">
      <c r="O393" s="56"/>
      <c r="P393" s="6"/>
      <c r="Q393" s="6"/>
    </row>
    <row r="394" spans="15:17" x14ac:dyDescent="0.25">
      <c r="O394" s="56"/>
      <c r="P394" s="6"/>
      <c r="Q394" s="6"/>
    </row>
    <row r="395" spans="15:17" x14ac:dyDescent="0.25">
      <c r="O395" s="56"/>
      <c r="P395" s="6"/>
      <c r="Q395" s="6"/>
    </row>
    <row r="396" spans="15:17" x14ac:dyDescent="0.25">
      <c r="O396" s="56"/>
      <c r="P396" s="6"/>
      <c r="Q396" s="6"/>
    </row>
    <row r="397" spans="15:17" x14ac:dyDescent="0.25">
      <c r="O397" s="56"/>
      <c r="P397" s="6"/>
      <c r="Q397" s="6"/>
    </row>
    <row r="398" spans="15:17" x14ac:dyDescent="0.25">
      <c r="O398" s="56"/>
      <c r="P398" s="6"/>
      <c r="Q398" s="6"/>
    </row>
    <row r="399" spans="15:17" x14ac:dyDescent="0.25">
      <c r="O399" s="56"/>
      <c r="P399" s="6"/>
      <c r="Q399" s="6"/>
    </row>
    <row r="400" spans="15:17" x14ac:dyDescent="0.25">
      <c r="O400" s="56"/>
      <c r="P400" s="6"/>
      <c r="Q400" s="6"/>
    </row>
    <row r="401" spans="15:17" x14ac:dyDescent="0.25">
      <c r="O401" s="56"/>
      <c r="P401" s="6"/>
      <c r="Q401" s="6"/>
    </row>
    <row r="402" spans="15:17" x14ac:dyDescent="0.25">
      <c r="O402" s="56"/>
      <c r="P402" s="6"/>
      <c r="Q402" s="6"/>
    </row>
    <row r="403" spans="15:17" x14ac:dyDescent="0.25">
      <c r="O403" s="56"/>
      <c r="P403" s="6"/>
      <c r="Q403" s="6"/>
    </row>
    <row r="404" spans="15:17" x14ac:dyDescent="0.25">
      <c r="O404" s="56"/>
      <c r="P404" s="6"/>
      <c r="Q404" s="6"/>
    </row>
    <row r="405" spans="15:17" x14ac:dyDescent="0.25">
      <c r="O405" s="56"/>
      <c r="P405" s="6"/>
      <c r="Q405" s="6"/>
    </row>
    <row r="406" spans="15:17" x14ac:dyDescent="0.25">
      <c r="O406" s="56"/>
      <c r="P406" s="6"/>
      <c r="Q406" s="6"/>
    </row>
    <row r="407" spans="15:17" x14ac:dyDescent="0.25">
      <c r="O407" s="56"/>
      <c r="P407" s="6"/>
      <c r="Q407" s="6"/>
    </row>
    <row r="408" spans="15:17" x14ac:dyDescent="0.25">
      <c r="O408" s="56"/>
      <c r="P408" s="6"/>
      <c r="Q408" s="6"/>
    </row>
    <row r="409" spans="15:17" x14ac:dyDescent="0.25">
      <c r="O409" s="56"/>
      <c r="P409" s="6"/>
      <c r="Q409" s="6"/>
    </row>
    <row r="410" spans="15:17" x14ac:dyDescent="0.25">
      <c r="O410" s="56"/>
      <c r="P410" s="6"/>
      <c r="Q410" s="6"/>
    </row>
    <row r="411" spans="15:17" x14ac:dyDescent="0.25">
      <c r="O411" s="56"/>
      <c r="P411" s="6"/>
      <c r="Q411" s="6"/>
    </row>
    <row r="412" spans="15:17" x14ac:dyDescent="0.25">
      <c r="O412" s="56"/>
      <c r="P412" s="6"/>
      <c r="Q412" s="6"/>
    </row>
    <row r="413" spans="15:17" x14ac:dyDescent="0.25">
      <c r="O413" s="56"/>
      <c r="P413" s="6"/>
      <c r="Q413" s="6"/>
    </row>
    <row r="414" spans="15:17" x14ac:dyDescent="0.25">
      <c r="O414" s="56"/>
      <c r="P414" s="6"/>
      <c r="Q414" s="6"/>
    </row>
    <row r="415" spans="15:17" x14ac:dyDescent="0.25">
      <c r="O415" s="56"/>
      <c r="P415" s="6"/>
      <c r="Q415" s="6"/>
    </row>
  </sheetData>
  <autoFilter ref="B7:S71"/>
  <mergeCells count="6">
    <mergeCell ref="O3:Q4"/>
    <mergeCell ref="K6:L6"/>
    <mergeCell ref="B1:E1"/>
    <mergeCell ref="B2:E2"/>
    <mergeCell ref="B3:E3"/>
    <mergeCell ref="B4:E4"/>
  </mergeCells>
  <conditionalFormatting sqref="D45 D33 D30 D24 D56:D59 D62 D37 D48 D50:D53 D8:D15 D20:D21 D35 D17 D64:D67">
    <cfRule type="expression" dxfId="84" priority="62">
      <formula>J8&lt;=0</formula>
    </cfRule>
    <cfRule type="expression" dxfId="83" priority="63">
      <formula>J8&lt;=0</formula>
    </cfRule>
  </conditionalFormatting>
  <conditionalFormatting sqref="D54">
    <cfRule type="expression" dxfId="82" priority="60">
      <formula>J54&lt;=0</formula>
    </cfRule>
    <cfRule type="expression" dxfId="81" priority="61">
      <formula>J54&lt;=0</formula>
    </cfRule>
  </conditionalFormatting>
  <conditionalFormatting sqref="D31">
    <cfRule type="expression" dxfId="80" priority="58">
      <formula>J31&lt;=0</formula>
    </cfRule>
    <cfRule type="expression" dxfId="79" priority="59">
      <formula>J31&lt;=0</formula>
    </cfRule>
  </conditionalFormatting>
  <conditionalFormatting sqref="D63">
    <cfRule type="expression" dxfId="78" priority="56">
      <formula>J63&lt;=0</formula>
    </cfRule>
    <cfRule type="expression" dxfId="77" priority="57">
      <formula>J63&lt;=0</formula>
    </cfRule>
  </conditionalFormatting>
  <conditionalFormatting sqref="D42">
    <cfRule type="expression" dxfId="76" priority="54">
      <formula>J42&lt;=0</formula>
    </cfRule>
    <cfRule type="expression" dxfId="75" priority="55">
      <formula>J42&lt;=0</formula>
    </cfRule>
  </conditionalFormatting>
  <conditionalFormatting sqref="D41">
    <cfRule type="expression" dxfId="74" priority="52">
      <formula>J41&lt;=0</formula>
    </cfRule>
    <cfRule type="expression" dxfId="73" priority="53">
      <formula>J41&lt;=0</formula>
    </cfRule>
  </conditionalFormatting>
  <conditionalFormatting sqref="D25">
    <cfRule type="expression" dxfId="72" priority="50">
      <formula>J25&lt;=0</formula>
    </cfRule>
    <cfRule type="expression" dxfId="71" priority="51">
      <formula>J25&lt;=0</formula>
    </cfRule>
  </conditionalFormatting>
  <conditionalFormatting sqref="D23">
    <cfRule type="expression" dxfId="70" priority="48">
      <formula>J23&lt;=0</formula>
    </cfRule>
    <cfRule type="expression" dxfId="69" priority="49">
      <formula>J23&lt;=0</formula>
    </cfRule>
  </conditionalFormatting>
  <conditionalFormatting sqref="D22">
    <cfRule type="expression" dxfId="68" priority="46">
      <formula>J22&lt;=0</formula>
    </cfRule>
    <cfRule type="expression" dxfId="67" priority="47">
      <formula>J22&lt;=0</formula>
    </cfRule>
  </conditionalFormatting>
  <conditionalFormatting sqref="D44">
    <cfRule type="expression" dxfId="66" priority="42">
      <formula>J44&lt;=0</formula>
    </cfRule>
    <cfRule type="expression" dxfId="65" priority="43">
      <formula>J44&lt;=0</formula>
    </cfRule>
  </conditionalFormatting>
  <conditionalFormatting sqref="D60:D61">
    <cfRule type="expression" dxfId="64" priority="40">
      <formula>J60&lt;=0</formula>
    </cfRule>
    <cfRule type="expression" dxfId="63" priority="41">
      <formula>J60&lt;=0</formula>
    </cfRule>
  </conditionalFormatting>
  <conditionalFormatting sqref="D68">
    <cfRule type="expression" dxfId="62" priority="38">
      <formula>J68&lt;=0</formula>
    </cfRule>
    <cfRule type="expression" dxfId="61" priority="39">
      <formula>J68&lt;=0</formula>
    </cfRule>
  </conditionalFormatting>
  <conditionalFormatting sqref="D39:D40">
    <cfRule type="expression" dxfId="60" priority="36">
      <formula>J39&lt;=0</formula>
    </cfRule>
    <cfRule type="expression" dxfId="59" priority="37">
      <formula>J39&lt;=0</formula>
    </cfRule>
  </conditionalFormatting>
  <conditionalFormatting sqref="D34">
    <cfRule type="expression" dxfId="58" priority="34">
      <formula>J34&lt;=0</formula>
    </cfRule>
    <cfRule type="expression" dxfId="57" priority="35">
      <formula>J34&lt;=0</formula>
    </cfRule>
  </conditionalFormatting>
  <conditionalFormatting sqref="D27">
    <cfRule type="expression" dxfId="56" priority="32">
      <formula>J27&lt;=0</formula>
    </cfRule>
    <cfRule type="expression" dxfId="55" priority="33">
      <formula>J27&lt;=0</formula>
    </cfRule>
  </conditionalFormatting>
  <conditionalFormatting sqref="D36">
    <cfRule type="expression" dxfId="54" priority="30">
      <formula>J36&lt;=0</formula>
    </cfRule>
    <cfRule type="expression" dxfId="53" priority="31">
      <formula>J36&lt;=0</formula>
    </cfRule>
  </conditionalFormatting>
  <conditionalFormatting sqref="D38">
    <cfRule type="expression" dxfId="52" priority="28">
      <formula>J38&lt;=0</formula>
    </cfRule>
    <cfRule type="expression" dxfId="51" priority="29">
      <formula>J38&lt;=0</formula>
    </cfRule>
  </conditionalFormatting>
  <conditionalFormatting sqref="D43">
    <cfRule type="expression" dxfId="50" priority="26">
      <formula>J43&lt;=0</formula>
    </cfRule>
    <cfRule type="expression" dxfId="49" priority="27">
      <formula>J43&lt;=0</formula>
    </cfRule>
  </conditionalFormatting>
  <conditionalFormatting sqref="D46">
    <cfRule type="expression" dxfId="48" priority="24">
      <formula>J46&lt;=0</formula>
    </cfRule>
    <cfRule type="expression" dxfId="47" priority="25">
      <formula>J46&lt;=0</formula>
    </cfRule>
  </conditionalFormatting>
  <conditionalFormatting sqref="D49">
    <cfRule type="expression" dxfId="46" priority="22">
      <formula>J49&lt;=0</formula>
    </cfRule>
    <cfRule type="expression" dxfId="45" priority="23">
      <formula>J49&lt;=0</formula>
    </cfRule>
  </conditionalFormatting>
  <conditionalFormatting sqref="D55">
    <cfRule type="expression" dxfId="44" priority="20">
      <formula>J55&lt;=0</formula>
    </cfRule>
    <cfRule type="expression" dxfId="43" priority="21">
      <formula>J55&lt;=0</formula>
    </cfRule>
  </conditionalFormatting>
  <conditionalFormatting sqref="D18:D19">
    <cfRule type="expression" dxfId="42" priority="18">
      <formula>J18&lt;=0</formula>
    </cfRule>
    <cfRule type="expression" dxfId="41" priority="19">
      <formula>J18&lt;=0</formula>
    </cfRule>
  </conditionalFormatting>
  <conditionalFormatting sqref="D16">
    <cfRule type="expression" dxfId="40" priority="16">
      <formula>J16&lt;=0</formula>
    </cfRule>
    <cfRule type="expression" dxfId="39" priority="17">
      <formula>J16&lt;=0</formula>
    </cfRule>
  </conditionalFormatting>
  <conditionalFormatting sqref="D26">
    <cfRule type="expression" dxfId="38" priority="14">
      <formula>J26&lt;=0</formula>
    </cfRule>
    <cfRule type="expression" dxfId="37" priority="15">
      <formula>J26&lt;=0</formula>
    </cfRule>
  </conditionalFormatting>
  <conditionalFormatting sqref="D32">
    <cfRule type="expression" dxfId="36" priority="12">
      <formula>J32&lt;=0</formula>
    </cfRule>
    <cfRule type="expression" dxfId="35" priority="13">
      <formula>J32&lt;=0</formula>
    </cfRule>
  </conditionalFormatting>
  <conditionalFormatting sqref="D47">
    <cfRule type="expression" dxfId="34" priority="8">
      <formula>J47&lt;=0</formula>
    </cfRule>
    <cfRule type="expression" dxfId="33" priority="9">
      <formula>J47&lt;=0</formula>
    </cfRule>
  </conditionalFormatting>
  <conditionalFormatting sqref="D28">
    <cfRule type="expression" dxfId="32" priority="6">
      <formula>J28&lt;=0</formula>
    </cfRule>
    <cfRule type="expression" dxfId="31" priority="7">
      <formula>J28&lt;=0</formula>
    </cfRule>
  </conditionalFormatting>
  <conditionalFormatting sqref="D29">
    <cfRule type="expression" dxfId="30" priority="4">
      <formula>J29&lt;=0</formula>
    </cfRule>
    <cfRule type="expression" dxfId="29" priority="5">
      <formula>J29&lt;=0</formula>
    </cfRule>
  </conditionalFormatting>
  <conditionalFormatting sqref="D70">
    <cfRule type="expression" dxfId="28" priority="2">
      <formula>J70&lt;=0</formula>
    </cfRule>
    <cfRule type="expression" dxfId="27" priority="3">
      <formula>J70&lt;=0</formula>
    </cfRule>
  </conditionalFormatting>
  <conditionalFormatting sqref="K8:L71">
    <cfRule type="cellIs" dxfId="26" priority="1" operator="between">
      <formula>0</formula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2" orientation="landscape" horizontalDpi="300" verticalDpi="300" r:id="rId1"/>
  <rowBreaks count="1" manualBreakCount="1">
    <brk id="70" min="1" max="1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V244"/>
  <sheetViews>
    <sheetView workbookViewId="0">
      <pane ySplit="7" topLeftCell="A8" activePane="bottomLeft" state="frozen"/>
      <selection activeCell="B5" sqref="B5:D5"/>
      <selection pane="bottomLeft" activeCell="D22" sqref="D22"/>
    </sheetView>
  </sheetViews>
  <sheetFormatPr defaultColWidth="9" defaultRowHeight="15" outlineLevelCol="1" x14ac:dyDescent="0.25"/>
  <cols>
    <col min="1" max="1" width="2.125" style="3" customWidth="1"/>
    <col min="2" max="2" width="4.625" style="3" customWidth="1"/>
    <col min="3" max="3" width="11.75" style="3" customWidth="1"/>
    <col min="4" max="4" width="44.375" style="3" customWidth="1"/>
    <col min="5" max="5" width="12.875" style="3" customWidth="1"/>
    <col min="6" max="6" width="7.25" style="3" customWidth="1"/>
    <col min="7" max="7" width="8.375" style="3" customWidth="1"/>
    <col min="8" max="8" width="10.25" style="3" customWidth="1"/>
    <col min="9" max="9" width="10.875" style="3" customWidth="1"/>
    <col min="10" max="10" width="9.875" style="3" customWidth="1"/>
    <col min="11" max="11" width="12.25" style="3" customWidth="1"/>
    <col min="12" max="12" width="15.875" style="3" customWidth="1"/>
    <col min="13" max="13" width="14.75" style="3" customWidth="1"/>
    <col min="14" max="14" width="12.375" style="3" customWidth="1"/>
    <col min="15" max="15" width="13.25" style="3" hidden="1" customWidth="1" outlineLevel="1"/>
    <col min="16" max="17" width="14.375" style="3" hidden="1" customWidth="1" outlineLevel="1"/>
    <col min="18" max="18" width="9.25" style="3" customWidth="1" collapsed="1"/>
    <col min="19" max="20" width="9" style="3" customWidth="1"/>
    <col min="21" max="21" width="11.875" style="3" customWidth="1"/>
    <col min="22" max="22" width="12" style="3" customWidth="1"/>
    <col min="23" max="16384" width="9" style="3"/>
  </cols>
  <sheetData>
    <row r="1" spans="2:22" ht="15.75" thickTop="1" x14ac:dyDescent="0.25">
      <c r="B1" s="161" t="s">
        <v>53</v>
      </c>
      <c r="C1" s="162"/>
      <c r="D1" s="163"/>
      <c r="E1" s="1"/>
      <c r="F1" s="1"/>
      <c r="G1" s="1"/>
      <c r="H1" s="1"/>
      <c r="I1" s="1"/>
      <c r="J1" s="1"/>
      <c r="K1" s="1"/>
      <c r="L1" s="1"/>
      <c r="M1" s="2">
        <v>1</v>
      </c>
    </row>
    <row r="2" spans="2:22" ht="12" customHeight="1" thickBot="1" x14ac:dyDescent="0.3">
      <c r="B2" s="4"/>
      <c r="C2" s="5"/>
      <c r="D2" s="5"/>
      <c r="E2" s="6"/>
      <c r="F2" s="6"/>
      <c r="G2" s="6"/>
      <c r="H2" s="6"/>
      <c r="I2" s="6"/>
      <c r="J2" s="6"/>
      <c r="K2" s="6"/>
      <c r="L2" s="6"/>
      <c r="M2" s="7"/>
    </row>
    <row r="3" spans="2:22" ht="15.75" x14ac:dyDescent="0.25">
      <c r="B3" s="164" t="s">
        <v>60</v>
      </c>
      <c r="C3" s="165"/>
      <c r="D3" s="166"/>
      <c r="E3" s="6"/>
      <c r="F3" s="6"/>
      <c r="G3" s="6"/>
      <c r="H3" s="6"/>
      <c r="I3" s="6"/>
      <c r="J3" s="6"/>
      <c r="K3" s="6"/>
      <c r="L3" s="6"/>
      <c r="M3" s="7"/>
      <c r="O3" s="145" t="s">
        <v>111</v>
      </c>
      <c r="P3" s="146"/>
      <c r="Q3" s="147"/>
    </row>
    <row r="4" spans="2:22" ht="12" customHeight="1" thickBot="1" x14ac:dyDescent="0.3">
      <c r="B4" s="8"/>
      <c r="C4" s="9"/>
      <c r="D4" s="9"/>
      <c r="E4" s="6"/>
      <c r="F4" s="6"/>
      <c r="G4" s="6"/>
      <c r="H4" s="6"/>
      <c r="I4" s="6"/>
      <c r="J4" s="6"/>
      <c r="K4" s="6"/>
      <c r="L4" s="6"/>
      <c r="M4" s="7"/>
      <c r="O4" s="148"/>
      <c r="P4" s="149"/>
      <c r="Q4" s="150"/>
    </row>
    <row r="5" spans="2:22" ht="16.5" thickBot="1" x14ac:dyDescent="0.3">
      <c r="B5" s="10" t="s">
        <v>102</v>
      </c>
      <c r="C5" s="11"/>
      <c r="D5" s="77">
        <f>PVC!D5</f>
        <v>43435</v>
      </c>
      <c r="E5" s="6"/>
      <c r="F5" s="6"/>
      <c r="G5" s="6"/>
      <c r="H5" s="6"/>
      <c r="I5" s="6"/>
      <c r="J5" s="6"/>
      <c r="K5" s="6"/>
      <c r="L5" s="6"/>
      <c r="M5" s="7"/>
    </row>
    <row r="6" spans="2:22" ht="16.5" thickTop="1" thickBot="1" x14ac:dyDescent="0.3">
      <c r="B6" s="12"/>
      <c r="C6" s="6"/>
      <c r="D6" s="6"/>
      <c r="E6" s="6"/>
      <c r="F6" s="6"/>
      <c r="G6" s="6"/>
      <c r="H6" s="6"/>
      <c r="I6" s="6"/>
      <c r="J6" s="6"/>
      <c r="K6" s="159" t="s">
        <v>23</v>
      </c>
      <c r="L6" s="160"/>
      <c r="M6" s="7"/>
      <c r="O6" s="13" t="s">
        <v>112</v>
      </c>
      <c r="P6" s="13" t="s">
        <v>113</v>
      </c>
      <c r="Q6" s="13" t="s">
        <v>114</v>
      </c>
    </row>
    <row r="7" spans="2:22" ht="39.75" customHeight="1" thickTop="1" thickBot="1" x14ac:dyDescent="0.3">
      <c r="B7" s="14" t="s">
        <v>52</v>
      </c>
      <c r="C7" s="15" t="s">
        <v>38</v>
      </c>
      <c r="D7" s="15" t="s">
        <v>1</v>
      </c>
      <c r="E7" s="15" t="s">
        <v>6</v>
      </c>
      <c r="F7" s="15" t="s">
        <v>2</v>
      </c>
      <c r="G7" s="15" t="s">
        <v>56</v>
      </c>
      <c r="H7" s="16" t="s">
        <v>3</v>
      </c>
      <c r="I7" s="17" t="s">
        <v>4</v>
      </c>
      <c r="J7" s="18" t="s">
        <v>5</v>
      </c>
      <c r="K7" s="19" t="s">
        <v>25</v>
      </c>
      <c r="L7" s="19" t="s">
        <v>26</v>
      </c>
      <c r="M7" s="20" t="s">
        <v>57</v>
      </c>
      <c r="N7" s="21" t="s">
        <v>93</v>
      </c>
      <c r="O7" s="22" t="s">
        <v>115</v>
      </c>
      <c r="P7" s="22" t="s">
        <v>116</v>
      </c>
      <c r="Q7" s="22" t="s">
        <v>117</v>
      </c>
      <c r="R7" s="20" t="s">
        <v>103</v>
      </c>
      <c r="S7" s="23" t="s">
        <v>104</v>
      </c>
      <c r="U7" s="24" t="s">
        <v>118</v>
      </c>
      <c r="V7" s="24" t="s">
        <v>119</v>
      </c>
    </row>
    <row r="8" spans="2:22" ht="19.5" hidden="1" customHeight="1" thickTop="1" x14ac:dyDescent="0.25">
      <c r="B8" s="25">
        <v>1</v>
      </c>
      <c r="C8" s="26" t="s">
        <v>65</v>
      </c>
      <c r="D8" s="27" t="s">
        <v>50</v>
      </c>
      <c r="E8" s="28" t="s">
        <v>49</v>
      </c>
      <c r="F8" s="29" t="s">
        <v>41</v>
      </c>
      <c r="G8" s="29">
        <f>6485+500+2000+100+50</f>
        <v>9135</v>
      </c>
      <c r="H8" s="30">
        <f>6485+500+500+1500+100+50</f>
        <v>9135</v>
      </c>
      <c r="I8" s="31">
        <f>5125+166+48+24+68+24+24+48+48+24+24+34+24+48+10+48+48+48+96+48+72+24+48+48+96+63+48+48+20+48+72+96+120+20+24+81+30+48+240+48+48+20+48+100+96+24+32+48+96+20+120+120+10+148+72+24+96+2+120+120+13+72+24+48+48+24+24+24+11+12+24+2+24+24+24+12+10+5+10+2+5+8</f>
        <v>9135</v>
      </c>
      <c r="J8" s="32">
        <f>H8-I8</f>
        <v>0</v>
      </c>
      <c r="K8" s="33">
        <f>J8-L8</f>
        <v>0</v>
      </c>
      <c r="L8" s="33">
        <v>0</v>
      </c>
      <c r="M8" s="34">
        <f>G8-H8</f>
        <v>0</v>
      </c>
      <c r="N8" s="35">
        <v>0</v>
      </c>
      <c r="O8" s="36">
        <v>0</v>
      </c>
      <c r="P8" s="37">
        <v>5</v>
      </c>
      <c r="Q8" s="38">
        <v>0</v>
      </c>
      <c r="R8" s="31">
        <v>9135</v>
      </c>
      <c r="S8" s="39">
        <f t="shared" ref="S8:S35" si="0">I8-R8</f>
        <v>0</v>
      </c>
      <c r="U8" s="40">
        <v>41334</v>
      </c>
      <c r="V8" s="40">
        <v>42064</v>
      </c>
    </row>
    <row r="9" spans="2:22" ht="19.5" hidden="1" customHeight="1" x14ac:dyDescent="0.25">
      <c r="B9" s="41">
        <v>2</v>
      </c>
      <c r="C9" s="42" t="s">
        <v>65</v>
      </c>
      <c r="D9" s="43" t="s">
        <v>42</v>
      </c>
      <c r="E9" s="44" t="s">
        <v>27</v>
      </c>
      <c r="F9" s="44" t="s">
        <v>22</v>
      </c>
      <c r="G9" s="44">
        <f>144000+20000+50000+20000+30000+50000+50000+2000+100000+10000+100000+30000+50000+200000</f>
        <v>856000</v>
      </c>
      <c r="H9" s="45">
        <f>144000+20000+50000+20000+30000+50000+2000+48000+2000+100000+10000+100000+30000+13000+37000+200000</f>
        <v>856000</v>
      </c>
      <c r="I9" s="46">
        <f>84000+5000+1000+10000+2000+1000+1000+10000+1000+10000+10000+9000+13500+6500+27000+23000+10000+300+3000+10000+5000+5000+5000+10000+4700+10000+10000+20000+7000+2000+48000+2000+100000+10000+10150+13000+3400+7000+13450+10150+13000+13000+13000+3850+4300+4300+4300+17100+13000+9000+4300+4300+4300+4300+4300+4300+2200+5000+1000+10000+4300+20000+20000-20000+20000+20000+20000+50000+49700</f>
        <v>856000</v>
      </c>
      <c r="J9" s="47">
        <f>H9-I9</f>
        <v>0</v>
      </c>
      <c r="K9" s="44">
        <f>J9-L9</f>
        <v>0</v>
      </c>
      <c r="L9" s="44">
        <v>0</v>
      </c>
      <c r="M9" s="48">
        <f>G9-H9</f>
        <v>0</v>
      </c>
      <c r="N9" s="35">
        <v>0</v>
      </c>
      <c r="O9" s="49">
        <v>0</v>
      </c>
      <c r="P9" s="50">
        <v>0</v>
      </c>
      <c r="Q9" s="51">
        <v>0</v>
      </c>
      <c r="R9" s="46">
        <v>856000</v>
      </c>
      <c r="S9" s="39">
        <f t="shared" si="0"/>
        <v>0</v>
      </c>
    </row>
    <row r="10" spans="2:22" ht="19.5" hidden="1" customHeight="1" x14ac:dyDescent="0.25">
      <c r="B10" s="41">
        <v>3</v>
      </c>
      <c r="C10" s="42" t="s">
        <v>65</v>
      </c>
      <c r="D10" s="43" t="s">
        <v>42</v>
      </c>
      <c r="E10" s="44" t="s">
        <v>152</v>
      </c>
      <c r="F10" s="44" t="s">
        <v>22</v>
      </c>
      <c r="G10" s="44">
        <f>4000+4000</f>
        <v>8000</v>
      </c>
      <c r="H10" s="45">
        <f>4000+4000</f>
        <v>8000</v>
      </c>
      <c r="I10" s="46">
        <f>4000+4000</f>
        <v>8000</v>
      </c>
      <c r="J10" s="47">
        <f>H10-I10</f>
        <v>0</v>
      </c>
      <c r="K10" s="44">
        <f>J10-L10</f>
        <v>0</v>
      </c>
      <c r="L10" s="72">
        <v>0</v>
      </c>
      <c r="M10" s="48">
        <f>G10-H10</f>
        <v>0</v>
      </c>
      <c r="N10" s="35">
        <v>0</v>
      </c>
      <c r="O10" s="49">
        <v>0</v>
      </c>
      <c r="P10" s="50">
        <v>0</v>
      </c>
      <c r="Q10" s="51">
        <v>0</v>
      </c>
      <c r="R10" s="46">
        <v>8000</v>
      </c>
      <c r="S10" s="39">
        <f>I10-R10</f>
        <v>0</v>
      </c>
    </row>
    <row r="11" spans="2:22" ht="19.5" hidden="1" customHeight="1" x14ac:dyDescent="0.25">
      <c r="B11" s="41">
        <v>4</v>
      </c>
      <c r="C11" s="42" t="s">
        <v>65</v>
      </c>
      <c r="D11" s="43" t="s">
        <v>42</v>
      </c>
      <c r="E11" s="44" t="s">
        <v>43</v>
      </c>
      <c r="F11" s="44" t="s">
        <v>22</v>
      </c>
      <c r="G11" s="44">
        <f>7000+8000+5000+2500+25000+2000+2500+10000</f>
        <v>62000</v>
      </c>
      <c r="H11" s="45">
        <f>1000+6000+8000+5000+2500+25000+2000+2500+10000</f>
        <v>62000</v>
      </c>
      <c r="I11" s="46">
        <f>1000+6000+8000+3000+2500+10000+1000+3000+3000+6000+2000+2000+2000+2500+3000+7000</f>
        <v>62000</v>
      </c>
      <c r="J11" s="47">
        <f>H11-I11</f>
        <v>0</v>
      </c>
      <c r="K11" s="44">
        <f>J11-L11</f>
        <v>0</v>
      </c>
      <c r="L11" s="44">
        <v>0</v>
      </c>
      <c r="M11" s="48">
        <f>G11-H11</f>
        <v>0</v>
      </c>
      <c r="N11" s="35">
        <v>0</v>
      </c>
      <c r="O11" s="49">
        <v>0</v>
      </c>
      <c r="P11" s="50">
        <v>0</v>
      </c>
      <c r="Q11" s="51">
        <v>0</v>
      </c>
      <c r="R11" s="46">
        <v>62000</v>
      </c>
      <c r="S11" s="39">
        <f t="shared" si="0"/>
        <v>0</v>
      </c>
    </row>
    <row r="12" spans="2:22" ht="19.5" hidden="1" customHeight="1" x14ac:dyDescent="0.25">
      <c r="B12" s="41">
        <v>5</v>
      </c>
      <c r="C12" s="42" t="s">
        <v>65</v>
      </c>
      <c r="D12" s="43" t="s">
        <v>42</v>
      </c>
      <c r="E12" s="44" t="s">
        <v>92</v>
      </c>
      <c r="F12" s="44" t="s">
        <v>22</v>
      </c>
      <c r="G12" s="44">
        <f>4000+5000+10000+50000+5000</f>
        <v>74000</v>
      </c>
      <c r="H12" s="45">
        <f>1000+3000+1100+3900+10000+15500+5000+29500+5000</f>
        <v>74000</v>
      </c>
      <c r="I12" s="46">
        <f>1000+3000+1100+3900+3000+3000+2000+5000+2000+2000+100+18400</f>
        <v>44500</v>
      </c>
      <c r="J12" s="47">
        <f>H12-I12</f>
        <v>29500</v>
      </c>
      <c r="K12" s="44">
        <f>J12-L12</f>
        <v>0</v>
      </c>
      <c r="L12" s="106">
        <f>29500</f>
        <v>29500</v>
      </c>
      <c r="M12" s="48">
        <f>G12-H12</f>
        <v>0</v>
      </c>
      <c r="N12" s="35">
        <v>5000</v>
      </c>
      <c r="O12" s="49">
        <v>0</v>
      </c>
      <c r="P12" s="50">
        <v>0</v>
      </c>
      <c r="Q12" s="51">
        <v>0</v>
      </c>
      <c r="R12" s="46">
        <v>44500</v>
      </c>
      <c r="S12" s="39">
        <f t="shared" si="0"/>
        <v>0</v>
      </c>
    </row>
    <row r="13" spans="2:22" ht="19.5" hidden="1" customHeight="1" x14ac:dyDescent="0.25">
      <c r="B13" s="41">
        <v>6</v>
      </c>
      <c r="C13" s="42" t="s">
        <v>65</v>
      </c>
      <c r="D13" s="43" t="s">
        <v>69</v>
      </c>
      <c r="E13" s="44" t="s">
        <v>27</v>
      </c>
      <c r="F13" s="44" t="s">
        <v>22</v>
      </c>
      <c r="G13" s="44">
        <v>10000</v>
      </c>
      <c r="H13" s="45">
        <v>10000</v>
      </c>
      <c r="I13" s="46">
        <v>10000</v>
      </c>
      <c r="J13" s="47">
        <f t="shared" ref="J13:J28" si="1">H13-I13</f>
        <v>0</v>
      </c>
      <c r="K13" s="44">
        <f t="shared" ref="K13:K28" si="2">J13-L13</f>
        <v>0</v>
      </c>
      <c r="L13" s="44">
        <v>0</v>
      </c>
      <c r="M13" s="48">
        <f t="shared" ref="M13:M28" si="3">G13-H13</f>
        <v>0</v>
      </c>
      <c r="N13" s="35">
        <v>0</v>
      </c>
      <c r="O13" s="49">
        <v>0</v>
      </c>
      <c r="P13" s="50">
        <v>0</v>
      </c>
      <c r="Q13" s="51">
        <v>0</v>
      </c>
      <c r="R13" s="46">
        <v>10000</v>
      </c>
      <c r="S13" s="39">
        <f t="shared" si="0"/>
        <v>0</v>
      </c>
    </row>
    <row r="14" spans="2:22" ht="19.5" hidden="1" customHeight="1" x14ac:dyDescent="0.25">
      <c r="B14" s="41">
        <v>7</v>
      </c>
      <c r="C14" s="42" t="s">
        <v>65</v>
      </c>
      <c r="D14" s="43" t="s">
        <v>69</v>
      </c>
      <c r="E14" s="44" t="s">
        <v>43</v>
      </c>
      <c r="F14" s="44" t="s">
        <v>22</v>
      </c>
      <c r="G14" s="44">
        <f>94000+20000+100000+50000+20000+10000+20000+50000+10000+50000+10000+30000+50000+100000+5000+5000+10000+100000+100000+10000</f>
        <v>844000</v>
      </c>
      <c r="H14" s="45">
        <f>94000+5000+15000+40000+60000+50000+19800+200+10000+20000+25000+25000+10000+50000+10000+30000+50000+100000+5000+5000+500+9500+5000+95000+100000+10000</f>
        <v>844000</v>
      </c>
      <c r="I14" s="46">
        <f>94000+5000+100+1000+500+200+200+2500+3000+2000+500+2000+500+2500+40000+5000+5000+2000+3000+2000+3000+1000+5000+3000+5000+3000+4000+3000+500+2000+2000+5000+3000+1500+2000+2000+2000+5000+5000+3000+2000+1000+5000+3300+3500+10000+3000+1500+20000+1000+2000+3000+1000+1700+1000+500+500+1000+500+2500+2000+3000+3000+500+1000+4000+2000+500+3000+10000+5000+10000+8000+3000+1500+5000+1000+1000+1000+500+500+500+3000+4000+2000+2500+1500+9000+6000+2000+2000+5000+6000+2000+5000+3000+2000+5000+2000+1000+5500+2500+2100+3000+3000+2000+2000+4500+1500+2000+1000+1000+2000+2000+2000+1000+1400+1000+1500+2000+4000+20000+8000+5000+1000+500+2000+1000+500+4000+4000+1000+500+5000+1000+1000+1000+1000+3000+500+2000+2000+2000+2000+3000+2000+2000+500+500+5000+500+2000+2000+1000+500+1000+2000+1000+1000+1000+500+5000+2000+100+3000+1000+2000+1000+2000+1000+1000+1000+5000+1000+2000+2000+2000+2000+2000+2000+2000+500+10900+5000+500+3000+2000+9500+4000+6000+2000+1000+2000+2000+1000+1000+1000+1000+2000+2000+1000+2000+2000+1200+1000+2000+1000+1000+1000+4500+1000+1000+1000+2000+1000+500+2000+1000+1000+2000+2000+1000+1000+1000+1000+2000+1000+1000+3000+2000+2000+2000+1000+1000+2000+1000+1000+1000+1000+1000+1000+1000+500+1000+1000+1000+2000+1000+1000+2000+1000+1000+1000+1000+1000+1300+2000+1000+1000+1000+5500+1000+1000+1000+1000+1000+1000+2000+1000+1000+1000+10000+1000+1000+1000+1000+2000+1000+1000+1000+1000+2000+2000+1000+50+1000+1000+1000+1000+1000+2000+1000+1000+1000+2000+500+1000+2000+1500+2000+2000+2000+2000+1000+2000+2500+1500+2000+3500+2000+1000+1000+2000+2000+2000+4950+10000</f>
        <v>844000</v>
      </c>
      <c r="J14" s="47">
        <f t="shared" si="1"/>
        <v>0</v>
      </c>
      <c r="K14" s="44">
        <f t="shared" si="2"/>
        <v>0</v>
      </c>
      <c r="L14" s="44">
        <v>0</v>
      </c>
      <c r="M14" s="48">
        <f t="shared" si="3"/>
        <v>0</v>
      </c>
      <c r="N14" s="35">
        <v>0</v>
      </c>
      <c r="O14" s="49">
        <v>0</v>
      </c>
      <c r="P14" s="50">
        <v>0</v>
      </c>
      <c r="Q14" s="51">
        <v>0</v>
      </c>
      <c r="R14" s="46">
        <f>94000+5000+100+1000+500+200+200+2500+3000+2000+500+2000+500+2500+40000+5000+5000+2000+3000+2000+3000+1000+5000+3000+5000+3000+4000+3000+500+2000+2000+5000+3000+1500+2000+2000+2000+5000+5000+3000+2000+1000+5000+3300+3500+10000+3000+1500+20000+1000+2000+3000+1000+1700+1000+500+500+1000+500+2500+2000+3000+3000+500+1000+4000+2000+500+3000+10000+5000+10000+8000+3000+1500+5000+1000+1000+1000+500+500+500+3000+4000+2000+2500+1500+9000+6000+2000+2000+5000+6000+2000+5000+3000+2000+5000+2000+1000+5500+2500+2100+3000+3000+2000+2000+4500+1500+2000+1000+1000+2000+2000+2000+1000+1400+1000+1500+2000+4000+20000+8000+5000+1000+500+2000+1000+500+4000+4000+1000+500+5000+1000+1000+1000+1000+3000+500+2000+2000+2000+2000+3000+2000+2000+500+500+5000+500+2000+2000+1000+500+1000+2000+1000+1000+1000+500+5000+2000+100+3000+1000+2000+1000+2000+1000+1000+1000+5000+1000+2000+2000+2000+2000+2000+2000+2000+500+10900+5000+500+3000+2000+9500+4000+6000+2000+1000+2000+2000+1000+1000+1000+1000+2000+2000+1000+2000+2000+1200+1000+2000+1000+1000+1000+4500+1000+1000+1000+2000+1000+500+2000+1000+1000+2000+2000+1000+1000+1000+1000+2000+1000+1000+3000+2000+2000+2000+1000+1000+2000+1000+1000+1000+1000+1000+1000+1000+500+1000+1000+1000+2000+1000+1000+2000+1000+1000+1000+1000+1000+1300+2000+1000+1000+1000+5500+1000+1000+1000+1000+1000+1000+2000+1000+1000+1000+10000+1000+1000+1000+1000+2000+1000+1000+1000+1000+2000+2000+1000+50+1000+1000+1000+1000+1000+2000+1000+1000+1000+2000+500+1000+2000+1500+2000+2000+2000+2000+1000+2000+2500+1500+2000+3500+2000+1000+1000+2000+2000+2000+4950+10000</f>
        <v>844000</v>
      </c>
      <c r="S14" s="39">
        <f t="shared" si="0"/>
        <v>0</v>
      </c>
    </row>
    <row r="15" spans="2:22" ht="19.5" hidden="1" customHeight="1" x14ac:dyDescent="0.25">
      <c r="B15" s="41">
        <v>8</v>
      </c>
      <c r="C15" s="42" t="s">
        <v>65</v>
      </c>
      <c r="D15" s="43" t="s">
        <v>69</v>
      </c>
      <c r="E15" s="44" t="s">
        <v>122</v>
      </c>
      <c r="F15" s="44" t="s">
        <v>22</v>
      </c>
      <c r="G15" s="44">
        <v>2000</v>
      </c>
      <c r="H15" s="45">
        <f>2000</f>
        <v>2000</v>
      </c>
      <c r="I15" s="46">
        <f>2000</f>
        <v>2000</v>
      </c>
      <c r="J15" s="47">
        <f>H15-I15</f>
        <v>0</v>
      </c>
      <c r="K15" s="44">
        <f>J15-L15</f>
        <v>0</v>
      </c>
      <c r="L15" s="44">
        <v>0</v>
      </c>
      <c r="M15" s="48">
        <f>G15-H15</f>
        <v>0</v>
      </c>
      <c r="N15" s="35">
        <v>0</v>
      </c>
      <c r="O15" s="49">
        <v>0</v>
      </c>
      <c r="P15" s="50">
        <v>0</v>
      </c>
      <c r="Q15" s="51">
        <v>0</v>
      </c>
      <c r="R15" s="46">
        <v>2000</v>
      </c>
      <c r="S15" s="39">
        <f t="shared" si="0"/>
        <v>0</v>
      </c>
    </row>
    <row r="16" spans="2:22" ht="19.5" hidden="1" customHeight="1" x14ac:dyDescent="0.25">
      <c r="B16" s="41">
        <v>9</v>
      </c>
      <c r="C16" s="42" t="s">
        <v>65</v>
      </c>
      <c r="D16" s="43" t="s">
        <v>44</v>
      </c>
      <c r="E16" s="52" t="s">
        <v>46</v>
      </c>
      <c r="F16" s="44" t="s">
        <v>51</v>
      </c>
      <c r="G16" s="44">
        <v>1100</v>
      </c>
      <c r="H16" s="45">
        <f>950+150</f>
        <v>1100</v>
      </c>
      <c r="I16" s="46">
        <f>652+10+5+10+8+5+10+10+4+10+15+5+10+10+5+10+10+7+10+10+10+5+5+30+5+10+5+5+2+22+16+4+2+12+48+3+13+8+5+8+15+2+1</f>
        <v>1052</v>
      </c>
      <c r="J16" s="47">
        <f t="shared" si="1"/>
        <v>48</v>
      </c>
      <c r="K16" s="44">
        <f t="shared" si="2"/>
        <v>0</v>
      </c>
      <c r="L16" s="106">
        <f>324-26+150-30-17-15-45-45-22-30-15-60-4-28-15-15-10-48-1</f>
        <v>48</v>
      </c>
      <c r="M16" s="48">
        <f t="shared" si="3"/>
        <v>0</v>
      </c>
      <c r="N16" s="35">
        <v>0</v>
      </c>
      <c r="O16" s="49">
        <v>0</v>
      </c>
      <c r="P16" s="50">
        <v>0</v>
      </c>
      <c r="Q16" s="51">
        <v>0</v>
      </c>
      <c r="R16" s="46">
        <v>1052</v>
      </c>
      <c r="S16" s="39">
        <f t="shared" si="0"/>
        <v>0</v>
      </c>
    </row>
    <row r="17" spans="2:19" ht="19.5" hidden="1" customHeight="1" x14ac:dyDescent="0.25">
      <c r="B17" s="41">
        <v>10</v>
      </c>
      <c r="C17" s="42" t="s">
        <v>65</v>
      </c>
      <c r="D17" s="43" t="s">
        <v>44</v>
      </c>
      <c r="E17" s="52" t="s">
        <v>47</v>
      </c>
      <c r="F17" s="44" t="s">
        <v>51</v>
      </c>
      <c r="G17" s="44">
        <v>1300</v>
      </c>
      <c r="H17" s="45">
        <f>1150+150</f>
        <v>1300</v>
      </c>
      <c r="I17" s="46">
        <f>990+20+5+5+10+10+2+5+10+5+10+6+10+10+10+5+10+10+10+5+10+5+7+10+10+10+20+10+38+5+5+8+10+4</f>
        <v>1300</v>
      </c>
      <c r="J17" s="47">
        <f t="shared" si="1"/>
        <v>0</v>
      </c>
      <c r="K17" s="44">
        <f t="shared" si="2"/>
        <v>0</v>
      </c>
      <c r="L17" s="44">
        <f>176-16+150-15-10-27-36-18-43-16-24-59-40-16-6</f>
        <v>0</v>
      </c>
      <c r="M17" s="48">
        <f t="shared" si="3"/>
        <v>0</v>
      </c>
      <c r="N17" s="35">
        <v>0</v>
      </c>
      <c r="O17" s="49">
        <v>0</v>
      </c>
      <c r="P17" s="50">
        <v>0</v>
      </c>
      <c r="Q17" s="51">
        <v>0</v>
      </c>
      <c r="R17" s="46">
        <v>1300</v>
      </c>
      <c r="S17" s="39">
        <f t="shared" si="0"/>
        <v>0</v>
      </c>
    </row>
    <row r="18" spans="2:19" ht="19.5" hidden="1" customHeight="1" x14ac:dyDescent="0.25">
      <c r="B18" s="41">
        <v>11</v>
      </c>
      <c r="C18" s="42" t="s">
        <v>65</v>
      </c>
      <c r="D18" s="43" t="s">
        <v>45</v>
      </c>
      <c r="E18" s="52" t="s">
        <v>46</v>
      </c>
      <c r="F18" s="44" t="s">
        <v>51</v>
      </c>
      <c r="G18" s="44">
        <v>200</v>
      </c>
      <c r="H18" s="45">
        <v>200</v>
      </c>
      <c r="I18" s="46">
        <f>100+15+10+5+5+15+2+5+10+5+5+10+2+11</f>
        <v>200</v>
      </c>
      <c r="J18" s="47">
        <f t="shared" si="1"/>
        <v>0</v>
      </c>
      <c r="K18" s="44">
        <f t="shared" si="2"/>
        <v>0</v>
      </c>
      <c r="L18" s="44">
        <f>100-23-17-17-15-17-11</f>
        <v>0</v>
      </c>
      <c r="M18" s="48">
        <f t="shared" si="3"/>
        <v>0</v>
      </c>
      <c r="N18" s="35">
        <v>0</v>
      </c>
      <c r="O18" s="49">
        <v>0</v>
      </c>
      <c r="P18" s="50">
        <v>0</v>
      </c>
      <c r="Q18" s="51">
        <v>0</v>
      </c>
      <c r="R18" s="46">
        <v>200</v>
      </c>
      <c r="S18" s="39">
        <f t="shared" si="0"/>
        <v>0</v>
      </c>
    </row>
    <row r="19" spans="2:19" ht="19.5" hidden="1" customHeight="1" x14ac:dyDescent="0.25">
      <c r="B19" s="41">
        <v>12</v>
      </c>
      <c r="C19" s="42" t="s">
        <v>65</v>
      </c>
      <c r="D19" s="43" t="s">
        <v>45</v>
      </c>
      <c r="E19" s="52" t="s">
        <v>47</v>
      </c>
      <c r="F19" s="44" t="s">
        <v>51</v>
      </c>
      <c r="G19" s="44">
        <v>500</v>
      </c>
      <c r="H19" s="45">
        <f>350+150</f>
        <v>500</v>
      </c>
      <c r="I19" s="46">
        <f>130+3+5+5+5+10+5+10+5+13+4+10+5+5+10+10+5+5+3+3-5+4</f>
        <v>250</v>
      </c>
      <c r="J19" s="47">
        <f t="shared" si="1"/>
        <v>250</v>
      </c>
      <c r="K19" s="44">
        <f t="shared" si="2"/>
        <v>0</v>
      </c>
      <c r="L19" s="106">
        <f>220+150-10-20-10-20-10-10-10-10-10-10</f>
        <v>250</v>
      </c>
      <c r="M19" s="48">
        <f t="shared" si="3"/>
        <v>0</v>
      </c>
      <c r="N19" s="35">
        <v>0</v>
      </c>
      <c r="O19" s="49">
        <v>0</v>
      </c>
      <c r="P19" s="50">
        <v>0</v>
      </c>
      <c r="Q19" s="51">
        <v>0</v>
      </c>
      <c r="R19" s="46">
        <v>250</v>
      </c>
      <c r="S19" s="39">
        <f t="shared" si="0"/>
        <v>0</v>
      </c>
    </row>
    <row r="20" spans="2:19" ht="19.5" hidden="1" customHeight="1" x14ac:dyDescent="0.25">
      <c r="B20" s="41">
        <v>13</v>
      </c>
      <c r="C20" s="42" t="s">
        <v>65</v>
      </c>
      <c r="D20" s="43" t="s">
        <v>48</v>
      </c>
      <c r="E20" s="52">
        <v>0</v>
      </c>
      <c r="F20" s="44" t="s">
        <v>22</v>
      </c>
      <c r="G20" s="44">
        <f>1050+90+2000+1500+100+5000+1000+1000+1180+500+156+10000</f>
        <v>23576</v>
      </c>
      <c r="H20" s="45">
        <f>1050+90+2000+1500+100+5000+1000+1000+1180+500+156+10000</f>
        <v>23576</v>
      </c>
      <c r="I20" s="46">
        <f>210+230+20+50+10+20+50+50+50+20+30+50+30+20+50+30+50+10+20+10+10+10+20+20+13+150+70+20+10+7+150+100+100+30+200+50+5+100+20+50+100+50+50+50+100+100+50+25+50+100+50+40+50+50+150+100+460+100+30+50+300+50+100+150+20+120+10+30+20+30+10+10+100+50+250+12+50+100+150+12+20+10+100+10+100+15+50+60+20+100+50+20+10+50+10+10+105+50+50+100+50+10+10+50+50+50+60+100+20+70+72+3+30+90+150+160+61+150+150+150+250+50+100+100+150+40+150+10+50+70+150+40+20+50+100+40+175+130+30+50+42+50+90+100+50+100+130+50+100+50+40+50+50+50+100+150+40+50+50+90+124+40+130+40+40+200+20+250+50+90+100+100+100+30+50+100+50+100+200+10+28+100+50+100+50+80+20+100+100+50+50+50+20+40+20+20+50+30+30+25+30+10+50+90+10+25+130+150+150+150+50+30+40+30+50+10+130+26+50+100+50+250+100+150+300+50+100+30+60+60+10+50+20+60+80+50+20+25+50+20+20+50+50+50+50+50+10+60+50+50+20+5+100+50+40+50+100+40+30+100+50+100+60+100+800+30+20+20+50+130+50+50+110+12+50+20+100+60+20+50+50+130+50+20+20+30+5+50+100+3+30+100+50+1112+5+100+110+50+100+10+20+50+10+10+30+5+80+3+30+50+50+20+10+50+20+50+100+100+36+60+200+40+100+100+100+100+200+200</f>
        <v>23576</v>
      </c>
      <c r="J20" s="47">
        <f t="shared" si="1"/>
        <v>0</v>
      </c>
      <c r="K20" s="44">
        <f t="shared" si="2"/>
        <v>0</v>
      </c>
      <c r="L20" s="44">
        <v>0</v>
      </c>
      <c r="M20" s="48">
        <f t="shared" si="3"/>
        <v>0</v>
      </c>
      <c r="N20" s="35">
        <f>1500+1180+156</f>
        <v>2836</v>
      </c>
      <c r="O20" s="49">
        <v>0</v>
      </c>
      <c r="P20" s="50">
        <v>0</v>
      </c>
      <c r="Q20" s="51">
        <v>0</v>
      </c>
      <c r="R20" s="46">
        <v>23576</v>
      </c>
      <c r="S20" s="39">
        <f t="shared" si="0"/>
        <v>0</v>
      </c>
    </row>
    <row r="21" spans="2:19" ht="19.5" customHeight="1" thickTop="1" x14ac:dyDescent="0.25">
      <c r="B21" s="41">
        <v>14</v>
      </c>
      <c r="C21" s="42" t="s">
        <v>65</v>
      </c>
      <c r="D21" s="53" t="s">
        <v>129</v>
      </c>
      <c r="E21" s="52" t="s">
        <v>86</v>
      </c>
      <c r="F21" s="44" t="s">
        <v>73</v>
      </c>
      <c r="G21" s="44">
        <f>55+45+350</f>
        <v>450</v>
      </c>
      <c r="H21" s="45">
        <f>55+45+2+348</f>
        <v>450</v>
      </c>
      <c r="I21" s="46">
        <v>100</v>
      </c>
      <c r="J21" s="47"/>
      <c r="K21" s="44">
        <v>0</v>
      </c>
      <c r="L21" s="44">
        <v>0</v>
      </c>
      <c r="M21" s="48">
        <f t="shared" si="3"/>
        <v>0</v>
      </c>
      <c r="N21" s="35">
        <v>0</v>
      </c>
      <c r="O21" s="49">
        <v>0</v>
      </c>
      <c r="P21" s="50">
        <v>0</v>
      </c>
      <c r="Q21" s="51">
        <v>0</v>
      </c>
      <c r="R21" s="46">
        <v>100</v>
      </c>
      <c r="S21" s="39">
        <f t="shared" si="0"/>
        <v>0</v>
      </c>
    </row>
    <row r="22" spans="2:19" ht="19.5" customHeight="1" x14ac:dyDescent="0.25">
      <c r="B22" s="41">
        <v>15</v>
      </c>
      <c r="C22" s="42" t="s">
        <v>65</v>
      </c>
      <c r="D22" s="53" t="s">
        <v>130</v>
      </c>
      <c r="E22" s="52" t="s">
        <v>81</v>
      </c>
      <c r="F22" s="44" t="s">
        <v>73</v>
      </c>
      <c r="G22" s="44">
        <f>120+300+280+500</f>
        <v>1200</v>
      </c>
      <c r="H22" s="45">
        <f>120+280+15+285+500</f>
        <v>1200</v>
      </c>
      <c r="I22" s="46">
        <f>70+5+5+2+5+10+14+9+20+10+20+5+10+5+10+20+20+10+25+20+5+5+2+20+10+50+20+23+25+10+10+20+20+20+10+2+15+1+15+14+10+5+30+41+22+500</f>
        <v>1200</v>
      </c>
      <c r="J22" s="47">
        <f>H22-I22</f>
        <v>0</v>
      </c>
      <c r="K22" s="44">
        <f>J22-L22</f>
        <v>0</v>
      </c>
      <c r="L22" s="44">
        <v>0</v>
      </c>
      <c r="M22" s="48">
        <f>G22-H22</f>
        <v>0</v>
      </c>
      <c r="N22" s="35">
        <v>0</v>
      </c>
      <c r="O22" s="49">
        <v>0</v>
      </c>
      <c r="P22" s="50">
        <v>0</v>
      </c>
      <c r="Q22" s="51">
        <v>0</v>
      </c>
      <c r="R22" s="46">
        <v>1200</v>
      </c>
      <c r="S22" s="39">
        <f t="shared" si="0"/>
        <v>0</v>
      </c>
    </row>
    <row r="23" spans="2:19" ht="19.5" customHeight="1" x14ac:dyDescent="0.25">
      <c r="B23" s="41">
        <v>16</v>
      </c>
      <c r="C23" s="42" t="s">
        <v>65</v>
      </c>
      <c r="D23" s="53" t="s">
        <v>153</v>
      </c>
      <c r="E23" s="52" t="s">
        <v>90</v>
      </c>
      <c r="F23" s="44" t="s">
        <v>73</v>
      </c>
      <c r="G23" s="44">
        <f>200+1000+500</f>
        <v>1700</v>
      </c>
      <c r="H23" s="45">
        <f>10+190+2+998+33+467</f>
        <v>1700</v>
      </c>
      <c r="I23" s="46">
        <f>5+1+20+30+30+10+50+30+24+2+80+10+50+10+15+20+15+10+10+2+10+15+20+5+20+10+10+20+5+10+15+5+20+20+50+30+20+50+20+5+50+20+7+50+50+50+50+10+50+10+15+50+37+1+5+20+441</f>
        <v>1700</v>
      </c>
      <c r="J23" s="47">
        <f>H23-I23</f>
        <v>0</v>
      </c>
      <c r="K23" s="44">
        <f>J23-L23</f>
        <v>0</v>
      </c>
      <c r="L23" s="44">
        <v>0</v>
      </c>
      <c r="M23" s="48">
        <f>G23-H23</f>
        <v>0</v>
      </c>
      <c r="N23" s="35">
        <v>0</v>
      </c>
      <c r="O23" s="49">
        <v>0</v>
      </c>
      <c r="P23" s="50">
        <v>0</v>
      </c>
      <c r="Q23" s="51">
        <v>0</v>
      </c>
      <c r="R23" s="46">
        <v>1700</v>
      </c>
      <c r="S23" s="39">
        <f t="shared" si="0"/>
        <v>0</v>
      </c>
    </row>
    <row r="24" spans="2:19" ht="19.5" customHeight="1" x14ac:dyDescent="0.25">
      <c r="B24" s="41">
        <v>17</v>
      </c>
      <c r="C24" s="42" t="s">
        <v>65</v>
      </c>
      <c r="D24" s="53" t="s">
        <v>158</v>
      </c>
      <c r="E24" s="52" t="s">
        <v>91</v>
      </c>
      <c r="F24" s="44" t="s">
        <v>73</v>
      </c>
      <c r="G24" s="44">
        <f>200+1000</f>
        <v>1200</v>
      </c>
      <c r="H24" s="45">
        <f>10+190+2+998</f>
        <v>1200</v>
      </c>
      <c r="I24" s="46">
        <f>1+50+1+50+50+10+38+2+80+10+50+10+2+15+10+20+15+20+10+20+10+20+5+20+10+20+20+10+10+20+10+10+571</f>
        <v>1200</v>
      </c>
      <c r="J24" s="47">
        <f>H24-I24</f>
        <v>0</v>
      </c>
      <c r="K24" s="44">
        <f>J24-L24</f>
        <v>0</v>
      </c>
      <c r="L24" s="44">
        <v>0</v>
      </c>
      <c r="M24" s="48">
        <f>G24-H24</f>
        <v>0</v>
      </c>
      <c r="N24" s="35">
        <v>0</v>
      </c>
      <c r="O24" s="49">
        <v>0</v>
      </c>
      <c r="P24" s="50">
        <v>0</v>
      </c>
      <c r="Q24" s="51">
        <v>0</v>
      </c>
      <c r="R24" s="46">
        <v>1200</v>
      </c>
      <c r="S24" s="39">
        <f t="shared" si="0"/>
        <v>0</v>
      </c>
    </row>
    <row r="25" spans="2:19" ht="19.5" customHeight="1" x14ac:dyDescent="0.25">
      <c r="B25" s="41">
        <v>18</v>
      </c>
      <c r="C25" s="42" t="s">
        <v>65</v>
      </c>
      <c r="D25" s="54" t="s">
        <v>94</v>
      </c>
      <c r="E25" s="52" t="s">
        <v>72</v>
      </c>
      <c r="F25" s="44" t="s">
        <v>73</v>
      </c>
      <c r="G25" s="44">
        <f>300+500+50+500+1000+250+100</f>
        <v>2700</v>
      </c>
      <c r="H25" s="45">
        <f>300+500+50+500+1000+250+100</f>
        <v>2700</v>
      </c>
      <c r="I25" s="46">
        <f>264+36+7+1+25+20+1+30+2+5+5+20+20+4+20+30+10+1+1+50+20+1+21+5+10+10+25+40+30+86+25+2+13+10+20+20+20+10+10+30+10+50+20+10+50+20+10+50+50+50+70+30+50+50+50+25+25+20+50+50+30+50+30+50+200+100+50+50+5+40+10+25+10+10+100+50+20+50+50+5+50+15</f>
        <v>2700</v>
      </c>
      <c r="J25" s="47">
        <f t="shared" si="1"/>
        <v>0</v>
      </c>
      <c r="K25" s="44">
        <f t="shared" si="2"/>
        <v>0</v>
      </c>
      <c r="L25" s="44">
        <v>0</v>
      </c>
      <c r="M25" s="48">
        <f t="shared" si="3"/>
        <v>0</v>
      </c>
      <c r="N25" s="35">
        <v>100</v>
      </c>
      <c r="O25" s="49">
        <v>0</v>
      </c>
      <c r="P25" s="50">
        <v>0</v>
      </c>
      <c r="Q25" s="51">
        <v>0</v>
      </c>
      <c r="R25" s="46">
        <v>2700</v>
      </c>
      <c r="S25" s="39">
        <f t="shared" si="0"/>
        <v>0</v>
      </c>
    </row>
    <row r="26" spans="2:19" ht="19.5" customHeight="1" x14ac:dyDescent="0.25">
      <c r="B26" s="41">
        <v>19</v>
      </c>
      <c r="C26" s="42" t="s">
        <v>65</v>
      </c>
      <c r="D26" s="54" t="s">
        <v>94</v>
      </c>
      <c r="E26" s="52" t="s">
        <v>125</v>
      </c>
      <c r="F26" s="44" t="s">
        <v>73</v>
      </c>
      <c r="G26" s="44">
        <f>500</f>
        <v>500</v>
      </c>
      <c r="H26" s="45">
        <f>500</f>
        <v>500</v>
      </c>
      <c r="I26" s="46">
        <f>20+20+20+10+30+20+10+30+50+20+10+50+9+50+10+40+50+20+20+11</f>
        <v>500</v>
      </c>
      <c r="J26" s="47">
        <f>H26-I26</f>
        <v>0</v>
      </c>
      <c r="K26" s="44">
        <f>J26-L26</f>
        <v>0</v>
      </c>
      <c r="L26" s="44">
        <v>0</v>
      </c>
      <c r="M26" s="48">
        <f>G26-H26</f>
        <v>0</v>
      </c>
      <c r="N26" s="35">
        <v>0</v>
      </c>
      <c r="O26" s="49">
        <v>0</v>
      </c>
      <c r="P26" s="50">
        <v>0</v>
      </c>
      <c r="Q26" s="51">
        <v>0</v>
      </c>
      <c r="R26" s="46">
        <v>500</v>
      </c>
      <c r="S26" s="39">
        <f>I26-R26</f>
        <v>0</v>
      </c>
    </row>
    <row r="27" spans="2:19" ht="19.5" customHeight="1" x14ac:dyDescent="0.25">
      <c r="B27" s="41">
        <v>20</v>
      </c>
      <c r="C27" s="42" t="s">
        <v>65</v>
      </c>
      <c r="D27" s="54" t="s">
        <v>126</v>
      </c>
      <c r="E27" s="52" t="s">
        <v>81</v>
      </c>
      <c r="F27" s="44" t="s">
        <v>73</v>
      </c>
      <c r="G27" s="44">
        <f>500+50+200+2000+250+1000</f>
        <v>4000</v>
      </c>
      <c r="H27" s="45">
        <f>500+50+200+2000+250+1000</f>
        <v>4000</v>
      </c>
      <c r="I27" s="46">
        <f>3+5+50+10+15+20+30+5+5+3+5+15+10+5+5+10+1+10+30+20+1+17+10+25+30+50+110+20+10+5+15+20+50+20+20+10+10+20+30+10+10+40+50+25+50+100+50+25+25+20+50+30+50+30+100+100+50+50+50+30+2+10+30+15+25+30+30+20+10+30+20+10+50+50+10+30+20+50+50+5+5+30+25+20+10+20+50+30+30+50+50+20+10+20+10+15+30+30+20+20+20+200+30+15+20+20+50+50+25+10+35+10+40+10+25+15+20+50+5+20+10+50+60+10+20+50+50+30+50+20+2+25+1+50+10+35+10+5+15+5+50+3+5+97</f>
        <v>4000</v>
      </c>
      <c r="J27" s="47">
        <f>H27-I27</f>
        <v>0</v>
      </c>
      <c r="K27" s="44">
        <f>J27-L27</f>
        <v>0</v>
      </c>
      <c r="L27" s="44">
        <v>0</v>
      </c>
      <c r="M27" s="48">
        <f>G27-H27</f>
        <v>0</v>
      </c>
      <c r="N27" s="35">
        <v>0</v>
      </c>
      <c r="O27" s="49">
        <v>0</v>
      </c>
      <c r="P27" s="50">
        <v>0</v>
      </c>
      <c r="Q27" s="51">
        <v>0</v>
      </c>
      <c r="R27" s="46">
        <v>4000</v>
      </c>
      <c r="S27" s="39">
        <f t="shared" si="0"/>
        <v>0</v>
      </c>
    </row>
    <row r="28" spans="2:19" ht="19.5" customHeight="1" x14ac:dyDescent="0.25">
      <c r="B28" s="41">
        <v>21</v>
      </c>
      <c r="C28" s="42" t="s">
        <v>65</v>
      </c>
      <c r="D28" s="54" t="s">
        <v>95</v>
      </c>
      <c r="E28" s="52" t="s">
        <v>82</v>
      </c>
      <c r="F28" s="44" t="s">
        <v>73</v>
      </c>
      <c r="G28" s="44">
        <f>500+25+200+1000+1000</f>
        <v>2725</v>
      </c>
      <c r="H28" s="45">
        <f>500+25+200+1000+1000</f>
        <v>2725</v>
      </c>
      <c r="I28" s="46">
        <f>4+5+10+50+5+5+2+5+2+20+20+30+10+10+1+5+1+5+3+10+5+8+10+10+10+10+15+10+20+15+6+20+20+10+30+30+10+20+20+18+5+5+5+10+20+10+5+10+1+1+10+50+20+20+10+43+35+50+50+50+100+50+10+50+50+30+50+30+50+10+30+100+100+20+10+10+30+2+10+10+20+20+23+10+50+10+10+50+20+30+100+20+10+20+20+100+50+5+15+20+10+1+5+15+3+20+5+5+396</f>
        <v>2725</v>
      </c>
      <c r="J28" s="47">
        <f t="shared" si="1"/>
        <v>0</v>
      </c>
      <c r="K28" s="44">
        <f t="shared" si="2"/>
        <v>0</v>
      </c>
      <c r="L28" s="44">
        <v>0</v>
      </c>
      <c r="M28" s="48">
        <f t="shared" si="3"/>
        <v>0</v>
      </c>
      <c r="N28" s="35">
        <v>0</v>
      </c>
      <c r="O28" s="49">
        <v>0</v>
      </c>
      <c r="P28" s="50">
        <v>0</v>
      </c>
      <c r="Q28" s="51">
        <v>0</v>
      </c>
      <c r="R28" s="46">
        <v>2725</v>
      </c>
      <c r="S28" s="39">
        <f t="shared" si="0"/>
        <v>0</v>
      </c>
    </row>
    <row r="29" spans="2:19" ht="19.5" customHeight="1" x14ac:dyDescent="0.25">
      <c r="B29" s="41">
        <v>22</v>
      </c>
      <c r="C29" s="42" t="s">
        <v>65</v>
      </c>
      <c r="D29" s="54" t="s">
        <v>96</v>
      </c>
      <c r="E29" s="52" t="s">
        <v>85</v>
      </c>
      <c r="F29" s="44" t="s">
        <v>73</v>
      </c>
      <c r="G29" s="44">
        <f>500+500+500</f>
        <v>1500</v>
      </c>
      <c r="H29" s="45">
        <f>500+500+150+350</f>
        <v>1500</v>
      </c>
      <c r="I29" s="46">
        <f>50+10+20+30+5+10+2+10+5+20+20+6+20+2+20+20+11+50+50+50+50+39+30+100+50+100+20+50+100+15+35+20+50+10+10+30+10+20+20+5+20+305</f>
        <v>1500</v>
      </c>
      <c r="J29" s="47">
        <f t="shared" ref="J29:J41" si="4">H29-I29</f>
        <v>0</v>
      </c>
      <c r="K29" s="44">
        <f t="shared" ref="K29:K41" si="5">J29-L29</f>
        <v>0</v>
      </c>
      <c r="L29" s="44">
        <v>0</v>
      </c>
      <c r="M29" s="48">
        <f t="shared" ref="M29:M41" si="6">G29-H29</f>
        <v>0</v>
      </c>
      <c r="N29" s="35">
        <v>0</v>
      </c>
      <c r="O29" s="49">
        <v>0</v>
      </c>
      <c r="P29" s="50">
        <v>0</v>
      </c>
      <c r="Q29" s="51">
        <v>0</v>
      </c>
      <c r="R29" s="46">
        <v>1500</v>
      </c>
      <c r="S29" s="39">
        <f t="shared" si="0"/>
        <v>0</v>
      </c>
    </row>
    <row r="30" spans="2:19" ht="19.5" customHeight="1" x14ac:dyDescent="0.25">
      <c r="B30" s="41">
        <v>23</v>
      </c>
      <c r="C30" s="42" t="s">
        <v>65</v>
      </c>
      <c r="D30" s="54" t="s">
        <v>124</v>
      </c>
      <c r="E30" s="52" t="s">
        <v>123</v>
      </c>
      <c r="F30" s="44" t="s">
        <v>73</v>
      </c>
      <c r="G30" s="44">
        <f>100+200</f>
        <v>300</v>
      </c>
      <c r="H30" s="45">
        <f>100+200</f>
        <v>300</v>
      </c>
      <c r="I30" s="46">
        <f>100+10+10+90+35+5+20+30</f>
        <v>300</v>
      </c>
      <c r="J30" s="47">
        <f t="shared" si="4"/>
        <v>0</v>
      </c>
      <c r="K30" s="44">
        <f t="shared" si="5"/>
        <v>0</v>
      </c>
      <c r="L30" s="44">
        <v>0</v>
      </c>
      <c r="M30" s="48">
        <f t="shared" si="6"/>
        <v>0</v>
      </c>
      <c r="N30" s="35">
        <v>0</v>
      </c>
      <c r="O30" s="49">
        <v>0</v>
      </c>
      <c r="P30" s="50">
        <v>0</v>
      </c>
      <c r="Q30" s="51">
        <v>0</v>
      </c>
      <c r="R30" s="46">
        <v>300</v>
      </c>
      <c r="S30" s="39">
        <f>I30-R30</f>
        <v>0</v>
      </c>
    </row>
    <row r="31" spans="2:19" ht="19.5" hidden="1" customHeight="1" x14ac:dyDescent="0.25">
      <c r="B31" s="41">
        <v>24</v>
      </c>
      <c r="C31" s="42" t="s">
        <v>65</v>
      </c>
      <c r="D31" s="54" t="s">
        <v>149</v>
      </c>
      <c r="E31" s="52"/>
      <c r="F31" s="44" t="s">
        <v>22</v>
      </c>
      <c r="G31" s="44">
        <f>350+150</f>
        <v>500</v>
      </c>
      <c r="H31" s="45">
        <f>350+150</f>
        <v>500</v>
      </c>
      <c r="I31" s="46">
        <f>2+1+15+50+282+22+25+25+32+46</f>
        <v>500</v>
      </c>
      <c r="J31" s="47">
        <f t="shared" si="4"/>
        <v>0</v>
      </c>
      <c r="K31" s="44">
        <f t="shared" si="5"/>
        <v>0</v>
      </c>
      <c r="L31" s="44">
        <v>0</v>
      </c>
      <c r="M31" s="48">
        <f t="shared" si="6"/>
        <v>0</v>
      </c>
      <c r="N31" s="35">
        <v>0</v>
      </c>
      <c r="O31" s="49">
        <v>0</v>
      </c>
      <c r="P31" s="50">
        <v>0</v>
      </c>
      <c r="Q31" s="51">
        <v>0</v>
      </c>
      <c r="R31" s="46">
        <v>500</v>
      </c>
      <c r="S31" s="39">
        <f t="shared" si="0"/>
        <v>0</v>
      </c>
    </row>
    <row r="32" spans="2:19" ht="19.5" hidden="1" customHeight="1" x14ac:dyDescent="0.25">
      <c r="B32" s="41">
        <v>25</v>
      </c>
      <c r="C32" s="42" t="s">
        <v>65</v>
      </c>
      <c r="D32" s="54" t="s">
        <v>110</v>
      </c>
      <c r="E32" s="52"/>
      <c r="F32" s="44" t="s">
        <v>22</v>
      </c>
      <c r="G32" s="44">
        <f>658+3749</f>
        <v>4407</v>
      </c>
      <c r="H32" s="45">
        <f>658+3749</f>
        <v>4407</v>
      </c>
      <c r="I32" s="46">
        <f>6+6+64+19+28+12+10+10+10+10+10+10+10+11+11+6+9+9+11+5+3+8+6+7+11+3+2+5+8+8+8+8+48+36+10+80+45+15+1+26+5+9+166+98+217+180+2+8+3117</f>
        <v>4407</v>
      </c>
      <c r="J32" s="47">
        <f t="shared" si="4"/>
        <v>0</v>
      </c>
      <c r="K32" s="44">
        <f t="shared" si="5"/>
        <v>0</v>
      </c>
      <c r="L32" s="44">
        <v>0</v>
      </c>
      <c r="M32" s="48">
        <f t="shared" si="6"/>
        <v>0</v>
      </c>
      <c r="N32" s="35">
        <v>0</v>
      </c>
      <c r="O32" s="49">
        <v>0</v>
      </c>
      <c r="P32" s="50">
        <v>0</v>
      </c>
      <c r="Q32" s="51">
        <v>0</v>
      </c>
      <c r="R32" s="46">
        <v>4407</v>
      </c>
      <c r="S32" s="39">
        <f t="shared" si="0"/>
        <v>0</v>
      </c>
    </row>
    <row r="33" spans="2:19" ht="19.5" hidden="1" customHeight="1" x14ac:dyDescent="0.25">
      <c r="B33" s="41">
        <v>26</v>
      </c>
      <c r="C33" s="42" t="s">
        <v>54</v>
      </c>
      <c r="D33" s="54" t="s">
        <v>97</v>
      </c>
      <c r="E33" s="52"/>
      <c r="F33" s="55" t="s">
        <v>100</v>
      </c>
      <c r="G33" s="44">
        <f>6</f>
        <v>6</v>
      </c>
      <c r="H33" s="45">
        <f>6</f>
        <v>6</v>
      </c>
      <c r="I33" s="46">
        <v>6</v>
      </c>
      <c r="J33" s="47">
        <f t="shared" si="4"/>
        <v>0</v>
      </c>
      <c r="K33" s="44">
        <f t="shared" si="5"/>
        <v>0</v>
      </c>
      <c r="L33" s="44">
        <v>0</v>
      </c>
      <c r="M33" s="48">
        <f t="shared" si="6"/>
        <v>0</v>
      </c>
      <c r="N33" s="35">
        <v>0</v>
      </c>
      <c r="O33" s="49">
        <v>0</v>
      </c>
      <c r="P33" s="50">
        <v>0</v>
      </c>
      <c r="Q33" s="51">
        <v>0</v>
      </c>
      <c r="R33" s="46">
        <v>6</v>
      </c>
      <c r="S33" s="39">
        <f t="shared" si="0"/>
        <v>0</v>
      </c>
    </row>
    <row r="34" spans="2:19" ht="19.5" hidden="1" customHeight="1" x14ac:dyDescent="0.25">
      <c r="B34" s="41">
        <v>27</v>
      </c>
      <c r="C34" s="42" t="s">
        <v>54</v>
      </c>
      <c r="D34" s="54" t="s">
        <v>98</v>
      </c>
      <c r="E34" s="52"/>
      <c r="F34" s="55" t="s">
        <v>100</v>
      </c>
      <c r="G34" s="44">
        <f>20</f>
        <v>20</v>
      </c>
      <c r="H34" s="45">
        <f>20</f>
        <v>20</v>
      </c>
      <c r="I34" s="46">
        <v>20</v>
      </c>
      <c r="J34" s="47">
        <f t="shared" si="4"/>
        <v>0</v>
      </c>
      <c r="K34" s="44">
        <f t="shared" si="5"/>
        <v>0</v>
      </c>
      <c r="L34" s="44">
        <v>0</v>
      </c>
      <c r="M34" s="48">
        <f t="shared" si="6"/>
        <v>0</v>
      </c>
      <c r="N34" s="35">
        <v>0</v>
      </c>
      <c r="O34" s="49">
        <v>0</v>
      </c>
      <c r="P34" s="50">
        <v>0</v>
      </c>
      <c r="Q34" s="51">
        <v>0</v>
      </c>
      <c r="R34" s="46">
        <v>20</v>
      </c>
      <c r="S34" s="39">
        <f t="shared" si="0"/>
        <v>0</v>
      </c>
    </row>
    <row r="35" spans="2:19" ht="19.5" hidden="1" customHeight="1" x14ac:dyDescent="0.25">
      <c r="B35" s="41">
        <v>28</v>
      </c>
      <c r="C35" s="42" t="s">
        <v>54</v>
      </c>
      <c r="D35" s="54" t="s">
        <v>99</v>
      </c>
      <c r="E35" s="52"/>
      <c r="F35" s="55" t="s">
        <v>101</v>
      </c>
      <c r="G35" s="44">
        <f>14+100+100+100+25+25</f>
        <v>364</v>
      </c>
      <c r="H35" s="45">
        <f>14+100+100+100+25+25</f>
        <v>364</v>
      </c>
      <c r="I35" s="46">
        <f>14+100+200+25+20+5</f>
        <v>364</v>
      </c>
      <c r="J35" s="47">
        <f t="shared" si="4"/>
        <v>0</v>
      </c>
      <c r="K35" s="44">
        <f t="shared" si="5"/>
        <v>0</v>
      </c>
      <c r="L35" s="44">
        <f>25-20-5</f>
        <v>0</v>
      </c>
      <c r="M35" s="48">
        <f t="shared" si="6"/>
        <v>0</v>
      </c>
      <c r="N35" s="35">
        <v>0</v>
      </c>
      <c r="O35" s="49">
        <v>0</v>
      </c>
      <c r="P35" s="50">
        <v>0</v>
      </c>
      <c r="Q35" s="51">
        <v>0</v>
      </c>
      <c r="R35" s="46">
        <v>364</v>
      </c>
      <c r="S35" s="39">
        <f t="shared" si="0"/>
        <v>0</v>
      </c>
    </row>
    <row r="36" spans="2:19" ht="19.5" hidden="1" customHeight="1" x14ac:dyDescent="0.25">
      <c r="B36" s="41">
        <v>29</v>
      </c>
      <c r="C36" s="42" t="s">
        <v>54</v>
      </c>
      <c r="D36" s="54" t="s">
        <v>139</v>
      </c>
      <c r="E36" s="52" t="s">
        <v>144</v>
      </c>
      <c r="F36" s="44" t="s">
        <v>22</v>
      </c>
      <c r="G36" s="44">
        <f>2000+1000</f>
        <v>3000</v>
      </c>
      <c r="H36" s="45">
        <f>500+1500+1000</f>
        <v>3000</v>
      </c>
      <c r="I36" s="46">
        <f>200+500+250+500+25+25+250+10+50+1190</f>
        <v>3000</v>
      </c>
      <c r="J36" s="47">
        <f t="shared" si="4"/>
        <v>0</v>
      </c>
      <c r="K36" s="44">
        <f t="shared" si="5"/>
        <v>0</v>
      </c>
      <c r="L36" s="44">
        <v>0</v>
      </c>
      <c r="M36" s="48">
        <f t="shared" si="6"/>
        <v>0</v>
      </c>
      <c r="N36" s="35">
        <v>0</v>
      </c>
      <c r="O36" s="49">
        <v>0</v>
      </c>
      <c r="P36" s="50">
        <v>0</v>
      </c>
      <c r="Q36" s="51">
        <v>0</v>
      </c>
      <c r="R36" s="46">
        <v>3000</v>
      </c>
      <c r="S36" s="39">
        <f t="shared" ref="S36:S41" si="7">I36-R36</f>
        <v>0</v>
      </c>
    </row>
    <row r="37" spans="2:19" ht="19.5" hidden="1" customHeight="1" x14ac:dyDescent="0.25">
      <c r="B37" s="41">
        <v>30</v>
      </c>
      <c r="C37" s="42" t="s">
        <v>54</v>
      </c>
      <c r="D37" s="54" t="s">
        <v>140</v>
      </c>
      <c r="E37" s="52" t="s">
        <v>145</v>
      </c>
      <c r="F37" s="44" t="s">
        <v>22</v>
      </c>
      <c r="G37" s="44">
        <f>3500+1000</f>
        <v>4500</v>
      </c>
      <c r="H37" s="45">
        <f>600+2100+800+1000</f>
        <v>4500</v>
      </c>
      <c r="I37" s="46">
        <f>300+300+300+300+300+300+25+25+60+300+20+100+100+100+50+100+300+50+35+50+75+50+50+30+50+25+50+50+50+50+50+50+20+50+30+50+50+100+50+25+25+50+355</f>
        <v>4500</v>
      </c>
      <c r="J37" s="47">
        <f t="shared" si="4"/>
        <v>0</v>
      </c>
      <c r="K37" s="44">
        <f t="shared" si="5"/>
        <v>0</v>
      </c>
      <c r="L37" s="44">
        <v>0</v>
      </c>
      <c r="M37" s="48">
        <f t="shared" si="6"/>
        <v>0</v>
      </c>
      <c r="N37" s="35">
        <v>0</v>
      </c>
      <c r="O37" s="49">
        <v>0</v>
      </c>
      <c r="P37" s="50">
        <v>0</v>
      </c>
      <c r="Q37" s="51">
        <v>0</v>
      </c>
      <c r="R37" s="46">
        <v>4500</v>
      </c>
      <c r="S37" s="39">
        <f t="shared" si="7"/>
        <v>0</v>
      </c>
    </row>
    <row r="38" spans="2:19" ht="19.5" hidden="1" customHeight="1" x14ac:dyDescent="0.25">
      <c r="B38" s="41">
        <v>31</v>
      </c>
      <c r="C38" s="42" t="s">
        <v>54</v>
      </c>
      <c r="D38" s="54" t="s">
        <v>141</v>
      </c>
      <c r="E38" s="52" t="s">
        <v>146</v>
      </c>
      <c r="F38" s="44" t="s">
        <v>22</v>
      </c>
      <c r="G38" s="44">
        <f>2500+500</f>
        <v>3000</v>
      </c>
      <c r="H38" s="45">
        <f>2250+250+500</f>
        <v>3000</v>
      </c>
      <c r="I38" s="46">
        <f>250+250+250+250+250+250+25+50+20+100+20+100+200+50+50+50+20+50+20+50+50+25+50+50+75+50+10+30+50+50+50+205</f>
        <v>3000</v>
      </c>
      <c r="J38" s="47">
        <f t="shared" si="4"/>
        <v>0</v>
      </c>
      <c r="K38" s="44">
        <f t="shared" si="5"/>
        <v>0</v>
      </c>
      <c r="L38" s="44">
        <v>0</v>
      </c>
      <c r="M38" s="48">
        <f t="shared" si="6"/>
        <v>0</v>
      </c>
      <c r="N38" s="35">
        <v>0</v>
      </c>
      <c r="O38" s="49">
        <v>0</v>
      </c>
      <c r="P38" s="50">
        <v>0</v>
      </c>
      <c r="Q38" s="51">
        <v>0</v>
      </c>
      <c r="R38" s="46">
        <v>3000</v>
      </c>
      <c r="S38" s="39">
        <f t="shared" si="7"/>
        <v>0</v>
      </c>
    </row>
    <row r="39" spans="2:19" ht="19.5" hidden="1" customHeight="1" x14ac:dyDescent="0.25">
      <c r="B39" s="41">
        <v>32</v>
      </c>
      <c r="C39" s="42" t="s">
        <v>54</v>
      </c>
      <c r="D39" s="54" t="s">
        <v>142</v>
      </c>
      <c r="E39" s="52" t="s">
        <v>147</v>
      </c>
      <c r="F39" s="44" t="s">
        <v>22</v>
      </c>
      <c r="G39" s="44">
        <f>1500+500</f>
        <v>2000</v>
      </c>
      <c r="H39" s="45">
        <f>380+700+420+500</f>
        <v>2000</v>
      </c>
      <c r="I39" s="46">
        <f>100+200+100+100+100+25+50+20+20+50+100+100+50+50+20+30+20+50+50+20+50+50+25+4+50+50+50+466</f>
        <v>2000</v>
      </c>
      <c r="J39" s="47">
        <f t="shared" si="4"/>
        <v>0</v>
      </c>
      <c r="K39" s="44">
        <f t="shared" si="5"/>
        <v>0</v>
      </c>
      <c r="L39" s="44">
        <v>0</v>
      </c>
      <c r="M39" s="48">
        <f t="shared" si="6"/>
        <v>0</v>
      </c>
      <c r="N39" s="35">
        <v>0</v>
      </c>
      <c r="O39" s="49">
        <v>0</v>
      </c>
      <c r="P39" s="50">
        <v>0</v>
      </c>
      <c r="Q39" s="51">
        <v>0</v>
      </c>
      <c r="R39" s="46">
        <v>2000</v>
      </c>
      <c r="S39" s="39">
        <f t="shared" si="7"/>
        <v>0</v>
      </c>
    </row>
    <row r="40" spans="2:19" ht="19.5" hidden="1" customHeight="1" x14ac:dyDescent="0.25">
      <c r="B40" s="41">
        <v>33</v>
      </c>
      <c r="C40" s="42" t="s">
        <v>54</v>
      </c>
      <c r="D40" s="54" t="s">
        <v>143</v>
      </c>
      <c r="E40" s="52" t="s">
        <v>148</v>
      </c>
      <c r="F40" s="44" t="s">
        <v>22</v>
      </c>
      <c r="G40" s="44">
        <f>2000</f>
        <v>2000</v>
      </c>
      <c r="H40" s="45">
        <f>1000+1000</f>
        <v>2000</v>
      </c>
      <c r="I40" s="46">
        <f>100+200+200+50+30+20+20+100+100+10+40+30+20+20+30+10+20+20+25+955</f>
        <v>2000</v>
      </c>
      <c r="J40" s="47">
        <f t="shared" si="4"/>
        <v>0</v>
      </c>
      <c r="K40" s="44">
        <f t="shared" si="5"/>
        <v>0</v>
      </c>
      <c r="L40" s="44">
        <v>0</v>
      </c>
      <c r="M40" s="48">
        <f t="shared" si="6"/>
        <v>0</v>
      </c>
      <c r="N40" s="35">
        <v>0</v>
      </c>
      <c r="O40" s="49">
        <v>0</v>
      </c>
      <c r="P40" s="50">
        <v>0</v>
      </c>
      <c r="Q40" s="51">
        <v>0</v>
      </c>
      <c r="R40" s="46">
        <v>2000</v>
      </c>
      <c r="S40" s="39">
        <f t="shared" si="7"/>
        <v>0</v>
      </c>
    </row>
    <row r="41" spans="2:19" ht="19.5" hidden="1" customHeight="1" x14ac:dyDescent="0.25">
      <c r="B41" s="41">
        <v>34</v>
      </c>
      <c r="C41" s="42" t="s">
        <v>169</v>
      </c>
      <c r="D41" s="54" t="s">
        <v>170</v>
      </c>
      <c r="E41" s="52"/>
      <c r="F41" s="44" t="s">
        <v>22</v>
      </c>
      <c r="G41" s="44">
        <v>2500</v>
      </c>
      <c r="H41" s="45">
        <f>1026+16</f>
        <v>1042</v>
      </c>
      <c r="I41" s="46">
        <f>1026+16</f>
        <v>1042</v>
      </c>
      <c r="J41" s="47">
        <f t="shared" si="4"/>
        <v>0</v>
      </c>
      <c r="K41" s="44">
        <f t="shared" si="5"/>
        <v>0</v>
      </c>
      <c r="L41" s="44"/>
      <c r="M41" s="48">
        <f t="shared" si="6"/>
        <v>1458</v>
      </c>
      <c r="N41" s="35"/>
      <c r="O41" s="49"/>
      <c r="P41" s="50"/>
      <c r="Q41" s="51"/>
      <c r="R41" s="46">
        <v>1042</v>
      </c>
      <c r="S41" s="39">
        <f t="shared" si="7"/>
        <v>0</v>
      </c>
    </row>
    <row r="42" spans="2:19" ht="19.5" customHeight="1" x14ac:dyDescent="0.25">
      <c r="B42" s="41"/>
      <c r="C42" s="42"/>
      <c r="D42" s="54"/>
      <c r="E42" s="52"/>
      <c r="F42" s="44"/>
      <c r="G42" s="44"/>
      <c r="H42" s="45"/>
      <c r="I42" s="46"/>
      <c r="J42" s="47"/>
      <c r="K42" s="44"/>
      <c r="L42" s="44"/>
      <c r="M42" s="48"/>
      <c r="N42" s="35"/>
      <c r="O42" s="49"/>
      <c r="P42" s="50"/>
      <c r="Q42" s="51"/>
      <c r="R42" s="46"/>
      <c r="S42" s="39"/>
    </row>
    <row r="43" spans="2:19" ht="19.5" customHeight="1" x14ac:dyDescent="0.25">
      <c r="B43" s="41"/>
      <c r="C43" s="42"/>
      <c r="D43" s="54"/>
      <c r="E43" s="52"/>
      <c r="F43" s="44"/>
      <c r="G43" s="44"/>
      <c r="H43" s="45"/>
      <c r="I43" s="46"/>
      <c r="J43" s="47"/>
      <c r="K43" s="44"/>
      <c r="L43" s="44"/>
      <c r="M43" s="48"/>
      <c r="N43" s="35"/>
      <c r="O43" s="49"/>
      <c r="P43" s="50"/>
      <c r="Q43" s="51"/>
      <c r="R43" s="46"/>
      <c r="S43" s="39"/>
    </row>
    <row r="44" spans="2:19" ht="19.5" customHeight="1" x14ac:dyDescent="0.25">
      <c r="B44" s="41"/>
      <c r="C44" s="42"/>
      <c r="D44" s="54"/>
      <c r="E44" s="52"/>
      <c r="F44" s="44"/>
      <c r="G44" s="44"/>
      <c r="H44" s="45"/>
      <c r="I44" s="46"/>
      <c r="J44" s="47"/>
      <c r="K44" s="44"/>
      <c r="L44" s="44"/>
      <c r="M44" s="48"/>
      <c r="N44" s="35"/>
      <c r="O44" s="49"/>
      <c r="P44" s="50"/>
      <c r="Q44" s="51"/>
      <c r="R44" s="46"/>
      <c r="S44" s="39"/>
    </row>
    <row r="45" spans="2:19" ht="19.5" customHeight="1" x14ac:dyDescent="0.25">
      <c r="B45" s="41"/>
      <c r="C45" s="42"/>
      <c r="D45" s="54"/>
      <c r="E45" s="52"/>
      <c r="F45" s="44"/>
      <c r="G45" s="44"/>
      <c r="H45" s="45"/>
      <c r="I45" s="46"/>
      <c r="J45" s="47"/>
      <c r="K45" s="44"/>
      <c r="L45" s="44"/>
      <c r="M45" s="48"/>
      <c r="N45" s="35"/>
      <c r="O45" s="49"/>
      <c r="P45" s="50"/>
      <c r="Q45" s="51"/>
      <c r="R45" s="46"/>
      <c r="S45" s="39"/>
    </row>
    <row r="46" spans="2:19" ht="19.5" customHeight="1" x14ac:dyDescent="0.25">
      <c r="B46" s="41"/>
      <c r="C46" s="42"/>
      <c r="D46" s="54"/>
      <c r="E46" s="52"/>
      <c r="F46" s="44"/>
      <c r="G46" s="44"/>
      <c r="H46" s="45"/>
      <c r="I46" s="46"/>
      <c r="J46" s="47"/>
      <c r="K46" s="44"/>
      <c r="L46" s="44"/>
      <c r="M46" s="48"/>
      <c r="N46" s="35"/>
      <c r="O46" s="49"/>
      <c r="P46" s="50"/>
      <c r="Q46" s="51"/>
      <c r="R46" s="46"/>
      <c r="S46" s="39"/>
    </row>
    <row r="47" spans="2:19" ht="19.5" customHeight="1" x14ac:dyDescent="0.25">
      <c r="B47" s="41"/>
      <c r="C47" s="42"/>
      <c r="D47" s="54"/>
      <c r="E47" s="52"/>
      <c r="F47" s="44"/>
      <c r="G47" s="44"/>
      <c r="H47" s="45"/>
      <c r="I47" s="46"/>
      <c r="J47" s="47"/>
      <c r="K47" s="44"/>
      <c r="L47" s="44"/>
      <c r="M47" s="48"/>
      <c r="N47" s="35"/>
      <c r="O47" s="49"/>
      <c r="P47" s="50"/>
      <c r="Q47" s="51"/>
      <c r="R47" s="46"/>
      <c r="S47" s="39"/>
    </row>
    <row r="48" spans="2:19" ht="19.5" customHeight="1" x14ac:dyDescent="0.25">
      <c r="B48" s="41"/>
      <c r="C48" s="42"/>
      <c r="D48" s="54"/>
      <c r="E48" s="52"/>
      <c r="F48" s="44"/>
      <c r="G48" s="44"/>
      <c r="H48" s="45"/>
      <c r="I48" s="46"/>
      <c r="J48" s="47"/>
      <c r="K48" s="44"/>
      <c r="L48" s="44"/>
      <c r="M48" s="48"/>
      <c r="N48" s="35"/>
      <c r="O48" s="49"/>
      <c r="P48" s="50"/>
      <c r="Q48" s="51"/>
      <c r="R48" s="46"/>
      <c r="S48" s="39"/>
    </row>
    <row r="49" spans="2:19" x14ac:dyDescent="0.25">
      <c r="B49" s="6"/>
      <c r="C49" s="6"/>
      <c r="D49" s="6"/>
      <c r="E49" s="6"/>
      <c r="F49" s="6"/>
      <c r="G49" s="6"/>
      <c r="H49" s="56"/>
      <c r="I49" s="56"/>
      <c r="J49" s="56"/>
      <c r="K49" s="56"/>
      <c r="L49" s="56"/>
      <c r="M49" s="6"/>
      <c r="N49" s="6"/>
      <c r="O49" s="56"/>
      <c r="P49" s="6"/>
      <c r="Q49" s="6"/>
      <c r="R49" s="56"/>
      <c r="S49" s="56"/>
    </row>
    <row r="50" spans="2:19" x14ac:dyDescent="0.25">
      <c r="B50" s="6"/>
      <c r="C50" s="6"/>
      <c r="D50" s="6"/>
      <c r="E50" s="6"/>
      <c r="F50" s="6"/>
      <c r="G50" s="6"/>
      <c r="H50" s="56"/>
      <c r="I50" s="56"/>
      <c r="J50" s="56"/>
      <c r="K50" s="56"/>
      <c r="L50" s="56"/>
      <c r="M50" s="6"/>
      <c r="O50" s="56"/>
      <c r="P50" s="6"/>
      <c r="Q50" s="6"/>
      <c r="R50" s="56"/>
      <c r="S50" s="56"/>
    </row>
    <row r="51" spans="2:19" x14ac:dyDescent="0.25">
      <c r="B51" s="6"/>
      <c r="C51" s="6"/>
      <c r="D51" s="6"/>
      <c r="E51" s="6"/>
      <c r="F51" s="6"/>
      <c r="G51" s="6"/>
      <c r="H51" s="56"/>
      <c r="I51" s="56"/>
      <c r="J51" s="56"/>
      <c r="K51" s="56"/>
      <c r="L51" s="56"/>
      <c r="M51" s="6"/>
      <c r="O51" s="56"/>
      <c r="P51" s="6"/>
      <c r="Q51" s="6"/>
      <c r="R51" s="56"/>
      <c r="S51" s="56"/>
    </row>
    <row r="52" spans="2:19" x14ac:dyDescent="0.25">
      <c r="B52" s="6"/>
      <c r="C52" s="6"/>
      <c r="D52" s="6"/>
      <c r="E52" s="6"/>
      <c r="F52" s="6"/>
      <c r="G52" s="6"/>
      <c r="H52" s="56"/>
      <c r="I52" s="56"/>
      <c r="J52" s="56"/>
      <c r="K52" s="56"/>
      <c r="L52" s="56"/>
      <c r="M52" s="6"/>
      <c r="O52" s="56"/>
      <c r="P52" s="6"/>
      <c r="Q52" s="6"/>
      <c r="R52" s="56"/>
      <c r="S52" s="56"/>
    </row>
    <row r="53" spans="2:19" x14ac:dyDescent="0.25">
      <c r="B53" s="6"/>
      <c r="C53" s="6"/>
      <c r="D53" s="6"/>
      <c r="E53" s="6"/>
      <c r="F53" s="6"/>
      <c r="G53" s="6"/>
      <c r="H53" s="56"/>
      <c r="I53" s="56"/>
      <c r="J53" s="56"/>
      <c r="K53" s="56"/>
      <c r="L53" s="56"/>
      <c r="M53" s="6"/>
      <c r="O53" s="56"/>
      <c r="P53" s="6"/>
      <c r="Q53" s="6"/>
      <c r="R53" s="56"/>
      <c r="S53" s="56"/>
    </row>
    <row r="54" spans="2:19" x14ac:dyDescent="0.25">
      <c r="B54" s="6"/>
      <c r="C54" s="6"/>
      <c r="D54" s="6"/>
      <c r="E54" s="6"/>
      <c r="F54" s="6"/>
      <c r="G54" s="6"/>
      <c r="H54" s="56"/>
      <c r="I54" s="56"/>
      <c r="J54" s="56"/>
      <c r="K54" s="56"/>
      <c r="L54" s="56"/>
      <c r="M54" s="6"/>
      <c r="O54" s="56"/>
      <c r="P54" s="6"/>
      <c r="Q54" s="6"/>
      <c r="R54" s="56"/>
      <c r="S54" s="56"/>
    </row>
    <row r="55" spans="2:19" x14ac:dyDescent="0.25">
      <c r="B55" s="6"/>
      <c r="C55" s="6"/>
      <c r="D55" s="6"/>
      <c r="E55" s="6"/>
      <c r="F55" s="6"/>
      <c r="G55" s="6"/>
      <c r="H55" s="56"/>
      <c r="I55" s="56"/>
      <c r="J55" s="56"/>
      <c r="K55" s="56"/>
      <c r="L55" s="56"/>
      <c r="M55" s="6"/>
      <c r="O55" s="56"/>
      <c r="P55" s="6"/>
      <c r="Q55" s="6"/>
      <c r="R55" s="56"/>
      <c r="S55" s="56"/>
    </row>
    <row r="56" spans="2:19" x14ac:dyDescent="0.25">
      <c r="B56" s="6"/>
      <c r="C56" s="6"/>
      <c r="D56" s="6"/>
      <c r="E56" s="6"/>
      <c r="F56" s="6"/>
      <c r="G56" s="6"/>
      <c r="H56" s="56"/>
      <c r="I56" s="56"/>
      <c r="J56" s="56"/>
      <c r="K56" s="56"/>
      <c r="L56" s="56"/>
      <c r="M56" s="6"/>
      <c r="O56" s="56"/>
      <c r="P56" s="6"/>
      <c r="Q56" s="6"/>
      <c r="R56" s="56"/>
      <c r="S56" s="56"/>
    </row>
    <row r="57" spans="2:19" x14ac:dyDescent="0.25">
      <c r="B57" s="6"/>
      <c r="C57" s="6"/>
      <c r="D57" s="6"/>
      <c r="E57" s="6"/>
      <c r="F57" s="6"/>
      <c r="G57" s="6"/>
      <c r="H57" s="56"/>
      <c r="I57" s="56"/>
      <c r="J57" s="56"/>
      <c r="K57" s="56"/>
      <c r="L57" s="56"/>
      <c r="M57" s="6"/>
      <c r="O57" s="56"/>
      <c r="P57" s="6"/>
      <c r="Q57" s="6"/>
      <c r="R57" s="56"/>
      <c r="S57" s="56"/>
    </row>
    <row r="58" spans="2:19" x14ac:dyDescent="0.25">
      <c r="B58" s="6"/>
      <c r="C58" s="6"/>
      <c r="D58" s="6"/>
      <c r="E58" s="6"/>
      <c r="F58" s="6"/>
      <c r="G58" s="6"/>
      <c r="H58" s="56"/>
      <c r="I58" s="56"/>
      <c r="J58" s="56"/>
      <c r="K58" s="56"/>
      <c r="L58" s="56"/>
      <c r="M58" s="6"/>
      <c r="O58" s="56"/>
      <c r="P58" s="6"/>
      <c r="Q58" s="6"/>
      <c r="R58" s="56"/>
      <c r="S58" s="56"/>
    </row>
    <row r="59" spans="2:19" x14ac:dyDescent="0.25">
      <c r="B59" s="6"/>
      <c r="C59" s="6"/>
      <c r="D59" s="6"/>
      <c r="E59" s="6"/>
      <c r="F59" s="6"/>
      <c r="G59" s="6"/>
      <c r="H59" s="56"/>
      <c r="I59" s="56"/>
      <c r="J59" s="56"/>
      <c r="K59" s="56"/>
      <c r="L59" s="56"/>
      <c r="M59" s="6"/>
      <c r="O59" s="56"/>
      <c r="P59" s="6"/>
      <c r="Q59" s="6"/>
      <c r="R59" s="56"/>
      <c r="S59" s="56"/>
    </row>
    <row r="60" spans="2:19" x14ac:dyDescent="0.25">
      <c r="B60" s="6"/>
      <c r="C60" s="6"/>
      <c r="D60" s="6"/>
      <c r="E60" s="6"/>
      <c r="F60" s="6"/>
      <c r="G60" s="6"/>
      <c r="H60" s="56"/>
      <c r="I60" s="56"/>
      <c r="J60" s="56"/>
      <c r="K60" s="56"/>
      <c r="L60" s="56"/>
      <c r="M60" s="6"/>
      <c r="O60" s="56"/>
      <c r="P60" s="6"/>
      <c r="Q60" s="6"/>
      <c r="R60" s="56"/>
      <c r="S60" s="56"/>
    </row>
    <row r="61" spans="2:19" x14ac:dyDescent="0.25">
      <c r="B61" s="6"/>
      <c r="C61" s="6"/>
      <c r="D61" s="6"/>
      <c r="E61" s="6"/>
      <c r="F61" s="6"/>
      <c r="G61" s="6"/>
      <c r="H61" s="56"/>
      <c r="I61" s="56"/>
      <c r="J61" s="56"/>
      <c r="K61" s="56"/>
      <c r="L61" s="56"/>
      <c r="M61" s="6"/>
      <c r="O61" s="56"/>
      <c r="P61" s="6"/>
      <c r="Q61" s="6"/>
      <c r="R61" s="56"/>
      <c r="S61" s="56"/>
    </row>
    <row r="62" spans="2:19" x14ac:dyDescent="0.25">
      <c r="B62" s="6"/>
      <c r="C62" s="6"/>
      <c r="D62" s="6"/>
      <c r="E62" s="6"/>
      <c r="F62" s="6"/>
      <c r="G62" s="6"/>
      <c r="H62" s="56"/>
      <c r="I62" s="56"/>
      <c r="J62" s="56"/>
      <c r="K62" s="56"/>
      <c r="L62" s="56"/>
      <c r="M62" s="6"/>
      <c r="O62" s="56"/>
      <c r="P62" s="6"/>
      <c r="Q62" s="6"/>
      <c r="R62" s="56"/>
      <c r="S62" s="56"/>
    </row>
    <row r="63" spans="2:19" x14ac:dyDescent="0.25">
      <c r="B63" s="6"/>
      <c r="C63" s="6"/>
      <c r="D63" s="6"/>
      <c r="E63" s="6"/>
      <c r="F63" s="6"/>
      <c r="G63" s="6"/>
      <c r="H63" s="56"/>
      <c r="I63" s="56"/>
      <c r="J63" s="56"/>
      <c r="K63" s="56"/>
      <c r="L63" s="56"/>
      <c r="M63" s="6"/>
      <c r="O63" s="56"/>
      <c r="P63" s="6"/>
      <c r="Q63" s="6"/>
      <c r="R63" s="56"/>
      <c r="S63" s="56"/>
    </row>
    <row r="64" spans="2:19" x14ac:dyDescent="0.25">
      <c r="B64" s="6"/>
      <c r="C64" s="6"/>
      <c r="D64" s="6"/>
      <c r="E64" s="6"/>
      <c r="F64" s="6"/>
      <c r="G64" s="6"/>
      <c r="H64" s="56"/>
      <c r="I64" s="56"/>
      <c r="J64" s="56"/>
      <c r="K64" s="56"/>
      <c r="L64" s="56"/>
      <c r="M64" s="6"/>
      <c r="O64" s="56"/>
      <c r="P64" s="6"/>
      <c r="Q64" s="6"/>
      <c r="R64" s="56"/>
      <c r="S64" s="56"/>
    </row>
    <row r="65" spans="2:19" x14ac:dyDescent="0.25">
      <c r="B65" s="6"/>
      <c r="C65" s="6"/>
      <c r="D65" s="6"/>
      <c r="E65" s="6"/>
      <c r="F65" s="6"/>
      <c r="G65" s="6"/>
      <c r="H65" s="56"/>
      <c r="I65" s="56"/>
      <c r="J65" s="56"/>
      <c r="K65" s="56"/>
      <c r="L65" s="56"/>
      <c r="M65" s="6"/>
      <c r="O65" s="56"/>
      <c r="P65" s="6"/>
      <c r="Q65" s="6"/>
      <c r="R65" s="56"/>
      <c r="S65" s="56"/>
    </row>
    <row r="66" spans="2:19" x14ac:dyDescent="0.25">
      <c r="B66" s="6"/>
      <c r="C66" s="6"/>
      <c r="D66" s="6"/>
      <c r="E66" s="6"/>
      <c r="F66" s="6"/>
      <c r="G66" s="6"/>
      <c r="H66" s="56"/>
      <c r="I66" s="56"/>
      <c r="J66" s="56"/>
      <c r="K66" s="56"/>
      <c r="L66" s="56"/>
      <c r="M66" s="6"/>
      <c r="O66" s="56"/>
      <c r="P66" s="6"/>
      <c r="Q66" s="6"/>
      <c r="R66" s="56"/>
      <c r="S66" s="56"/>
    </row>
    <row r="67" spans="2:19" x14ac:dyDescent="0.25">
      <c r="B67" s="6"/>
      <c r="C67" s="6"/>
      <c r="D67" s="6"/>
      <c r="E67" s="6"/>
      <c r="F67" s="6"/>
      <c r="G67" s="6"/>
      <c r="H67" s="56"/>
      <c r="I67" s="56"/>
      <c r="J67" s="56"/>
      <c r="K67" s="56"/>
      <c r="L67" s="56"/>
      <c r="M67" s="6"/>
      <c r="O67" s="56"/>
      <c r="P67" s="6"/>
      <c r="Q67" s="6"/>
      <c r="R67" s="56"/>
      <c r="S67" s="56"/>
    </row>
    <row r="68" spans="2:19" x14ac:dyDescent="0.25">
      <c r="B68" s="6"/>
      <c r="C68" s="6"/>
      <c r="D68" s="6"/>
      <c r="E68" s="6"/>
      <c r="F68" s="6"/>
      <c r="G68" s="6"/>
      <c r="H68" s="56"/>
      <c r="I68" s="56"/>
      <c r="J68" s="56"/>
      <c r="K68" s="56"/>
      <c r="L68" s="56"/>
      <c r="M68" s="6"/>
      <c r="O68" s="56"/>
      <c r="P68" s="6"/>
      <c r="Q68" s="6"/>
      <c r="R68" s="56"/>
      <c r="S68" s="56"/>
    </row>
    <row r="69" spans="2:19" x14ac:dyDescent="0.25">
      <c r="B69" s="6"/>
      <c r="C69" s="6"/>
      <c r="D69" s="6"/>
      <c r="E69" s="6"/>
      <c r="F69" s="6"/>
      <c r="G69" s="6"/>
      <c r="H69" s="56"/>
      <c r="I69" s="56"/>
      <c r="J69" s="56"/>
      <c r="K69" s="56"/>
      <c r="L69" s="56"/>
      <c r="M69" s="6"/>
      <c r="O69" s="56"/>
      <c r="P69" s="6"/>
      <c r="Q69" s="6"/>
      <c r="R69" s="56"/>
      <c r="S69" s="56"/>
    </row>
    <row r="70" spans="2:19" x14ac:dyDescent="0.25">
      <c r="B70" s="6"/>
      <c r="C70" s="6"/>
      <c r="D70" s="6"/>
      <c r="E70" s="6"/>
      <c r="F70" s="6"/>
      <c r="G70" s="6"/>
      <c r="H70" s="56"/>
      <c r="I70" s="56"/>
      <c r="J70" s="56"/>
      <c r="K70" s="56"/>
      <c r="L70" s="56"/>
      <c r="M70" s="6"/>
      <c r="O70" s="56"/>
      <c r="P70" s="6"/>
      <c r="Q70" s="6"/>
      <c r="R70" s="56"/>
      <c r="S70" s="56"/>
    </row>
    <row r="71" spans="2:19" x14ac:dyDescent="0.25">
      <c r="B71" s="6"/>
      <c r="C71" s="6"/>
      <c r="D71" s="6"/>
      <c r="E71" s="6"/>
      <c r="F71" s="6"/>
      <c r="G71" s="6"/>
      <c r="H71" s="56"/>
      <c r="I71" s="56"/>
      <c r="J71" s="56"/>
      <c r="K71" s="56"/>
      <c r="L71" s="56"/>
      <c r="M71" s="6"/>
      <c r="O71" s="56"/>
      <c r="P71" s="6"/>
      <c r="Q71" s="6"/>
      <c r="R71" s="56"/>
      <c r="S71" s="56"/>
    </row>
    <row r="72" spans="2:19" x14ac:dyDescent="0.25">
      <c r="B72" s="6"/>
      <c r="C72" s="6"/>
      <c r="D72" s="6"/>
      <c r="E72" s="6"/>
      <c r="F72" s="6"/>
      <c r="G72" s="6"/>
      <c r="H72" s="56"/>
      <c r="I72" s="56"/>
      <c r="J72" s="56"/>
      <c r="K72" s="56"/>
      <c r="L72" s="56"/>
      <c r="M72" s="6"/>
      <c r="O72" s="56"/>
      <c r="P72" s="6"/>
      <c r="Q72" s="6"/>
      <c r="R72" s="56"/>
      <c r="S72" s="56"/>
    </row>
    <row r="73" spans="2:19" x14ac:dyDescent="0.25">
      <c r="B73" s="6"/>
      <c r="C73" s="6"/>
      <c r="D73" s="6"/>
      <c r="E73" s="6"/>
      <c r="F73" s="6"/>
      <c r="G73" s="6"/>
      <c r="H73" s="56"/>
      <c r="I73" s="56"/>
      <c r="J73" s="56"/>
      <c r="K73" s="56"/>
      <c r="L73" s="56"/>
      <c r="M73" s="6"/>
      <c r="O73" s="56"/>
      <c r="P73" s="6"/>
      <c r="Q73" s="6"/>
      <c r="R73" s="56"/>
      <c r="S73" s="56"/>
    </row>
    <row r="74" spans="2:19" x14ac:dyDescent="0.25">
      <c r="B74" s="6"/>
      <c r="C74" s="6"/>
      <c r="D74" s="6"/>
      <c r="E74" s="6"/>
      <c r="F74" s="6"/>
      <c r="G74" s="6"/>
      <c r="H74" s="56"/>
      <c r="I74" s="56"/>
      <c r="J74" s="56"/>
      <c r="K74" s="56"/>
      <c r="L74" s="56"/>
      <c r="M74" s="6"/>
      <c r="O74" s="56"/>
      <c r="P74" s="6"/>
      <c r="Q74" s="6"/>
      <c r="R74" s="56"/>
      <c r="S74" s="56"/>
    </row>
    <row r="75" spans="2:19" x14ac:dyDescent="0.25">
      <c r="B75" s="6"/>
      <c r="C75" s="6"/>
      <c r="D75" s="6"/>
      <c r="E75" s="6"/>
      <c r="F75" s="6"/>
      <c r="G75" s="6"/>
      <c r="H75" s="56"/>
      <c r="I75" s="56"/>
      <c r="J75" s="56"/>
      <c r="K75" s="56"/>
      <c r="L75" s="56"/>
      <c r="M75" s="6"/>
      <c r="O75" s="56"/>
      <c r="P75" s="6"/>
      <c r="Q75" s="6"/>
      <c r="R75" s="56"/>
      <c r="S75" s="56"/>
    </row>
    <row r="76" spans="2:19" x14ac:dyDescent="0.25">
      <c r="B76" s="6"/>
      <c r="C76" s="6"/>
      <c r="D76" s="6"/>
      <c r="E76" s="6"/>
      <c r="F76" s="6"/>
      <c r="G76" s="6"/>
      <c r="H76" s="56"/>
      <c r="I76" s="56"/>
      <c r="J76" s="56"/>
      <c r="K76" s="56"/>
      <c r="L76" s="56"/>
      <c r="M76" s="6"/>
      <c r="O76" s="56"/>
      <c r="P76" s="6"/>
      <c r="Q76" s="6"/>
      <c r="R76" s="56"/>
      <c r="S76" s="56"/>
    </row>
    <row r="77" spans="2:19" x14ac:dyDescent="0.25">
      <c r="B77" s="6"/>
      <c r="C77" s="6"/>
      <c r="D77" s="6"/>
      <c r="E77" s="6"/>
      <c r="F77" s="6"/>
      <c r="G77" s="6"/>
      <c r="H77" s="56"/>
      <c r="I77" s="56"/>
      <c r="J77" s="56"/>
      <c r="K77" s="56"/>
      <c r="L77" s="56"/>
      <c r="M77" s="6"/>
      <c r="O77" s="56"/>
      <c r="P77" s="6"/>
      <c r="Q77" s="6"/>
      <c r="R77" s="56"/>
      <c r="S77" s="56"/>
    </row>
    <row r="78" spans="2:19" x14ac:dyDescent="0.25">
      <c r="B78" s="6"/>
      <c r="C78" s="6"/>
      <c r="D78" s="6"/>
      <c r="E78" s="6"/>
      <c r="F78" s="6"/>
      <c r="G78" s="6"/>
      <c r="H78" s="56"/>
      <c r="I78" s="56"/>
      <c r="J78" s="56"/>
      <c r="K78" s="56"/>
      <c r="L78" s="56"/>
      <c r="M78" s="6"/>
      <c r="O78" s="56"/>
      <c r="P78" s="6"/>
      <c r="Q78" s="6"/>
      <c r="R78" s="56"/>
      <c r="S78" s="56"/>
    </row>
    <row r="79" spans="2:19" x14ac:dyDescent="0.25">
      <c r="B79" s="6"/>
      <c r="C79" s="6"/>
      <c r="D79" s="6"/>
      <c r="E79" s="6"/>
      <c r="F79" s="6"/>
      <c r="G79" s="6"/>
      <c r="H79" s="56"/>
      <c r="I79" s="56"/>
      <c r="J79" s="56"/>
      <c r="K79" s="56"/>
      <c r="L79" s="56"/>
      <c r="M79" s="6"/>
      <c r="O79" s="56"/>
      <c r="P79" s="6"/>
      <c r="Q79" s="6"/>
      <c r="R79" s="56"/>
      <c r="S79" s="56"/>
    </row>
    <row r="80" spans="2:19" x14ac:dyDescent="0.25">
      <c r="B80" s="6"/>
      <c r="C80" s="6"/>
      <c r="D80" s="6"/>
      <c r="E80" s="6"/>
      <c r="F80" s="6"/>
      <c r="G80" s="6"/>
      <c r="H80" s="56"/>
      <c r="I80" s="56"/>
      <c r="J80" s="56"/>
      <c r="K80" s="56"/>
      <c r="L80" s="56"/>
      <c r="M80" s="6"/>
      <c r="O80" s="56"/>
      <c r="P80" s="6"/>
      <c r="Q80" s="6"/>
      <c r="R80" s="56"/>
      <c r="S80" s="56"/>
    </row>
    <row r="81" spans="2:19" x14ac:dyDescent="0.25">
      <c r="B81" s="6"/>
      <c r="C81" s="6"/>
      <c r="D81" s="6"/>
      <c r="E81" s="6"/>
      <c r="F81" s="6"/>
      <c r="G81" s="6"/>
      <c r="H81" s="56"/>
      <c r="I81" s="56"/>
      <c r="J81" s="56"/>
      <c r="K81" s="56"/>
      <c r="L81" s="56"/>
      <c r="M81" s="6"/>
      <c r="O81" s="56"/>
      <c r="P81" s="6"/>
      <c r="Q81" s="6"/>
      <c r="R81" s="56"/>
      <c r="S81" s="56"/>
    </row>
    <row r="82" spans="2:19" x14ac:dyDescent="0.25">
      <c r="B82" s="6"/>
      <c r="C82" s="6"/>
      <c r="D82" s="6"/>
      <c r="E82" s="6"/>
      <c r="F82" s="6"/>
      <c r="G82" s="6"/>
      <c r="H82" s="56"/>
      <c r="I82" s="56"/>
      <c r="J82" s="56"/>
      <c r="K82" s="56"/>
      <c r="L82" s="56"/>
      <c r="M82" s="6"/>
      <c r="O82" s="56"/>
      <c r="P82" s="6"/>
      <c r="Q82" s="6"/>
      <c r="R82" s="56"/>
      <c r="S82" s="56"/>
    </row>
    <row r="83" spans="2:19" x14ac:dyDescent="0.25">
      <c r="B83" s="6"/>
      <c r="C83" s="6"/>
      <c r="D83" s="6"/>
      <c r="E83" s="6"/>
      <c r="F83" s="6"/>
      <c r="G83" s="6"/>
      <c r="H83" s="56"/>
      <c r="I83" s="56"/>
      <c r="J83" s="56"/>
      <c r="K83" s="56"/>
      <c r="L83" s="56"/>
      <c r="M83" s="6"/>
      <c r="O83" s="56"/>
      <c r="P83" s="6"/>
      <c r="Q83" s="6"/>
      <c r="R83" s="56"/>
      <c r="S83" s="56"/>
    </row>
    <row r="84" spans="2:19" x14ac:dyDescent="0.25">
      <c r="B84" s="6"/>
      <c r="C84" s="6"/>
      <c r="D84" s="6"/>
      <c r="E84" s="6"/>
      <c r="F84" s="6"/>
      <c r="G84" s="6"/>
      <c r="H84" s="56"/>
      <c r="I84" s="56"/>
      <c r="J84" s="56"/>
      <c r="K84" s="56"/>
      <c r="L84" s="56"/>
      <c r="M84" s="6"/>
      <c r="O84" s="56"/>
      <c r="P84" s="6"/>
      <c r="Q84" s="6"/>
      <c r="R84" s="56"/>
      <c r="S84" s="56"/>
    </row>
    <row r="85" spans="2:19" x14ac:dyDescent="0.25">
      <c r="B85" s="6"/>
      <c r="C85" s="6"/>
      <c r="D85" s="6"/>
      <c r="E85" s="6"/>
      <c r="F85" s="6"/>
      <c r="G85" s="6"/>
      <c r="H85" s="56"/>
      <c r="I85" s="56"/>
      <c r="J85" s="56"/>
      <c r="K85" s="56"/>
      <c r="L85" s="56"/>
      <c r="M85" s="6"/>
      <c r="O85" s="56"/>
      <c r="P85" s="6"/>
      <c r="Q85" s="6"/>
      <c r="R85" s="56"/>
      <c r="S85" s="56"/>
    </row>
    <row r="86" spans="2:19" x14ac:dyDescent="0.25">
      <c r="B86" s="6"/>
      <c r="C86" s="6"/>
      <c r="D86" s="6"/>
      <c r="E86" s="6"/>
      <c r="F86" s="6"/>
      <c r="G86" s="6"/>
      <c r="H86" s="56"/>
      <c r="I86" s="56"/>
      <c r="J86" s="56"/>
      <c r="K86" s="56"/>
      <c r="L86" s="56"/>
      <c r="M86" s="6"/>
      <c r="O86" s="56"/>
      <c r="P86" s="6"/>
      <c r="Q86" s="6"/>
      <c r="R86" s="56"/>
      <c r="S86" s="56"/>
    </row>
    <row r="87" spans="2:19" x14ac:dyDescent="0.25">
      <c r="B87" s="6"/>
      <c r="C87" s="6"/>
      <c r="D87" s="6"/>
      <c r="E87" s="6"/>
      <c r="F87" s="6"/>
      <c r="G87" s="6"/>
      <c r="H87" s="56"/>
      <c r="I87" s="56"/>
      <c r="J87" s="56"/>
      <c r="K87" s="56"/>
      <c r="L87" s="56"/>
      <c r="M87" s="6"/>
      <c r="O87" s="56"/>
      <c r="P87" s="6"/>
      <c r="Q87" s="6"/>
      <c r="R87" s="56"/>
      <c r="S87" s="56"/>
    </row>
    <row r="88" spans="2:19" x14ac:dyDescent="0.25">
      <c r="B88" s="6"/>
      <c r="C88" s="6"/>
      <c r="D88" s="6"/>
      <c r="E88" s="6"/>
      <c r="F88" s="6"/>
      <c r="G88" s="6"/>
      <c r="H88" s="56"/>
      <c r="I88" s="56"/>
      <c r="J88" s="56"/>
      <c r="K88" s="56"/>
      <c r="L88" s="56"/>
      <c r="M88" s="6"/>
      <c r="O88" s="56"/>
      <c r="P88" s="6"/>
      <c r="Q88" s="6"/>
      <c r="R88" s="56"/>
      <c r="S88" s="56"/>
    </row>
    <row r="89" spans="2:19" x14ac:dyDescent="0.25">
      <c r="B89" s="6"/>
      <c r="C89" s="6"/>
      <c r="D89" s="6"/>
      <c r="E89" s="6"/>
      <c r="F89" s="6"/>
      <c r="G89" s="6"/>
      <c r="H89" s="56"/>
      <c r="I89" s="56"/>
      <c r="J89" s="56"/>
      <c r="K89" s="56"/>
      <c r="L89" s="56"/>
      <c r="M89" s="6"/>
      <c r="O89" s="56"/>
      <c r="P89" s="6"/>
      <c r="Q89" s="6"/>
      <c r="R89" s="56"/>
      <c r="S89" s="56"/>
    </row>
    <row r="90" spans="2:19" x14ac:dyDescent="0.25">
      <c r="B90" s="6"/>
      <c r="C90" s="6"/>
      <c r="D90" s="6"/>
      <c r="E90" s="6"/>
      <c r="F90" s="6"/>
      <c r="G90" s="6"/>
      <c r="H90" s="56"/>
      <c r="I90" s="56"/>
      <c r="J90" s="56"/>
      <c r="K90" s="56"/>
      <c r="L90" s="56"/>
      <c r="M90" s="6"/>
      <c r="O90" s="56"/>
      <c r="P90" s="6"/>
      <c r="Q90" s="6"/>
      <c r="R90" s="56"/>
      <c r="S90" s="56"/>
    </row>
    <row r="91" spans="2:19" x14ac:dyDescent="0.25">
      <c r="B91" s="6"/>
      <c r="C91" s="6"/>
      <c r="D91" s="6"/>
      <c r="E91" s="6"/>
      <c r="F91" s="6"/>
      <c r="G91" s="6"/>
      <c r="H91" s="56"/>
      <c r="I91" s="56"/>
      <c r="J91" s="56"/>
      <c r="K91" s="56"/>
      <c r="L91" s="56"/>
      <c r="M91" s="6"/>
      <c r="O91" s="56"/>
      <c r="P91" s="6"/>
      <c r="Q91" s="6"/>
      <c r="R91" s="56"/>
      <c r="S91" s="56"/>
    </row>
    <row r="92" spans="2:19" x14ac:dyDescent="0.25">
      <c r="B92" s="6"/>
      <c r="C92" s="6"/>
      <c r="D92" s="6"/>
      <c r="E92" s="6"/>
      <c r="F92" s="6"/>
      <c r="G92" s="6"/>
      <c r="H92" s="56"/>
      <c r="I92" s="56"/>
      <c r="J92" s="56"/>
      <c r="K92" s="56"/>
      <c r="L92" s="56"/>
      <c r="M92" s="6"/>
      <c r="O92" s="56"/>
      <c r="P92" s="6"/>
      <c r="Q92" s="6"/>
      <c r="R92" s="56"/>
      <c r="S92" s="56"/>
    </row>
    <row r="93" spans="2:19" x14ac:dyDescent="0.25">
      <c r="B93" s="6"/>
      <c r="C93" s="6"/>
      <c r="D93" s="6"/>
      <c r="E93" s="6"/>
      <c r="F93" s="6"/>
      <c r="G93" s="6"/>
      <c r="H93" s="56"/>
      <c r="I93" s="56"/>
      <c r="J93" s="56"/>
      <c r="K93" s="56"/>
      <c r="L93" s="56"/>
      <c r="M93" s="6"/>
      <c r="O93" s="56"/>
      <c r="P93" s="6"/>
      <c r="Q93" s="6"/>
      <c r="R93" s="56"/>
      <c r="S93" s="56"/>
    </row>
    <row r="94" spans="2:19" x14ac:dyDescent="0.25">
      <c r="B94" s="6"/>
      <c r="C94" s="6"/>
      <c r="D94" s="6"/>
      <c r="E94" s="6"/>
      <c r="F94" s="6"/>
      <c r="G94" s="6"/>
      <c r="H94" s="56"/>
      <c r="I94" s="56"/>
      <c r="J94" s="56"/>
      <c r="K94" s="56"/>
      <c r="L94" s="56"/>
      <c r="M94" s="6"/>
      <c r="O94" s="56"/>
      <c r="P94" s="6"/>
      <c r="Q94" s="6"/>
      <c r="R94" s="56"/>
      <c r="S94" s="56"/>
    </row>
    <row r="95" spans="2:19" x14ac:dyDescent="0.25">
      <c r="B95" s="6"/>
      <c r="C95" s="6"/>
      <c r="D95" s="6"/>
      <c r="E95" s="6"/>
      <c r="F95" s="6"/>
      <c r="G95" s="6"/>
      <c r="H95" s="56"/>
      <c r="I95" s="56"/>
      <c r="J95" s="56"/>
      <c r="K95" s="56"/>
      <c r="L95" s="56"/>
      <c r="M95" s="6"/>
      <c r="O95" s="56"/>
      <c r="P95" s="6"/>
      <c r="Q95" s="6"/>
      <c r="R95" s="56"/>
      <c r="S95" s="56"/>
    </row>
    <row r="96" spans="2:19" x14ac:dyDescent="0.25">
      <c r="B96" s="6"/>
      <c r="C96" s="6"/>
      <c r="D96" s="6"/>
      <c r="E96" s="6"/>
      <c r="F96" s="6"/>
      <c r="G96" s="6"/>
      <c r="H96" s="56"/>
      <c r="I96" s="56"/>
      <c r="J96" s="56"/>
      <c r="K96" s="56"/>
      <c r="L96" s="56"/>
      <c r="M96" s="6"/>
      <c r="O96" s="56"/>
      <c r="P96" s="6"/>
      <c r="Q96" s="6"/>
      <c r="R96" s="56"/>
      <c r="S96" s="56"/>
    </row>
    <row r="97" spans="2:19" x14ac:dyDescent="0.25">
      <c r="B97" s="6"/>
      <c r="C97" s="6"/>
      <c r="D97" s="6"/>
      <c r="E97" s="6"/>
      <c r="F97" s="6"/>
      <c r="G97" s="6"/>
      <c r="H97" s="56"/>
      <c r="I97" s="56"/>
      <c r="J97" s="56"/>
      <c r="K97" s="56"/>
      <c r="L97" s="56"/>
      <c r="M97" s="6"/>
      <c r="O97" s="56"/>
      <c r="P97" s="6"/>
      <c r="Q97" s="6"/>
      <c r="R97" s="56"/>
      <c r="S97" s="56"/>
    </row>
    <row r="98" spans="2:19" x14ac:dyDescent="0.25">
      <c r="B98" s="6"/>
      <c r="C98" s="6"/>
      <c r="D98" s="6"/>
      <c r="E98" s="6"/>
      <c r="F98" s="6"/>
      <c r="G98" s="6"/>
      <c r="H98" s="56"/>
      <c r="I98" s="56"/>
      <c r="J98" s="56"/>
      <c r="K98" s="56"/>
      <c r="L98" s="56"/>
      <c r="M98" s="6"/>
      <c r="O98" s="56"/>
      <c r="P98" s="6"/>
      <c r="Q98" s="6"/>
      <c r="R98" s="56"/>
      <c r="S98" s="56"/>
    </row>
    <row r="99" spans="2:19" x14ac:dyDescent="0.25">
      <c r="B99" s="6"/>
      <c r="C99" s="6"/>
      <c r="D99" s="6"/>
      <c r="E99" s="6"/>
      <c r="F99" s="6"/>
      <c r="G99" s="6"/>
      <c r="H99" s="56"/>
      <c r="I99" s="56"/>
      <c r="J99" s="56"/>
      <c r="K99" s="56"/>
      <c r="L99" s="56"/>
      <c r="M99" s="6"/>
      <c r="O99" s="56"/>
      <c r="P99" s="6"/>
      <c r="Q99" s="6"/>
      <c r="R99" s="56"/>
      <c r="S99" s="56"/>
    </row>
    <row r="100" spans="2:19" x14ac:dyDescent="0.25">
      <c r="B100" s="6"/>
      <c r="C100" s="6"/>
      <c r="D100" s="6"/>
      <c r="E100" s="6"/>
      <c r="F100" s="6"/>
      <c r="G100" s="6"/>
      <c r="H100" s="56"/>
      <c r="I100" s="56"/>
      <c r="J100" s="56"/>
      <c r="K100" s="56"/>
      <c r="L100" s="56"/>
      <c r="M100" s="6"/>
      <c r="O100" s="56"/>
      <c r="P100" s="6"/>
      <c r="Q100" s="6"/>
      <c r="R100" s="56"/>
      <c r="S100" s="56"/>
    </row>
    <row r="101" spans="2:19" x14ac:dyDescent="0.25">
      <c r="B101" s="6"/>
      <c r="C101" s="6"/>
      <c r="D101" s="6"/>
      <c r="E101" s="6"/>
      <c r="F101" s="6"/>
      <c r="G101" s="6"/>
      <c r="H101" s="56"/>
      <c r="I101" s="56"/>
      <c r="J101" s="56"/>
      <c r="K101" s="56"/>
      <c r="L101" s="56"/>
      <c r="M101" s="6"/>
      <c r="O101" s="56"/>
      <c r="P101" s="6"/>
      <c r="Q101" s="6"/>
      <c r="R101" s="56"/>
      <c r="S101" s="56"/>
    </row>
    <row r="102" spans="2:19" x14ac:dyDescent="0.25">
      <c r="B102" s="6"/>
      <c r="C102" s="6"/>
      <c r="D102" s="6"/>
      <c r="E102" s="6"/>
      <c r="F102" s="6"/>
      <c r="G102" s="6"/>
      <c r="H102" s="56"/>
      <c r="I102" s="56"/>
      <c r="J102" s="56"/>
      <c r="K102" s="56"/>
      <c r="L102" s="56"/>
      <c r="M102" s="6"/>
      <c r="O102" s="56"/>
      <c r="P102" s="6"/>
      <c r="Q102" s="6"/>
      <c r="R102" s="56"/>
      <c r="S102" s="56"/>
    </row>
    <row r="103" spans="2:19" x14ac:dyDescent="0.25">
      <c r="B103" s="6"/>
      <c r="C103" s="6"/>
      <c r="D103" s="6"/>
      <c r="E103" s="6"/>
      <c r="F103" s="6"/>
      <c r="G103" s="6"/>
      <c r="H103" s="56"/>
      <c r="I103" s="56"/>
      <c r="J103" s="56"/>
      <c r="K103" s="56"/>
      <c r="L103" s="56"/>
      <c r="M103" s="6"/>
      <c r="O103" s="56"/>
      <c r="P103" s="6"/>
      <c r="Q103" s="6"/>
      <c r="R103" s="56"/>
      <c r="S103" s="56"/>
    </row>
    <row r="104" spans="2:19" x14ac:dyDescent="0.25">
      <c r="B104" s="6"/>
      <c r="C104" s="6"/>
      <c r="D104" s="6"/>
      <c r="E104" s="6"/>
      <c r="F104" s="6"/>
      <c r="G104" s="6"/>
      <c r="H104" s="56"/>
      <c r="I104" s="56"/>
      <c r="J104" s="56"/>
      <c r="K104" s="56"/>
      <c r="L104" s="56"/>
      <c r="M104" s="6"/>
      <c r="O104" s="56"/>
      <c r="P104" s="6"/>
      <c r="Q104" s="6"/>
      <c r="R104" s="56"/>
      <c r="S104" s="56"/>
    </row>
    <row r="105" spans="2:19" x14ac:dyDescent="0.25">
      <c r="B105" s="6"/>
      <c r="C105" s="6"/>
      <c r="D105" s="6"/>
      <c r="E105" s="6"/>
      <c r="F105" s="6"/>
      <c r="G105" s="6"/>
      <c r="H105" s="56"/>
      <c r="I105" s="56"/>
      <c r="J105" s="56"/>
      <c r="K105" s="56"/>
      <c r="L105" s="56"/>
      <c r="M105" s="6"/>
      <c r="O105" s="56"/>
      <c r="P105" s="6"/>
      <c r="Q105" s="6"/>
      <c r="R105" s="56"/>
      <c r="S105" s="56"/>
    </row>
    <row r="106" spans="2:19" x14ac:dyDescent="0.25">
      <c r="B106" s="6"/>
      <c r="C106" s="6"/>
      <c r="D106" s="6"/>
      <c r="E106" s="6"/>
      <c r="F106" s="6"/>
      <c r="G106" s="6"/>
      <c r="H106" s="56"/>
      <c r="I106" s="56"/>
      <c r="J106" s="56"/>
      <c r="K106" s="56"/>
      <c r="L106" s="56"/>
      <c r="M106" s="6"/>
      <c r="O106" s="56"/>
      <c r="P106" s="6"/>
      <c r="Q106" s="6"/>
      <c r="R106" s="56"/>
      <c r="S106" s="56"/>
    </row>
    <row r="107" spans="2:19" x14ac:dyDescent="0.25">
      <c r="B107" s="6"/>
      <c r="C107" s="6"/>
      <c r="D107" s="6"/>
      <c r="E107" s="6"/>
      <c r="F107" s="6"/>
      <c r="G107" s="6"/>
      <c r="H107" s="56"/>
      <c r="I107" s="56"/>
      <c r="J107" s="56"/>
      <c r="K107" s="56"/>
      <c r="L107" s="56"/>
      <c r="M107" s="6"/>
      <c r="O107" s="56"/>
      <c r="P107" s="6"/>
      <c r="Q107" s="6"/>
      <c r="R107" s="56"/>
      <c r="S107" s="56"/>
    </row>
    <row r="108" spans="2:19" x14ac:dyDescent="0.25">
      <c r="B108" s="6"/>
      <c r="C108" s="6"/>
      <c r="D108" s="6"/>
      <c r="E108" s="6"/>
      <c r="F108" s="6"/>
      <c r="G108" s="6"/>
      <c r="H108" s="56"/>
      <c r="I108" s="56"/>
      <c r="J108" s="56"/>
      <c r="K108" s="56"/>
      <c r="L108" s="56"/>
      <c r="M108" s="6"/>
      <c r="O108" s="56"/>
      <c r="P108" s="6"/>
      <c r="Q108" s="6"/>
      <c r="R108" s="56"/>
      <c r="S108" s="56"/>
    </row>
    <row r="109" spans="2:19" x14ac:dyDescent="0.25">
      <c r="B109" s="6"/>
      <c r="C109" s="6"/>
      <c r="D109" s="6"/>
      <c r="E109" s="6"/>
      <c r="F109" s="6"/>
      <c r="G109" s="6"/>
      <c r="H109" s="56"/>
      <c r="I109" s="56"/>
      <c r="J109" s="56"/>
      <c r="K109" s="56"/>
      <c r="L109" s="56"/>
      <c r="M109" s="6"/>
      <c r="O109" s="56"/>
      <c r="P109" s="6"/>
      <c r="Q109" s="6"/>
      <c r="R109" s="56"/>
      <c r="S109" s="56"/>
    </row>
    <row r="110" spans="2:19" x14ac:dyDescent="0.25">
      <c r="B110" s="6"/>
      <c r="C110" s="6"/>
      <c r="D110" s="6"/>
      <c r="E110" s="6"/>
      <c r="F110" s="6"/>
      <c r="G110" s="6"/>
      <c r="H110" s="56"/>
      <c r="I110" s="56"/>
      <c r="J110" s="56"/>
      <c r="K110" s="56"/>
      <c r="L110" s="56"/>
      <c r="M110" s="6"/>
      <c r="O110" s="56"/>
      <c r="P110" s="6"/>
      <c r="Q110" s="6"/>
      <c r="R110" s="56"/>
      <c r="S110" s="56"/>
    </row>
    <row r="111" spans="2:19" x14ac:dyDescent="0.25">
      <c r="B111" s="6"/>
      <c r="C111" s="6"/>
      <c r="D111" s="6"/>
      <c r="E111" s="6"/>
      <c r="F111" s="6"/>
      <c r="G111" s="6"/>
      <c r="H111" s="56"/>
      <c r="I111" s="56"/>
      <c r="J111" s="56"/>
      <c r="K111" s="56"/>
      <c r="L111" s="56"/>
      <c r="M111" s="6"/>
      <c r="O111" s="56"/>
      <c r="P111" s="6"/>
      <c r="Q111" s="6"/>
      <c r="R111" s="56"/>
      <c r="S111" s="56"/>
    </row>
    <row r="112" spans="2:19" x14ac:dyDescent="0.25">
      <c r="B112" s="6"/>
      <c r="C112" s="6"/>
      <c r="D112" s="6"/>
      <c r="E112" s="6"/>
      <c r="F112" s="6"/>
      <c r="G112" s="6"/>
      <c r="H112" s="56"/>
      <c r="I112" s="56"/>
      <c r="J112" s="56"/>
      <c r="K112" s="56"/>
      <c r="L112" s="56"/>
      <c r="M112" s="6"/>
      <c r="O112" s="56"/>
      <c r="P112" s="6"/>
      <c r="Q112" s="6"/>
      <c r="R112" s="56"/>
      <c r="S112" s="56"/>
    </row>
    <row r="113" spans="2:19" x14ac:dyDescent="0.25">
      <c r="B113" s="6"/>
      <c r="C113" s="6"/>
      <c r="D113" s="6"/>
      <c r="E113" s="6"/>
      <c r="F113" s="6"/>
      <c r="G113" s="6"/>
      <c r="H113" s="56"/>
      <c r="I113" s="56"/>
      <c r="J113" s="56"/>
      <c r="K113" s="56"/>
      <c r="L113" s="56"/>
      <c r="M113" s="6"/>
      <c r="O113" s="56"/>
      <c r="P113" s="6"/>
      <c r="Q113" s="6"/>
      <c r="R113" s="56"/>
      <c r="S113" s="56"/>
    </row>
    <row r="114" spans="2:19" x14ac:dyDescent="0.25">
      <c r="B114" s="6"/>
      <c r="C114" s="6"/>
      <c r="D114" s="6"/>
      <c r="E114" s="6"/>
      <c r="F114" s="6"/>
      <c r="G114" s="6"/>
      <c r="H114" s="56"/>
      <c r="I114" s="56"/>
      <c r="J114" s="56"/>
      <c r="K114" s="56"/>
      <c r="L114" s="56"/>
      <c r="M114" s="6"/>
      <c r="O114" s="56"/>
      <c r="P114" s="6"/>
      <c r="Q114" s="6"/>
      <c r="R114" s="56"/>
      <c r="S114" s="56"/>
    </row>
    <row r="115" spans="2:19" x14ac:dyDescent="0.25">
      <c r="B115" s="6"/>
      <c r="C115" s="6"/>
      <c r="D115" s="6"/>
      <c r="E115" s="6"/>
      <c r="F115" s="6"/>
      <c r="G115" s="6"/>
      <c r="H115" s="56"/>
      <c r="I115" s="56"/>
      <c r="J115" s="56"/>
      <c r="K115" s="56"/>
      <c r="L115" s="56"/>
      <c r="M115" s="6"/>
      <c r="O115" s="56"/>
      <c r="P115" s="6"/>
      <c r="Q115" s="6"/>
      <c r="R115" s="56"/>
      <c r="S115" s="56"/>
    </row>
    <row r="116" spans="2:19" x14ac:dyDescent="0.25">
      <c r="B116" s="6"/>
      <c r="C116" s="6"/>
      <c r="D116" s="6"/>
      <c r="E116" s="6"/>
      <c r="F116" s="6"/>
      <c r="G116" s="6"/>
      <c r="H116" s="56"/>
      <c r="I116" s="56"/>
      <c r="J116" s="56"/>
      <c r="K116" s="56"/>
      <c r="L116" s="56"/>
      <c r="M116" s="6"/>
      <c r="O116" s="56"/>
      <c r="P116" s="6"/>
      <c r="Q116" s="6"/>
      <c r="R116" s="56"/>
      <c r="S116" s="56"/>
    </row>
    <row r="117" spans="2:19" x14ac:dyDescent="0.25">
      <c r="B117" s="6"/>
      <c r="C117" s="6"/>
      <c r="D117" s="6"/>
      <c r="E117" s="6"/>
      <c r="F117" s="6"/>
      <c r="G117" s="6"/>
      <c r="H117" s="56"/>
      <c r="I117" s="56"/>
      <c r="J117" s="56"/>
      <c r="K117" s="56"/>
      <c r="L117" s="56"/>
      <c r="M117" s="6"/>
      <c r="O117" s="56"/>
      <c r="P117" s="6"/>
      <c r="Q117" s="6"/>
      <c r="R117" s="56"/>
      <c r="S117" s="56"/>
    </row>
    <row r="118" spans="2:19" x14ac:dyDescent="0.25">
      <c r="B118" s="6"/>
      <c r="C118" s="6"/>
      <c r="D118" s="6"/>
      <c r="E118" s="6"/>
      <c r="F118" s="6"/>
      <c r="G118" s="6"/>
      <c r="H118" s="56"/>
      <c r="I118" s="56"/>
      <c r="J118" s="56"/>
      <c r="K118" s="56"/>
      <c r="L118" s="56"/>
      <c r="M118" s="6"/>
      <c r="O118" s="56"/>
      <c r="P118" s="6"/>
      <c r="Q118" s="6"/>
      <c r="R118" s="56"/>
      <c r="S118" s="56"/>
    </row>
    <row r="119" spans="2:19" x14ac:dyDescent="0.25">
      <c r="B119" s="6"/>
      <c r="C119" s="6"/>
      <c r="D119" s="6"/>
      <c r="E119" s="6"/>
      <c r="F119" s="6"/>
      <c r="G119" s="6"/>
      <c r="H119" s="56"/>
      <c r="I119" s="56"/>
      <c r="J119" s="56"/>
      <c r="K119" s="56"/>
      <c r="L119" s="56"/>
      <c r="M119" s="6"/>
      <c r="O119" s="56"/>
      <c r="P119" s="6"/>
      <c r="Q119" s="6"/>
      <c r="R119" s="56"/>
      <c r="S119" s="56"/>
    </row>
    <row r="120" spans="2:19" x14ac:dyDescent="0.25">
      <c r="B120" s="6"/>
      <c r="C120" s="6"/>
      <c r="D120" s="6"/>
      <c r="E120" s="6"/>
      <c r="F120" s="6"/>
      <c r="G120" s="6"/>
      <c r="H120" s="56"/>
      <c r="I120" s="56"/>
      <c r="J120" s="56"/>
      <c r="K120" s="56"/>
      <c r="L120" s="56"/>
      <c r="M120" s="6"/>
      <c r="O120" s="56"/>
      <c r="P120" s="6"/>
      <c r="Q120" s="6"/>
      <c r="R120" s="56"/>
      <c r="S120" s="56"/>
    </row>
    <row r="121" spans="2:19" x14ac:dyDescent="0.25">
      <c r="B121" s="6"/>
      <c r="C121" s="6"/>
      <c r="D121" s="6"/>
      <c r="E121" s="6"/>
      <c r="F121" s="6"/>
      <c r="G121" s="6"/>
      <c r="H121" s="56"/>
      <c r="I121" s="56"/>
      <c r="J121" s="56"/>
      <c r="K121" s="56"/>
      <c r="L121" s="56"/>
      <c r="M121" s="6"/>
      <c r="O121" s="56"/>
      <c r="P121" s="6"/>
      <c r="Q121" s="6"/>
    </row>
    <row r="122" spans="2:19" x14ac:dyDescent="0.25">
      <c r="B122" s="6"/>
      <c r="C122" s="6"/>
      <c r="D122" s="6"/>
      <c r="E122" s="6"/>
      <c r="F122" s="6"/>
      <c r="G122" s="6"/>
      <c r="H122" s="56"/>
      <c r="I122" s="56"/>
      <c r="J122" s="56"/>
      <c r="K122" s="56"/>
      <c r="L122" s="56"/>
      <c r="M122" s="6"/>
      <c r="O122" s="56"/>
      <c r="P122" s="6"/>
      <c r="Q122" s="6"/>
    </row>
    <row r="123" spans="2:19" x14ac:dyDescent="0.25">
      <c r="B123" s="6"/>
      <c r="C123" s="6"/>
      <c r="D123" s="6"/>
      <c r="E123" s="6"/>
      <c r="F123" s="6"/>
      <c r="G123" s="6"/>
      <c r="H123" s="56"/>
      <c r="I123" s="56"/>
      <c r="J123" s="56"/>
      <c r="K123" s="56"/>
      <c r="L123" s="56"/>
      <c r="M123" s="6"/>
      <c r="O123" s="56"/>
      <c r="P123" s="6"/>
      <c r="Q123" s="6"/>
    </row>
    <row r="124" spans="2:19" x14ac:dyDescent="0.25">
      <c r="B124" s="6"/>
      <c r="C124" s="6"/>
      <c r="D124" s="6"/>
      <c r="E124" s="6"/>
      <c r="F124" s="6"/>
      <c r="G124" s="6"/>
      <c r="H124" s="56"/>
      <c r="I124" s="56"/>
      <c r="J124" s="56"/>
      <c r="K124" s="56"/>
      <c r="L124" s="56"/>
      <c r="M124" s="6"/>
      <c r="O124" s="56"/>
      <c r="P124" s="6"/>
      <c r="Q124" s="6"/>
    </row>
    <row r="125" spans="2:19" x14ac:dyDescent="0.25">
      <c r="B125" s="6"/>
      <c r="C125" s="6"/>
      <c r="D125" s="6"/>
      <c r="E125" s="6"/>
      <c r="F125" s="6"/>
      <c r="G125" s="6"/>
      <c r="H125" s="56"/>
      <c r="I125" s="56"/>
      <c r="J125" s="56"/>
      <c r="K125" s="56"/>
      <c r="L125" s="56"/>
      <c r="M125" s="6"/>
      <c r="O125" s="56"/>
      <c r="P125" s="6"/>
      <c r="Q125" s="6"/>
    </row>
    <row r="126" spans="2:19" x14ac:dyDescent="0.25">
      <c r="B126" s="6"/>
      <c r="C126" s="6"/>
      <c r="D126" s="6"/>
      <c r="E126" s="6"/>
      <c r="F126" s="6"/>
      <c r="G126" s="6"/>
      <c r="H126" s="56"/>
      <c r="I126" s="56"/>
      <c r="J126" s="56"/>
      <c r="K126" s="56"/>
      <c r="L126" s="56"/>
      <c r="M126" s="6"/>
      <c r="O126" s="56"/>
      <c r="P126" s="6"/>
      <c r="Q126" s="6"/>
    </row>
    <row r="127" spans="2:19" x14ac:dyDescent="0.25">
      <c r="B127" s="6"/>
      <c r="C127" s="6"/>
      <c r="D127" s="6"/>
      <c r="E127" s="6"/>
      <c r="F127" s="6"/>
      <c r="G127" s="6"/>
      <c r="H127" s="56"/>
      <c r="I127" s="56"/>
      <c r="J127" s="56"/>
      <c r="K127" s="56"/>
      <c r="L127" s="56"/>
      <c r="M127" s="6"/>
      <c r="O127" s="56"/>
      <c r="P127" s="6"/>
      <c r="Q127" s="6"/>
    </row>
    <row r="128" spans="2:19" x14ac:dyDescent="0.25">
      <c r="B128" s="6"/>
      <c r="C128" s="6"/>
      <c r="D128" s="6"/>
      <c r="E128" s="6"/>
      <c r="F128" s="6"/>
      <c r="G128" s="6"/>
      <c r="H128" s="56"/>
      <c r="I128" s="56"/>
      <c r="J128" s="56"/>
      <c r="K128" s="56"/>
      <c r="L128" s="56"/>
      <c r="M128" s="6"/>
      <c r="O128" s="56"/>
      <c r="P128" s="6"/>
      <c r="Q128" s="6"/>
    </row>
    <row r="129" spans="2:17" x14ac:dyDescent="0.25">
      <c r="B129" s="6"/>
      <c r="C129" s="6"/>
      <c r="D129" s="6"/>
      <c r="E129" s="6"/>
      <c r="F129" s="6"/>
      <c r="G129" s="6"/>
      <c r="H129" s="56"/>
      <c r="I129" s="56"/>
      <c r="J129" s="56"/>
      <c r="K129" s="56"/>
      <c r="L129" s="56"/>
      <c r="M129" s="6"/>
      <c r="O129" s="56"/>
      <c r="P129" s="6"/>
      <c r="Q129" s="6"/>
    </row>
    <row r="130" spans="2:17" x14ac:dyDescent="0.25">
      <c r="B130" s="6"/>
      <c r="C130" s="6"/>
      <c r="D130" s="6"/>
      <c r="E130" s="6"/>
      <c r="F130" s="6"/>
      <c r="G130" s="6"/>
      <c r="H130" s="56"/>
      <c r="I130" s="56"/>
      <c r="J130" s="56"/>
      <c r="K130" s="56"/>
      <c r="L130" s="56"/>
      <c r="M130" s="6"/>
      <c r="O130" s="56"/>
      <c r="P130" s="6"/>
      <c r="Q130" s="6"/>
    </row>
    <row r="131" spans="2:17" x14ac:dyDescent="0.25">
      <c r="B131" s="6"/>
      <c r="C131" s="6"/>
      <c r="D131" s="6"/>
      <c r="E131" s="6"/>
      <c r="F131" s="6"/>
      <c r="G131" s="6"/>
      <c r="H131" s="56"/>
      <c r="I131" s="56"/>
      <c r="J131" s="56"/>
      <c r="K131" s="56"/>
      <c r="L131" s="56"/>
      <c r="M131" s="6"/>
      <c r="O131" s="56"/>
      <c r="P131" s="6"/>
      <c r="Q131" s="6"/>
    </row>
    <row r="132" spans="2:17" x14ac:dyDescent="0.25">
      <c r="B132" s="6"/>
      <c r="C132" s="6"/>
      <c r="D132" s="6"/>
      <c r="E132" s="6"/>
      <c r="F132" s="6"/>
      <c r="G132" s="6"/>
      <c r="H132" s="56"/>
      <c r="I132" s="56"/>
      <c r="J132" s="56"/>
      <c r="K132" s="56"/>
      <c r="L132" s="56"/>
      <c r="M132" s="6"/>
      <c r="O132" s="56"/>
      <c r="P132" s="6"/>
      <c r="Q132" s="6"/>
    </row>
    <row r="133" spans="2:17" x14ac:dyDescent="0.25">
      <c r="B133" s="6"/>
      <c r="C133" s="6"/>
      <c r="D133" s="6"/>
      <c r="E133" s="6"/>
      <c r="F133" s="6"/>
      <c r="G133" s="6"/>
      <c r="H133" s="56"/>
      <c r="I133" s="56"/>
      <c r="J133" s="56"/>
      <c r="K133" s="56"/>
      <c r="L133" s="56"/>
      <c r="M133" s="6"/>
      <c r="O133" s="56"/>
      <c r="P133" s="6"/>
      <c r="Q133" s="6"/>
    </row>
    <row r="134" spans="2:17" x14ac:dyDescent="0.25">
      <c r="B134" s="6"/>
      <c r="C134" s="6"/>
      <c r="D134" s="6"/>
      <c r="E134" s="6"/>
      <c r="F134" s="6"/>
      <c r="G134" s="6"/>
      <c r="H134" s="56"/>
      <c r="I134" s="56"/>
      <c r="J134" s="56"/>
      <c r="K134" s="56"/>
      <c r="L134" s="56"/>
      <c r="M134" s="6"/>
      <c r="O134" s="56"/>
      <c r="P134" s="6"/>
      <c r="Q134" s="6"/>
    </row>
    <row r="135" spans="2:17" x14ac:dyDescent="0.25">
      <c r="B135" s="6"/>
      <c r="C135" s="6"/>
      <c r="D135" s="6"/>
      <c r="E135" s="6"/>
      <c r="F135" s="6"/>
      <c r="G135" s="6"/>
      <c r="H135" s="56"/>
      <c r="I135" s="56"/>
      <c r="J135" s="56"/>
      <c r="K135" s="56"/>
      <c r="L135" s="56"/>
      <c r="M135" s="6"/>
      <c r="O135" s="56"/>
      <c r="P135" s="6"/>
      <c r="Q135" s="6"/>
    </row>
    <row r="136" spans="2:17" x14ac:dyDescent="0.25">
      <c r="B136" s="6"/>
      <c r="C136" s="6"/>
      <c r="D136" s="6"/>
      <c r="E136" s="6"/>
      <c r="F136" s="6"/>
      <c r="G136" s="6"/>
      <c r="H136" s="56"/>
      <c r="I136" s="56"/>
      <c r="J136" s="56"/>
      <c r="K136" s="56"/>
      <c r="L136" s="56"/>
      <c r="M136" s="6"/>
      <c r="O136" s="56"/>
      <c r="P136" s="6"/>
      <c r="Q136" s="6"/>
    </row>
    <row r="137" spans="2:17" x14ac:dyDescent="0.25">
      <c r="B137" s="6"/>
      <c r="C137" s="6"/>
      <c r="D137" s="6"/>
      <c r="E137" s="6"/>
      <c r="F137" s="6"/>
      <c r="G137" s="6"/>
      <c r="H137" s="56"/>
      <c r="I137" s="56"/>
      <c r="J137" s="56"/>
      <c r="K137" s="56"/>
      <c r="L137" s="56"/>
      <c r="M137" s="6"/>
      <c r="O137" s="56"/>
      <c r="P137" s="6"/>
      <c r="Q137" s="6"/>
    </row>
    <row r="138" spans="2:17" x14ac:dyDescent="0.25">
      <c r="B138" s="6"/>
      <c r="C138" s="6"/>
      <c r="D138" s="6"/>
      <c r="E138" s="6"/>
      <c r="F138" s="6"/>
      <c r="G138" s="6"/>
      <c r="H138" s="56"/>
      <c r="I138" s="56"/>
      <c r="J138" s="56"/>
      <c r="K138" s="56"/>
      <c r="L138" s="56"/>
      <c r="M138" s="6"/>
      <c r="O138" s="56"/>
      <c r="P138" s="6"/>
      <c r="Q138" s="6"/>
    </row>
    <row r="139" spans="2:17" x14ac:dyDescent="0.25">
      <c r="B139" s="6"/>
      <c r="C139" s="6"/>
      <c r="D139" s="6"/>
      <c r="E139" s="6"/>
      <c r="F139" s="6"/>
      <c r="G139" s="6"/>
      <c r="H139" s="56"/>
      <c r="I139" s="56"/>
      <c r="J139" s="56"/>
      <c r="K139" s="56"/>
      <c r="L139" s="56"/>
      <c r="M139" s="6"/>
      <c r="O139" s="56"/>
      <c r="P139" s="6"/>
      <c r="Q139" s="6"/>
    </row>
    <row r="140" spans="2:17" x14ac:dyDescent="0.25">
      <c r="B140" s="6"/>
      <c r="C140" s="6"/>
      <c r="D140" s="6"/>
      <c r="E140" s="6"/>
      <c r="F140" s="6"/>
      <c r="G140" s="6"/>
      <c r="H140" s="56"/>
      <c r="I140" s="56"/>
      <c r="J140" s="56"/>
      <c r="K140" s="56"/>
      <c r="L140" s="56"/>
      <c r="M140" s="6"/>
      <c r="O140" s="56"/>
      <c r="P140" s="6"/>
      <c r="Q140" s="6"/>
    </row>
    <row r="141" spans="2:17" x14ac:dyDescent="0.25">
      <c r="B141" s="6"/>
      <c r="C141" s="6"/>
      <c r="D141" s="6"/>
      <c r="E141" s="6"/>
      <c r="F141" s="6"/>
      <c r="G141" s="6"/>
      <c r="H141" s="56"/>
      <c r="I141" s="56"/>
      <c r="J141" s="56"/>
      <c r="K141" s="56"/>
      <c r="L141" s="56"/>
      <c r="M141" s="6"/>
      <c r="O141" s="56"/>
      <c r="P141" s="6"/>
      <c r="Q141" s="6"/>
    </row>
    <row r="142" spans="2:17" x14ac:dyDescent="0.25">
      <c r="B142" s="6"/>
      <c r="C142" s="6"/>
      <c r="D142" s="6"/>
      <c r="E142" s="6"/>
      <c r="F142" s="6"/>
      <c r="G142" s="6"/>
      <c r="H142" s="56"/>
      <c r="I142" s="56"/>
      <c r="J142" s="56"/>
      <c r="K142" s="56"/>
      <c r="L142" s="56"/>
      <c r="M142" s="6"/>
      <c r="O142" s="56"/>
      <c r="P142" s="6"/>
      <c r="Q142" s="6"/>
    </row>
    <row r="143" spans="2:17" x14ac:dyDescent="0.25">
      <c r="B143" s="6"/>
      <c r="C143" s="6"/>
      <c r="D143" s="6"/>
      <c r="E143" s="6"/>
      <c r="F143" s="6"/>
      <c r="G143" s="6"/>
      <c r="H143" s="56"/>
      <c r="I143" s="56"/>
      <c r="J143" s="56"/>
      <c r="K143" s="56"/>
      <c r="L143" s="56"/>
      <c r="M143" s="6"/>
      <c r="O143" s="56"/>
      <c r="P143" s="6"/>
      <c r="Q143" s="6"/>
    </row>
    <row r="144" spans="2:17" x14ac:dyDescent="0.25">
      <c r="B144" s="6"/>
      <c r="C144" s="6"/>
      <c r="D144" s="6"/>
      <c r="E144" s="6"/>
      <c r="F144" s="6"/>
      <c r="G144" s="6"/>
      <c r="H144" s="56"/>
      <c r="I144" s="56"/>
      <c r="J144" s="56"/>
      <c r="K144" s="56"/>
      <c r="L144" s="56"/>
      <c r="M144" s="6"/>
      <c r="O144" s="56"/>
      <c r="P144" s="6"/>
      <c r="Q144" s="6"/>
    </row>
    <row r="145" spans="2:17" x14ac:dyDescent="0.25">
      <c r="B145" s="6"/>
      <c r="C145" s="6"/>
      <c r="D145" s="6"/>
      <c r="E145" s="6"/>
      <c r="F145" s="6"/>
      <c r="G145" s="6"/>
      <c r="H145" s="56"/>
      <c r="I145" s="56"/>
      <c r="J145" s="56"/>
      <c r="K145" s="56"/>
      <c r="L145" s="56"/>
      <c r="M145" s="6"/>
      <c r="O145" s="56"/>
      <c r="P145" s="6"/>
      <c r="Q145" s="6"/>
    </row>
    <row r="146" spans="2:17" x14ac:dyDescent="0.25">
      <c r="B146" s="6"/>
      <c r="C146" s="6"/>
      <c r="D146" s="6"/>
      <c r="E146" s="6"/>
      <c r="F146" s="6"/>
      <c r="G146" s="6"/>
      <c r="H146" s="56"/>
      <c r="I146" s="56"/>
      <c r="J146" s="56"/>
      <c r="K146" s="56"/>
      <c r="L146" s="56"/>
      <c r="M146" s="6"/>
      <c r="O146" s="56"/>
      <c r="P146" s="6"/>
      <c r="Q146" s="6"/>
    </row>
    <row r="147" spans="2:17" x14ac:dyDescent="0.25">
      <c r="B147" s="6"/>
      <c r="C147" s="6"/>
      <c r="D147" s="6"/>
      <c r="E147" s="6"/>
      <c r="F147" s="6"/>
      <c r="G147" s="6"/>
      <c r="H147" s="56"/>
      <c r="I147" s="56"/>
      <c r="J147" s="56"/>
      <c r="K147" s="56"/>
      <c r="L147" s="56"/>
      <c r="M147" s="6"/>
      <c r="O147" s="56"/>
      <c r="P147" s="6"/>
      <c r="Q147" s="6"/>
    </row>
    <row r="148" spans="2:17" x14ac:dyDescent="0.25">
      <c r="B148" s="6"/>
      <c r="C148" s="6"/>
      <c r="D148" s="6"/>
      <c r="E148" s="6"/>
      <c r="F148" s="6"/>
      <c r="G148" s="6"/>
      <c r="H148" s="56"/>
      <c r="I148" s="56"/>
      <c r="J148" s="56"/>
      <c r="K148" s="56"/>
      <c r="L148" s="56"/>
      <c r="M148" s="6"/>
      <c r="O148" s="56"/>
      <c r="P148" s="6"/>
      <c r="Q148" s="6"/>
    </row>
    <row r="149" spans="2:17" x14ac:dyDescent="0.25">
      <c r="B149" s="6"/>
      <c r="C149" s="6"/>
      <c r="D149" s="6"/>
      <c r="E149" s="6"/>
      <c r="F149" s="6"/>
      <c r="G149" s="6"/>
      <c r="H149" s="56"/>
      <c r="I149" s="56"/>
      <c r="J149" s="56"/>
      <c r="K149" s="56"/>
      <c r="L149" s="56"/>
      <c r="M149" s="6"/>
      <c r="O149" s="56"/>
      <c r="P149" s="6"/>
      <c r="Q149" s="6"/>
    </row>
    <row r="150" spans="2:17" x14ac:dyDescent="0.25">
      <c r="B150" s="6"/>
      <c r="C150" s="6"/>
      <c r="D150" s="6"/>
      <c r="E150" s="6"/>
      <c r="F150" s="6"/>
      <c r="G150" s="6"/>
      <c r="H150" s="56"/>
      <c r="I150" s="56"/>
      <c r="J150" s="56"/>
      <c r="K150" s="56"/>
      <c r="L150" s="56"/>
      <c r="M150" s="6"/>
      <c r="O150" s="56"/>
      <c r="P150" s="6"/>
      <c r="Q150" s="6"/>
    </row>
    <row r="151" spans="2:17" x14ac:dyDescent="0.25">
      <c r="B151" s="6"/>
      <c r="C151" s="6"/>
      <c r="D151" s="6"/>
      <c r="E151" s="6"/>
      <c r="F151" s="6"/>
      <c r="G151" s="6"/>
      <c r="H151" s="56"/>
      <c r="I151" s="56"/>
      <c r="J151" s="56"/>
      <c r="K151" s="56"/>
      <c r="L151" s="56"/>
      <c r="M151" s="6"/>
      <c r="O151" s="56"/>
      <c r="P151" s="6"/>
      <c r="Q151" s="6"/>
    </row>
    <row r="152" spans="2:17" x14ac:dyDescent="0.25">
      <c r="B152" s="6"/>
      <c r="C152" s="6"/>
      <c r="D152" s="6"/>
      <c r="E152" s="6"/>
      <c r="F152" s="6"/>
      <c r="G152" s="6"/>
      <c r="H152" s="56"/>
      <c r="I152" s="56"/>
      <c r="J152" s="56"/>
      <c r="K152" s="56"/>
      <c r="L152" s="56"/>
      <c r="M152" s="6"/>
      <c r="O152" s="56"/>
      <c r="P152" s="6"/>
      <c r="Q152" s="6"/>
    </row>
    <row r="153" spans="2:17" x14ac:dyDescent="0.25">
      <c r="B153" s="6"/>
      <c r="C153" s="6"/>
      <c r="D153" s="6"/>
      <c r="E153" s="6"/>
      <c r="F153" s="6"/>
      <c r="G153" s="6"/>
      <c r="H153" s="56"/>
      <c r="I153" s="56"/>
      <c r="J153" s="56"/>
      <c r="K153" s="56"/>
      <c r="L153" s="56"/>
      <c r="M153" s="6"/>
      <c r="O153" s="56"/>
      <c r="P153" s="6"/>
      <c r="Q153" s="6"/>
    </row>
    <row r="154" spans="2:17" x14ac:dyDescent="0.25">
      <c r="B154" s="6"/>
      <c r="C154" s="6"/>
      <c r="D154" s="6"/>
      <c r="E154" s="6"/>
      <c r="F154" s="6"/>
      <c r="G154" s="6"/>
      <c r="H154" s="56"/>
      <c r="I154" s="56"/>
      <c r="J154" s="56"/>
      <c r="K154" s="56"/>
      <c r="L154" s="56"/>
      <c r="M154" s="6"/>
      <c r="O154" s="56"/>
      <c r="P154" s="6"/>
      <c r="Q154" s="6"/>
    </row>
    <row r="155" spans="2:17" x14ac:dyDescent="0.25">
      <c r="B155" s="6"/>
      <c r="C155" s="6"/>
      <c r="D155" s="6"/>
      <c r="E155" s="6"/>
      <c r="F155" s="6"/>
      <c r="G155" s="6"/>
      <c r="H155" s="56"/>
      <c r="I155" s="56"/>
      <c r="J155" s="56"/>
      <c r="K155" s="56"/>
      <c r="L155" s="56"/>
      <c r="M155" s="6"/>
      <c r="O155" s="56"/>
      <c r="P155" s="6"/>
      <c r="Q155" s="6"/>
    </row>
    <row r="156" spans="2:17" x14ac:dyDescent="0.25">
      <c r="B156" s="6"/>
      <c r="C156" s="6"/>
      <c r="D156" s="6"/>
      <c r="E156" s="6"/>
      <c r="F156" s="6"/>
      <c r="G156" s="6"/>
      <c r="H156" s="56"/>
      <c r="I156" s="56"/>
      <c r="J156" s="56"/>
      <c r="K156" s="56"/>
      <c r="L156" s="56"/>
      <c r="M156" s="6"/>
      <c r="O156" s="56"/>
      <c r="P156" s="6"/>
      <c r="Q156" s="6"/>
    </row>
    <row r="157" spans="2:17" x14ac:dyDescent="0.25">
      <c r="B157" s="6"/>
      <c r="C157" s="6"/>
      <c r="D157" s="6"/>
      <c r="E157" s="6"/>
      <c r="F157" s="6"/>
      <c r="G157" s="6"/>
      <c r="H157" s="56"/>
      <c r="I157" s="56"/>
      <c r="J157" s="56"/>
      <c r="K157" s="56"/>
      <c r="L157" s="56"/>
      <c r="M157" s="6"/>
      <c r="O157" s="56"/>
      <c r="P157" s="6"/>
      <c r="Q157" s="6"/>
    </row>
    <row r="158" spans="2:17" x14ac:dyDescent="0.25">
      <c r="B158" s="6"/>
      <c r="C158" s="6"/>
      <c r="D158" s="6"/>
      <c r="E158" s="6"/>
      <c r="F158" s="6"/>
      <c r="G158" s="6"/>
      <c r="H158" s="56"/>
      <c r="I158" s="56"/>
      <c r="J158" s="56"/>
      <c r="K158" s="56"/>
      <c r="L158" s="56"/>
      <c r="M158" s="6"/>
      <c r="O158" s="56"/>
      <c r="P158" s="6"/>
      <c r="Q158" s="6"/>
    </row>
    <row r="159" spans="2:17" x14ac:dyDescent="0.25">
      <c r="B159" s="6"/>
      <c r="C159" s="6"/>
      <c r="D159" s="6"/>
      <c r="E159" s="6"/>
      <c r="F159" s="6"/>
      <c r="G159" s="6"/>
      <c r="H159" s="56"/>
      <c r="I159" s="56"/>
      <c r="J159" s="56"/>
      <c r="K159" s="56"/>
      <c r="L159" s="56"/>
      <c r="M159" s="6"/>
      <c r="O159" s="56"/>
      <c r="P159" s="6"/>
      <c r="Q159" s="6"/>
    </row>
    <row r="160" spans="2:17" x14ac:dyDescent="0.25">
      <c r="B160" s="6"/>
      <c r="C160" s="6"/>
      <c r="D160" s="6"/>
      <c r="E160" s="6"/>
      <c r="F160" s="6"/>
      <c r="G160" s="6"/>
      <c r="H160" s="56"/>
      <c r="I160" s="56"/>
      <c r="J160" s="56"/>
      <c r="K160" s="56"/>
      <c r="L160" s="56"/>
      <c r="M160" s="6"/>
      <c r="O160" s="56"/>
      <c r="P160" s="6"/>
      <c r="Q160" s="6"/>
    </row>
    <row r="161" spans="2:17" x14ac:dyDescent="0.25">
      <c r="B161" s="6"/>
      <c r="C161" s="6"/>
      <c r="D161" s="6"/>
      <c r="E161" s="6"/>
      <c r="F161" s="6"/>
      <c r="G161" s="6"/>
      <c r="H161" s="56"/>
      <c r="I161" s="56"/>
      <c r="J161" s="56"/>
      <c r="K161" s="56"/>
      <c r="L161" s="56"/>
      <c r="M161" s="6"/>
      <c r="O161" s="56"/>
      <c r="P161" s="6"/>
      <c r="Q161" s="6"/>
    </row>
    <row r="162" spans="2:17" x14ac:dyDescent="0.25">
      <c r="B162" s="6"/>
      <c r="C162" s="6"/>
      <c r="D162" s="6"/>
      <c r="E162" s="6"/>
      <c r="F162" s="6"/>
      <c r="G162" s="6"/>
      <c r="H162" s="56"/>
      <c r="I162" s="56"/>
      <c r="J162" s="56"/>
      <c r="K162" s="56"/>
      <c r="L162" s="56"/>
      <c r="M162" s="6"/>
      <c r="O162" s="56"/>
      <c r="P162" s="6"/>
      <c r="Q162" s="6"/>
    </row>
    <row r="163" spans="2:17" x14ac:dyDescent="0.25">
      <c r="B163" s="6"/>
      <c r="C163" s="6"/>
      <c r="D163" s="6"/>
      <c r="E163" s="6"/>
      <c r="F163" s="6"/>
      <c r="G163" s="6"/>
      <c r="H163" s="56"/>
      <c r="I163" s="56"/>
      <c r="J163" s="56"/>
      <c r="K163" s="56"/>
      <c r="L163" s="56"/>
      <c r="M163" s="6"/>
      <c r="O163" s="56"/>
      <c r="P163" s="6"/>
      <c r="Q163" s="6"/>
    </row>
    <row r="164" spans="2:17" x14ac:dyDescent="0.25">
      <c r="B164" s="6"/>
      <c r="C164" s="6"/>
      <c r="D164" s="6"/>
      <c r="E164" s="6"/>
      <c r="F164" s="6"/>
      <c r="G164" s="6"/>
      <c r="H164" s="56"/>
      <c r="I164" s="56"/>
      <c r="J164" s="56"/>
      <c r="K164" s="56"/>
      <c r="L164" s="56"/>
      <c r="M164" s="6"/>
      <c r="O164" s="56"/>
      <c r="P164" s="6"/>
      <c r="Q164" s="6"/>
    </row>
    <row r="165" spans="2:17" x14ac:dyDescent="0.25">
      <c r="B165" s="6"/>
      <c r="C165" s="6"/>
      <c r="D165" s="6"/>
      <c r="E165" s="6"/>
      <c r="F165" s="6"/>
      <c r="G165" s="6"/>
      <c r="H165" s="56"/>
      <c r="I165" s="56"/>
      <c r="J165" s="56"/>
      <c r="K165" s="56"/>
      <c r="L165" s="56"/>
      <c r="M165" s="6"/>
      <c r="O165" s="56"/>
      <c r="P165" s="6"/>
      <c r="Q165" s="6"/>
    </row>
    <row r="166" spans="2:17" x14ac:dyDescent="0.25">
      <c r="B166" s="6"/>
      <c r="C166" s="6"/>
      <c r="D166" s="6"/>
      <c r="E166" s="6"/>
      <c r="F166" s="6"/>
      <c r="G166" s="6"/>
      <c r="H166" s="56"/>
      <c r="I166" s="56"/>
      <c r="J166" s="56"/>
      <c r="K166" s="56"/>
      <c r="L166" s="56"/>
      <c r="M166" s="6"/>
      <c r="O166" s="56"/>
      <c r="P166" s="6"/>
      <c r="Q166" s="6"/>
    </row>
    <row r="167" spans="2:17" x14ac:dyDescent="0.25">
      <c r="B167" s="6"/>
      <c r="C167" s="6"/>
      <c r="D167" s="6"/>
      <c r="E167" s="6"/>
      <c r="F167" s="6"/>
      <c r="G167" s="6"/>
      <c r="H167" s="56"/>
      <c r="I167" s="56"/>
      <c r="J167" s="56"/>
      <c r="K167" s="56"/>
      <c r="L167" s="56"/>
      <c r="M167" s="6"/>
      <c r="O167" s="56"/>
      <c r="P167" s="6"/>
      <c r="Q167" s="6"/>
    </row>
    <row r="168" spans="2:17" x14ac:dyDescent="0.25">
      <c r="B168" s="6"/>
      <c r="C168" s="6"/>
      <c r="D168" s="6"/>
      <c r="E168" s="6"/>
      <c r="F168" s="6"/>
      <c r="G168" s="6"/>
      <c r="H168" s="56"/>
      <c r="I168" s="56"/>
      <c r="J168" s="56"/>
      <c r="K168" s="56"/>
      <c r="L168" s="56"/>
      <c r="M168" s="6"/>
      <c r="O168" s="56"/>
      <c r="P168" s="6"/>
      <c r="Q168" s="6"/>
    </row>
    <row r="169" spans="2:17" x14ac:dyDescent="0.25">
      <c r="B169" s="6"/>
      <c r="C169" s="6"/>
      <c r="D169" s="6"/>
      <c r="E169" s="6"/>
      <c r="F169" s="6"/>
      <c r="G169" s="6"/>
      <c r="H169" s="56"/>
      <c r="I169" s="56"/>
      <c r="J169" s="56"/>
      <c r="K169" s="56"/>
      <c r="L169" s="56"/>
      <c r="M169" s="6"/>
      <c r="O169" s="56"/>
      <c r="P169" s="6"/>
      <c r="Q169" s="6"/>
    </row>
    <row r="170" spans="2:17" x14ac:dyDescent="0.25">
      <c r="B170" s="6"/>
      <c r="C170" s="6"/>
      <c r="D170" s="6"/>
      <c r="E170" s="6"/>
      <c r="F170" s="6"/>
      <c r="G170" s="6"/>
      <c r="H170" s="56"/>
      <c r="I170" s="56"/>
      <c r="J170" s="56"/>
      <c r="K170" s="56"/>
      <c r="L170" s="56"/>
      <c r="M170" s="6"/>
      <c r="O170" s="56"/>
      <c r="P170" s="6"/>
      <c r="Q170" s="6"/>
    </row>
    <row r="171" spans="2:17" x14ac:dyDescent="0.25">
      <c r="B171" s="6"/>
      <c r="C171" s="6"/>
      <c r="D171" s="6"/>
      <c r="E171" s="6"/>
      <c r="F171" s="6"/>
      <c r="G171" s="6"/>
      <c r="H171" s="56"/>
      <c r="I171" s="56"/>
      <c r="J171" s="56"/>
      <c r="K171" s="56"/>
      <c r="L171" s="56"/>
      <c r="M171" s="6"/>
      <c r="O171" s="56"/>
      <c r="P171" s="6"/>
      <c r="Q171" s="6"/>
    </row>
    <row r="172" spans="2:17" x14ac:dyDescent="0.25">
      <c r="B172" s="6"/>
      <c r="C172" s="6"/>
      <c r="D172" s="6"/>
      <c r="E172" s="6"/>
      <c r="F172" s="6"/>
      <c r="G172" s="6"/>
      <c r="H172" s="56"/>
      <c r="I172" s="56"/>
      <c r="J172" s="56"/>
      <c r="K172" s="56"/>
      <c r="L172" s="56"/>
      <c r="M172" s="6"/>
      <c r="O172" s="56"/>
      <c r="P172" s="6"/>
      <c r="Q172" s="6"/>
    </row>
    <row r="173" spans="2:17" x14ac:dyDescent="0.25">
      <c r="B173" s="6"/>
      <c r="C173" s="6"/>
      <c r="D173" s="6"/>
      <c r="E173" s="6"/>
      <c r="F173" s="6"/>
      <c r="G173" s="6"/>
      <c r="H173" s="56"/>
      <c r="I173" s="56"/>
      <c r="J173" s="56"/>
      <c r="K173" s="56"/>
      <c r="L173" s="56"/>
      <c r="M173" s="6"/>
      <c r="O173" s="56"/>
      <c r="P173" s="6"/>
      <c r="Q173" s="6"/>
    </row>
    <row r="174" spans="2:17" x14ac:dyDescent="0.25">
      <c r="B174" s="6"/>
      <c r="C174" s="6"/>
      <c r="D174" s="6"/>
      <c r="E174" s="6"/>
      <c r="F174" s="6"/>
      <c r="G174" s="6"/>
      <c r="H174" s="56"/>
      <c r="I174" s="56"/>
      <c r="J174" s="56"/>
      <c r="K174" s="56"/>
      <c r="L174" s="56"/>
      <c r="M174" s="6"/>
      <c r="O174" s="56"/>
      <c r="P174" s="6"/>
      <c r="Q174" s="6"/>
    </row>
    <row r="175" spans="2:17" x14ac:dyDescent="0.25">
      <c r="B175" s="6"/>
      <c r="C175" s="6"/>
      <c r="D175" s="6"/>
      <c r="E175" s="6"/>
      <c r="F175" s="6"/>
      <c r="G175" s="6"/>
      <c r="H175" s="56"/>
      <c r="I175" s="56"/>
      <c r="J175" s="56"/>
      <c r="K175" s="56"/>
      <c r="L175" s="56"/>
      <c r="M175" s="6"/>
      <c r="O175" s="56"/>
      <c r="P175" s="6"/>
      <c r="Q175" s="6"/>
    </row>
    <row r="176" spans="2:17" x14ac:dyDescent="0.25">
      <c r="B176" s="6"/>
      <c r="C176" s="6"/>
      <c r="D176" s="6"/>
      <c r="E176" s="6"/>
      <c r="F176" s="6"/>
      <c r="G176" s="6"/>
      <c r="H176" s="56"/>
      <c r="I176" s="56"/>
      <c r="J176" s="56"/>
      <c r="K176" s="56"/>
      <c r="L176" s="56"/>
      <c r="M176" s="6"/>
      <c r="O176" s="56"/>
      <c r="P176" s="6"/>
      <c r="Q176" s="6"/>
    </row>
    <row r="177" spans="2:17" x14ac:dyDescent="0.25">
      <c r="B177" s="6"/>
      <c r="C177" s="6"/>
      <c r="D177" s="6"/>
      <c r="E177" s="6"/>
      <c r="F177" s="6"/>
      <c r="G177" s="6"/>
      <c r="H177" s="56"/>
      <c r="I177" s="56"/>
      <c r="J177" s="56"/>
      <c r="K177" s="56"/>
      <c r="L177" s="56"/>
      <c r="M177" s="6"/>
      <c r="O177" s="56"/>
      <c r="P177" s="6"/>
      <c r="Q177" s="6"/>
    </row>
    <row r="178" spans="2:17" x14ac:dyDescent="0.25">
      <c r="B178" s="6"/>
      <c r="C178" s="6"/>
      <c r="D178" s="6"/>
      <c r="E178" s="6"/>
      <c r="F178" s="6"/>
      <c r="G178" s="6"/>
      <c r="H178" s="56"/>
      <c r="I178" s="56"/>
      <c r="J178" s="56"/>
      <c r="K178" s="56"/>
      <c r="L178" s="56"/>
      <c r="M178" s="6"/>
      <c r="O178" s="56"/>
      <c r="P178" s="6"/>
      <c r="Q178" s="6"/>
    </row>
    <row r="179" spans="2:17" x14ac:dyDescent="0.25">
      <c r="B179" s="6"/>
      <c r="C179" s="6"/>
      <c r="D179" s="6"/>
      <c r="E179" s="6"/>
      <c r="F179" s="6"/>
      <c r="G179" s="6"/>
      <c r="H179" s="56"/>
      <c r="I179" s="56"/>
      <c r="J179" s="56"/>
      <c r="K179" s="56"/>
      <c r="L179" s="56"/>
      <c r="M179" s="6"/>
      <c r="O179" s="56"/>
      <c r="P179" s="6"/>
      <c r="Q179" s="6"/>
    </row>
    <row r="180" spans="2:17" x14ac:dyDescent="0.25">
      <c r="B180" s="6"/>
      <c r="C180" s="6"/>
      <c r="D180" s="6"/>
      <c r="E180" s="6"/>
      <c r="F180" s="6"/>
      <c r="G180" s="6"/>
      <c r="H180" s="56"/>
      <c r="I180" s="56"/>
      <c r="J180" s="56"/>
      <c r="K180" s="56"/>
      <c r="L180" s="56"/>
      <c r="M180" s="6"/>
      <c r="O180" s="56"/>
      <c r="P180" s="6"/>
      <c r="Q180" s="6"/>
    </row>
    <row r="181" spans="2:17" x14ac:dyDescent="0.25">
      <c r="B181" s="6"/>
      <c r="C181" s="6"/>
      <c r="D181" s="6"/>
      <c r="E181" s="6"/>
      <c r="F181" s="6"/>
      <c r="G181" s="6"/>
      <c r="H181" s="56"/>
      <c r="I181" s="56"/>
      <c r="J181" s="56"/>
      <c r="K181" s="56"/>
      <c r="L181" s="56"/>
      <c r="M181" s="6"/>
      <c r="O181" s="56"/>
      <c r="P181" s="6"/>
      <c r="Q181" s="6"/>
    </row>
    <row r="182" spans="2:17" x14ac:dyDescent="0.25">
      <c r="B182" s="6"/>
      <c r="C182" s="6"/>
      <c r="D182" s="6"/>
      <c r="E182" s="6"/>
      <c r="F182" s="6"/>
      <c r="G182" s="6"/>
      <c r="H182" s="56"/>
      <c r="I182" s="56"/>
      <c r="J182" s="56"/>
      <c r="K182" s="56"/>
      <c r="L182" s="56"/>
      <c r="M182" s="6"/>
      <c r="O182" s="56"/>
      <c r="P182" s="6"/>
      <c r="Q182" s="6"/>
    </row>
    <row r="183" spans="2:17" x14ac:dyDescent="0.25">
      <c r="B183" s="6"/>
      <c r="C183" s="6"/>
      <c r="D183" s="6"/>
      <c r="E183" s="6"/>
      <c r="F183" s="6"/>
      <c r="G183" s="6"/>
      <c r="H183" s="56"/>
      <c r="I183" s="56"/>
      <c r="J183" s="56"/>
      <c r="K183" s="56"/>
      <c r="L183" s="56"/>
      <c r="M183" s="6"/>
      <c r="O183" s="56"/>
      <c r="P183" s="6"/>
      <c r="Q183" s="6"/>
    </row>
    <row r="184" spans="2:17" x14ac:dyDescent="0.25">
      <c r="B184" s="6"/>
      <c r="C184" s="6"/>
      <c r="D184" s="6"/>
      <c r="E184" s="6"/>
      <c r="F184" s="6"/>
      <c r="G184" s="6"/>
      <c r="H184" s="56"/>
      <c r="I184" s="56"/>
      <c r="J184" s="56"/>
      <c r="K184" s="56"/>
      <c r="L184" s="56"/>
      <c r="M184" s="6"/>
      <c r="O184" s="56"/>
      <c r="P184" s="6"/>
      <c r="Q184" s="6"/>
    </row>
    <row r="185" spans="2:17" x14ac:dyDescent="0.25">
      <c r="B185" s="6"/>
      <c r="C185" s="6"/>
      <c r="D185" s="6"/>
      <c r="E185" s="6"/>
      <c r="F185" s="6"/>
      <c r="G185" s="6"/>
      <c r="H185" s="56"/>
      <c r="I185" s="56"/>
      <c r="J185" s="56"/>
      <c r="K185" s="56"/>
      <c r="L185" s="56"/>
      <c r="M185" s="6"/>
      <c r="O185" s="56"/>
      <c r="P185" s="6"/>
      <c r="Q185" s="6"/>
    </row>
    <row r="186" spans="2:17" x14ac:dyDescent="0.25">
      <c r="B186" s="6"/>
      <c r="C186" s="6"/>
      <c r="D186" s="6"/>
      <c r="E186" s="6"/>
      <c r="F186" s="6"/>
      <c r="G186" s="6"/>
      <c r="H186" s="56"/>
      <c r="I186" s="56"/>
      <c r="J186" s="56"/>
      <c r="K186" s="56"/>
      <c r="L186" s="56"/>
      <c r="M186" s="6"/>
      <c r="O186" s="56"/>
      <c r="P186" s="6"/>
      <c r="Q186" s="6"/>
    </row>
    <row r="187" spans="2:17" x14ac:dyDescent="0.25">
      <c r="B187" s="6"/>
      <c r="C187" s="6"/>
      <c r="D187" s="6"/>
      <c r="E187" s="6"/>
      <c r="F187" s="6"/>
      <c r="G187" s="6"/>
      <c r="H187" s="56"/>
      <c r="I187" s="56"/>
      <c r="J187" s="56"/>
      <c r="K187" s="56"/>
      <c r="L187" s="56"/>
      <c r="M187" s="6"/>
      <c r="O187" s="56"/>
      <c r="P187" s="6"/>
      <c r="Q187" s="6"/>
    </row>
    <row r="188" spans="2:17" x14ac:dyDescent="0.25">
      <c r="B188" s="6"/>
      <c r="C188" s="6"/>
      <c r="D188" s="6"/>
      <c r="E188" s="6"/>
      <c r="F188" s="6"/>
      <c r="G188" s="6"/>
      <c r="H188" s="56"/>
      <c r="I188" s="56"/>
      <c r="J188" s="56"/>
      <c r="K188" s="56"/>
      <c r="L188" s="56"/>
      <c r="M188" s="6"/>
      <c r="O188" s="56"/>
      <c r="P188" s="6"/>
      <c r="Q188" s="6"/>
    </row>
    <row r="189" spans="2:17" x14ac:dyDescent="0.25">
      <c r="B189" s="6"/>
      <c r="C189" s="6"/>
      <c r="D189" s="6"/>
      <c r="E189" s="6"/>
      <c r="F189" s="6"/>
      <c r="G189" s="6"/>
      <c r="H189" s="56"/>
      <c r="I189" s="56"/>
      <c r="J189" s="56"/>
      <c r="K189" s="56"/>
      <c r="L189" s="56"/>
      <c r="M189" s="6"/>
      <c r="O189" s="56"/>
      <c r="P189" s="6"/>
      <c r="Q189" s="6"/>
    </row>
    <row r="190" spans="2:17" x14ac:dyDescent="0.25">
      <c r="B190" s="6"/>
      <c r="C190" s="6"/>
      <c r="D190" s="6"/>
      <c r="E190" s="6"/>
      <c r="F190" s="6"/>
      <c r="G190" s="6"/>
      <c r="H190" s="56"/>
      <c r="I190" s="56"/>
      <c r="J190" s="56"/>
      <c r="K190" s="56"/>
      <c r="L190" s="56"/>
      <c r="M190" s="6"/>
      <c r="O190" s="56"/>
      <c r="P190" s="6"/>
      <c r="Q190" s="6"/>
    </row>
    <row r="191" spans="2:17" x14ac:dyDescent="0.25">
      <c r="B191" s="6"/>
      <c r="C191" s="6"/>
      <c r="D191" s="6"/>
      <c r="E191" s="6"/>
      <c r="F191" s="6"/>
      <c r="G191" s="6"/>
      <c r="H191" s="56"/>
      <c r="I191" s="56"/>
      <c r="J191" s="56"/>
      <c r="K191" s="56"/>
      <c r="L191" s="56"/>
      <c r="M191" s="6"/>
      <c r="O191" s="56"/>
      <c r="P191" s="6"/>
      <c r="Q191" s="6"/>
    </row>
    <row r="192" spans="2:17" x14ac:dyDescent="0.25">
      <c r="B192" s="6"/>
      <c r="C192" s="6"/>
      <c r="D192" s="6"/>
      <c r="E192" s="6"/>
      <c r="F192" s="6"/>
      <c r="G192" s="6"/>
      <c r="H192" s="56"/>
      <c r="I192" s="56"/>
      <c r="J192" s="56"/>
      <c r="K192" s="56"/>
      <c r="L192" s="56"/>
      <c r="M192" s="6"/>
      <c r="O192" s="56"/>
      <c r="P192" s="6"/>
      <c r="Q192" s="6"/>
    </row>
    <row r="193" spans="2:17" x14ac:dyDescent="0.25">
      <c r="B193" s="6"/>
      <c r="C193" s="6"/>
      <c r="D193" s="6"/>
      <c r="E193" s="6"/>
      <c r="F193" s="6"/>
      <c r="G193" s="6"/>
      <c r="H193" s="56"/>
      <c r="I193" s="56"/>
      <c r="J193" s="56"/>
      <c r="K193" s="56"/>
      <c r="L193" s="56"/>
      <c r="M193" s="6"/>
      <c r="O193" s="56"/>
      <c r="P193" s="6"/>
      <c r="Q193" s="6"/>
    </row>
    <row r="194" spans="2:17" x14ac:dyDescent="0.25">
      <c r="B194" s="6"/>
      <c r="C194" s="6"/>
      <c r="D194" s="6"/>
      <c r="E194" s="6"/>
      <c r="F194" s="6"/>
      <c r="G194" s="6"/>
      <c r="H194" s="56"/>
      <c r="I194" s="56"/>
      <c r="J194" s="56"/>
      <c r="K194" s="56"/>
      <c r="L194" s="56"/>
      <c r="M194" s="6"/>
      <c r="O194" s="56"/>
      <c r="P194" s="6"/>
      <c r="Q194" s="6"/>
    </row>
    <row r="195" spans="2:17" x14ac:dyDescent="0.25">
      <c r="B195" s="6"/>
      <c r="C195" s="6"/>
      <c r="D195" s="6"/>
      <c r="E195" s="6"/>
      <c r="F195" s="6"/>
      <c r="G195" s="6"/>
      <c r="H195" s="56"/>
      <c r="I195" s="56"/>
      <c r="J195" s="56"/>
      <c r="K195" s="56"/>
      <c r="L195" s="56"/>
      <c r="M195" s="6"/>
      <c r="O195" s="56"/>
      <c r="P195" s="6"/>
      <c r="Q195" s="6"/>
    </row>
    <row r="196" spans="2:17" x14ac:dyDescent="0.25">
      <c r="B196" s="6"/>
      <c r="C196" s="6"/>
      <c r="D196" s="6"/>
      <c r="E196" s="6"/>
      <c r="F196" s="6"/>
      <c r="G196" s="6"/>
      <c r="H196" s="56"/>
      <c r="I196" s="56"/>
      <c r="J196" s="56"/>
      <c r="K196" s="56"/>
      <c r="L196" s="56"/>
      <c r="M196" s="6"/>
      <c r="O196" s="56"/>
      <c r="P196" s="6"/>
      <c r="Q196" s="6"/>
    </row>
    <row r="197" spans="2:17" x14ac:dyDescent="0.25">
      <c r="B197" s="6"/>
      <c r="C197" s="6"/>
      <c r="D197" s="6"/>
      <c r="E197" s="6"/>
      <c r="F197" s="6"/>
      <c r="G197" s="6"/>
      <c r="H197" s="56"/>
      <c r="I197" s="56"/>
      <c r="J197" s="56"/>
      <c r="K197" s="56"/>
      <c r="L197" s="56"/>
      <c r="M197" s="6"/>
      <c r="O197" s="56"/>
      <c r="P197" s="6"/>
      <c r="Q197" s="6"/>
    </row>
    <row r="198" spans="2:17" x14ac:dyDescent="0.25">
      <c r="B198" s="6"/>
      <c r="C198" s="6"/>
      <c r="D198" s="6"/>
      <c r="E198" s="6"/>
      <c r="F198" s="6"/>
      <c r="G198" s="6"/>
      <c r="H198" s="56"/>
      <c r="I198" s="56"/>
      <c r="J198" s="56"/>
      <c r="K198" s="56"/>
      <c r="L198" s="56"/>
      <c r="M198" s="6"/>
      <c r="O198" s="56"/>
      <c r="P198" s="6"/>
      <c r="Q198" s="6"/>
    </row>
    <row r="199" spans="2:17" x14ac:dyDescent="0.25">
      <c r="B199" s="6"/>
      <c r="C199" s="6"/>
      <c r="D199" s="6"/>
      <c r="E199" s="6"/>
      <c r="F199" s="6"/>
      <c r="G199" s="6"/>
      <c r="H199" s="56"/>
      <c r="I199" s="56"/>
      <c r="J199" s="56"/>
      <c r="K199" s="56"/>
      <c r="L199" s="56"/>
      <c r="M199" s="6"/>
      <c r="O199" s="56"/>
      <c r="P199" s="6"/>
      <c r="Q199" s="6"/>
    </row>
    <row r="200" spans="2:17" x14ac:dyDescent="0.25">
      <c r="B200" s="6"/>
      <c r="C200" s="6"/>
      <c r="D200" s="6"/>
      <c r="E200" s="6"/>
      <c r="F200" s="6"/>
      <c r="G200" s="6"/>
      <c r="H200" s="56"/>
      <c r="I200" s="56"/>
      <c r="J200" s="56"/>
      <c r="K200" s="56"/>
      <c r="L200" s="56"/>
      <c r="M200" s="6"/>
      <c r="O200" s="56"/>
      <c r="P200" s="6"/>
      <c r="Q200" s="6"/>
    </row>
    <row r="201" spans="2:17" x14ac:dyDescent="0.25">
      <c r="B201" s="6"/>
      <c r="C201" s="6"/>
      <c r="D201" s="6"/>
      <c r="E201" s="6"/>
      <c r="F201" s="6"/>
      <c r="G201" s="6"/>
      <c r="H201" s="56"/>
      <c r="I201" s="56"/>
      <c r="J201" s="56"/>
      <c r="K201" s="56"/>
      <c r="L201" s="56"/>
      <c r="M201" s="6"/>
      <c r="O201" s="56"/>
      <c r="P201" s="6"/>
      <c r="Q201" s="6"/>
    </row>
    <row r="202" spans="2:17" x14ac:dyDescent="0.25">
      <c r="B202" s="6"/>
      <c r="C202" s="6"/>
      <c r="D202" s="6"/>
      <c r="E202" s="6"/>
      <c r="F202" s="6"/>
      <c r="G202" s="6"/>
      <c r="H202" s="56"/>
      <c r="I202" s="56"/>
      <c r="J202" s="56"/>
      <c r="K202" s="56"/>
      <c r="L202" s="56"/>
      <c r="M202" s="6"/>
      <c r="O202" s="56"/>
      <c r="P202" s="6"/>
      <c r="Q202" s="6"/>
    </row>
    <row r="203" spans="2:17" x14ac:dyDescent="0.25">
      <c r="B203" s="6"/>
      <c r="C203" s="6"/>
      <c r="D203" s="6"/>
      <c r="E203" s="6"/>
      <c r="F203" s="6"/>
      <c r="G203" s="6"/>
      <c r="H203" s="56"/>
      <c r="I203" s="56"/>
      <c r="J203" s="56"/>
      <c r="K203" s="56"/>
      <c r="L203" s="56"/>
      <c r="M203" s="6"/>
      <c r="O203" s="56"/>
      <c r="P203" s="6"/>
      <c r="Q203" s="6"/>
    </row>
    <row r="204" spans="2:17" x14ac:dyDescent="0.25">
      <c r="B204" s="6"/>
      <c r="C204" s="6"/>
      <c r="D204" s="6"/>
      <c r="E204" s="6"/>
      <c r="F204" s="6"/>
      <c r="G204" s="6"/>
      <c r="H204" s="56"/>
      <c r="I204" s="56"/>
      <c r="J204" s="56"/>
      <c r="K204" s="56"/>
      <c r="L204" s="56"/>
      <c r="M204" s="6"/>
      <c r="O204" s="56"/>
      <c r="P204" s="6"/>
      <c r="Q204" s="6"/>
    </row>
    <row r="205" spans="2:17" x14ac:dyDescent="0.25">
      <c r="B205" s="6"/>
      <c r="C205" s="6"/>
      <c r="D205" s="6"/>
      <c r="E205" s="6"/>
      <c r="F205" s="6"/>
      <c r="G205" s="6"/>
      <c r="H205" s="56"/>
      <c r="I205" s="56"/>
      <c r="J205" s="56"/>
      <c r="K205" s="56"/>
      <c r="L205" s="56"/>
      <c r="M205" s="6"/>
      <c r="O205" s="56"/>
      <c r="P205" s="6"/>
      <c r="Q205" s="6"/>
    </row>
    <row r="206" spans="2:17" x14ac:dyDescent="0.25">
      <c r="B206" s="6"/>
      <c r="C206" s="6"/>
      <c r="D206" s="6"/>
      <c r="E206" s="6"/>
      <c r="F206" s="6"/>
      <c r="G206" s="6"/>
      <c r="H206" s="56"/>
      <c r="I206" s="56"/>
      <c r="J206" s="56"/>
      <c r="K206" s="56"/>
      <c r="L206" s="56"/>
      <c r="M206" s="6"/>
      <c r="O206" s="56"/>
      <c r="P206" s="6"/>
      <c r="Q206" s="6"/>
    </row>
    <row r="207" spans="2:17" x14ac:dyDescent="0.25">
      <c r="B207" s="6"/>
      <c r="C207" s="6"/>
      <c r="D207" s="6"/>
      <c r="E207" s="6"/>
      <c r="F207" s="6"/>
      <c r="G207" s="6"/>
      <c r="H207" s="56"/>
      <c r="I207" s="56"/>
      <c r="J207" s="56"/>
      <c r="K207" s="56"/>
      <c r="L207" s="56"/>
      <c r="M207" s="6"/>
      <c r="O207" s="56"/>
      <c r="P207" s="6"/>
      <c r="Q207" s="6"/>
    </row>
    <row r="208" spans="2:17" x14ac:dyDescent="0.25">
      <c r="B208" s="6"/>
      <c r="C208" s="6"/>
      <c r="D208" s="6"/>
      <c r="E208" s="6"/>
      <c r="F208" s="6"/>
      <c r="G208" s="6"/>
      <c r="H208" s="56"/>
      <c r="I208" s="56"/>
      <c r="J208" s="56"/>
      <c r="K208" s="56"/>
      <c r="L208" s="56"/>
      <c r="M208" s="6"/>
      <c r="O208" s="56"/>
      <c r="P208" s="6"/>
      <c r="Q208" s="6"/>
    </row>
    <row r="209" spans="2:17" x14ac:dyDescent="0.25">
      <c r="B209" s="6"/>
      <c r="C209" s="6"/>
      <c r="D209" s="6"/>
      <c r="E209" s="6"/>
      <c r="F209" s="6"/>
      <c r="G209" s="6"/>
      <c r="H209" s="56"/>
      <c r="I209" s="56"/>
      <c r="J209" s="56"/>
      <c r="K209" s="56"/>
      <c r="L209" s="56"/>
      <c r="M209" s="6"/>
      <c r="O209" s="56"/>
      <c r="P209" s="6"/>
      <c r="Q209" s="6"/>
    </row>
    <row r="210" spans="2:17" x14ac:dyDescent="0.25">
      <c r="B210" s="6"/>
      <c r="C210" s="6"/>
      <c r="D210" s="6"/>
      <c r="E210" s="6"/>
      <c r="F210" s="6"/>
      <c r="G210" s="6"/>
      <c r="H210" s="56"/>
      <c r="I210" s="56"/>
      <c r="J210" s="56"/>
      <c r="K210" s="56"/>
      <c r="L210" s="56"/>
      <c r="M210" s="6"/>
      <c r="O210" s="56"/>
      <c r="P210" s="6"/>
      <c r="Q210" s="6"/>
    </row>
    <row r="211" spans="2:17" x14ac:dyDescent="0.25">
      <c r="B211" s="6"/>
      <c r="C211" s="6"/>
      <c r="D211" s="6"/>
      <c r="E211" s="6"/>
      <c r="F211" s="6"/>
      <c r="G211" s="6"/>
      <c r="H211" s="56"/>
      <c r="I211" s="56"/>
      <c r="J211" s="56"/>
      <c r="K211" s="56"/>
      <c r="L211" s="56"/>
      <c r="M211" s="6"/>
      <c r="O211" s="56"/>
      <c r="P211" s="6"/>
      <c r="Q211" s="6"/>
    </row>
    <row r="212" spans="2:17" x14ac:dyDescent="0.25">
      <c r="B212" s="6"/>
      <c r="C212" s="6"/>
      <c r="D212" s="6"/>
      <c r="E212" s="6"/>
      <c r="F212" s="6"/>
      <c r="G212" s="6"/>
      <c r="H212" s="56"/>
      <c r="I212" s="56"/>
      <c r="J212" s="56"/>
      <c r="K212" s="56"/>
      <c r="L212" s="56"/>
      <c r="M212" s="6"/>
      <c r="O212" s="56"/>
      <c r="P212" s="6"/>
      <c r="Q212" s="6"/>
    </row>
    <row r="213" spans="2:17" x14ac:dyDescent="0.25">
      <c r="B213" s="6"/>
      <c r="C213" s="6"/>
      <c r="D213" s="6"/>
      <c r="E213" s="6"/>
      <c r="F213" s="6"/>
      <c r="G213" s="6"/>
      <c r="H213" s="56"/>
      <c r="I213" s="56"/>
      <c r="J213" s="56"/>
      <c r="K213" s="56"/>
      <c r="L213" s="56"/>
      <c r="M213" s="6"/>
      <c r="O213" s="56"/>
      <c r="P213" s="6"/>
      <c r="Q213" s="6"/>
    </row>
    <row r="214" spans="2:17" x14ac:dyDescent="0.25">
      <c r="B214" s="6"/>
      <c r="C214" s="6"/>
      <c r="D214" s="6"/>
      <c r="E214" s="6"/>
      <c r="F214" s="6"/>
      <c r="G214" s="6"/>
      <c r="H214" s="56"/>
      <c r="I214" s="56"/>
      <c r="J214" s="56"/>
      <c r="K214" s="56"/>
      <c r="L214" s="56"/>
      <c r="M214" s="6"/>
      <c r="O214" s="56"/>
      <c r="P214" s="6"/>
      <c r="Q214" s="6"/>
    </row>
    <row r="215" spans="2:17" x14ac:dyDescent="0.25">
      <c r="B215" s="6"/>
      <c r="C215" s="6"/>
      <c r="D215" s="6"/>
      <c r="E215" s="6"/>
      <c r="F215" s="6"/>
      <c r="G215" s="6"/>
      <c r="H215" s="56"/>
      <c r="I215" s="56"/>
      <c r="J215" s="56"/>
      <c r="K215" s="56"/>
      <c r="L215" s="56"/>
      <c r="M215" s="6"/>
    </row>
    <row r="216" spans="2:17" x14ac:dyDescent="0.25">
      <c r="B216" s="6"/>
      <c r="C216" s="6"/>
      <c r="D216" s="6"/>
      <c r="E216" s="6"/>
      <c r="F216" s="6"/>
      <c r="G216" s="6"/>
      <c r="H216" s="56"/>
      <c r="I216" s="56"/>
      <c r="J216" s="56"/>
      <c r="K216" s="56"/>
      <c r="L216" s="56"/>
      <c r="M216" s="6"/>
    </row>
    <row r="217" spans="2:17" x14ac:dyDescent="0.25">
      <c r="B217" s="6"/>
      <c r="C217" s="6"/>
      <c r="D217" s="6"/>
      <c r="E217" s="6"/>
      <c r="F217" s="6"/>
      <c r="G217" s="6"/>
      <c r="H217" s="56"/>
      <c r="I217" s="56"/>
      <c r="J217" s="56"/>
      <c r="K217" s="56"/>
      <c r="L217" s="56"/>
      <c r="M217" s="6"/>
    </row>
    <row r="218" spans="2:17" x14ac:dyDescent="0.25">
      <c r="B218" s="6"/>
      <c r="C218" s="6"/>
      <c r="D218" s="6"/>
      <c r="E218" s="6"/>
      <c r="F218" s="6"/>
      <c r="G218" s="6"/>
      <c r="H218" s="56"/>
      <c r="I218" s="56"/>
      <c r="J218" s="56"/>
      <c r="K218" s="56"/>
      <c r="L218" s="56"/>
      <c r="M218" s="6"/>
    </row>
    <row r="219" spans="2:17" x14ac:dyDescent="0.25">
      <c r="B219" s="6"/>
      <c r="C219" s="6"/>
      <c r="D219" s="6"/>
      <c r="E219" s="6"/>
      <c r="F219" s="6"/>
      <c r="G219" s="6"/>
      <c r="H219" s="56"/>
      <c r="I219" s="56"/>
      <c r="J219" s="56"/>
      <c r="K219" s="56"/>
      <c r="L219" s="56"/>
      <c r="M219" s="6"/>
    </row>
    <row r="220" spans="2:17" x14ac:dyDescent="0.25">
      <c r="B220" s="6"/>
      <c r="C220" s="6"/>
      <c r="D220" s="6"/>
      <c r="E220" s="6"/>
      <c r="F220" s="6"/>
      <c r="G220" s="6"/>
      <c r="H220" s="56"/>
      <c r="I220" s="56"/>
      <c r="J220" s="56"/>
      <c r="K220" s="56"/>
      <c r="L220" s="56"/>
      <c r="M220" s="6"/>
    </row>
    <row r="221" spans="2:17" x14ac:dyDescent="0.25">
      <c r="B221" s="6"/>
      <c r="C221" s="6"/>
      <c r="D221" s="6"/>
      <c r="E221" s="6"/>
      <c r="F221" s="6"/>
      <c r="G221" s="6"/>
      <c r="H221" s="56"/>
      <c r="I221" s="56"/>
      <c r="J221" s="56"/>
      <c r="K221" s="56"/>
      <c r="L221" s="56"/>
      <c r="M221" s="6"/>
    </row>
    <row r="222" spans="2:17" x14ac:dyDescent="0.25">
      <c r="B222" s="6"/>
      <c r="C222" s="6"/>
      <c r="D222" s="6"/>
      <c r="E222" s="6"/>
      <c r="F222" s="6"/>
      <c r="G222" s="6"/>
      <c r="H222" s="56"/>
      <c r="I222" s="56"/>
      <c r="J222" s="56"/>
      <c r="K222" s="56"/>
      <c r="L222" s="56"/>
      <c r="M222" s="6"/>
    </row>
    <row r="223" spans="2:17" x14ac:dyDescent="0.25">
      <c r="B223" s="6"/>
      <c r="C223" s="6"/>
      <c r="D223" s="6"/>
      <c r="E223" s="6"/>
      <c r="F223" s="6"/>
      <c r="G223" s="6"/>
      <c r="H223" s="56"/>
      <c r="I223" s="56"/>
      <c r="J223" s="56"/>
      <c r="K223" s="56"/>
      <c r="L223" s="56"/>
      <c r="M223" s="6"/>
    </row>
    <row r="224" spans="2:17" x14ac:dyDescent="0.25">
      <c r="B224" s="6"/>
      <c r="C224" s="6"/>
      <c r="D224" s="6"/>
      <c r="E224" s="6"/>
      <c r="F224" s="6"/>
      <c r="G224" s="6"/>
      <c r="H224" s="56"/>
      <c r="I224" s="56"/>
      <c r="J224" s="56"/>
      <c r="K224" s="56"/>
      <c r="L224" s="56"/>
      <c r="M224" s="6"/>
    </row>
    <row r="225" spans="2:13" x14ac:dyDescent="0.25">
      <c r="B225" s="6"/>
      <c r="C225" s="6"/>
      <c r="D225" s="6"/>
      <c r="E225" s="6"/>
      <c r="F225" s="6"/>
      <c r="G225" s="6"/>
      <c r="H225" s="56"/>
      <c r="I225" s="56"/>
      <c r="J225" s="56"/>
      <c r="K225" s="56"/>
      <c r="L225" s="56"/>
      <c r="M225" s="6"/>
    </row>
    <row r="226" spans="2:13" x14ac:dyDescent="0.25">
      <c r="B226" s="6"/>
      <c r="C226" s="6"/>
      <c r="D226" s="6"/>
      <c r="E226" s="6"/>
      <c r="F226" s="6"/>
      <c r="G226" s="6"/>
      <c r="H226" s="56"/>
      <c r="I226" s="56"/>
      <c r="J226" s="56"/>
      <c r="K226" s="56"/>
      <c r="L226" s="56"/>
      <c r="M226" s="6"/>
    </row>
    <row r="227" spans="2:13" x14ac:dyDescent="0.25">
      <c r="B227" s="6"/>
      <c r="C227" s="6"/>
      <c r="D227" s="6"/>
      <c r="E227" s="6"/>
      <c r="F227" s="6"/>
      <c r="G227" s="6"/>
      <c r="H227" s="56"/>
      <c r="I227" s="56"/>
      <c r="J227" s="56"/>
      <c r="K227" s="56"/>
      <c r="L227" s="56"/>
      <c r="M227" s="6"/>
    </row>
    <row r="228" spans="2:13" x14ac:dyDescent="0.25">
      <c r="B228" s="6"/>
      <c r="C228" s="6"/>
      <c r="D228" s="6"/>
      <c r="E228" s="6"/>
      <c r="F228" s="6"/>
      <c r="G228" s="6"/>
      <c r="H228" s="56"/>
      <c r="I228" s="56"/>
      <c r="J228" s="56"/>
      <c r="K228" s="56"/>
      <c r="L228" s="56"/>
      <c r="M228" s="6"/>
    </row>
    <row r="229" spans="2:13" x14ac:dyDescent="0.25">
      <c r="B229" s="6"/>
      <c r="C229" s="6"/>
      <c r="D229" s="6"/>
      <c r="E229" s="6"/>
      <c r="F229" s="6"/>
      <c r="G229" s="6"/>
      <c r="H229" s="56"/>
      <c r="I229" s="56"/>
      <c r="J229" s="56"/>
      <c r="K229" s="56"/>
      <c r="L229" s="56"/>
      <c r="M229" s="6"/>
    </row>
    <row r="230" spans="2:13" x14ac:dyDescent="0.25">
      <c r="B230" s="6"/>
      <c r="C230" s="6"/>
      <c r="D230" s="6"/>
      <c r="E230" s="6"/>
      <c r="F230" s="6"/>
      <c r="G230" s="6"/>
      <c r="H230" s="56"/>
      <c r="I230" s="56"/>
      <c r="J230" s="56"/>
      <c r="K230" s="56"/>
      <c r="L230" s="56"/>
      <c r="M230" s="6"/>
    </row>
    <row r="231" spans="2:13" x14ac:dyDescent="0.25">
      <c r="B231" s="6"/>
      <c r="C231" s="6"/>
      <c r="D231" s="6"/>
      <c r="E231" s="6"/>
      <c r="F231" s="6"/>
      <c r="G231" s="6"/>
      <c r="H231" s="56"/>
      <c r="I231" s="56"/>
      <c r="J231" s="56"/>
      <c r="K231" s="56"/>
      <c r="L231" s="56"/>
      <c r="M231" s="6"/>
    </row>
    <row r="232" spans="2:13" x14ac:dyDescent="0.25">
      <c r="B232" s="6"/>
      <c r="C232" s="6"/>
      <c r="D232" s="6"/>
      <c r="E232" s="6"/>
      <c r="F232" s="6"/>
      <c r="G232" s="6"/>
      <c r="H232" s="56"/>
      <c r="I232" s="56"/>
      <c r="J232" s="56"/>
      <c r="K232" s="56"/>
      <c r="L232" s="56"/>
      <c r="M232" s="6"/>
    </row>
    <row r="233" spans="2:13" x14ac:dyDescent="0.25">
      <c r="B233" s="6"/>
      <c r="C233" s="6"/>
      <c r="D233" s="6"/>
      <c r="E233" s="6"/>
      <c r="F233" s="6"/>
      <c r="G233" s="6"/>
      <c r="H233" s="56"/>
      <c r="I233" s="56"/>
      <c r="J233" s="56"/>
      <c r="K233" s="56"/>
      <c r="L233" s="56"/>
      <c r="M233" s="6"/>
    </row>
    <row r="234" spans="2:13" x14ac:dyDescent="0.25">
      <c r="B234" s="6"/>
      <c r="C234" s="6"/>
      <c r="D234" s="6"/>
      <c r="E234" s="6"/>
      <c r="F234" s="6"/>
      <c r="G234" s="6"/>
      <c r="H234" s="56"/>
      <c r="I234" s="56"/>
      <c r="J234" s="56"/>
      <c r="K234" s="56"/>
      <c r="L234" s="56"/>
      <c r="M234" s="6"/>
    </row>
    <row r="235" spans="2:13" x14ac:dyDescent="0.25">
      <c r="B235" s="6"/>
      <c r="C235" s="6"/>
      <c r="D235" s="6"/>
      <c r="E235" s="6"/>
      <c r="F235" s="6"/>
      <c r="G235" s="6"/>
      <c r="H235" s="56"/>
      <c r="I235" s="56"/>
      <c r="J235" s="56"/>
      <c r="K235" s="56"/>
      <c r="L235" s="56"/>
      <c r="M235" s="6"/>
    </row>
    <row r="236" spans="2:13" x14ac:dyDescent="0.25">
      <c r="B236" s="6"/>
      <c r="C236" s="6"/>
      <c r="D236" s="6"/>
      <c r="E236" s="6"/>
      <c r="F236" s="6"/>
      <c r="G236" s="6"/>
      <c r="H236" s="56"/>
      <c r="I236" s="56"/>
      <c r="J236" s="56"/>
      <c r="K236" s="56"/>
      <c r="L236" s="56"/>
      <c r="M236" s="6"/>
    </row>
    <row r="237" spans="2:13" x14ac:dyDescent="0.25">
      <c r="B237" s="6"/>
      <c r="C237" s="6"/>
      <c r="D237" s="6"/>
      <c r="E237" s="6"/>
      <c r="F237" s="6"/>
      <c r="G237" s="6"/>
      <c r="H237" s="56"/>
      <c r="I237" s="56"/>
      <c r="J237" s="56"/>
      <c r="K237" s="56"/>
      <c r="L237" s="56"/>
      <c r="M237" s="6"/>
    </row>
    <row r="238" spans="2:13" x14ac:dyDescent="0.25">
      <c r="B238" s="6"/>
      <c r="C238" s="6"/>
      <c r="D238" s="6"/>
      <c r="E238" s="6"/>
      <c r="F238" s="6"/>
      <c r="G238" s="6"/>
      <c r="H238" s="56"/>
      <c r="I238" s="56"/>
      <c r="J238" s="56"/>
      <c r="K238" s="56"/>
      <c r="L238" s="56"/>
      <c r="M238" s="6"/>
    </row>
    <row r="239" spans="2:13" x14ac:dyDescent="0.25">
      <c r="B239" s="6"/>
      <c r="C239" s="6"/>
      <c r="D239" s="6"/>
      <c r="E239" s="6"/>
      <c r="F239" s="6"/>
      <c r="G239" s="6"/>
      <c r="H239" s="56"/>
      <c r="I239" s="56"/>
      <c r="J239" s="56"/>
      <c r="K239" s="56"/>
      <c r="L239" s="56"/>
      <c r="M239" s="6"/>
    </row>
    <row r="240" spans="2:13" x14ac:dyDescent="0.25">
      <c r="B240" s="6"/>
      <c r="C240" s="6"/>
      <c r="D240" s="6"/>
      <c r="E240" s="6"/>
      <c r="F240" s="6"/>
      <c r="G240" s="6"/>
      <c r="H240" s="56"/>
      <c r="I240" s="56"/>
      <c r="J240" s="56"/>
      <c r="K240" s="56"/>
      <c r="L240" s="56"/>
      <c r="M240" s="6"/>
    </row>
    <row r="241" spans="10:13" x14ac:dyDescent="0.25">
      <c r="J241" s="6"/>
      <c r="K241" s="6"/>
      <c r="L241" s="6"/>
      <c r="M241" s="6"/>
    </row>
    <row r="242" spans="10:13" x14ac:dyDescent="0.25">
      <c r="J242" s="6"/>
      <c r="K242" s="6"/>
      <c r="L242" s="6"/>
      <c r="M242" s="6"/>
    </row>
    <row r="243" spans="10:13" x14ac:dyDescent="0.25">
      <c r="J243" s="6"/>
      <c r="K243" s="6"/>
      <c r="L243" s="6"/>
      <c r="M243" s="6"/>
    </row>
    <row r="244" spans="10:13" x14ac:dyDescent="0.25">
      <c r="J244" s="6"/>
      <c r="K244" s="6"/>
      <c r="L244" s="6"/>
      <c r="M244" s="6"/>
    </row>
  </sheetData>
  <autoFilter ref="B7:S41">
    <filterColumn colId="2">
      <filters>
        <filter val="PVC TIE RAB BLACK 3.6 MM"/>
        <filter val="PVC TIE RAB BLACK 4.8 MM"/>
        <filter val="PVC TIE RAB BLACK 8.8 MM"/>
        <filter val="PVC TIE RAB WHITE 2.5 MM"/>
        <filter val="PVC TIE RAB WHITE 3.6 MM"/>
        <filter val="ST. STEEL CABLE TIE 150 × 4.6 × .25 MM (BU 46-150 RAYCHEM)"/>
        <filter val="ST. STEEL CABLE TIE 200 × 4.6 × .25 MM (BU 46-200 RAYCHEM)"/>
        <filter val="ST. STEEL CABLE TIE 360 × 4.6 × .25 MM (BU 46-360 RAYCHEM)"/>
        <filter val="ST. STEEL CABLE TIE 520 × 4.6 × .25 MM (BU 46-520 RAYCHEM)"/>
      </filters>
    </filterColumn>
  </autoFilter>
  <mergeCells count="4">
    <mergeCell ref="K6:L6"/>
    <mergeCell ref="B1:D1"/>
    <mergeCell ref="B3:D3"/>
    <mergeCell ref="O3:Q4"/>
  </mergeCells>
  <conditionalFormatting sqref="D8">
    <cfRule type="expression" dxfId="25" priority="29">
      <formula>J8&lt;=0</formula>
    </cfRule>
  </conditionalFormatting>
  <conditionalFormatting sqref="D9 D13:D20">
    <cfRule type="expression" dxfId="24" priority="28">
      <formula>J9&lt;=0</formula>
    </cfRule>
  </conditionalFormatting>
  <conditionalFormatting sqref="D29">
    <cfRule type="expression" dxfId="23" priority="27">
      <formula>J29&lt;=0</formula>
    </cfRule>
  </conditionalFormatting>
  <conditionalFormatting sqref="D28">
    <cfRule type="expression" dxfId="22" priority="26">
      <formula>J28&lt;=0</formula>
    </cfRule>
  </conditionalFormatting>
  <conditionalFormatting sqref="D27">
    <cfRule type="expression" dxfId="21" priority="25">
      <formula>J27&lt;=0</formula>
    </cfRule>
  </conditionalFormatting>
  <conditionalFormatting sqref="D25">
    <cfRule type="expression" dxfId="20" priority="24">
      <formula>J25&lt;=0</formula>
    </cfRule>
  </conditionalFormatting>
  <conditionalFormatting sqref="D22">
    <cfRule type="expression" dxfId="19" priority="23">
      <formula>J22&lt;=0</formula>
    </cfRule>
  </conditionalFormatting>
  <conditionalFormatting sqref="D21">
    <cfRule type="expression" dxfId="18" priority="21">
      <formula>J21&lt;=0</formula>
    </cfRule>
  </conditionalFormatting>
  <conditionalFormatting sqref="D24">
    <cfRule type="expression" dxfId="17" priority="20">
      <formula>J24&lt;=0</formula>
    </cfRule>
  </conditionalFormatting>
  <conditionalFormatting sqref="D23">
    <cfRule type="expression" dxfId="16" priority="19">
      <formula>J23&lt;=0</formula>
    </cfRule>
  </conditionalFormatting>
  <conditionalFormatting sqref="D32">
    <cfRule type="expression" dxfId="15" priority="17">
      <formula>J32&lt;=0</formula>
    </cfRule>
  </conditionalFormatting>
  <conditionalFormatting sqref="D11">
    <cfRule type="expression" dxfId="14" priority="16">
      <formula>J11&lt;=0</formula>
    </cfRule>
  </conditionalFormatting>
  <conditionalFormatting sqref="D12">
    <cfRule type="expression" dxfId="13" priority="15">
      <formula>J12&lt;=0</formula>
    </cfRule>
  </conditionalFormatting>
  <conditionalFormatting sqref="D34">
    <cfRule type="expression" dxfId="12" priority="14">
      <formula>J34&lt;=0</formula>
    </cfRule>
  </conditionalFormatting>
  <conditionalFormatting sqref="D33">
    <cfRule type="expression" dxfId="11" priority="13">
      <formula>J33&lt;=0</formula>
    </cfRule>
  </conditionalFormatting>
  <conditionalFormatting sqref="D35">
    <cfRule type="expression" dxfId="10" priority="12">
      <formula>J35&lt;=0</formula>
    </cfRule>
  </conditionalFormatting>
  <conditionalFormatting sqref="D31">
    <cfRule type="expression" dxfId="9" priority="11">
      <formula>J31&lt;=0</formula>
    </cfRule>
  </conditionalFormatting>
  <conditionalFormatting sqref="D30">
    <cfRule type="expression" dxfId="8" priority="9">
      <formula>J30&lt;=0</formula>
    </cfRule>
  </conditionalFormatting>
  <conditionalFormatting sqref="D26">
    <cfRule type="expression" dxfId="7" priority="8">
      <formula>J26&lt;=0</formula>
    </cfRule>
  </conditionalFormatting>
  <conditionalFormatting sqref="D37">
    <cfRule type="expression" dxfId="6" priority="7">
      <formula>J37&lt;=0</formula>
    </cfRule>
  </conditionalFormatting>
  <conditionalFormatting sqref="D39">
    <cfRule type="expression" dxfId="5" priority="6">
      <formula>J39&lt;=0</formula>
    </cfRule>
  </conditionalFormatting>
  <conditionalFormatting sqref="D38">
    <cfRule type="expression" dxfId="4" priority="5">
      <formula>J38&lt;=0</formula>
    </cfRule>
  </conditionalFormatting>
  <conditionalFormatting sqref="D40">
    <cfRule type="expression" dxfId="3" priority="4">
      <formula>J40&lt;=0</formula>
    </cfRule>
  </conditionalFormatting>
  <conditionalFormatting sqref="D36">
    <cfRule type="expression" dxfId="2" priority="3">
      <formula>J36&lt;=0</formula>
    </cfRule>
  </conditionalFormatting>
  <conditionalFormatting sqref="D10">
    <cfRule type="expression" dxfId="1" priority="2">
      <formula>J10&lt;=0</formula>
    </cfRule>
  </conditionalFormatting>
  <conditionalFormatting sqref="D41:D48">
    <cfRule type="expression" dxfId="0" priority="1">
      <formula>J41&lt;=0</formula>
    </cfRule>
  </conditionalFormatting>
  <pageMargins left="0.70866141732283472" right="0.70866141732283472" top="0.74803149606299213" bottom="0.74803149606299213" header="0.31496062992125984" footer="0.31496062992125984"/>
  <pageSetup paperSize="9" scale="76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PVC</vt:lpstr>
      <vt:lpstr>IMC &amp; EMT</vt:lpstr>
      <vt:lpstr>ELEC. CONSUMABLE</vt:lpstr>
      <vt:lpstr>Sheet1</vt:lpstr>
      <vt:lpstr>'ELEC. CONSUMABLE'!Print_Area</vt:lpstr>
      <vt:lpstr>'IMC &amp; EMT'!Print_Area</vt:lpstr>
      <vt:lpstr>PVC!Print_Area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2018-12-14T14:31:20Z</dcterms:modified>
</cp:coreProperties>
</file>