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0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ayan\Desktop\"/>
    </mc:Choice>
  </mc:AlternateContent>
  <bookViews>
    <workbookView xWindow="480" yWindow="90" windowWidth="14355" windowHeight="5445" firstSheet="5" activeTab="1" xr2:uid="{00000000-000D-0000-FFFF-FFFF00000000}"/>
  </bookViews>
  <sheets>
    <sheet name="حضور" sheetId="38" r:id="rId1"/>
    <sheet name="استماع" sheetId="35" r:id="rId2"/>
    <sheet name="اختبار" sheetId="31" r:id="rId3"/>
    <sheet name="ثنائي" sheetId="32" r:id="rId4"/>
    <sheet name="فردي" sheetId="33" r:id="rId5"/>
    <sheet name="صفحات" sheetId="36" r:id="rId6"/>
    <sheet name="اجزاء" sheetId="21" r:id="rId7"/>
    <sheet name="ك يومي" sheetId="24" r:id="rId8"/>
    <sheet name="تقرير" sheetId="20" r:id="rId9"/>
  </sheets>
  <definedNames>
    <definedName name="_xlnm._FilterDatabase" localSheetId="6" hidden="1">اجزاء!$A$1:$K$32</definedName>
  </definedNames>
  <calcPr calcId="171026"/>
</workbook>
</file>

<file path=xl/calcChain.xml><?xml version="1.0" encoding="utf-8"?>
<calcChain xmlns="http://schemas.openxmlformats.org/spreadsheetml/2006/main">
  <c r="E4" i="35" l="1"/>
  <c r="C7" i="35"/>
  <c r="E7" i="35"/>
  <c r="G7" i="35"/>
  <c r="I7" i="35"/>
  <c r="K7" i="35"/>
  <c r="O7" i="35"/>
  <c r="E3" i="35"/>
  <c r="G3" i="35"/>
  <c r="I3" i="35"/>
  <c r="K3" i="35"/>
  <c r="C4" i="35"/>
  <c r="G4" i="35"/>
  <c r="I4" i="35"/>
  <c r="K4" i="35"/>
  <c r="C5" i="35"/>
  <c r="E5" i="35"/>
  <c r="G5" i="35"/>
  <c r="I5" i="35"/>
  <c r="K5" i="35"/>
  <c r="G6" i="35"/>
  <c r="I6" i="35"/>
  <c r="K6" i="35"/>
  <c r="E8" i="35"/>
  <c r="G8" i="35"/>
  <c r="I8" i="35"/>
  <c r="K8" i="35"/>
  <c r="E9" i="35"/>
  <c r="G9" i="35"/>
  <c r="I9" i="35"/>
  <c r="K9" i="35"/>
  <c r="C10" i="35"/>
  <c r="E10" i="35"/>
  <c r="G10" i="35"/>
  <c r="I10" i="35"/>
  <c r="K10" i="35"/>
  <c r="C11" i="35"/>
  <c r="E11" i="35"/>
  <c r="G11" i="35"/>
  <c r="I11" i="35"/>
  <c r="K11" i="35"/>
  <c r="C12" i="35"/>
  <c r="E12" i="35"/>
  <c r="G12" i="35"/>
  <c r="I12" i="35"/>
  <c r="K12" i="35"/>
  <c r="C13" i="35"/>
  <c r="E13" i="35"/>
  <c r="G13" i="35"/>
  <c r="I13" i="35"/>
  <c r="K13" i="35"/>
  <c r="C14" i="35"/>
  <c r="E14" i="35"/>
  <c r="G14" i="35"/>
  <c r="I14" i="35"/>
  <c r="K14" i="35"/>
  <c r="C15" i="35"/>
  <c r="G15" i="35"/>
  <c r="I15" i="35"/>
  <c r="K15" i="35"/>
  <c r="C16" i="35"/>
  <c r="E16" i="35"/>
  <c r="G16" i="35"/>
  <c r="I16" i="35"/>
  <c r="K16" i="35"/>
  <c r="C17" i="35"/>
  <c r="E17" i="35"/>
  <c r="G17" i="35"/>
  <c r="I17" i="35"/>
  <c r="K17" i="35"/>
  <c r="C21" i="35"/>
  <c r="E21" i="35"/>
  <c r="G21" i="35"/>
  <c r="I21" i="35"/>
  <c r="K21" i="35"/>
  <c r="C22" i="35"/>
  <c r="I22" i="35"/>
  <c r="K22" i="35"/>
  <c r="C23" i="35"/>
  <c r="I23" i="35"/>
  <c r="K23" i="35"/>
  <c r="C24" i="35"/>
  <c r="I24" i="35"/>
  <c r="K24" i="35"/>
  <c r="C25" i="35"/>
  <c r="I25" i="35"/>
  <c r="K25" i="35"/>
  <c r="C26" i="35"/>
  <c r="I26" i="35"/>
  <c r="K26" i="35"/>
  <c r="C27" i="35"/>
  <c r="I27" i="35"/>
  <c r="K27" i="35"/>
  <c r="C28" i="35"/>
  <c r="E28" i="35"/>
  <c r="G28" i="35"/>
  <c r="I28" i="35"/>
  <c r="K28" i="35"/>
  <c r="I29" i="35"/>
  <c r="B4" i="36" a="1"/>
  <c r="B4" i="36"/>
  <c r="D3" i="21"/>
  <c r="D4" i="21"/>
  <c r="D5" i="21"/>
  <c r="D6" i="21"/>
  <c r="D7" i="21"/>
  <c r="D8" i="21"/>
  <c r="D9" i="21"/>
  <c r="D10" i="21"/>
  <c r="D11" i="21"/>
  <c r="D12" i="21"/>
  <c r="D13" i="21"/>
  <c r="D34" i="21"/>
  <c r="E3" i="21"/>
  <c r="E4" i="21"/>
  <c r="E5" i="21"/>
  <c r="E6" i="21"/>
  <c r="E7" i="21"/>
  <c r="E8" i="21"/>
  <c r="E9" i="21"/>
  <c r="E10" i="21"/>
  <c r="E11" i="21"/>
  <c r="E12" i="21"/>
  <c r="E13" i="21"/>
  <c r="E34" i="21"/>
  <c r="F3" i="21"/>
  <c r="F4" i="21"/>
  <c r="F5" i="21"/>
  <c r="F6" i="21"/>
  <c r="F7" i="21"/>
  <c r="F8" i="21"/>
  <c r="F9" i="21"/>
  <c r="F10" i="21"/>
  <c r="F11" i="21"/>
  <c r="F12" i="21"/>
  <c r="F13" i="21"/>
  <c r="F34" i="21"/>
  <c r="G3" i="21"/>
  <c r="G4" i="21"/>
  <c r="G5" i="21"/>
  <c r="G6" i="21"/>
  <c r="G7" i="21"/>
  <c r="G8" i="21"/>
  <c r="G9" i="21"/>
  <c r="G10" i="21"/>
  <c r="G11" i="21"/>
  <c r="G12" i="21"/>
  <c r="G13" i="21"/>
  <c r="G34" i="21"/>
  <c r="H3" i="21"/>
  <c r="H4" i="21"/>
  <c r="H5" i="21"/>
  <c r="H6" i="21"/>
  <c r="H7" i="21"/>
  <c r="H8" i="21"/>
  <c r="H9" i="21"/>
  <c r="H10" i="21"/>
  <c r="H11" i="21"/>
  <c r="H12" i="21"/>
  <c r="H13" i="21"/>
  <c r="H34" i="21"/>
  <c r="I3" i="21"/>
  <c r="I4" i="21"/>
  <c r="I5" i="21"/>
  <c r="I6" i="21"/>
  <c r="I7" i="21"/>
  <c r="I8" i="21"/>
  <c r="I9" i="21"/>
  <c r="I10" i="21"/>
  <c r="I11" i="21"/>
  <c r="I12" i="21"/>
  <c r="I13" i="21"/>
  <c r="I34" i="21"/>
  <c r="J3" i="21"/>
  <c r="J4" i="21"/>
  <c r="J5" i="21"/>
  <c r="J6" i="21"/>
  <c r="J7" i="21"/>
  <c r="J8" i="21"/>
  <c r="J9" i="21"/>
  <c r="J10" i="21"/>
  <c r="J11" i="21"/>
  <c r="J12" i="21"/>
  <c r="J13" i="21"/>
  <c r="J34" i="21"/>
  <c r="K3" i="21"/>
  <c r="K34" i="21"/>
  <c r="C3" i="21"/>
  <c r="C4" i="21"/>
  <c r="C5" i="21"/>
  <c r="C6" i="21"/>
  <c r="C7" i="21"/>
  <c r="C8" i="21"/>
  <c r="C9" i="21"/>
  <c r="C10" i="21"/>
  <c r="C11" i="21"/>
  <c r="C12" i="21"/>
  <c r="C13" i="21"/>
  <c r="C34" i="21"/>
  <c r="H33" i="21"/>
  <c r="G33" i="21"/>
  <c r="K33" i="21"/>
  <c r="F33" i="21"/>
  <c r="E33" i="21"/>
  <c r="D33" i="21"/>
  <c r="C33" i="21"/>
  <c r="J33" i="21"/>
  <c r="I33" i="21"/>
  <c r="L4" i="21"/>
  <c r="K22" i="21"/>
  <c r="J22" i="21"/>
  <c r="I22" i="21"/>
  <c r="H22" i="21"/>
  <c r="G22" i="21"/>
  <c r="F22" i="21"/>
  <c r="E22" i="21"/>
  <c r="D22" i="21"/>
  <c r="C22" i="21"/>
  <c r="K21" i="21"/>
  <c r="J21" i="21"/>
  <c r="I21" i="21"/>
  <c r="H21" i="21"/>
  <c r="G21" i="21"/>
  <c r="F21" i="21"/>
  <c r="E21" i="21"/>
  <c r="D21" i="21"/>
  <c r="C21" i="21"/>
  <c r="K20" i="21"/>
  <c r="J20" i="21"/>
  <c r="I20" i="21"/>
  <c r="H20" i="21"/>
  <c r="G20" i="21"/>
  <c r="F20" i="21"/>
  <c r="E20" i="21"/>
  <c r="D20" i="21"/>
  <c r="C20" i="21"/>
  <c r="K19" i="21"/>
  <c r="J19" i="21"/>
  <c r="I19" i="21"/>
  <c r="H19" i="21"/>
  <c r="G19" i="21"/>
  <c r="F19" i="21"/>
  <c r="E19" i="21"/>
  <c r="D19" i="21"/>
  <c r="C19" i="21"/>
  <c r="K18" i="21"/>
  <c r="J18" i="21"/>
  <c r="I18" i="21"/>
  <c r="H18" i="21"/>
  <c r="G18" i="21"/>
  <c r="F18" i="21"/>
  <c r="E18" i="21"/>
  <c r="D18" i="21"/>
  <c r="C18" i="21"/>
  <c r="K17" i="21"/>
  <c r="J17" i="21"/>
  <c r="I17" i="21"/>
  <c r="H17" i="21"/>
  <c r="G17" i="21"/>
  <c r="F17" i="21"/>
  <c r="E17" i="21"/>
  <c r="D17" i="21"/>
  <c r="C17" i="21"/>
  <c r="K16" i="21"/>
  <c r="J16" i="21"/>
  <c r="I16" i="21"/>
  <c r="H16" i="21"/>
  <c r="G16" i="21"/>
  <c r="F16" i="21"/>
  <c r="E16" i="21"/>
  <c r="D16" i="21"/>
  <c r="C16" i="21"/>
  <c r="K15" i="21"/>
  <c r="J15" i="21"/>
  <c r="I15" i="21"/>
  <c r="H15" i="21"/>
  <c r="G15" i="21"/>
  <c r="F15" i="21"/>
  <c r="E15" i="21"/>
  <c r="D15" i="21"/>
  <c r="C15" i="21"/>
  <c r="K14" i="21"/>
  <c r="J14" i="21"/>
  <c r="I14" i="21"/>
  <c r="H14" i="21"/>
  <c r="G14" i="21"/>
  <c r="F14" i="21"/>
  <c r="E14" i="21"/>
  <c r="D14" i="21"/>
  <c r="C14" i="21"/>
  <c r="K13" i="21"/>
  <c r="K12" i="21"/>
  <c r="K11" i="21"/>
  <c r="K10" i="21"/>
  <c r="K9" i="21"/>
  <c r="K8" i="21"/>
  <c r="K7" i="21"/>
  <c r="K6" i="21"/>
  <c r="K5" i="21"/>
  <c r="K4" i="21"/>
  <c r="C23" i="21"/>
  <c r="D23" i="21"/>
  <c r="E23" i="21"/>
  <c r="F23" i="21"/>
  <c r="G23" i="21"/>
  <c r="H23" i="21"/>
  <c r="I23" i="21"/>
  <c r="J23" i="21"/>
  <c r="K23" i="21"/>
  <c r="C24" i="21"/>
  <c r="D24" i="21"/>
  <c r="E24" i="21"/>
  <c r="F24" i="21"/>
  <c r="G24" i="21"/>
  <c r="H24" i="21"/>
  <c r="I24" i="21"/>
  <c r="J24" i="21"/>
  <c r="K24" i="21"/>
  <c r="C25" i="21"/>
  <c r="D25" i="21"/>
  <c r="E25" i="21"/>
  <c r="F25" i="21"/>
  <c r="G25" i="21"/>
  <c r="H25" i="21"/>
  <c r="I25" i="21"/>
  <c r="J25" i="21"/>
  <c r="K25" i="21"/>
  <c r="C26" i="21"/>
  <c r="D26" i="21"/>
  <c r="E26" i="21"/>
  <c r="F26" i="21"/>
  <c r="G26" i="21"/>
  <c r="H26" i="21"/>
  <c r="I26" i="21"/>
  <c r="J26" i="21"/>
  <c r="K26" i="21"/>
  <c r="C27" i="21"/>
  <c r="D27" i="21"/>
  <c r="E27" i="21"/>
  <c r="F27" i="21"/>
  <c r="G27" i="21"/>
  <c r="H27" i="21"/>
  <c r="I27" i="21"/>
  <c r="J27" i="21"/>
  <c r="K27" i="21"/>
  <c r="C28" i="21"/>
  <c r="D28" i="21"/>
  <c r="E28" i="21"/>
  <c r="F28" i="21"/>
  <c r="G28" i="21"/>
  <c r="H28" i="21"/>
  <c r="I28" i="21"/>
  <c r="J28" i="21"/>
  <c r="K28" i="21"/>
  <c r="C29" i="21"/>
  <c r="D29" i="21"/>
  <c r="E29" i="21"/>
  <c r="F29" i="21"/>
  <c r="G29" i="21"/>
  <c r="H29" i="21"/>
  <c r="I29" i="21"/>
  <c r="J29" i="21"/>
  <c r="K29" i="21"/>
  <c r="C30" i="21"/>
  <c r="D30" i="21"/>
  <c r="E30" i="21"/>
  <c r="F30" i="21"/>
  <c r="G30" i="21"/>
  <c r="H30" i="21"/>
  <c r="I30" i="21"/>
  <c r="J30" i="21"/>
  <c r="K30" i="21"/>
  <c r="C31" i="21"/>
  <c r="D31" i="21"/>
  <c r="E31" i="21"/>
  <c r="F31" i="21"/>
  <c r="G31" i="21"/>
  <c r="H31" i="21"/>
  <c r="I31" i="21"/>
  <c r="J31" i="21"/>
  <c r="K31" i="21"/>
  <c r="C32" i="21"/>
  <c r="D32" i="21"/>
  <c r="E32" i="21"/>
  <c r="F32" i="21"/>
  <c r="G32" i="21"/>
  <c r="H32" i="21"/>
  <c r="I32" i="21"/>
  <c r="J32" i="21"/>
  <c r="K32" i="21"/>
  <c r="M26" i="35"/>
  <c r="N26" i="35"/>
  <c r="O26" i="35"/>
  <c r="M20" i="35"/>
  <c r="N20" i="35"/>
  <c r="O20" i="35"/>
  <c r="M21" i="35"/>
  <c r="N21" i="35"/>
  <c r="O21" i="35"/>
  <c r="M5" i="35"/>
  <c r="N5" i="35"/>
  <c r="O5" i="35"/>
  <c r="M6" i="35"/>
  <c r="N6" i="35"/>
  <c r="O6" i="35"/>
  <c r="M7" i="35"/>
  <c r="N7" i="35"/>
  <c r="M8" i="35"/>
  <c r="N8" i="35"/>
  <c r="O8" i="35"/>
  <c r="M9" i="35"/>
  <c r="N9" i="35"/>
  <c r="O9" i="35"/>
  <c r="M10" i="35"/>
  <c r="N10" i="35"/>
  <c r="O10" i="35"/>
  <c r="M11" i="35"/>
  <c r="N11" i="35"/>
  <c r="O11" i="35"/>
  <c r="M12" i="35"/>
  <c r="N12" i="35"/>
  <c r="O12" i="35"/>
  <c r="M13" i="35"/>
  <c r="N13" i="35"/>
  <c r="O13" i="35"/>
  <c r="M14" i="35"/>
  <c r="N14" i="35"/>
  <c r="O14" i="35"/>
  <c r="M15" i="35"/>
  <c r="N15" i="35"/>
  <c r="O15" i="35"/>
  <c r="M17" i="35"/>
  <c r="N17" i="35"/>
  <c r="O17" i="35"/>
  <c r="M22" i="35"/>
  <c r="N22" i="35"/>
  <c r="O22" i="35"/>
  <c r="M23" i="35"/>
  <c r="N23" i="35"/>
  <c r="O23" i="35"/>
  <c r="M27" i="35"/>
  <c r="N27" i="35"/>
  <c r="O27" i="35"/>
  <c r="M28" i="35"/>
  <c r="N28" i="35"/>
  <c r="O28" i="35"/>
  <c r="M29" i="35"/>
  <c r="N29" i="35"/>
  <c r="O29" i="35"/>
  <c r="M30" i="35"/>
  <c r="N30" i="35"/>
  <c r="O30" i="35"/>
  <c r="M31" i="35"/>
  <c r="N31" i="35"/>
  <c r="O31" i="35"/>
  <c r="M32" i="35"/>
  <c r="N32" i="35"/>
  <c r="O32" i="35"/>
  <c r="M33" i="35"/>
  <c r="N33" i="35"/>
  <c r="O33" i="35"/>
  <c r="M34" i="35"/>
  <c r="N34" i="35"/>
  <c r="O34" i="35"/>
  <c r="F5" i="24"/>
  <c r="E5" i="24"/>
  <c r="D5" i="24"/>
  <c r="C5" i="24"/>
  <c r="B5" i="24"/>
  <c r="D7" i="24"/>
  <c r="C7" i="24"/>
  <c r="B13" i="24"/>
  <c r="C37" i="38"/>
  <c r="C5" i="20"/>
  <c r="D5" i="20"/>
  <c r="E5" i="20"/>
  <c r="F5" i="20"/>
  <c r="G5" i="20"/>
  <c r="C17" i="20"/>
  <c r="H5" i="20"/>
  <c r="I5" i="20"/>
  <c r="J5" i="20"/>
  <c r="K5" i="20"/>
  <c r="N5" i="20"/>
  <c r="L5" i="20"/>
  <c r="O5" i="20"/>
  <c r="M5" i="20"/>
  <c r="P5" i="20"/>
  <c r="Q5" i="20"/>
  <c r="S5" i="20"/>
  <c r="T5" i="20"/>
  <c r="V5" i="20"/>
  <c r="W5" i="20"/>
  <c r="Y5" i="20"/>
  <c r="AA5" i="20"/>
  <c r="AB5" i="20"/>
  <c r="AC5" i="20"/>
  <c r="AD5" i="20"/>
  <c r="AE5" i="20"/>
  <c r="C6" i="20"/>
  <c r="D6" i="20"/>
  <c r="E6" i="20"/>
  <c r="F6" i="20"/>
  <c r="G6" i="20"/>
  <c r="H6" i="20"/>
  <c r="I6" i="20"/>
  <c r="J6" i="20"/>
  <c r="K6" i="20"/>
  <c r="N6" i="20"/>
  <c r="L6" i="20"/>
  <c r="O6" i="20"/>
  <c r="M6" i="20"/>
  <c r="P6" i="20"/>
  <c r="Q6" i="20"/>
  <c r="S6" i="20"/>
  <c r="T6" i="20"/>
  <c r="V6" i="20"/>
  <c r="W6" i="20"/>
  <c r="Y6" i="20"/>
  <c r="AA6" i="20"/>
  <c r="AB6" i="20"/>
  <c r="AC6" i="20"/>
  <c r="AD6" i="20"/>
  <c r="AE6" i="20"/>
  <c r="C7" i="20"/>
  <c r="D7" i="20"/>
  <c r="E7" i="20"/>
  <c r="F7" i="20"/>
  <c r="G7" i="20"/>
  <c r="H7" i="20"/>
  <c r="I7" i="20"/>
  <c r="J7" i="20"/>
  <c r="K7" i="20"/>
  <c r="N7" i="20"/>
  <c r="L7" i="20"/>
  <c r="O7" i="20"/>
  <c r="M7" i="20"/>
  <c r="P7" i="20"/>
  <c r="Q7" i="20"/>
  <c r="S7" i="20"/>
  <c r="T7" i="20"/>
  <c r="V7" i="20"/>
  <c r="W7" i="20"/>
  <c r="Y7" i="20"/>
  <c r="AA7" i="20"/>
  <c r="AB7" i="20"/>
  <c r="AC7" i="20"/>
  <c r="AD7" i="20"/>
  <c r="AE7" i="20"/>
  <c r="C8" i="20"/>
  <c r="D8" i="20"/>
  <c r="E8" i="20"/>
  <c r="F8" i="20"/>
  <c r="G8" i="20"/>
  <c r="H8" i="20"/>
  <c r="I8" i="20"/>
  <c r="J8" i="20"/>
  <c r="K8" i="20"/>
  <c r="N8" i="20"/>
  <c r="L8" i="20"/>
  <c r="O8" i="20"/>
  <c r="M8" i="20"/>
  <c r="P8" i="20"/>
  <c r="Q8" i="20"/>
  <c r="S8" i="20"/>
  <c r="T8" i="20"/>
  <c r="V8" i="20"/>
  <c r="W8" i="20"/>
  <c r="Y8" i="20"/>
  <c r="AA8" i="20"/>
  <c r="AB8" i="20"/>
  <c r="AC8" i="20"/>
  <c r="AD8" i="20"/>
  <c r="AE8" i="20"/>
  <c r="C9" i="20"/>
  <c r="D9" i="20"/>
  <c r="E9" i="20"/>
  <c r="F9" i="20"/>
  <c r="G9" i="20"/>
  <c r="H9" i="20"/>
  <c r="I9" i="20"/>
  <c r="J9" i="20"/>
  <c r="K9" i="20"/>
  <c r="N9" i="20"/>
  <c r="L9" i="20"/>
  <c r="O9" i="20"/>
  <c r="M9" i="20"/>
  <c r="P9" i="20"/>
  <c r="Q9" i="20"/>
  <c r="S9" i="20"/>
  <c r="T9" i="20"/>
  <c r="V9" i="20"/>
  <c r="W9" i="20"/>
  <c r="Y9" i="20"/>
  <c r="AA9" i="20"/>
  <c r="AB9" i="20"/>
  <c r="AC9" i="20"/>
  <c r="AD9" i="20"/>
  <c r="AE9" i="20"/>
  <c r="C10" i="20"/>
  <c r="D10" i="20"/>
  <c r="E10" i="20"/>
  <c r="F10" i="20"/>
  <c r="G10" i="20"/>
  <c r="H10" i="20"/>
  <c r="I10" i="20"/>
  <c r="J10" i="20"/>
  <c r="K10" i="20"/>
  <c r="N10" i="20"/>
  <c r="L10" i="20"/>
  <c r="O10" i="20"/>
  <c r="M10" i="20"/>
  <c r="P10" i="20"/>
  <c r="Q10" i="20"/>
  <c r="S10" i="20"/>
  <c r="T10" i="20"/>
  <c r="V10" i="20"/>
  <c r="W10" i="20"/>
  <c r="Y10" i="20"/>
  <c r="AA10" i="20"/>
  <c r="AB10" i="20"/>
  <c r="AC10" i="20"/>
  <c r="AD10" i="20"/>
  <c r="AE10" i="20"/>
  <c r="C11" i="20"/>
  <c r="D11" i="20"/>
  <c r="E11" i="20"/>
  <c r="F11" i="20"/>
  <c r="G11" i="20"/>
  <c r="H11" i="20"/>
  <c r="I11" i="20"/>
  <c r="J11" i="20"/>
  <c r="K11" i="20"/>
  <c r="N11" i="20"/>
  <c r="L11" i="20"/>
  <c r="O11" i="20"/>
  <c r="M11" i="20"/>
  <c r="P11" i="20"/>
  <c r="Q11" i="20"/>
  <c r="S11" i="20"/>
  <c r="T11" i="20"/>
  <c r="V11" i="20"/>
  <c r="W11" i="20"/>
  <c r="Y11" i="20"/>
  <c r="AA11" i="20"/>
  <c r="AB11" i="20"/>
  <c r="AC11" i="20"/>
  <c r="AD11" i="20"/>
  <c r="AE11" i="20"/>
  <c r="C12" i="20"/>
  <c r="D12" i="20"/>
  <c r="E12" i="20"/>
  <c r="F12" i="20"/>
  <c r="G12" i="20"/>
  <c r="H12" i="20"/>
  <c r="I12" i="20"/>
  <c r="J12" i="20"/>
  <c r="K12" i="20"/>
  <c r="N12" i="20"/>
  <c r="L12" i="20"/>
  <c r="O12" i="20"/>
  <c r="M12" i="20"/>
  <c r="P12" i="20"/>
  <c r="Q12" i="20"/>
  <c r="S12" i="20"/>
  <c r="T12" i="20"/>
  <c r="V12" i="20"/>
  <c r="W12" i="20"/>
  <c r="Y12" i="20"/>
  <c r="AA12" i="20"/>
  <c r="AB12" i="20"/>
  <c r="AC12" i="20"/>
  <c r="AD12" i="20"/>
  <c r="AE12" i="20"/>
  <c r="C13" i="20"/>
  <c r="D13" i="20"/>
  <c r="E13" i="20"/>
  <c r="F13" i="20"/>
  <c r="G13" i="20"/>
  <c r="H13" i="20"/>
  <c r="I13" i="20"/>
  <c r="J13" i="20"/>
  <c r="K13" i="20"/>
  <c r="N13" i="20"/>
  <c r="L13" i="20"/>
  <c r="O13" i="20"/>
  <c r="M13" i="20"/>
  <c r="P13" i="20"/>
  <c r="Q13" i="20"/>
  <c r="S13" i="20"/>
  <c r="T13" i="20"/>
  <c r="V13" i="20"/>
  <c r="W13" i="20"/>
  <c r="Y13" i="20"/>
  <c r="AA13" i="20"/>
  <c r="AB13" i="20"/>
  <c r="AC13" i="20"/>
  <c r="AD13" i="20"/>
  <c r="AE13" i="20"/>
  <c r="C14" i="20"/>
  <c r="D14" i="20"/>
  <c r="E14" i="20"/>
  <c r="F14" i="20"/>
  <c r="G14" i="20"/>
  <c r="H14" i="20"/>
  <c r="I14" i="20"/>
  <c r="J14" i="20"/>
  <c r="K14" i="20"/>
  <c r="N14" i="20"/>
  <c r="L14" i="20"/>
  <c r="O14" i="20"/>
  <c r="M14" i="20"/>
  <c r="P14" i="20"/>
  <c r="Q14" i="20"/>
  <c r="S14" i="20"/>
  <c r="T14" i="20"/>
  <c r="V14" i="20"/>
  <c r="W14" i="20"/>
  <c r="Y14" i="20"/>
  <c r="AA14" i="20"/>
  <c r="AB14" i="20"/>
  <c r="AC14" i="20"/>
  <c r="AD14" i="20"/>
  <c r="AE14" i="20"/>
  <c r="C15" i="20"/>
  <c r="D15" i="20"/>
  <c r="E15" i="20"/>
  <c r="F15" i="20"/>
  <c r="G15" i="20"/>
  <c r="H15" i="20"/>
  <c r="I15" i="20"/>
  <c r="J15" i="20"/>
  <c r="K15" i="20"/>
  <c r="N15" i="20"/>
  <c r="L15" i="20"/>
  <c r="O15" i="20"/>
  <c r="M15" i="20"/>
  <c r="P15" i="20"/>
  <c r="Q15" i="20"/>
  <c r="S15" i="20"/>
  <c r="T15" i="20"/>
  <c r="V15" i="20"/>
  <c r="W15" i="20"/>
  <c r="Y15" i="20"/>
  <c r="AA15" i="20"/>
  <c r="AB15" i="20"/>
  <c r="AC15" i="20"/>
  <c r="AD15" i="20"/>
  <c r="AE15" i="20"/>
  <c r="C4" i="20"/>
  <c r="D4" i="20"/>
  <c r="C38" i="38"/>
  <c r="E39" i="31"/>
  <c r="E38" i="31"/>
  <c r="D39" i="31"/>
  <c r="D38" i="31"/>
  <c r="E37" i="31"/>
  <c r="D37" i="31"/>
  <c r="H36" i="31"/>
  <c r="I36" i="33"/>
  <c r="D36" i="33"/>
  <c r="D37" i="32"/>
  <c r="E13" i="24"/>
  <c r="D13" i="24"/>
  <c r="C13" i="24"/>
  <c r="D11" i="24"/>
  <c r="C11" i="24"/>
  <c r="B11" i="24"/>
  <c r="E9" i="24"/>
  <c r="D9" i="24"/>
  <c r="C9" i="24"/>
  <c r="B9" i="24"/>
  <c r="G7" i="24"/>
  <c r="E7" i="24"/>
  <c r="B7" i="24"/>
  <c r="N4" i="20"/>
  <c r="N17" i="20"/>
  <c r="O4" i="20"/>
  <c r="M4" i="20"/>
  <c r="M17" i="20"/>
  <c r="W4" i="20"/>
  <c r="C19" i="20"/>
  <c r="C18" i="20"/>
  <c r="K4" i="20"/>
  <c r="K17" i="20"/>
  <c r="S4" i="20"/>
  <c r="S17" i="20"/>
  <c r="AD4" i="20"/>
  <c r="L4" i="20"/>
  <c r="L17" i="20"/>
  <c r="H29" i="20"/>
  <c r="O17" i="20"/>
  <c r="H26" i="20"/>
  <c r="H32" i="20"/>
  <c r="H25" i="20"/>
  <c r="H28" i="20"/>
  <c r="H23" i="20"/>
  <c r="H21" i="20"/>
  <c r="H22" i="20"/>
  <c r="H31" i="20"/>
  <c r="H30" i="20"/>
  <c r="H24" i="20"/>
  <c r="H27" i="20"/>
  <c r="T4" i="20"/>
  <c r="T17" i="20"/>
  <c r="E37" i="32"/>
  <c r="O16" i="35"/>
  <c r="M16" i="35"/>
  <c r="N16" i="35"/>
  <c r="E4" i="24"/>
  <c r="F4" i="24"/>
  <c r="D4" i="24"/>
  <c r="B4" i="24"/>
  <c r="C4" i="24"/>
  <c r="E4" i="20"/>
  <c r="H4" i="20"/>
  <c r="O3" i="35"/>
  <c r="O4" i="35"/>
  <c r="O18" i="35"/>
  <c r="O19" i="35"/>
  <c r="O24" i="35"/>
  <c r="O25" i="35"/>
  <c r="G4" i="20"/>
  <c r="P4" i="20"/>
  <c r="Q4" i="20"/>
  <c r="Y4" i="20"/>
  <c r="AE4" i="20"/>
  <c r="J28" i="20"/>
  <c r="B5" i="36" a="1"/>
  <c r="B5" i="36"/>
  <c r="C5" i="36" a="1"/>
  <c r="C5" i="36"/>
  <c r="D5" i="36" a="1"/>
  <c r="E5" i="36" a="1"/>
  <c r="F5" i="36" a="1"/>
  <c r="D5" i="36"/>
  <c r="E5" i="36"/>
  <c r="F5" i="36"/>
  <c r="G4" i="36"/>
  <c r="J23" i="20"/>
  <c r="J32" i="20"/>
  <c r="J27" i="20"/>
  <c r="J31" i="20"/>
  <c r="J25" i="20"/>
  <c r="J29" i="20"/>
  <c r="J24" i="20"/>
  <c r="J21" i="20"/>
  <c r="J30" i="20"/>
  <c r="J26" i="20"/>
  <c r="J22" i="20"/>
  <c r="AC4" i="20"/>
  <c r="F29" i="20"/>
  <c r="F27" i="20"/>
  <c r="F30" i="20"/>
  <c r="F25" i="20"/>
  <c r="F23" i="20"/>
  <c r="F28" i="20"/>
  <c r="F22" i="20"/>
  <c r="F24" i="20"/>
  <c r="F21" i="20"/>
  <c r="F31" i="20"/>
  <c r="F32" i="20"/>
  <c r="AA4" i="20"/>
  <c r="B31" i="20"/>
  <c r="F26" i="20"/>
  <c r="B25" i="20"/>
  <c r="B28" i="20"/>
  <c r="B30" i="20"/>
  <c r="B24" i="20"/>
  <c r="B27" i="20"/>
  <c r="B23" i="20"/>
  <c r="B32" i="20"/>
  <c r="B26" i="20"/>
  <c r="AB4" i="20"/>
  <c r="C22" i="20"/>
  <c r="C25" i="20"/>
  <c r="B22" i="20"/>
  <c r="C27" i="20"/>
  <c r="C29" i="20"/>
  <c r="C26" i="20"/>
  <c r="C21" i="20"/>
  <c r="C23" i="20"/>
  <c r="C31" i="20"/>
  <c r="C24" i="20"/>
  <c r="C28" i="20"/>
  <c r="B29" i="20"/>
  <c r="B21" i="20"/>
  <c r="C32" i="20"/>
  <c r="H17" i="20"/>
  <c r="P17" i="20"/>
  <c r="J4" i="20"/>
  <c r="I4" i="20"/>
  <c r="C30" i="20"/>
  <c r="V4" i="20"/>
  <c r="F4" i="20"/>
  <c r="F17" i="20"/>
  <c r="E17" i="20"/>
  <c r="E19" i="20"/>
  <c r="C4" i="36" a="1"/>
  <c r="C4" i="36"/>
  <c r="D4" i="36" a="1"/>
  <c r="D4" i="36"/>
  <c r="E4" i="36" a="1"/>
  <c r="F4" i="36" a="1"/>
  <c r="B6" i="36" a="1"/>
  <c r="C6" i="36" a="1"/>
  <c r="D6" i="36" a="1"/>
  <c r="E6" i="36" a="1"/>
  <c r="F6" i="36" a="1"/>
  <c r="B8" i="36" a="1"/>
  <c r="C8" i="36" a="1"/>
  <c r="D8" i="36" a="1"/>
  <c r="E8" i="36" a="1"/>
  <c r="F8" i="36" a="1"/>
  <c r="B10" i="36" a="1"/>
  <c r="C10" i="36" a="1"/>
  <c r="D10" i="36" a="1"/>
  <c r="E10" i="36" a="1"/>
  <c r="F10" i="36" a="1"/>
  <c r="B12" i="36" a="1"/>
  <c r="C12" i="36" a="1"/>
  <c r="D12" i="36" a="1"/>
  <c r="E12" i="36" a="1"/>
  <c r="F12" i="36" a="1"/>
  <c r="B14" i="36" a="1"/>
  <c r="C14" i="36" a="1"/>
  <c r="D14" i="36" a="1"/>
  <c r="E14" i="36" a="1"/>
  <c r="F14" i="36" a="1"/>
  <c r="B16" i="36" a="1"/>
  <c r="C16" i="36" a="1"/>
  <c r="D16" i="36" a="1"/>
  <c r="E16" i="36" a="1"/>
  <c r="F16" i="36" a="1"/>
  <c r="B18" i="36" a="1"/>
  <c r="C18" i="36" a="1"/>
  <c r="D18" i="36" a="1"/>
  <c r="E18" i="36" a="1"/>
  <c r="F18" i="36" a="1"/>
  <c r="B20" i="36" a="1"/>
  <c r="C20" i="36" a="1"/>
  <c r="D20" i="36" a="1"/>
  <c r="E20" i="36" a="1"/>
  <c r="F20" i="36" a="1"/>
  <c r="B22" i="36" a="1"/>
  <c r="C22" i="36" a="1"/>
  <c r="D22" i="36" a="1"/>
  <c r="E22" i="36" a="1"/>
  <c r="F22" i="36" a="1"/>
  <c r="B24" i="36" a="1"/>
  <c r="C24" i="36" a="1"/>
  <c r="D24" i="36" a="1"/>
  <c r="E24" i="36" a="1"/>
  <c r="F24" i="36" a="1"/>
  <c r="B26" i="36" a="1"/>
  <c r="C26" i="36" a="1"/>
  <c r="D26" i="36" a="1"/>
  <c r="E26" i="36" a="1"/>
  <c r="F26" i="36" a="1"/>
  <c r="B28" i="36" a="1"/>
  <c r="C28" i="36" a="1"/>
  <c r="D28" i="36" a="1"/>
  <c r="E28" i="36" a="1"/>
  <c r="F28" i="36" a="1"/>
  <c r="B30" i="36" a="1"/>
  <c r="C30" i="36" a="1"/>
  <c r="D30" i="36" a="1"/>
  <c r="E30" i="36" a="1"/>
  <c r="F30" i="36" a="1"/>
  <c r="B32" i="36" a="1"/>
  <c r="C32" i="36" a="1"/>
  <c r="D32" i="36" a="1"/>
  <c r="E32" i="36" a="1"/>
  <c r="F32" i="36" a="1"/>
  <c r="B34" i="36" a="1"/>
  <c r="C34" i="36" a="1"/>
  <c r="D34" i="36" a="1"/>
  <c r="E34" i="36" a="1"/>
  <c r="F34" i="36" a="1"/>
  <c r="B36" i="36" a="1"/>
  <c r="C36" i="36" a="1"/>
  <c r="D36" i="36" a="1"/>
  <c r="E36" i="36" a="1"/>
  <c r="F36" i="36" a="1"/>
  <c r="B38" i="36" a="1"/>
  <c r="C38" i="36" a="1"/>
  <c r="D38" i="36" a="1"/>
  <c r="E38" i="36" a="1"/>
  <c r="F38" i="36" a="1"/>
  <c r="B40" i="36" a="1"/>
  <c r="C40" i="36" a="1"/>
  <c r="D40" i="36" a="1"/>
  <c r="E40" i="36" a="1"/>
  <c r="F40" i="36" a="1"/>
  <c r="B42" i="36" a="1"/>
  <c r="C42" i="36" a="1"/>
  <c r="D42" i="36" a="1"/>
  <c r="E42" i="36" a="1"/>
  <c r="F42" i="36" a="1"/>
  <c r="E4" i="36"/>
  <c r="F4" i="36"/>
  <c r="B6" i="36"/>
  <c r="C6" i="36"/>
  <c r="D6" i="36"/>
  <c r="E6" i="36"/>
  <c r="F6" i="36"/>
  <c r="B8" i="36"/>
  <c r="C8" i="36"/>
  <c r="D8" i="36"/>
  <c r="E8" i="36"/>
  <c r="F8" i="36"/>
  <c r="B10" i="36"/>
  <c r="C10" i="36"/>
  <c r="D10" i="36"/>
  <c r="E10" i="36"/>
  <c r="F10" i="36"/>
  <c r="B12" i="36"/>
  <c r="C12" i="36"/>
  <c r="D12" i="36"/>
  <c r="E12" i="36"/>
  <c r="F12" i="36"/>
  <c r="B14" i="36"/>
  <c r="C14" i="36"/>
  <c r="D14" i="36"/>
  <c r="E14" i="36"/>
  <c r="F14" i="36"/>
  <c r="B16" i="36"/>
  <c r="C16" i="36"/>
  <c r="D16" i="36"/>
  <c r="E16" i="36"/>
  <c r="F16" i="36"/>
  <c r="B18" i="36"/>
  <c r="C18" i="36"/>
  <c r="D18" i="36"/>
  <c r="E18" i="36"/>
  <c r="F18" i="36"/>
  <c r="B20" i="36"/>
  <c r="C20" i="36"/>
  <c r="D20" i="36"/>
  <c r="E20" i="36"/>
  <c r="F20" i="36"/>
  <c r="B22" i="36"/>
  <c r="C22" i="36"/>
  <c r="D22" i="36"/>
  <c r="E22" i="36"/>
  <c r="F22" i="36"/>
  <c r="B24" i="36"/>
  <c r="C24" i="36"/>
  <c r="D24" i="36"/>
  <c r="E24" i="36"/>
  <c r="F24" i="36"/>
  <c r="B26" i="36"/>
  <c r="C26" i="36"/>
  <c r="D26" i="36"/>
  <c r="E26" i="36"/>
  <c r="F26" i="36"/>
  <c r="B28" i="36"/>
  <c r="C28" i="36"/>
  <c r="D28" i="36"/>
  <c r="E28" i="36"/>
  <c r="F28" i="36"/>
  <c r="B30" i="36"/>
  <c r="C30" i="36"/>
  <c r="D30" i="36"/>
  <c r="E30" i="36"/>
  <c r="F30" i="36"/>
  <c r="B32" i="36"/>
  <c r="C32" i="36"/>
  <c r="D32" i="36"/>
  <c r="E32" i="36"/>
  <c r="F32" i="36"/>
  <c r="B34" i="36"/>
  <c r="C34" i="36"/>
  <c r="D34" i="36"/>
  <c r="E34" i="36"/>
  <c r="F34" i="36"/>
  <c r="B36" i="36"/>
  <c r="C36" i="36"/>
  <c r="D36" i="36"/>
  <c r="E36" i="36"/>
  <c r="F36" i="36"/>
  <c r="B38" i="36"/>
  <c r="C38" i="36"/>
  <c r="D38" i="36"/>
  <c r="E38" i="36"/>
  <c r="F38" i="36"/>
  <c r="B40" i="36"/>
  <c r="C40" i="36"/>
  <c r="D40" i="36"/>
  <c r="E40" i="36"/>
  <c r="F40" i="36"/>
  <c r="B42" i="36"/>
  <c r="C42" i="36"/>
  <c r="D42" i="36"/>
  <c r="E42" i="36"/>
  <c r="F42" i="36"/>
  <c r="I5" i="36"/>
  <c r="I7" i="36"/>
  <c r="I9" i="36"/>
  <c r="I11" i="36"/>
  <c r="B43" i="36" a="1"/>
  <c r="B43" i="36"/>
  <c r="C43" i="36" a="1"/>
  <c r="C43" i="36"/>
  <c r="D43" i="36" a="1"/>
  <c r="E43" i="36" a="1"/>
  <c r="F43" i="36" a="1"/>
  <c r="D43" i="36"/>
  <c r="E43" i="36"/>
  <c r="F43" i="36"/>
  <c r="G42" i="36"/>
  <c r="B41" i="36" a="1"/>
  <c r="B41" i="36"/>
  <c r="C41" i="36" a="1"/>
  <c r="C41" i="36"/>
  <c r="D41" i="36" a="1"/>
  <c r="E41" i="36" a="1"/>
  <c r="F41" i="36" a="1"/>
  <c r="D41" i="36"/>
  <c r="E41" i="36"/>
  <c r="F41" i="36"/>
  <c r="G40" i="36"/>
  <c r="B39" i="36" a="1"/>
  <c r="B39" i="36"/>
  <c r="C39" i="36" a="1"/>
  <c r="C39" i="36"/>
  <c r="D39" i="36" a="1"/>
  <c r="E39" i="36" a="1"/>
  <c r="F39" i="36" a="1"/>
  <c r="D39" i="36"/>
  <c r="E39" i="36"/>
  <c r="F39" i="36"/>
  <c r="G38" i="36"/>
  <c r="B37" i="36" a="1"/>
  <c r="B37" i="36"/>
  <c r="C37" i="36" a="1"/>
  <c r="C37" i="36"/>
  <c r="D37" i="36" a="1"/>
  <c r="E37" i="36" a="1"/>
  <c r="F37" i="36" a="1"/>
  <c r="D37" i="36"/>
  <c r="E37" i="36"/>
  <c r="F37" i="36"/>
  <c r="G36" i="36"/>
  <c r="B35" i="36" a="1"/>
  <c r="B35" i="36"/>
  <c r="C35" i="36" a="1"/>
  <c r="C35" i="36"/>
  <c r="D35" i="36" a="1"/>
  <c r="E35" i="36" a="1"/>
  <c r="F35" i="36" a="1"/>
  <c r="D35" i="36"/>
  <c r="E35" i="36"/>
  <c r="F35" i="36"/>
  <c r="G34" i="36"/>
  <c r="B33" i="36" a="1"/>
  <c r="B33" i="36"/>
  <c r="C33" i="36" a="1"/>
  <c r="C33" i="36"/>
  <c r="D33" i="36" a="1"/>
  <c r="E33" i="36" a="1"/>
  <c r="F33" i="36" a="1"/>
  <c r="D33" i="36"/>
  <c r="E33" i="36"/>
  <c r="F33" i="36"/>
  <c r="G32" i="36"/>
  <c r="B31" i="36" a="1"/>
  <c r="B31" i="36"/>
  <c r="C31" i="36" a="1"/>
  <c r="C31" i="36"/>
  <c r="D31" i="36" a="1"/>
  <c r="E31" i="36" a="1"/>
  <c r="F31" i="36" a="1"/>
  <c r="D31" i="36"/>
  <c r="E31" i="36"/>
  <c r="F31" i="36"/>
  <c r="G30" i="36"/>
  <c r="B29" i="36" a="1"/>
  <c r="B29" i="36"/>
  <c r="C29" i="36" a="1"/>
  <c r="C29" i="36"/>
  <c r="D29" i="36" a="1"/>
  <c r="E29" i="36" a="1"/>
  <c r="F29" i="36" a="1"/>
  <c r="D29" i="36"/>
  <c r="E29" i="36"/>
  <c r="F29" i="36"/>
  <c r="G28" i="36"/>
  <c r="B27" i="36" a="1"/>
  <c r="B27" i="36"/>
  <c r="C27" i="36" a="1"/>
  <c r="C27" i="36"/>
  <c r="D27" i="36" a="1"/>
  <c r="E27" i="36" a="1"/>
  <c r="F27" i="36" a="1"/>
  <c r="D27" i="36"/>
  <c r="E27" i="36"/>
  <c r="F27" i="36"/>
  <c r="G26" i="36"/>
  <c r="B25" i="36" a="1"/>
  <c r="B25" i="36"/>
  <c r="C25" i="36" a="1"/>
  <c r="C25" i="36"/>
  <c r="D25" i="36" a="1"/>
  <c r="E25" i="36" a="1"/>
  <c r="F25" i="36" a="1"/>
  <c r="D25" i="36"/>
  <c r="E25" i="36"/>
  <c r="F25" i="36"/>
  <c r="G24" i="36"/>
  <c r="B23" i="36" a="1"/>
  <c r="B23" i="36"/>
  <c r="C23" i="36" a="1"/>
  <c r="C23" i="36"/>
  <c r="D23" i="36" a="1"/>
  <c r="E23" i="36" a="1"/>
  <c r="F23" i="36" a="1"/>
  <c r="D23" i="36"/>
  <c r="E23" i="36"/>
  <c r="F23" i="36"/>
  <c r="G22" i="36"/>
  <c r="B21" i="36" a="1"/>
  <c r="B21" i="36"/>
  <c r="C21" i="36" a="1"/>
  <c r="C21" i="36"/>
  <c r="D21" i="36" a="1"/>
  <c r="E21" i="36" a="1"/>
  <c r="F21" i="36" a="1"/>
  <c r="D21" i="36"/>
  <c r="E21" i="36"/>
  <c r="F21" i="36"/>
  <c r="G20" i="36"/>
  <c r="B19" i="36" a="1"/>
  <c r="B19" i="36"/>
  <c r="C19" i="36" a="1"/>
  <c r="C19" i="36"/>
  <c r="D19" i="36" a="1"/>
  <c r="E19" i="36" a="1"/>
  <c r="F19" i="36" a="1"/>
  <c r="D19" i="36"/>
  <c r="E19" i="36"/>
  <c r="F19" i="36"/>
  <c r="G18" i="36"/>
  <c r="B17" i="36" a="1"/>
  <c r="B17" i="36"/>
  <c r="C17" i="36" a="1"/>
  <c r="C17" i="36"/>
  <c r="D17" i="36" a="1"/>
  <c r="E17" i="36" a="1"/>
  <c r="F17" i="36" a="1"/>
  <c r="D17" i="36"/>
  <c r="E17" i="36"/>
  <c r="F17" i="36"/>
  <c r="G16" i="36"/>
  <c r="B15" i="36" a="1"/>
  <c r="B15" i="36"/>
  <c r="C15" i="36" a="1"/>
  <c r="C15" i="36"/>
  <c r="D15" i="36" a="1"/>
  <c r="E15" i="36" a="1"/>
  <c r="F15" i="36" a="1"/>
  <c r="D15" i="36"/>
  <c r="E15" i="36"/>
  <c r="F15" i="36"/>
  <c r="G14" i="36"/>
  <c r="B13" i="36" a="1"/>
  <c r="B13" i="36"/>
  <c r="C13" i="36" a="1"/>
  <c r="C13" i="36"/>
  <c r="D13" i="36" a="1"/>
  <c r="E13" i="36" a="1"/>
  <c r="F13" i="36" a="1"/>
  <c r="D13" i="36"/>
  <c r="E13" i="36"/>
  <c r="F13" i="36"/>
  <c r="G12" i="36"/>
  <c r="B11" i="36" a="1"/>
  <c r="B11" i="36"/>
  <c r="C11" i="36" a="1"/>
  <c r="C11" i="36"/>
  <c r="D11" i="36" a="1"/>
  <c r="E11" i="36" a="1"/>
  <c r="F11" i="36" a="1"/>
  <c r="D11" i="36"/>
  <c r="E11" i="36"/>
  <c r="F11" i="36"/>
  <c r="G10" i="36"/>
  <c r="B9" i="36" a="1"/>
  <c r="B9" i="36"/>
  <c r="C9" i="36" a="1"/>
  <c r="C9" i="36"/>
  <c r="D9" i="36" a="1"/>
  <c r="E9" i="36" a="1"/>
  <c r="F9" i="36" a="1"/>
  <c r="D9" i="36"/>
  <c r="E9" i="36"/>
  <c r="F9" i="36"/>
  <c r="G8" i="36"/>
  <c r="B7" i="36" a="1"/>
  <c r="B7" i="36"/>
  <c r="C7" i="36" a="1"/>
  <c r="C7" i="36"/>
  <c r="D7" i="36" a="1"/>
  <c r="E7" i="36" a="1"/>
  <c r="F7" i="36" a="1"/>
  <c r="D7" i="36"/>
  <c r="E7" i="36"/>
  <c r="F7" i="36"/>
  <c r="G6" i="36"/>
  <c r="H4" i="36"/>
  <c r="H6" i="36"/>
  <c r="H8" i="36"/>
  <c r="H10" i="36"/>
  <c r="H12" i="36"/>
  <c r="H14" i="36"/>
  <c r="H16" i="36"/>
  <c r="H18" i="36"/>
  <c r="H20" i="36"/>
  <c r="H22" i="36"/>
  <c r="H24" i="36"/>
  <c r="H26" i="36"/>
  <c r="H28" i="36"/>
  <c r="H30" i="36"/>
  <c r="H32" i="36"/>
  <c r="H34" i="36"/>
  <c r="H36" i="36"/>
  <c r="H38" i="36"/>
  <c r="H40" i="36"/>
  <c r="H42" i="36"/>
  <c r="I13" i="36"/>
  <c r="I15" i="36"/>
  <c r="M3" i="35"/>
  <c r="M4" i="35"/>
  <c r="M18" i="35"/>
  <c r="M19" i="35"/>
  <c r="M24" i="35"/>
  <c r="M25" i="35"/>
  <c r="M36" i="35"/>
  <c r="N3" i="35"/>
  <c r="N4" i="35"/>
  <c r="N18" i="35"/>
  <c r="N19" i="35"/>
  <c r="N24" i="35"/>
  <c r="N25" i="35"/>
  <c r="N36" i="35"/>
  <c r="O36" i="35"/>
</calcChain>
</file>

<file path=xl/sharedStrings.xml><?xml version="1.0" encoding="utf-8"?>
<sst xmlns="http://schemas.openxmlformats.org/spreadsheetml/2006/main" count="305" uniqueCount="157">
  <si>
    <t>اليومية</t>
  </si>
  <si>
    <t>الاســتـــمـــاع</t>
  </si>
  <si>
    <t>الـمراجــــعــات والاخــتـــبــــارات</t>
  </si>
  <si>
    <t>الــمـراجـعـة الـثـنـائـيـة والـجـمـاعـيـة</t>
  </si>
  <si>
    <t>الــمـراجـعـة الـفـرديـة والــتـحـضـيـر</t>
  </si>
  <si>
    <t>اليوم</t>
  </si>
  <si>
    <t>التاريخ</t>
  </si>
  <si>
    <t>الحضور</t>
  </si>
  <si>
    <t>عدد المنجز</t>
  </si>
  <si>
    <t>الإعادات</t>
  </si>
  <si>
    <t>مجموع</t>
  </si>
  <si>
    <t>المـقــرر</t>
  </si>
  <si>
    <t>المنـفـذ</t>
  </si>
  <si>
    <t>التقدير</t>
  </si>
  <si>
    <t xml:space="preserve"> دور    عدد</t>
  </si>
  <si>
    <t>المشارك</t>
  </si>
  <si>
    <t>مراجعة صفرى</t>
  </si>
  <si>
    <t>مراجعة كبرى</t>
  </si>
  <si>
    <t>من</t>
  </si>
  <si>
    <t>إلى</t>
  </si>
  <si>
    <t>جزء</t>
  </si>
  <si>
    <t>مج ص</t>
  </si>
  <si>
    <t>مج ج</t>
  </si>
  <si>
    <t>إحصائية الدوام</t>
  </si>
  <si>
    <t>إحصائية الصفحات المنجزة</t>
  </si>
  <si>
    <t>عدد</t>
  </si>
  <si>
    <t>إعادة</t>
  </si>
  <si>
    <t>مج</t>
  </si>
  <si>
    <t>الاختبارات</t>
  </si>
  <si>
    <t>ص</t>
  </si>
  <si>
    <t>ج</t>
  </si>
  <si>
    <t>المراجعة الثنائية</t>
  </si>
  <si>
    <t>صفحات المراجعة الصغرى</t>
  </si>
  <si>
    <t>أجزاء المراجعة الكبرى</t>
  </si>
  <si>
    <t>أيام الدوام الفعلي</t>
  </si>
  <si>
    <t>الاستماع الجديد</t>
  </si>
  <si>
    <t>اختبره المشرف</t>
  </si>
  <si>
    <t>دوام الطالب</t>
  </si>
  <si>
    <t>استماع الإعادة</t>
  </si>
  <si>
    <t>اختبره المعلم ونجح</t>
  </si>
  <si>
    <t>معدل الإنجاز</t>
  </si>
  <si>
    <t>استماع المراجعة</t>
  </si>
  <si>
    <t>اختبره المعلم ورسب</t>
  </si>
  <si>
    <t>السبت</t>
  </si>
  <si>
    <t>م</t>
  </si>
  <si>
    <t>الأحد</t>
  </si>
  <si>
    <t>الاثنين</t>
  </si>
  <si>
    <t>الثلاثاء</t>
  </si>
  <si>
    <t>الأربعاء</t>
  </si>
  <si>
    <t>الخميس</t>
  </si>
  <si>
    <t>ممتاز</t>
  </si>
  <si>
    <t>جيد</t>
  </si>
  <si>
    <t>الاسم</t>
  </si>
  <si>
    <t>الحفظ</t>
  </si>
  <si>
    <t>عدد الأجزاء المختبرة عند المشرف</t>
  </si>
  <si>
    <t>مستوى الحفظ</t>
  </si>
  <si>
    <t>مستوى عام</t>
  </si>
  <si>
    <t>كمية الحفظ</t>
  </si>
  <si>
    <t>حضر</t>
  </si>
  <si>
    <t>غاب</t>
  </si>
  <si>
    <t>الصفحات المنجزة</t>
  </si>
  <si>
    <t>عدد الإعادات</t>
  </si>
  <si>
    <t>أول الشهر</t>
  </si>
  <si>
    <t>نهاية الشهر</t>
  </si>
  <si>
    <t>كمال بكور</t>
  </si>
  <si>
    <t>محمد بكور</t>
  </si>
  <si>
    <t>ورد عقاد</t>
  </si>
  <si>
    <t>أحمد نور خاروف</t>
  </si>
  <si>
    <t>محمد نجاد عقاد</t>
  </si>
  <si>
    <t>زكريا دروبي</t>
  </si>
  <si>
    <t>عمر حميدي</t>
  </si>
  <si>
    <t>صالح قمقم</t>
  </si>
  <si>
    <t>محمود جسري</t>
  </si>
  <si>
    <t>محمد براء حجازي</t>
  </si>
  <si>
    <t>محمد مراد</t>
  </si>
  <si>
    <t>عبد الله حجازي</t>
  </si>
  <si>
    <t>متوسط الدوام</t>
  </si>
  <si>
    <t>نسبة الدوام</t>
  </si>
  <si>
    <t>نسبة الإعادات</t>
  </si>
  <si>
    <t>معلم</t>
  </si>
  <si>
    <t>صفحة</t>
  </si>
  <si>
    <t>سطر</t>
  </si>
  <si>
    <t>معدل الحفظ اليومي</t>
  </si>
  <si>
    <t>جدول الإحصاء الشهري لإنجاز الطلاب لحلقة (أبي بن كعب) لشهر (أيار) عام (2019)</t>
  </si>
  <si>
    <t>الدوام الفعلي</t>
  </si>
  <si>
    <t>مستوى المراجعة</t>
  </si>
  <si>
    <t>مستوى</t>
  </si>
  <si>
    <t>تقدير</t>
  </si>
  <si>
    <t>مستوى الإنجاز والحفظ</t>
  </si>
  <si>
    <t>ك</t>
  </si>
  <si>
    <t>درجته كم</t>
  </si>
  <si>
    <t>مرا</t>
  </si>
  <si>
    <t>ع</t>
  </si>
  <si>
    <t>مراجعة</t>
  </si>
  <si>
    <t>ثنائي</t>
  </si>
  <si>
    <t>اختبر نجح</t>
  </si>
  <si>
    <t>اختبر رسب</t>
  </si>
  <si>
    <t>كبرى</t>
  </si>
  <si>
    <t>حزب</t>
  </si>
  <si>
    <t>معدل</t>
  </si>
  <si>
    <t>اختباره</t>
  </si>
  <si>
    <t>الاستماع</t>
  </si>
  <si>
    <t>اختبار</t>
  </si>
  <si>
    <t>الى</t>
  </si>
  <si>
    <t>المنفذ</t>
  </si>
  <si>
    <t>صغرى</t>
  </si>
  <si>
    <t>متوسط</t>
  </si>
  <si>
    <t>مستوى الجزء</t>
  </si>
  <si>
    <t>مقبول</t>
  </si>
  <si>
    <t>تقرير اسبوعي</t>
  </si>
  <si>
    <t>تحويل صفحة الى جزء</t>
  </si>
  <si>
    <t>اية وسورة</t>
  </si>
  <si>
    <t>ربع وخزب</t>
  </si>
  <si>
    <t>صفحة وحزء</t>
  </si>
  <si>
    <t>صفحة وقران</t>
  </si>
  <si>
    <t>ضعيف</t>
  </si>
  <si>
    <t>جيد جداً</t>
  </si>
  <si>
    <t>اختبار المشرف</t>
  </si>
  <si>
    <t>اختبار المعلم</t>
  </si>
  <si>
    <t>معدل السرعة</t>
  </si>
  <si>
    <t>مدة الختم</t>
  </si>
  <si>
    <t>تاريخ ختم الحزء</t>
  </si>
  <si>
    <t>تاريخ بداية الجزء</t>
  </si>
  <si>
    <t>اعادة</t>
  </si>
  <si>
    <t>العلامة</t>
  </si>
  <si>
    <t>مرات الاستماع</t>
  </si>
  <si>
    <t>النقاط</t>
  </si>
  <si>
    <t>أول مرة</t>
  </si>
  <si>
    <t>ثاني مرة</t>
  </si>
  <si>
    <t>ثالث مرة</t>
  </si>
  <si>
    <t>h</t>
  </si>
  <si>
    <t>f</t>
  </si>
  <si>
    <t>i</t>
  </si>
  <si>
    <t>g</t>
  </si>
  <si>
    <t>o</t>
  </si>
  <si>
    <t>d</t>
  </si>
  <si>
    <t>of</t>
  </si>
  <si>
    <t>y</t>
  </si>
  <si>
    <t>p</t>
  </si>
  <si>
    <t>a</t>
  </si>
  <si>
    <t>امتياز</t>
  </si>
  <si>
    <t>الثلاثون</t>
  </si>
  <si>
    <t>التاسع والعشرون</t>
  </si>
  <si>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</si>
  <si>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</si>
  <si>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</si>
  <si>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</si>
  <si>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</si>
  <si>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</si>
  <si>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</si>
  <si>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</si>
  <si>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</si>
  <si>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</si>
  <si>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عام</t>
  </si>
  <si>
    <t>عام جمع</t>
  </si>
  <si>
    <t>تجربة</t>
  </si>
  <si>
    <t>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</si>
</sst>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10000]yyyy/mm/dd;@"/>
    <numFmt numFmtId="166" formatCode="yyyy/mm/dd"/>
    <numFmt numFmtId="167" formatCode="[$-2170000]B2yyyy\-mm\-dd;@"/>
  </numFmts>
  <fonts count="3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i/>
      <sz val="12"/>
      <color theme="3" tint="0.39997558519241921"/>
      <name val="Led Italic Font"/>
      <charset val="178"/>
    </font>
    <font>
      <i/>
      <sz val="12"/>
      <color theme="6" tint="-0.499984740745262"/>
      <name val="Bold Italic Art"/>
      <charset val="178"/>
    </font>
    <font>
      <i/>
      <sz val="12"/>
      <color theme="7" tint="-0.249977111117893"/>
      <name val="Bold Italic Art"/>
      <charset val="178"/>
    </font>
    <font>
      <i/>
      <sz val="12"/>
      <color theme="9" tint="-0.249977111117893"/>
      <name val="Bold Italic Art"/>
      <charset val="178"/>
    </font>
    <font>
      <sz val="14"/>
      <color theme="1"/>
      <name val="Arial"/>
      <family val="2"/>
      <scheme val="minor"/>
    </font>
    <font>
      <sz val="12"/>
      <color theme="3" tint="-0.499984740745262"/>
      <name val="Microsoft Sans Serif"/>
      <family val="2"/>
    </font>
    <font>
      <sz val="12"/>
      <color theme="9" tint="-0.249977111117893"/>
      <name val="Microsoft Sans Serif"/>
      <family val="2"/>
    </font>
    <font>
      <sz val="12"/>
      <color theme="8" tint="-0.249977111117893"/>
      <name val="Microsoft Sans Serif"/>
      <family val="2"/>
    </font>
    <font>
      <sz val="12"/>
      <color rgb="FFFF3399"/>
      <name val="Microsoft Sans Serif"/>
      <family val="2"/>
    </font>
    <font>
      <sz val="12"/>
      <color rgb="FFFF0000"/>
      <name val="Microsoft Sans Serif"/>
      <family val="2"/>
    </font>
    <font>
      <sz val="12"/>
      <color theme="3" tint="-0.249977111117893"/>
      <name val="Microsoft Sans Serif"/>
      <family val="2"/>
    </font>
    <font>
      <sz val="12"/>
      <color theme="7" tint="-0.249977111117893"/>
      <name val="Microsoft Sans Serif"/>
      <family val="2"/>
    </font>
    <font>
      <sz val="12"/>
      <color theme="0" tint="-0.34998626667073579"/>
      <name val="Microsoft Sans Serif"/>
      <family val="2"/>
    </font>
    <font>
      <sz val="12"/>
      <color theme="6" tint="-0.249977111117893"/>
      <name val="Microsoft Sans Serif"/>
      <family val="2"/>
    </font>
    <font>
      <sz val="12"/>
      <color theme="6" tint="-0.499984740745262"/>
      <name val="Microsoft Sans Serif"/>
      <family val="2"/>
    </font>
    <font>
      <sz val="12"/>
      <color theme="3" tint="0.39997558519241921"/>
      <name val="Microsoft Sans Serif"/>
      <family val="2"/>
    </font>
    <font>
      <sz val="12"/>
      <color theme="2" tint="-0.749992370372631"/>
      <name val="Microsoft Sans Serif"/>
      <family val="2"/>
    </font>
    <font>
      <sz val="12"/>
      <color theme="1"/>
      <name val="Microsoft Sans Serif"/>
      <family val="2"/>
    </font>
    <font>
      <sz val="14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1"/>
      <color rgb="FF006100"/>
      <name val="Arial"/>
      <family val="2"/>
      <charset val="178"/>
      <scheme val="minor"/>
    </font>
    <font>
      <b/>
      <sz val="15"/>
      <color theme="3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3"/>
      <color theme="1"/>
      <name val="Arial"/>
      <family val="2"/>
      <scheme val="minor"/>
    </font>
    <font>
      <b/>
      <sz val="12"/>
      <color theme="8" tint="-0.499984740745262"/>
      <name val="Microsoft Sans Serif"/>
      <family val="2"/>
    </font>
    <font>
      <b/>
      <sz val="12"/>
      <color theme="3" tint="-0.499984740745262"/>
      <name val="Microsoft Sans Serif"/>
      <family val="2"/>
    </font>
    <font>
      <sz val="16"/>
      <color theme="5" tint="-0.249977111117893"/>
      <name val="Bold Italic Art"/>
    </font>
    <font>
      <b/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theme="9" tint="-0.249977111117893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rgb="FF00B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rgb="FF00B050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9" tint="-0.249977111117893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FF0000"/>
      </right>
      <top/>
      <bottom style="hair">
        <color indexed="64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indexed="64"/>
      </right>
      <top/>
      <bottom style="hair">
        <color rgb="FFFF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B050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rgb="FFFF0000"/>
      </right>
      <top/>
      <bottom style="hair">
        <color indexed="64"/>
      </bottom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9" tint="-0.249977111117893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medium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B05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FF0000"/>
      </right>
      <top style="hair">
        <color indexed="64"/>
      </top>
      <bottom style="hair">
        <color indexed="64"/>
      </bottom>
      <diagonal/>
    </border>
    <border>
      <left style="thin">
        <color rgb="FFFF0000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thin">
        <color indexed="64"/>
      </right>
      <top style="hair">
        <color rgb="FFFF0000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9" tint="-0.249977111117893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rgb="FFFF0000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FF0000"/>
      </bottom>
      <diagonal/>
    </border>
    <border>
      <left/>
      <right style="thin">
        <color theme="9" tint="-0.249977111117893"/>
      </right>
      <top style="thin">
        <color indexed="64"/>
      </top>
      <bottom/>
      <diagonal/>
    </border>
    <border>
      <left style="thin">
        <color theme="9" tint="-0.249977111117893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rgb="FFFF0000"/>
      </top>
      <bottom/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thin">
        <color indexed="64"/>
      </bottom>
      <diagonal/>
    </border>
    <border>
      <left/>
      <right style="thin">
        <color theme="9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9" tint="-0.24997711111789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hair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FF0000"/>
      </right>
      <top/>
      <bottom style="medium">
        <color indexed="64"/>
      </bottom>
      <diagonal/>
    </border>
    <border>
      <left style="thin">
        <color rgb="FFFF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rgb="FFFF0000"/>
      </right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B050"/>
      </right>
      <top/>
      <bottom style="medium">
        <color indexed="64"/>
      </bottom>
      <diagonal/>
    </border>
    <border>
      <left style="thin">
        <color rgb="FFFF0000"/>
      </left>
      <right style="thin">
        <color indexed="64"/>
      </right>
      <top/>
      <bottom style="medium">
        <color indexed="64"/>
      </bottom>
      <diagonal/>
    </border>
    <border>
      <left style="thin">
        <color rgb="FFFF0000"/>
      </left>
      <right style="thin">
        <color indexed="64"/>
      </right>
      <top style="hair">
        <color rgb="FFFF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B2B2B2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505050"/>
      </right>
      <top style="thin">
        <color rgb="FF7F7F7F"/>
      </top>
      <bottom style="thin">
        <color rgb="FF7F7F7F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/>
      <diagonal/>
    </border>
    <border>
      <left/>
      <right/>
      <top/>
      <bottom style="thin">
        <color rgb="FF505050"/>
      </bottom>
      <diagonal/>
    </border>
    <border>
      <left/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/>
      <right/>
      <top style="medium">
        <color rgb="FF505050"/>
      </top>
      <bottom style="thin">
        <color indexed="64"/>
      </bottom>
      <diagonal/>
    </border>
    <border>
      <left style="thin">
        <color rgb="FF505050"/>
      </left>
      <right/>
      <top style="medium">
        <color rgb="FF505050"/>
      </top>
      <bottom style="thin">
        <color indexed="64"/>
      </bottom>
      <diagonal/>
    </border>
    <border>
      <left style="medium">
        <color rgb="FF505050"/>
      </left>
      <right/>
      <top style="medium">
        <color rgb="FF505050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dotted">
        <color rgb="FF505050"/>
      </top>
      <bottom style="thin">
        <color rgb="FF50505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505050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505050"/>
      </top>
      <bottom/>
      <diagonal/>
    </border>
    <border>
      <left style="thin">
        <color indexed="64"/>
      </left>
      <right style="thin">
        <color rgb="FFFF0000"/>
      </right>
      <top style="medium">
        <color rgb="FF505050"/>
      </top>
      <bottom/>
      <diagonal/>
    </border>
    <border>
      <left style="thin">
        <color rgb="FFFF000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/>
      <bottom style="medium">
        <color rgb="FF505050"/>
      </bottom>
      <diagonal/>
    </border>
    <border>
      <left style="thin">
        <color indexed="64"/>
      </left>
      <right style="thin">
        <color rgb="FFFF0000"/>
      </right>
      <top/>
      <bottom style="medium">
        <color rgb="FF505050"/>
      </bottom>
      <diagonal/>
    </border>
    <border>
      <left style="thin">
        <color rgb="FFFF0000"/>
      </left>
      <right style="medium">
        <color rgb="FF505050"/>
      </right>
      <top/>
      <bottom style="medium">
        <color rgb="FF505050"/>
      </bottom>
      <diagonal/>
    </border>
    <border>
      <left style="thin">
        <color rgb="FFFF0000"/>
      </left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double">
        <color rgb="FF3F3F3F"/>
      </right>
      <top style="thin">
        <color indexed="64"/>
      </top>
      <bottom/>
      <diagonal/>
    </border>
    <border>
      <left style="thin">
        <color indexed="64"/>
      </left>
      <right style="double">
        <color rgb="FF3F3F3F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3F3F3F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8">
    <xf numFmtId="0" fontId="0" fillId="0" borderId="0"/>
    <xf numFmtId="0" fontId="9" fillId="2" borderId="9" applyFont="0" applyFill="0" applyAlignment="0">
      <alignment horizontal="center" vertical="center"/>
    </xf>
    <xf numFmtId="0" fontId="26" fillId="0" borderId="114" applyNumberFormat="0" applyFill="0" applyAlignment="0" applyProtection="0"/>
    <xf numFmtId="0" fontId="25" fillId="3" borderId="0" applyNumberFormat="0" applyBorder="0" applyAlignment="0" applyProtection="0"/>
    <xf numFmtId="0" fontId="27" fillId="4" borderId="115" applyNumberFormat="0" applyAlignment="0" applyProtection="0"/>
    <xf numFmtId="0" fontId="28" fillId="5" borderId="116" applyNumberFormat="0" applyAlignment="0" applyProtection="0"/>
    <xf numFmtId="0" fontId="29" fillId="5" borderId="115" applyNumberFormat="0" applyAlignment="0" applyProtection="0"/>
    <xf numFmtId="0" fontId="36" fillId="18" borderId="136" applyNumberFormat="0" applyAlignment="0" applyProtection="0"/>
  </cellStyleXfs>
  <cellXfs count="293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textRotation="90"/>
    </xf>
    <xf numFmtId="0" fontId="11" fillId="2" borderId="25" xfId="0" applyFont="1" applyFill="1" applyBorder="1" applyAlignment="1">
      <alignment horizontal="center" vertical="center" textRotation="90"/>
    </xf>
    <xf numFmtId="0" fontId="18" fillId="2" borderId="2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textRotation="90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07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08" xfId="0" applyNumberFormat="1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11" xfId="0" applyBorder="1" applyAlignment="1">
      <alignment vertical="center"/>
    </xf>
    <xf numFmtId="0" fontId="0" fillId="0" borderId="108" xfId="0" applyBorder="1" applyAlignment="1">
      <alignment horizontal="center" vertical="center"/>
    </xf>
    <xf numFmtId="0" fontId="25" fillId="3" borderId="108" xfId="3" applyBorder="1" applyAlignment="1">
      <alignment horizontal="center" vertical="center"/>
    </xf>
    <xf numFmtId="0" fontId="25" fillId="3" borderId="109" xfId="3" applyBorder="1" applyAlignment="1">
      <alignment horizontal="center" vertical="center"/>
    </xf>
    <xf numFmtId="164" fontId="25" fillId="3" borderId="109" xfId="3" applyNumberFormat="1" applyBorder="1" applyAlignment="1">
      <alignment horizontal="center" vertical="center"/>
    </xf>
    <xf numFmtId="1" fontId="25" fillId="3" borderId="109" xfId="3" applyNumberFormat="1" applyBorder="1" applyAlignment="1">
      <alignment horizontal="center" vertical="center"/>
    </xf>
    <xf numFmtId="0" fontId="25" fillId="3" borderId="113" xfId="3" applyBorder="1" applyAlignment="1">
      <alignment horizontal="center" vertical="center"/>
    </xf>
    <xf numFmtId="0" fontId="28" fillId="5" borderId="116" xfId="5" applyAlignment="1">
      <alignment horizontal="center" vertical="center"/>
    </xf>
    <xf numFmtId="0" fontId="28" fillId="5" borderId="116" xfId="5" applyAlignment="1">
      <alignment horizontal="center" vertical="center" wrapText="1"/>
    </xf>
    <xf numFmtId="0" fontId="29" fillId="5" borderId="115" xfId="6" applyAlignment="1">
      <alignment horizontal="center" vertical="center"/>
    </xf>
    <xf numFmtId="0" fontId="27" fillId="4" borderId="115" xfId="4" applyAlignment="1">
      <alignment horizontal="center" vertical="center"/>
    </xf>
    <xf numFmtId="0" fontId="28" fillId="5" borderId="116" xfId="5" applyAlignment="1">
      <alignment horizontal="center" vertical="center"/>
    </xf>
    <xf numFmtId="0" fontId="26" fillId="0" borderId="114" xfId="2" applyFill="1" applyAlignment="1">
      <alignment vertical="center"/>
    </xf>
    <xf numFmtId="0" fontId="0" fillId="0" borderId="108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6" borderId="108" xfId="0" applyFill="1" applyBorder="1" applyAlignment="1">
      <alignment horizontal="center" vertical="center"/>
    </xf>
    <xf numFmtId="0" fontId="0" fillId="6" borderId="119" xfId="0" applyFill="1" applyBorder="1" applyAlignment="1">
      <alignment horizontal="center" vertical="center"/>
    </xf>
    <xf numFmtId="0" fontId="0" fillId="6" borderId="123" xfId="0" applyFill="1" applyBorder="1" applyAlignment="1">
      <alignment horizontal="center" vertical="center"/>
    </xf>
    <xf numFmtId="0" fontId="0" fillId="6" borderId="112" xfId="0" applyFill="1" applyBorder="1" applyAlignment="1">
      <alignment horizontal="center" vertical="center"/>
    </xf>
    <xf numFmtId="0" fontId="0" fillId="6" borderId="127" xfId="0" applyFill="1" applyBorder="1" applyAlignment="1">
      <alignment horizontal="center" vertical="center"/>
    </xf>
    <xf numFmtId="0" fontId="0" fillId="7" borderId="108" xfId="0" applyFill="1" applyBorder="1" applyAlignment="1">
      <alignment horizontal="center" vertical="center"/>
    </xf>
    <xf numFmtId="14" fontId="0" fillId="0" borderId="0" xfId="0" applyNumberFormat="1"/>
    <xf numFmtId="166" fontId="30" fillId="0" borderId="0" xfId="0" applyNumberFormat="1" applyFont="1" applyAlignment="1">
      <alignment horizontal="center" vertical="center"/>
    </xf>
    <xf numFmtId="0" fontId="6" fillId="8" borderId="80" xfId="0" applyFont="1" applyFill="1" applyBorder="1" applyAlignment="1">
      <alignment horizontal="center" vertical="center"/>
    </xf>
    <xf numFmtId="0" fontId="6" fillId="9" borderId="80" xfId="0" applyFont="1" applyFill="1" applyBorder="1" applyAlignment="1">
      <alignment horizontal="center" vertical="center"/>
    </xf>
    <xf numFmtId="166" fontId="30" fillId="0" borderId="80" xfId="0" applyNumberFormat="1" applyFont="1" applyBorder="1" applyAlignment="1">
      <alignment horizontal="center" vertical="center"/>
    </xf>
    <xf numFmtId="0" fontId="6" fillId="10" borderId="80" xfId="0" applyFont="1" applyFill="1" applyBorder="1" applyAlignment="1">
      <alignment horizontal="center" vertical="center"/>
    </xf>
    <xf numFmtId="0" fontId="6" fillId="11" borderId="80" xfId="0" applyFont="1" applyFill="1" applyBorder="1" applyAlignment="1">
      <alignment horizontal="center" vertical="center"/>
    </xf>
    <xf numFmtId="166" fontId="30" fillId="2" borderId="80" xfId="0" applyNumberFormat="1" applyFont="1" applyFill="1" applyBorder="1" applyAlignment="1">
      <alignment horizontal="center" vertical="center"/>
    </xf>
    <xf numFmtId="0" fontId="34" fillId="0" borderId="0" xfId="0" applyFont="1"/>
    <xf numFmtId="0" fontId="6" fillId="0" borderId="0" xfId="0" applyFont="1"/>
    <xf numFmtId="0" fontId="0" fillId="0" borderId="80" xfId="0" applyBorder="1" applyAlignment="1">
      <alignment horizontal="center" vertical="center"/>
    </xf>
    <xf numFmtId="0" fontId="35" fillId="0" borderId="80" xfId="0" applyFont="1" applyBorder="1" applyAlignment="1">
      <alignment horizontal="center" vertical="center"/>
    </xf>
    <xf numFmtId="166" fontId="0" fillId="12" borderId="80" xfId="0" applyNumberFormat="1" applyFill="1" applyBorder="1" applyAlignment="1">
      <alignment horizontal="center" vertical="center"/>
    </xf>
    <xf numFmtId="166" fontId="0" fillId="13" borderId="80" xfId="0" applyNumberFormat="1" applyFill="1" applyBorder="1" applyAlignment="1">
      <alignment horizontal="center" vertical="center"/>
    </xf>
    <xf numFmtId="166" fontId="0" fillId="14" borderId="80" xfId="0" applyNumberFormat="1" applyFill="1" applyBorder="1" applyAlignment="1">
      <alignment horizontal="center" vertical="center"/>
    </xf>
    <xf numFmtId="166" fontId="0" fillId="15" borderId="80" xfId="0" applyNumberFormat="1" applyFill="1" applyBorder="1" applyAlignment="1">
      <alignment horizontal="center" vertical="center"/>
    </xf>
    <xf numFmtId="166" fontId="0" fillId="14" borderId="80" xfId="0" applyNumberFormat="1" applyFont="1" applyFill="1" applyBorder="1" applyAlignment="1">
      <alignment horizontal="center" vertical="center"/>
    </xf>
    <xf numFmtId="166" fontId="0" fillId="15" borderId="13" xfId="0" applyNumberFormat="1" applyFill="1" applyBorder="1" applyAlignment="1">
      <alignment horizontal="center" vertical="center"/>
    </xf>
    <xf numFmtId="166" fontId="0" fillId="12" borderId="13" xfId="0" applyNumberFormat="1" applyFill="1" applyBorder="1" applyAlignment="1">
      <alignment horizontal="center" vertical="center"/>
    </xf>
    <xf numFmtId="0" fontId="35" fillId="0" borderId="80" xfId="0" applyFont="1" applyBorder="1" applyAlignment="1">
      <alignment horizontal="center" vertical="center"/>
    </xf>
    <xf numFmtId="166" fontId="36" fillId="18" borderId="136" xfId="7" applyNumberFormat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90"/>
    </xf>
    <xf numFmtId="0" fontId="36" fillId="18" borderId="136" xfId="7" applyAlignment="1">
      <alignment horizontal="center" vertical="center" wrapText="1"/>
    </xf>
    <xf numFmtId="0" fontId="8" fillId="2" borderId="84" xfId="0" applyFont="1" applyFill="1" applyBorder="1" applyAlignment="1">
      <alignment horizontal="center" vertical="center" textRotation="90"/>
    </xf>
    <xf numFmtId="0" fontId="7" fillId="2" borderId="107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36" fillId="18" borderId="136" xfId="7"/>
    <xf numFmtId="165" fontId="36" fillId="14" borderId="136" xfId="7" applyNumberFormat="1" applyFill="1" applyAlignment="1">
      <alignment horizontal="center" vertical="center"/>
    </xf>
    <xf numFmtId="165" fontId="36" fillId="19" borderId="136" xfId="7" applyNumberFormat="1" applyFill="1" applyAlignment="1">
      <alignment horizontal="center" vertical="center"/>
    </xf>
    <xf numFmtId="0" fontId="36" fillId="14" borderId="136" xfId="7" applyFill="1" applyAlignment="1">
      <alignment horizontal="center" vertical="center"/>
    </xf>
    <xf numFmtId="164" fontId="36" fillId="14" borderId="136" xfId="7" applyNumberFormat="1" applyFill="1" applyAlignment="1">
      <alignment horizontal="center" vertical="center"/>
    </xf>
    <xf numFmtId="166" fontId="0" fillId="16" borderId="135" xfId="0" applyNumberFormat="1" applyFill="1" applyBorder="1" applyAlignment="1">
      <alignment horizontal="center" vertical="center"/>
    </xf>
    <xf numFmtId="166" fontId="0" fillId="17" borderId="80" xfId="0" applyNumberFormat="1" applyFill="1" applyBorder="1" applyAlignment="1">
      <alignment horizontal="center" vertical="center"/>
    </xf>
    <xf numFmtId="166" fontId="0" fillId="20" borderId="122" xfId="0" applyNumberFormat="1" applyFont="1" applyFill="1" applyBorder="1" applyAlignment="1">
      <alignment horizontal="center" vertical="center"/>
    </xf>
    <xf numFmtId="166" fontId="0" fillId="7" borderId="20" xfId="0" applyNumberFormat="1" applyFill="1" applyBorder="1" applyAlignment="1">
      <alignment horizontal="center" vertical="center"/>
    </xf>
    <xf numFmtId="166" fontId="30" fillId="2" borderId="20" xfId="0" applyNumberFormat="1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32" fillId="2" borderId="141" xfId="0" applyFont="1" applyFill="1" applyBorder="1" applyAlignment="1">
      <alignment horizontal="center" vertical="center"/>
    </xf>
    <xf numFmtId="0" fontId="32" fillId="2" borderId="142" xfId="0" applyFont="1" applyFill="1" applyBorder="1" applyAlignment="1">
      <alignment horizontal="center" vertical="center"/>
    </xf>
    <xf numFmtId="0" fontId="31" fillId="2" borderId="142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6" fillId="2" borderId="146" xfId="0" applyFont="1" applyFill="1" applyBorder="1" applyAlignment="1">
      <alignment horizontal="center" vertical="center"/>
    </xf>
    <xf numFmtId="0" fontId="36" fillId="18" borderId="136" xfId="7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" fontId="6" fillId="0" borderId="52" xfId="0" applyNumberFormat="1" applyFont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28" fillId="5" borderId="116" xfId="5" applyAlignment="1">
      <alignment horizontal="center" vertical="center"/>
    </xf>
    <xf numFmtId="0" fontId="28" fillId="5" borderId="118" xfId="5" applyBorder="1" applyAlignment="1">
      <alignment horizontal="center" vertical="center"/>
    </xf>
    <xf numFmtId="0" fontId="28" fillId="5" borderId="116" xfId="5" applyAlignment="1">
      <alignment horizontal="center" vertical="center" wrapText="1"/>
    </xf>
    <xf numFmtId="0" fontId="25" fillId="21" borderId="109" xfId="3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8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11" fillId="2" borderId="140" xfId="0" applyFont="1" applyFill="1" applyBorder="1" applyAlignment="1">
      <alignment horizontal="center" vertical="center" textRotation="90" wrapText="1"/>
    </xf>
    <xf numFmtId="0" fontId="11" fillId="2" borderId="145" xfId="0" applyFont="1" applyFill="1" applyBorder="1" applyAlignment="1">
      <alignment horizontal="center" vertical="center" textRotation="90" wrapText="1"/>
    </xf>
    <xf numFmtId="0" fontId="2" fillId="2" borderId="134" xfId="0" applyFont="1" applyFill="1" applyBorder="1" applyAlignment="1">
      <alignment horizontal="center" vertical="center"/>
    </xf>
    <xf numFmtId="0" fontId="2" fillId="2" borderId="137" xfId="0" applyFont="1" applyFill="1" applyBorder="1" applyAlignment="1">
      <alignment horizontal="center" vertical="center"/>
    </xf>
    <xf numFmtId="0" fontId="33" fillId="2" borderId="133" xfId="0" applyFont="1" applyFill="1" applyBorder="1" applyAlignment="1">
      <alignment horizontal="center" vertical="center"/>
    </xf>
    <xf numFmtId="0" fontId="33" fillId="2" borderId="132" xfId="0" applyFont="1" applyFill="1" applyBorder="1" applyAlignment="1">
      <alignment horizontal="center" vertical="center"/>
    </xf>
    <xf numFmtId="0" fontId="33" fillId="2" borderId="131" xfId="0" applyFont="1" applyFill="1" applyBorder="1" applyAlignment="1">
      <alignment horizontal="center" vertical="center"/>
    </xf>
    <xf numFmtId="0" fontId="8" fillId="2" borderId="138" xfId="0" applyFont="1" applyFill="1" applyBorder="1" applyAlignment="1">
      <alignment horizontal="center" vertical="center" textRotation="90" wrapText="1"/>
    </xf>
    <xf numFmtId="0" fontId="8" fillId="2" borderId="143" xfId="0" applyFont="1" applyFill="1" applyBorder="1" applyAlignment="1">
      <alignment horizontal="center" vertical="center" textRotation="90" wrapText="1"/>
    </xf>
    <xf numFmtId="0" fontId="10" fillId="2" borderId="139" xfId="0" applyFont="1" applyFill="1" applyBorder="1" applyAlignment="1">
      <alignment horizontal="center" vertical="center" textRotation="90" wrapText="1"/>
    </xf>
    <xf numFmtId="0" fontId="10" fillId="2" borderId="144" xfId="0" applyFont="1" applyFill="1" applyBorder="1" applyAlignment="1">
      <alignment horizontal="center" vertical="center" textRotation="90" wrapText="1"/>
    </xf>
    <xf numFmtId="0" fontId="24" fillId="0" borderId="9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9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textRotation="90" wrapText="1"/>
    </xf>
    <xf numFmtId="0" fontId="11" fillId="2" borderId="22" xfId="0" applyFont="1" applyFill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 readingOrder="2"/>
    </xf>
    <xf numFmtId="0" fontId="13" fillId="2" borderId="29" xfId="0" applyFont="1" applyFill="1" applyBorder="1" applyAlignment="1">
      <alignment horizontal="center" vertical="center" wrapText="1" readingOrder="2"/>
    </xf>
    <xf numFmtId="0" fontId="14" fillId="2" borderId="17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0" fillId="0" borderId="8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/>
    </xf>
    <xf numFmtId="0" fontId="36" fillId="18" borderId="151" xfId="7" applyBorder="1" applyAlignment="1">
      <alignment horizontal="center" vertical="center"/>
    </xf>
    <xf numFmtId="0" fontId="36" fillId="18" borderId="152" xfId="7" applyBorder="1" applyAlignment="1">
      <alignment horizontal="center" vertical="center"/>
    </xf>
    <xf numFmtId="0" fontId="36" fillId="18" borderId="136" xfId="7" applyAlignment="1">
      <alignment horizontal="center" vertical="center"/>
    </xf>
    <xf numFmtId="0" fontId="36" fillId="18" borderId="151" xfId="7" applyBorder="1" applyAlignment="1">
      <alignment horizontal="center" vertical="center" wrapText="1"/>
    </xf>
    <xf numFmtId="0" fontId="36" fillId="18" borderId="152" xfId="7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0" fillId="0" borderId="148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28" fillId="5" borderId="116" xfId="5" applyAlignment="1">
      <alignment horizontal="center" vertical="center"/>
    </xf>
    <xf numFmtId="0" fontId="28" fillId="5" borderId="117" xfId="5" applyBorder="1" applyAlignment="1">
      <alignment horizontal="center" vertical="center"/>
    </xf>
    <xf numFmtId="0" fontId="28" fillId="5" borderId="118" xfId="5" applyBorder="1" applyAlignment="1">
      <alignment horizontal="center" vertical="center"/>
    </xf>
    <xf numFmtId="0" fontId="0" fillId="6" borderId="108" xfId="0" applyFill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6" borderId="122" xfId="0" applyFill="1" applyBorder="1" applyAlignment="1">
      <alignment horizontal="center" vertical="center"/>
    </xf>
    <xf numFmtId="0" fontId="0" fillId="6" borderId="123" xfId="0" applyFill="1" applyBorder="1" applyAlignment="1">
      <alignment horizontal="center" vertical="center"/>
    </xf>
    <xf numFmtId="165" fontId="0" fillId="0" borderId="108" xfId="0" applyNumberFormat="1" applyFont="1" applyBorder="1" applyAlignment="1">
      <alignment horizontal="center" vertical="center"/>
    </xf>
    <xf numFmtId="0" fontId="0" fillId="6" borderId="127" xfId="0" applyFill="1" applyBorder="1" applyAlignment="1">
      <alignment horizontal="center" vertical="center"/>
    </xf>
    <xf numFmtId="0" fontId="0" fillId="6" borderId="130" xfId="0" applyFill="1" applyBorder="1" applyAlignment="1">
      <alignment horizontal="center" vertical="center"/>
    </xf>
    <xf numFmtId="0" fontId="0" fillId="6" borderId="119" xfId="0" applyFill="1" applyBorder="1" applyAlignment="1">
      <alignment horizontal="center" vertical="center"/>
    </xf>
    <xf numFmtId="0" fontId="0" fillId="6" borderId="124" xfId="0" applyFill="1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6" borderId="112" xfId="0" applyFill="1" applyBorder="1" applyAlignment="1">
      <alignment horizontal="center" vertical="center"/>
    </xf>
    <xf numFmtId="0" fontId="0" fillId="6" borderId="125" xfId="0" applyFill="1" applyBorder="1" applyAlignment="1">
      <alignment horizontal="center" vertical="center"/>
    </xf>
    <xf numFmtId="0" fontId="0" fillId="6" borderId="126" xfId="0" applyFill="1" applyBorder="1" applyAlignment="1">
      <alignment horizontal="center" vertical="center"/>
    </xf>
    <xf numFmtId="0" fontId="0" fillId="6" borderId="128" xfId="0" applyFill="1" applyBorder="1" applyAlignment="1">
      <alignment horizontal="center" vertical="center"/>
    </xf>
    <xf numFmtId="0" fontId="0" fillId="6" borderId="129" xfId="0" applyFill="1" applyBorder="1" applyAlignment="1">
      <alignment horizontal="center" vertical="center"/>
    </xf>
    <xf numFmtId="0" fontId="26" fillId="0" borderId="114" xfId="2" applyFill="1" applyAlignment="1">
      <alignment horizontal="center" vertical="center"/>
    </xf>
    <xf numFmtId="0" fontId="28" fillId="5" borderId="116" xfId="5" applyAlignment="1">
      <alignment horizontal="center" vertical="center" wrapText="1"/>
    </xf>
    <xf numFmtId="0" fontId="27" fillId="4" borderId="120" xfId="4" applyBorder="1" applyAlignment="1">
      <alignment horizontal="center" vertical="center"/>
    </xf>
    <xf numFmtId="0" fontId="27" fillId="4" borderId="121" xfId="4" applyBorder="1" applyAlignment="1">
      <alignment horizontal="center" vertical="center"/>
    </xf>
    <xf numFmtId="1" fontId="27" fillId="4" borderId="120" xfId="4" applyNumberFormat="1" applyBorder="1" applyAlignment="1">
      <alignment horizontal="center" vertical="center"/>
    </xf>
    <xf numFmtId="1" fontId="27" fillId="4" borderId="121" xfId="4" applyNumberFormat="1" applyBorder="1" applyAlignment="1">
      <alignment horizontal="center" vertical="center"/>
    </xf>
    <xf numFmtId="0" fontId="0" fillId="16" borderId="9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</cellXfs>
  <cellStyles count="8">
    <cellStyle name="Normal" xfId="0" builtinId="0"/>
    <cellStyle name="إخراج" xfId="5" builtinId="21"/>
    <cellStyle name="إدخال" xfId="4" builtinId="20"/>
    <cellStyle name="جيد" xfId="3" builtinId="26"/>
    <cellStyle name="حساب" xfId="6" builtinId="22"/>
    <cellStyle name="خلية تدقيق" xfId="7" builtinId="23"/>
    <cellStyle name="عنوان 1" xfId="2" builtinId="16"/>
    <cellStyle name="نمط 1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8"/>
  <sheetViews>
    <sheetView rightToLeft="1" view="pageBreakPreview" zoomScale="40" zoomScaleNormal="100" zoomScaleSheetLayoutView="40" workbookViewId="0" xr3:uid="{78B4E459-6924-5F8B-B7BA-2DD04133E49E}">
      <pane xSplit="2" ySplit="1" topLeftCell="C2" activePane="bottomRight" state="frozen"/>
      <selection activeCell="F14" sqref="F14"/>
      <selection pane="bottomLeft" activeCell="A5" sqref="A5"/>
      <selection pane="topRight" activeCell="AQ1" sqref="AQ1"/>
      <selection pane="bottomRight" activeCell="C9" sqref="C9"/>
    </sheetView>
  </sheetViews>
  <sheetFormatPr defaultColWidth="8.94921875" defaultRowHeight="13.5" x14ac:dyDescent="0.15"/>
  <cols>
    <col min="1" max="1" width="5.63671875" style="75" customWidth="1"/>
    <col min="2" max="3" width="4.41015625" style="75" customWidth="1"/>
    <col min="4" max="4" width="12.74609375" style="75" customWidth="1"/>
    <col min="5" max="16384" width="8.94921875" style="75"/>
  </cols>
  <sheetData>
    <row r="1" spans="1:4" s="2" customFormat="1" ht="20.100000000000001" customHeight="1" x14ac:dyDescent="0.15">
      <c r="A1" s="183" t="s">
        <v>0</v>
      </c>
      <c r="B1" s="184"/>
      <c r="C1" s="185"/>
    </row>
    <row r="2" spans="1:4" s="2" customFormat="1" ht="20.100000000000001" customHeight="1" x14ac:dyDescent="0.15">
      <c r="A2" s="168"/>
      <c r="B2" s="169"/>
      <c r="C2" s="170"/>
    </row>
    <row r="3" spans="1:4" ht="34.5" customHeight="1" x14ac:dyDescent="0.15">
      <c r="A3" s="150" t="s">
        <v>5</v>
      </c>
      <c r="B3" s="147" t="s">
        <v>6</v>
      </c>
      <c r="C3" s="149" t="s">
        <v>7</v>
      </c>
    </row>
    <row r="4" spans="1:4" s="2" customFormat="1" ht="20.100000000000001" customHeight="1" x14ac:dyDescent="0.15">
      <c r="A4" s="19" t="s">
        <v>45</v>
      </c>
      <c r="B4" s="177">
        <v>9</v>
      </c>
      <c r="C4" s="21" t="s">
        <v>44</v>
      </c>
      <c r="D4" s="176"/>
    </row>
    <row r="5" spans="1:4" s="2" customFormat="1" ht="20.100000000000001" customHeight="1" x14ac:dyDescent="0.15">
      <c r="A5" s="80" t="s">
        <v>46</v>
      </c>
      <c r="B5" s="151">
        <v>10</v>
      </c>
      <c r="C5" s="152" t="s">
        <v>44</v>
      </c>
      <c r="D5" s="178"/>
    </row>
    <row r="6" spans="1:4" s="2" customFormat="1" ht="20.100000000000001" customHeight="1" x14ac:dyDescent="0.15">
      <c r="A6" s="19" t="s">
        <v>47</v>
      </c>
      <c r="B6" s="20">
        <v>11</v>
      </c>
      <c r="C6" s="21" t="s">
        <v>44</v>
      </c>
      <c r="D6" s="176"/>
    </row>
    <row r="7" spans="1:4" s="2" customFormat="1" ht="20.100000000000001" customHeight="1" x14ac:dyDescent="0.15">
      <c r="A7" s="19" t="s">
        <v>48</v>
      </c>
      <c r="B7" s="20">
        <v>12</v>
      </c>
      <c r="C7" s="21" t="s">
        <v>44</v>
      </c>
      <c r="D7" s="176"/>
    </row>
    <row r="8" spans="1:4" s="2" customFormat="1" ht="20.100000000000001" customHeight="1" x14ac:dyDescent="0.15">
      <c r="A8" s="19" t="s">
        <v>49</v>
      </c>
      <c r="B8" s="20">
        <v>13</v>
      </c>
      <c r="C8" s="21" t="s">
        <v>44</v>
      </c>
      <c r="D8" s="176"/>
    </row>
    <row r="9" spans="1:4" s="2" customFormat="1" ht="20.100000000000001" customHeight="1" x14ac:dyDescent="0.15">
      <c r="A9" s="19" t="s">
        <v>45</v>
      </c>
      <c r="B9" s="20">
        <v>16</v>
      </c>
      <c r="C9" s="21" t="s">
        <v>44</v>
      </c>
      <c r="D9" s="176"/>
    </row>
    <row r="10" spans="1:4" s="2" customFormat="1" ht="20.100000000000001" customHeight="1" x14ac:dyDescent="0.15">
      <c r="A10" s="79" t="s">
        <v>46</v>
      </c>
      <c r="B10" s="20">
        <v>17</v>
      </c>
      <c r="C10" s="21" t="s">
        <v>44</v>
      </c>
      <c r="D10" s="176"/>
    </row>
    <row r="11" spans="1:4" s="2" customFormat="1" ht="20.100000000000001" customHeight="1" x14ac:dyDescent="0.15">
      <c r="A11" s="80" t="s">
        <v>47</v>
      </c>
      <c r="B11" s="20">
        <v>18</v>
      </c>
      <c r="C11" s="21" t="s">
        <v>44</v>
      </c>
      <c r="D11" s="176"/>
    </row>
    <row r="12" spans="1:4" s="2" customFormat="1" ht="20.100000000000001" customHeight="1" x14ac:dyDescent="0.15">
      <c r="A12" s="19" t="s">
        <v>48</v>
      </c>
      <c r="B12" s="20">
        <v>19</v>
      </c>
      <c r="C12" s="21" t="s">
        <v>44</v>
      </c>
      <c r="D12" s="176"/>
    </row>
    <row r="13" spans="1:4" s="2" customFormat="1" ht="20.100000000000001" customHeight="1" x14ac:dyDescent="0.15">
      <c r="A13" s="19" t="s">
        <v>49</v>
      </c>
      <c r="B13" s="20">
        <v>20</v>
      </c>
      <c r="C13" s="21" t="s">
        <v>44</v>
      </c>
      <c r="D13" s="176"/>
    </row>
    <row r="14" spans="1:4" s="2" customFormat="1" ht="20.100000000000001" customHeight="1" x14ac:dyDescent="0.15">
      <c r="A14" s="19" t="s">
        <v>43</v>
      </c>
      <c r="B14" s="20">
        <v>22</v>
      </c>
      <c r="C14" s="21" t="s">
        <v>44</v>
      </c>
      <c r="D14" s="176"/>
    </row>
    <row r="15" spans="1:4" s="2" customFormat="1" ht="20.100000000000001" customHeight="1" x14ac:dyDescent="0.15">
      <c r="A15" s="19" t="s">
        <v>45</v>
      </c>
      <c r="B15" s="20">
        <v>23</v>
      </c>
      <c r="C15" s="21" t="s">
        <v>44</v>
      </c>
      <c r="D15" s="176"/>
    </row>
    <row r="16" spans="1:4" s="2" customFormat="1" ht="20.100000000000001" customHeight="1" x14ac:dyDescent="0.15">
      <c r="A16" s="79" t="s">
        <v>47</v>
      </c>
      <c r="B16" s="20">
        <v>25</v>
      </c>
      <c r="C16" s="21" t="s">
        <v>44</v>
      </c>
      <c r="D16" s="176"/>
    </row>
    <row r="17" spans="1:4" s="2" customFormat="1" ht="20.100000000000001" customHeight="1" x14ac:dyDescent="0.15">
      <c r="A17" s="80" t="s">
        <v>48</v>
      </c>
      <c r="B17" s="20">
        <v>26</v>
      </c>
      <c r="C17" s="21" t="s">
        <v>44</v>
      </c>
      <c r="D17" s="176"/>
    </row>
    <row r="18" spans="1:4" s="2" customFormat="1" ht="20.100000000000001" customHeight="1" x14ac:dyDescent="0.15">
      <c r="A18" s="19" t="s">
        <v>49</v>
      </c>
      <c r="B18" s="20">
        <v>27</v>
      </c>
      <c r="C18" s="21" t="s">
        <v>44</v>
      </c>
      <c r="D18" s="176"/>
    </row>
    <row r="19" spans="1:4" s="2" customFormat="1" ht="20.100000000000001" customHeight="1" x14ac:dyDescent="0.15">
      <c r="A19" s="19"/>
      <c r="B19" s="20"/>
      <c r="C19" s="21"/>
      <c r="D19" s="176"/>
    </row>
    <row r="20" spans="1:4" s="2" customFormat="1" ht="20.100000000000001" customHeight="1" x14ac:dyDescent="0.15">
      <c r="A20" s="19"/>
      <c r="B20" s="20"/>
      <c r="C20" s="21"/>
      <c r="D20" s="176"/>
    </row>
    <row r="21" spans="1:4" s="2" customFormat="1" ht="20.100000000000001" customHeight="1" x14ac:dyDescent="0.15">
      <c r="A21" s="19"/>
      <c r="B21" s="20"/>
      <c r="C21" s="21"/>
      <c r="D21" s="176"/>
    </row>
    <row r="22" spans="1:4" s="2" customFormat="1" ht="20.100000000000001" customHeight="1" x14ac:dyDescent="0.15">
      <c r="A22" s="79"/>
      <c r="B22" s="20"/>
      <c r="C22" s="21"/>
      <c r="D22" s="176"/>
    </row>
    <row r="23" spans="1:4" s="2" customFormat="1" ht="20.100000000000001" customHeight="1" x14ac:dyDescent="0.15">
      <c r="A23" s="19"/>
      <c r="B23" s="20"/>
      <c r="C23" s="21"/>
      <c r="D23" s="176"/>
    </row>
    <row r="24" spans="1:4" s="2" customFormat="1" ht="20.100000000000001" customHeight="1" x14ac:dyDescent="0.15">
      <c r="A24" s="19"/>
      <c r="B24" s="20"/>
      <c r="C24" s="21"/>
      <c r="D24" s="176"/>
    </row>
    <row r="25" spans="1:4" s="2" customFormat="1" ht="20.100000000000001" customHeight="1" x14ac:dyDescent="0.15">
      <c r="A25" s="19"/>
      <c r="B25" s="20"/>
      <c r="C25" s="21"/>
      <c r="D25" s="176"/>
    </row>
    <row r="26" spans="1:4" s="2" customFormat="1" ht="20.100000000000001" customHeight="1" x14ac:dyDescent="0.15">
      <c r="A26" s="19"/>
      <c r="B26" s="20"/>
      <c r="C26" s="21"/>
      <c r="D26" s="176"/>
    </row>
    <row r="27" spans="1:4" s="2" customFormat="1" ht="20.100000000000001" customHeight="1" x14ac:dyDescent="0.15">
      <c r="A27" s="19"/>
      <c r="B27" s="20"/>
      <c r="C27" s="21"/>
      <c r="D27" s="176"/>
    </row>
    <row r="28" spans="1:4" s="2" customFormat="1" ht="20.100000000000001" customHeight="1" x14ac:dyDescent="0.15">
      <c r="A28" s="19"/>
      <c r="B28" s="20"/>
      <c r="C28" s="21"/>
      <c r="D28" s="176"/>
    </row>
    <row r="29" spans="1:4" s="2" customFormat="1" ht="20.100000000000001" customHeight="1" x14ac:dyDescent="0.15">
      <c r="A29" s="19"/>
      <c r="B29" s="20"/>
      <c r="C29" s="21"/>
      <c r="D29" s="176"/>
    </row>
    <row r="30" spans="1:4" s="2" customFormat="1" ht="20.100000000000001" customHeight="1" x14ac:dyDescent="0.15">
      <c r="A30" s="19"/>
      <c r="B30" s="20"/>
      <c r="C30" s="21"/>
      <c r="D30" s="176"/>
    </row>
    <row r="31" spans="1:4" ht="18" x14ac:dyDescent="0.15">
      <c r="A31" s="19"/>
      <c r="B31" s="20"/>
      <c r="C31" s="21"/>
      <c r="D31" s="176"/>
    </row>
    <row r="32" spans="1:4" ht="18" x14ac:dyDescent="0.15">
      <c r="A32" s="19"/>
      <c r="B32" s="20"/>
      <c r="C32" s="21"/>
      <c r="D32" s="176"/>
    </row>
    <row r="33" spans="1:4" ht="18" x14ac:dyDescent="0.15">
      <c r="A33" s="19"/>
      <c r="B33" s="20"/>
      <c r="C33" s="21"/>
      <c r="D33" s="176"/>
    </row>
    <row r="34" spans="1:4" ht="18" x14ac:dyDescent="0.15">
      <c r="A34" s="19"/>
      <c r="B34" s="20"/>
      <c r="C34" s="21"/>
      <c r="D34" s="176"/>
    </row>
    <row r="35" spans="1:4" ht="18" x14ac:dyDescent="0.15">
      <c r="A35" s="35"/>
      <c r="B35" s="36"/>
      <c r="C35" s="37"/>
      <c r="D35" s="176"/>
    </row>
    <row r="36" spans="1:4" ht="18" x14ac:dyDescent="0.15">
      <c r="A36" s="188" t="s">
        <v>23</v>
      </c>
      <c r="B36" s="189"/>
      <c r="C36" s="190"/>
      <c r="D36" s="176"/>
    </row>
    <row r="37" spans="1:4" ht="18" x14ac:dyDescent="0.15">
      <c r="A37" s="186" t="s">
        <v>34</v>
      </c>
      <c r="B37" s="187"/>
      <c r="C37" s="50">
        <f>COUNTA(C4:C35)</f>
        <v>15</v>
      </c>
      <c r="D37" s="176"/>
    </row>
    <row r="38" spans="1:4" ht="18" x14ac:dyDescent="0.15">
      <c r="A38" s="191" t="s">
        <v>37</v>
      </c>
      <c r="B38" s="192"/>
      <c r="C38" s="56">
        <f>COUNTIF(C4:C35,"م")</f>
        <v>15</v>
      </c>
      <c r="D38" s="176"/>
    </row>
  </sheetData>
  <mergeCells count="4">
    <mergeCell ref="A1:C1"/>
    <mergeCell ref="A37:B37"/>
    <mergeCell ref="A36:C36"/>
    <mergeCell ref="A38:B38"/>
  </mergeCells>
  <dataValidations count="1">
    <dataValidation type="list" allowBlank="1" showInputMessage="1" showErrorMessage="1" sqref="C1:C2 C4:C26" xr:uid="{00000000-0002-0000-0500-000000000000}">
      <formula1>"م,غ"</formula1>
    </dataValidation>
  </dataValidations>
  <printOptions horizontalCentered="1" verticalCentered="1"/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8"/>
  <sheetViews>
    <sheetView rightToLeft="1" tabSelected="1" view="pageBreakPreview" zoomScale="30" zoomScaleNormal="100" zoomScaleSheetLayoutView="30" workbookViewId="0" xr3:uid="{51F8DEE0-4D01-5F28-A812-FC0BD7CAC4A5}">
      <pane xSplit="2" ySplit="2" topLeftCell="C3" activePane="bottomRight" state="frozen"/>
      <selection activeCell="M2" sqref="M2:O3"/>
      <selection pane="bottomLeft" activeCell="M2" sqref="M2:O3"/>
      <selection pane="topRight" activeCell="M2" sqref="M2:O3"/>
      <selection pane="bottomRight" activeCell="D24" sqref="D24"/>
    </sheetView>
  </sheetViews>
  <sheetFormatPr defaultColWidth="8.94921875" defaultRowHeight="17.25" x14ac:dyDescent="0.15"/>
  <cols>
    <col min="1" max="1" width="6.6171875" style="75" customWidth="1"/>
    <col min="2" max="2" width="12.625" style="127" customWidth="1"/>
    <col min="3" max="3" width="5.515625" style="75" customWidth="1"/>
    <col min="4" max="4" width="4.90234375" style="75" customWidth="1"/>
    <col min="5" max="5" width="5.515625" style="75" customWidth="1"/>
    <col min="6" max="6" width="4.90234375" style="75" customWidth="1"/>
    <col min="7" max="7" width="5.515625" style="75" customWidth="1"/>
    <col min="8" max="8" width="4.90234375" style="75" customWidth="1"/>
    <col min="9" max="9" width="5.515625" style="75" customWidth="1"/>
    <col min="10" max="10" width="4.90234375" style="75" customWidth="1"/>
    <col min="11" max="11" width="5.515625" style="75" customWidth="1"/>
    <col min="12" max="12" width="4.90234375" style="75" customWidth="1"/>
    <col min="13" max="13" width="5.8828125" style="75" customWidth="1"/>
    <col min="14" max="14" width="2.94140625" style="75" customWidth="1"/>
    <col min="15" max="15" width="5.8828125" style="75" customWidth="1"/>
    <col min="16" max="16384" width="8.94921875" style="75"/>
  </cols>
  <sheetData>
    <row r="1" spans="1:19" s="2" customFormat="1" ht="20.25" customHeight="1" x14ac:dyDescent="0.15">
      <c r="A1" s="204" t="s">
        <v>0</v>
      </c>
      <c r="B1" s="205"/>
      <c r="C1" s="206" t="s">
        <v>1</v>
      </c>
      <c r="D1" s="207"/>
      <c r="E1" s="207"/>
      <c r="F1" s="207"/>
      <c r="G1" s="207"/>
      <c r="H1" s="207"/>
      <c r="I1" s="207"/>
      <c r="J1" s="207"/>
      <c r="K1" s="207"/>
      <c r="L1" s="208"/>
      <c r="M1" s="209" t="s">
        <v>8</v>
      </c>
      <c r="N1" s="211" t="s">
        <v>9</v>
      </c>
      <c r="O1" s="202" t="s">
        <v>10</v>
      </c>
      <c r="R1" s="145" t="s">
        <v>13</v>
      </c>
      <c r="S1" s="145" t="s">
        <v>124</v>
      </c>
    </row>
    <row r="2" spans="1:19" s="1" customFormat="1" ht="24.75" customHeight="1" thickBot="1" x14ac:dyDescent="0.2">
      <c r="A2" s="165" t="s">
        <v>5</v>
      </c>
      <c r="B2" s="166" t="s">
        <v>6</v>
      </c>
      <c r="C2" s="167">
        <v>1</v>
      </c>
      <c r="D2" s="167" t="s">
        <v>87</v>
      </c>
      <c r="E2" s="167">
        <v>2</v>
      </c>
      <c r="F2" s="167" t="s">
        <v>87</v>
      </c>
      <c r="G2" s="167">
        <v>3</v>
      </c>
      <c r="H2" s="167" t="s">
        <v>87</v>
      </c>
      <c r="I2" s="167">
        <v>4</v>
      </c>
      <c r="J2" s="167" t="s">
        <v>87</v>
      </c>
      <c r="K2" s="167">
        <v>5</v>
      </c>
      <c r="L2" s="167" t="s">
        <v>87</v>
      </c>
      <c r="M2" s="210"/>
      <c r="N2" s="212"/>
      <c r="O2" s="203"/>
      <c r="R2" s="136" t="s">
        <v>123</v>
      </c>
      <c r="S2" s="136">
        <v>-1</v>
      </c>
    </row>
    <row r="3" spans="1:19" s="2" customFormat="1" ht="20.100000000000001" customHeight="1" x14ac:dyDescent="0.15">
      <c r="A3" s="57" t="s">
        <v>45</v>
      </c>
      <c r="B3" s="162">
        <v>43625</v>
      </c>
      <c r="C3" s="163">
        <v>32</v>
      </c>
      <c r="D3" s="164" t="s">
        <v>51</v>
      </c>
      <c r="E3" s="163" t="str">
        <f>IF(F3&gt;"",MAX($C3:D$3)+1,"")</f>
        <v/>
      </c>
      <c r="F3" s="164"/>
      <c r="G3" s="163" t="str">
        <f>IF(H3&gt;"",MAX($C3:F$3)+1,"")</f>
        <v/>
      </c>
      <c r="H3" s="164"/>
      <c r="I3" s="163" t="str">
        <f>IF(J3&gt;"",MAX($C3:H$3)+1,"")</f>
        <v/>
      </c>
      <c r="J3" s="164"/>
      <c r="K3" s="163" t="str">
        <f>IF(L3&gt;"",MAX($C3:J$3)+1,"")</f>
        <v/>
      </c>
      <c r="L3" s="164"/>
      <c r="M3" s="81">
        <f>SUMPRODUCT(COUNTIF(C3:L3, {"ممتاز";"جيد جداً";"جيد"}))</f>
        <v>1</v>
      </c>
      <c r="N3" s="82">
        <f>COUNTIF(B3:J3,"ضعيف")</f>
        <v>0</v>
      </c>
      <c r="O3" s="83">
        <f>IF(COUNTBLANK($C3:$L3)=6,"/",IF(SUMPRODUCT(($R$2:$R$19=$C3:$L3)*($S$2:$S$19))=-1,"ضعيف",INDEX($S$4:$S$19,MATCH(SUMPRODUCT(($R$2:$R$19=$C3:$L3)*($S$2:$S$19)),$S$4:$S$19,0))))</f>
        <v>1</v>
      </c>
      <c r="R3" s="136" t="s">
        <v>115</v>
      </c>
      <c r="S3" s="136">
        <v>-1</v>
      </c>
    </row>
    <row r="4" spans="1:19" s="2" customFormat="1" ht="20.100000000000001" customHeight="1" x14ac:dyDescent="0.15">
      <c r="A4" s="48" t="s">
        <v>46</v>
      </c>
      <c r="B4" s="162">
        <v>43626</v>
      </c>
      <c r="C4" s="129">
        <f>IF(D4&gt;"",MAX($C$3:L3)+1,"")</f>
        <v>33</v>
      </c>
      <c r="D4" s="128" t="s">
        <v>115</v>
      </c>
      <c r="E4" s="129">
        <f>IF(F4&gt;"",MAX($C$3:L3,C4:D4)+1,"")</f>
        <v>34</v>
      </c>
      <c r="F4" s="128" t="s">
        <v>115</v>
      </c>
      <c r="G4" s="129" t="str">
        <f>IF(H4&gt;"",MAX($C$3:L3,C4:F4)+1,"")</f>
        <v/>
      </c>
      <c r="H4" s="128"/>
      <c r="I4" s="129" t="str">
        <f>IF(J4&gt;"",MAX($C$3:L3,C4:H4)+1,"")</f>
        <v/>
      </c>
      <c r="J4" s="128"/>
      <c r="K4" s="129" t="str">
        <f>IF(L4&gt;"",MAX($C$3:L3,C4:J4)+1,"")</f>
        <v/>
      </c>
      <c r="L4" s="128"/>
      <c r="M4" s="81">
        <f>SUMPRODUCT(COUNTIF(C4:L4, {"ممتاز";"جيد جداً";"جيد"}))</f>
        <v>0</v>
      </c>
      <c r="N4" s="82">
        <f t="shared" ref="N4:N34" si="0">COUNTIF(B4:J4,"ضعيف")</f>
        <v>2</v>
      </c>
      <c r="O4" s="174" t="str">
        <f t="shared" ref="O4:O34" si="1">IF(COUNTBLANK($C4:$L4)=6,"/",IF(SUMPRODUCT(($R$2:$R$19=$C4:$L4)*($S$2:$S$19))=-1,"ضعيف",INDEX($S$4:$S$19,MATCH(SUMPRODUCT(($R$2:$R$19=$C4:$L4)*($S$2:$S$19)),$S$4:$S$19,0))))</f>
        <v>/</v>
      </c>
      <c r="R4" s="136" t="s">
        <v>108</v>
      </c>
      <c r="S4" s="136">
        <v>0</v>
      </c>
    </row>
    <row r="5" spans="1:19" s="2" customFormat="1" ht="20.100000000000001" customHeight="1" x14ac:dyDescent="0.15">
      <c r="A5" s="48" t="s">
        <v>47</v>
      </c>
      <c r="B5" s="162">
        <v>43627</v>
      </c>
      <c r="C5" s="132" t="str">
        <f>IF(D5&gt;"",MAX($C$3:L4)+1,"")</f>
        <v/>
      </c>
      <c r="D5" s="131"/>
      <c r="E5" s="132" t="str">
        <f>IF(F5&gt;"",MAX($C$3:L4,C5:D5)+1,"")</f>
        <v/>
      </c>
      <c r="F5" s="131"/>
      <c r="G5" s="132" t="str">
        <f>IF(H5&gt;"",MAX($C$3:L4,C5:F5)+1,"")</f>
        <v/>
      </c>
      <c r="H5" s="131"/>
      <c r="I5" s="129" t="str">
        <f>IF(J5&gt;"",MAX($C$3:L4,C5:H5)+1,"")</f>
        <v/>
      </c>
      <c r="J5" s="131"/>
      <c r="K5" s="132" t="str">
        <f>IF(L5&gt;"",MAX($C$3:L4,C5:J5)+1,"")</f>
        <v/>
      </c>
      <c r="L5" s="131"/>
      <c r="M5" s="81">
        <f>SUMPRODUCT(COUNTIF(C5:L5, {"ممتاز";"جيد جداً";"جيد"}))</f>
        <v>0</v>
      </c>
      <c r="N5" s="82">
        <f t="shared" si="0"/>
        <v>0</v>
      </c>
      <c r="O5" s="174">
        <f t="shared" si="1"/>
        <v>0</v>
      </c>
      <c r="R5" s="136" t="s">
        <v>51</v>
      </c>
      <c r="S5" s="136">
        <v>1</v>
      </c>
    </row>
    <row r="6" spans="1:19" s="2" customFormat="1" ht="20.100000000000001" customHeight="1" x14ac:dyDescent="0.15">
      <c r="A6" s="48" t="s">
        <v>48</v>
      </c>
      <c r="B6" s="162">
        <v>43628</v>
      </c>
      <c r="C6" s="129">
        <v>33</v>
      </c>
      <c r="D6" s="128" t="s">
        <v>50</v>
      </c>
      <c r="E6" s="129">
        <v>34</v>
      </c>
      <c r="F6" s="128" t="s">
        <v>50</v>
      </c>
      <c r="G6" s="129">
        <f>IF(H6&gt;"",MAX($C$3:L5,C6:F6)+1,"")</f>
        <v>35</v>
      </c>
      <c r="H6" s="128" t="s">
        <v>50</v>
      </c>
      <c r="I6" s="129" t="str">
        <f>IF(J6&gt;"",MAX($C$3:L5,C6:H6)+1,"")</f>
        <v/>
      </c>
      <c r="J6" s="128"/>
      <c r="K6" s="129" t="str">
        <f>IF(L6&gt;"",MAX($C$3:L5,C6:J6)+1,"")</f>
        <v/>
      </c>
      <c r="L6" s="128"/>
      <c r="M6" s="81">
        <f>SUMPRODUCT(COUNTIF(C6:L6, {"ممتاز";"جيد جداً";"جيد"}))</f>
        <v>3</v>
      </c>
      <c r="N6" s="82">
        <f t="shared" si="0"/>
        <v>0</v>
      </c>
      <c r="O6" s="174">
        <f t="shared" si="1"/>
        <v>9</v>
      </c>
      <c r="R6" s="136" t="s">
        <v>116</v>
      </c>
      <c r="S6" s="136">
        <v>2</v>
      </c>
    </row>
    <row r="7" spans="1:19" s="2" customFormat="1" ht="20.100000000000001" customHeight="1" x14ac:dyDescent="0.15">
      <c r="A7" s="48" t="s">
        <v>49</v>
      </c>
      <c r="B7" s="162">
        <v>43629</v>
      </c>
      <c r="C7" s="132">
        <f>IF(D7&gt;"",MAX($C$3:L6)+1,"")</f>
        <v>36</v>
      </c>
      <c r="D7" s="131" t="s">
        <v>115</v>
      </c>
      <c r="E7" s="132" t="str">
        <f>IF(F7&gt;"",MAX($C$3:L6,C7:D7)+1,"")</f>
        <v/>
      </c>
      <c r="F7" s="131"/>
      <c r="G7" s="132" t="str">
        <f>IF(H7&gt;"",MAX($C$3:L6,C7:F7)+1,"")</f>
        <v/>
      </c>
      <c r="H7" s="131"/>
      <c r="I7" s="129" t="str">
        <f>IF(J7&gt;"",MAX($C$3:L6,C7:H7)+1,"")</f>
        <v/>
      </c>
      <c r="J7" s="131"/>
      <c r="K7" s="132" t="str">
        <f>IF(L7&gt;"",MAX($C$3:L6,C7:J7)+1,"")</f>
        <v/>
      </c>
      <c r="L7" s="131"/>
      <c r="M7" s="81">
        <f>SUMPRODUCT(COUNTIF(C7:L7, {"ممتاز";"جيد جداً";"جيد"}))</f>
        <v>0</v>
      </c>
      <c r="N7" s="82">
        <f t="shared" si="0"/>
        <v>1</v>
      </c>
      <c r="O7" s="174" t="str">
        <f t="shared" si="1"/>
        <v>ضعيف</v>
      </c>
      <c r="R7" s="136" t="s">
        <v>50</v>
      </c>
      <c r="S7" s="136">
        <v>3</v>
      </c>
    </row>
    <row r="8" spans="1:19" s="2" customFormat="1" ht="20.100000000000001" customHeight="1" x14ac:dyDescent="0.15">
      <c r="A8" s="48" t="s">
        <v>45</v>
      </c>
      <c r="B8" s="162">
        <v>43632</v>
      </c>
      <c r="C8" s="129">
        <v>36</v>
      </c>
      <c r="D8" s="128" t="s">
        <v>116</v>
      </c>
      <c r="E8" s="129">
        <f>IF(F8&gt;"",MAX($C$3:L7,C8:D8)+1,"")</f>
        <v>37</v>
      </c>
      <c r="F8" s="128" t="s">
        <v>115</v>
      </c>
      <c r="G8" s="129" t="str">
        <f>IF(H8&gt;"",MAX($C$3:L7,C8:F8)+1,"")</f>
        <v/>
      </c>
      <c r="H8" s="128"/>
      <c r="I8" s="129" t="str">
        <f>IF(J8&gt;"",MAX($C$3:L7,C8:H8)+1,"")</f>
        <v/>
      </c>
      <c r="J8" s="128"/>
      <c r="K8" s="129" t="str">
        <f>IF(L8&gt;"",MAX($C$3:L7,C8:J8)+1,"")</f>
        <v/>
      </c>
      <c r="L8" s="128"/>
      <c r="M8" s="81">
        <f>SUMPRODUCT(COUNTIF(C8:L8, {"ممتاز";"جيد جداً";"جيد"}))</f>
        <v>1</v>
      </c>
      <c r="N8" s="82">
        <f t="shared" si="0"/>
        <v>1</v>
      </c>
      <c r="O8" s="174" t="str">
        <f t="shared" si="1"/>
        <v>/</v>
      </c>
      <c r="R8" s="136" t="s">
        <v>130</v>
      </c>
      <c r="S8" s="136">
        <v>4</v>
      </c>
    </row>
    <row r="9" spans="1:19" s="2" customFormat="1" ht="20.100000000000001" customHeight="1" x14ac:dyDescent="0.15">
      <c r="A9" s="48" t="s">
        <v>46</v>
      </c>
      <c r="B9" s="162">
        <v>43633</v>
      </c>
      <c r="C9" s="132">
        <v>37</v>
      </c>
      <c r="D9" s="131" t="s">
        <v>116</v>
      </c>
      <c r="E9" s="132">
        <f>IF(F9&gt;"",MAX($C$3:L8,C9:D9)+1,"")</f>
        <v>38</v>
      </c>
      <c r="F9" s="131" t="s">
        <v>51</v>
      </c>
      <c r="G9" s="132" t="str">
        <f>IF(H9&gt;"",MAX($C$3:L8,C9:F9)+1,"")</f>
        <v/>
      </c>
      <c r="H9" s="131"/>
      <c r="I9" s="129" t="str">
        <f>IF(J9&gt;"",MAX($C$3:L8,C9:H9)+1,"")</f>
        <v/>
      </c>
      <c r="J9" s="131"/>
      <c r="K9" s="132" t="str">
        <f>IF(L9&gt;"",MAX($C$3:L8,C9:J9)+1,"")</f>
        <v/>
      </c>
      <c r="L9" s="131"/>
      <c r="M9" s="81">
        <f>SUMPRODUCT(COUNTIF(C9:L9, {"ممتاز";"جيد جداً";"جيد"}))</f>
        <v>2</v>
      </c>
      <c r="N9" s="82">
        <f t="shared" si="0"/>
        <v>0</v>
      </c>
      <c r="O9" s="174" t="str">
        <f t="shared" si="1"/>
        <v>/</v>
      </c>
      <c r="R9" s="136" t="s">
        <v>131</v>
      </c>
      <c r="S9" s="136">
        <v>5</v>
      </c>
    </row>
    <row r="10" spans="1:19" s="2" customFormat="1" ht="20.100000000000001" customHeight="1" x14ac:dyDescent="0.15">
      <c r="A10" s="48" t="s">
        <v>47</v>
      </c>
      <c r="B10" s="162">
        <v>43634</v>
      </c>
      <c r="C10" s="129">
        <f>IF(D10&gt;"",MAX($C$3:L9)+1,"")</f>
        <v>39</v>
      </c>
      <c r="D10" s="128" t="s">
        <v>50</v>
      </c>
      <c r="E10" s="129">
        <f>IF(F10&gt;"",MAX($C$3:L9,C10:D10)+1,"")</f>
        <v>40</v>
      </c>
      <c r="F10" s="128" t="s">
        <v>51</v>
      </c>
      <c r="G10" s="129">
        <f>IF(H10&gt;"",MAX($C$3:L9,C10:F10)+1,"")</f>
        <v>41</v>
      </c>
      <c r="H10" s="128" t="s">
        <v>51</v>
      </c>
      <c r="I10" s="129" t="str">
        <f>IF(J10&gt;"",MAX($C$3:L9,C10:H10)+1,"")</f>
        <v/>
      </c>
      <c r="J10" s="128"/>
      <c r="K10" s="129" t="str">
        <f>IF(L10&gt;"",MAX($C$3:L9,C10:J10)+1,"")</f>
        <v/>
      </c>
      <c r="L10" s="128"/>
      <c r="M10" s="81">
        <f>SUMPRODUCT(COUNTIF(C10:L10, {"ممتاز";"جيد جداً";"جيد"}))</f>
        <v>3</v>
      </c>
      <c r="N10" s="82">
        <f t="shared" si="0"/>
        <v>0</v>
      </c>
      <c r="O10" s="174">
        <f t="shared" si="1"/>
        <v>5</v>
      </c>
      <c r="R10" s="136" t="s">
        <v>132</v>
      </c>
      <c r="S10" s="136">
        <v>6</v>
      </c>
    </row>
    <row r="11" spans="1:19" s="2" customFormat="1" ht="20.100000000000001" customHeight="1" x14ac:dyDescent="0.15">
      <c r="A11" s="48" t="s">
        <v>48</v>
      </c>
      <c r="B11" s="162">
        <v>43635</v>
      </c>
      <c r="C11" s="132" t="str">
        <f>IF(D11&gt;"",MAX($C$3:L10)+1,"")</f>
        <v/>
      </c>
      <c r="D11" s="131"/>
      <c r="E11" s="132" t="str">
        <f>IF(F11&gt;"",MAX($C$3:L10,C11:D11)+1,"")</f>
        <v/>
      </c>
      <c r="F11" s="131"/>
      <c r="G11" s="132" t="str">
        <f>IF(H11&gt;"",MAX($C$3:L10,C11:F11)+1,"")</f>
        <v/>
      </c>
      <c r="H11" s="131"/>
      <c r="I11" s="129" t="str">
        <f>IF(J11&gt;"",MAX($C$3:L10,C11:H11)+1,"")</f>
        <v/>
      </c>
      <c r="J11" s="131"/>
      <c r="K11" s="132" t="str">
        <f>IF(L11&gt;"",MAX($C$3:L10,C11:J11)+1,"")</f>
        <v/>
      </c>
      <c r="L11" s="131"/>
      <c r="M11" s="81">
        <f>SUMPRODUCT(COUNTIF(C11:L11, {"ممتاز";"جيد جداً";"جيد"}))</f>
        <v>0</v>
      </c>
      <c r="N11" s="82">
        <f t="shared" si="0"/>
        <v>0</v>
      </c>
      <c r="O11" s="174">
        <f t="shared" si="1"/>
        <v>0</v>
      </c>
      <c r="R11" s="136" t="s">
        <v>133</v>
      </c>
      <c r="S11" s="136">
        <v>7</v>
      </c>
    </row>
    <row r="12" spans="1:19" s="2" customFormat="1" ht="20.100000000000001" customHeight="1" x14ac:dyDescent="0.15">
      <c r="A12" s="48" t="s">
        <v>49</v>
      </c>
      <c r="B12" s="162">
        <v>43636</v>
      </c>
      <c r="C12" s="129" t="str">
        <f>IF(D12&gt;"",MAX($C$3:L11)+1,"")</f>
        <v/>
      </c>
      <c r="D12" s="128"/>
      <c r="E12" s="129" t="str">
        <f>IF(F12&gt;"",MAX($C$3:L11,C12:D12)+1,"")</f>
        <v/>
      </c>
      <c r="F12" s="128"/>
      <c r="G12" s="129" t="str">
        <f>IF(H12&gt;"",MAX($C$3:L11,C12:F12)+1,"")</f>
        <v/>
      </c>
      <c r="H12" s="128"/>
      <c r="I12" s="129" t="str">
        <f>IF(J12&gt;"",MAX($C$3:L11,C12:H12)+1,"")</f>
        <v/>
      </c>
      <c r="J12" s="128"/>
      <c r="K12" s="129" t="str">
        <f>IF(L12&gt;"",MAX($C$3:L11,C12:J12)+1,"")</f>
        <v/>
      </c>
      <c r="L12" s="128"/>
      <c r="M12" s="81">
        <f>SUMPRODUCT(COUNTIF(C12:L12, {"ممتاز";"جيد جداً";"جيد"}))</f>
        <v>0</v>
      </c>
      <c r="N12" s="82">
        <f t="shared" si="0"/>
        <v>0</v>
      </c>
      <c r="O12" s="174">
        <f t="shared" si="1"/>
        <v>0</v>
      </c>
      <c r="R12" s="136" t="s">
        <v>134</v>
      </c>
      <c r="S12" s="136">
        <v>8</v>
      </c>
    </row>
    <row r="13" spans="1:19" s="2" customFormat="1" ht="20.100000000000001" customHeight="1" x14ac:dyDescent="0.15">
      <c r="A13" s="48" t="s">
        <v>43</v>
      </c>
      <c r="B13" s="133">
        <v>43638</v>
      </c>
      <c r="C13" s="132">
        <f>IF(D13&gt;"",MAX($C$3:L12)+1,"")</f>
        <v>42</v>
      </c>
      <c r="D13" s="131" t="s">
        <v>50</v>
      </c>
      <c r="E13" s="132">
        <f>IF(F13&gt;"",MAX($C$3:L12,C13:D13)+1,"")</f>
        <v>43</v>
      </c>
      <c r="F13" s="131" t="s">
        <v>50</v>
      </c>
      <c r="G13" s="132" t="str">
        <f>IF(H13&gt;"",MAX($C$3:L12,C13:F13)+1,"")</f>
        <v/>
      </c>
      <c r="H13" s="131"/>
      <c r="I13" s="129" t="str">
        <f>IF(J13&gt;"",MAX($C$3:L12,C13:H13)+1,"")</f>
        <v/>
      </c>
      <c r="J13" s="131"/>
      <c r="K13" s="132" t="str">
        <f>IF(L13&gt;"",MAX($C$3:L12,C13:J13)+1,"")</f>
        <v/>
      </c>
      <c r="L13" s="131"/>
      <c r="M13" s="81">
        <f>SUMPRODUCT(COUNTIF(C13:L13, {"ممتاز";"جيد جداً";"جيد"}))</f>
        <v>2</v>
      </c>
      <c r="N13" s="82">
        <f t="shared" si="0"/>
        <v>0</v>
      </c>
      <c r="O13" s="174" t="str">
        <f t="shared" si="1"/>
        <v>/</v>
      </c>
      <c r="R13" s="136" t="s">
        <v>138</v>
      </c>
      <c r="S13" s="136">
        <v>9</v>
      </c>
    </row>
    <row r="14" spans="1:19" s="2" customFormat="1" ht="20.100000000000001" customHeight="1" x14ac:dyDescent="0.15">
      <c r="A14" s="48" t="s">
        <v>45</v>
      </c>
      <c r="B14" s="133">
        <v>43639</v>
      </c>
      <c r="C14" s="129" t="str">
        <f>IF(D14&gt;"",MAX($C$3:L13)+1,"")</f>
        <v/>
      </c>
      <c r="D14" s="128"/>
      <c r="E14" s="129" t="str">
        <f>IF(F14&gt;"",MAX($C$3:L13,C14:D14)+1,"")</f>
        <v/>
      </c>
      <c r="F14" s="128"/>
      <c r="G14" s="129" t="str">
        <f>IF(H14&gt;"",MAX($C$3:L13,C14:F14)+1,"")</f>
        <v/>
      </c>
      <c r="H14" s="128"/>
      <c r="I14" s="129" t="str">
        <f>IF(J14&gt;"",MAX($C$3:L13,C14:H14)+1,"")</f>
        <v/>
      </c>
      <c r="J14" s="128"/>
      <c r="K14" s="129" t="str">
        <f>IF(L14&gt;"",MAX($C$3:L13,C14:J14)+1,"")</f>
        <v/>
      </c>
      <c r="L14" s="128"/>
      <c r="M14" s="81">
        <f>SUMPRODUCT(COUNTIF(C14:L14, {"ممتاز";"جيد جداً";"جيد"}))</f>
        <v>0</v>
      </c>
      <c r="N14" s="82">
        <f t="shared" si="0"/>
        <v>0</v>
      </c>
      <c r="O14" s="174">
        <f t="shared" si="1"/>
        <v>0</v>
      </c>
      <c r="R14" s="136" t="s">
        <v>135</v>
      </c>
      <c r="S14" s="136">
        <v>10</v>
      </c>
    </row>
    <row r="15" spans="1:19" s="2" customFormat="1" ht="20.100000000000001" customHeight="1" x14ac:dyDescent="0.15">
      <c r="A15" s="48" t="s">
        <v>47</v>
      </c>
      <c r="B15" s="133">
        <v>43640</v>
      </c>
      <c r="C15" s="132">
        <f>IF(D15&gt;"",MAX($C$3:L14)+1,"")</f>
        <v>44</v>
      </c>
      <c r="D15" s="131" t="s">
        <v>115</v>
      </c>
      <c r="E15" s="132">
        <v>44</v>
      </c>
      <c r="F15" s="131" t="s">
        <v>50</v>
      </c>
      <c r="G15" s="132">
        <f>IF(H15&gt;"",MAX($C$3:L14,C15:F15)+1,"")</f>
        <v>45</v>
      </c>
      <c r="H15" s="131" t="s">
        <v>116</v>
      </c>
      <c r="I15" s="129" t="str">
        <f>IF(J15&gt;"",MAX($C$3:L14,C15:H15)+1,"")</f>
        <v/>
      </c>
      <c r="J15" s="131"/>
      <c r="K15" s="132" t="str">
        <f>IF(L15&gt;"",MAX($C$3:L14,C15:J15)+1,"")</f>
        <v/>
      </c>
      <c r="L15" s="131"/>
      <c r="M15" s="81">
        <f>SUMPRODUCT(COUNTIF(C15:L15, {"ممتاز";"جيد جداً";"جيد"}))</f>
        <v>2</v>
      </c>
      <c r="N15" s="82">
        <f t="shared" si="0"/>
        <v>1</v>
      </c>
      <c r="O15" s="174">
        <f t="shared" si="1"/>
        <v>4</v>
      </c>
      <c r="R15" s="136" t="s">
        <v>132</v>
      </c>
      <c r="S15" s="136">
        <v>11</v>
      </c>
    </row>
    <row r="16" spans="1:19" s="2" customFormat="1" ht="20.100000000000001" customHeight="1" x14ac:dyDescent="0.15">
      <c r="A16" s="48" t="s">
        <v>48</v>
      </c>
      <c r="B16" s="133">
        <v>43641</v>
      </c>
      <c r="C16" s="129">
        <f>IF(D16&gt;"",MAX($C$3:L15)+1,"")</f>
        <v>46</v>
      </c>
      <c r="D16" s="128" t="s">
        <v>50</v>
      </c>
      <c r="E16" s="129">
        <f>IF(F16&gt;"",MAX($C$3:L15,C16:D16)+1,"")</f>
        <v>47</v>
      </c>
      <c r="F16" s="128" t="s">
        <v>50</v>
      </c>
      <c r="G16" s="129" t="str">
        <f>IF(H16&gt;"",MAX($C$3:L15,C16:F16)+1,"")</f>
        <v/>
      </c>
      <c r="H16" s="128"/>
      <c r="I16" s="129" t="str">
        <f>IF(J16&gt;"",MAX($C$3:L15,C16:H16)+1,"")</f>
        <v/>
      </c>
      <c r="J16" s="128"/>
      <c r="K16" s="129" t="str">
        <f>IF(L16&gt;"",MAX($C$3:L15,C16:J16)+1,"")</f>
        <v/>
      </c>
      <c r="L16" s="128"/>
      <c r="M16" s="81">
        <f>SUMPRODUCT(COUNTIF(C16:L16, {"ممتاز";"جيد جداً";"جيد"}))</f>
        <v>2</v>
      </c>
      <c r="N16" s="82">
        <f t="shared" si="0"/>
        <v>0</v>
      </c>
      <c r="O16" s="174" t="str">
        <f t="shared" si="1"/>
        <v>/</v>
      </c>
      <c r="R16" s="136" t="s">
        <v>136</v>
      </c>
      <c r="S16" s="136">
        <v>12</v>
      </c>
    </row>
    <row r="17" spans="1:19" s="2" customFormat="1" ht="20.100000000000001" customHeight="1" x14ac:dyDescent="0.15">
      <c r="A17" s="48" t="s">
        <v>49</v>
      </c>
      <c r="B17" s="133">
        <v>43642</v>
      </c>
      <c r="C17" s="132">
        <f>IF(D17&gt;"",MAX($C$3:L16)+1,"")</f>
        <v>48</v>
      </c>
      <c r="D17" s="131" t="s">
        <v>115</v>
      </c>
      <c r="E17" s="132" t="str">
        <f>IF(F17&gt;"",MAX($C$3:L16,C17:D17)+1,"")</f>
        <v/>
      </c>
      <c r="F17" s="131"/>
      <c r="G17" s="132" t="str">
        <f>IF(H17&gt;"",MAX($C$3:L16,C17:F17)+1,"")</f>
        <v/>
      </c>
      <c r="H17" s="131"/>
      <c r="I17" s="129" t="str">
        <f>IF(J17&gt;"",MAX($C$3:L16,C17:H17)+1,"")</f>
        <v/>
      </c>
      <c r="J17" s="131"/>
      <c r="K17" s="132" t="str">
        <f>IF(L17&gt;"",MAX($C$3:L16,C17:J17)+1,"")</f>
        <v/>
      </c>
      <c r="L17" s="131"/>
      <c r="M17" s="81">
        <f>SUMPRODUCT(COUNTIF(C17:L17, {"ممتاز";"جيد جداً";"جيد"}))</f>
        <v>0</v>
      </c>
      <c r="N17" s="82">
        <f t="shared" si="0"/>
        <v>1</v>
      </c>
      <c r="O17" s="174" t="str">
        <f t="shared" si="1"/>
        <v>ضعيف</v>
      </c>
      <c r="R17" s="136" t="s">
        <v>134</v>
      </c>
      <c r="S17" s="136">
        <v>13</v>
      </c>
    </row>
    <row r="18" spans="1:19" s="2" customFormat="1" ht="20.100000000000001" customHeight="1" x14ac:dyDescent="0.15">
      <c r="A18" s="48"/>
      <c r="B18" s="133"/>
      <c r="C18" s="129"/>
      <c r="D18" s="128"/>
      <c r="E18" s="129"/>
      <c r="F18" s="128"/>
      <c r="G18" s="129"/>
      <c r="H18" s="128"/>
      <c r="I18" s="129"/>
      <c r="J18" s="128"/>
      <c r="K18" s="129"/>
      <c r="L18" s="128"/>
      <c r="M18" s="81">
        <f>SUMPRODUCT(COUNTIF(C18:L18, {"ممتاز";"جيد جداً";"جيد"}))</f>
        <v>0</v>
      </c>
      <c r="N18" s="82">
        <f t="shared" si="0"/>
        <v>0</v>
      </c>
      <c r="O18" s="174">
        <f t="shared" si="1"/>
        <v>0</v>
      </c>
      <c r="R18" s="136" t="s">
        <v>139</v>
      </c>
      <c r="S18" s="136">
        <v>14</v>
      </c>
    </row>
    <row r="19" spans="1:19" s="2" customFormat="1" ht="20.100000000000001" customHeight="1" x14ac:dyDescent="0.15">
      <c r="A19" s="48"/>
      <c r="B19" s="130"/>
      <c r="C19" s="132"/>
      <c r="D19" s="131"/>
      <c r="E19" s="132"/>
      <c r="F19" s="131"/>
      <c r="G19" s="132"/>
      <c r="H19" s="131"/>
      <c r="I19" s="129"/>
      <c r="J19" s="131"/>
      <c r="K19" s="132"/>
      <c r="L19" s="131"/>
      <c r="M19" s="81">
        <f>SUMPRODUCT(COUNTIF(C19:L19, {"ممتاز";"جيد جداً";"جيد"}))</f>
        <v>0</v>
      </c>
      <c r="N19" s="82">
        <f t="shared" si="0"/>
        <v>0</v>
      </c>
      <c r="O19" s="174">
        <f t="shared" si="1"/>
        <v>0</v>
      </c>
      <c r="R19" s="136" t="s">
        <v>137</v>
      </c>
      <c r="S19" s="136">
        <v>15</v>
      </c>
    </row>
    <row r="20" spans="1:19" s="2" customFormat="1" ht="20.100000000000001" customHeight="1" x14ac:dyDescent="0.15">
      <c r="A20" s="48"/>
      <c r="B20" s="130"/>
      <c r="C20" s="129"/>
      <c r="D20" s="128"/>
      <c r="E20" s="129"/>
      <c r="F20" s="128"/>
      <c r="G20" s="129"/>
      <c r="H20" s="128"/>
      <c r="I20" s="129"/>
      <c r="J20" s="128"/>
      <c r="K20" s="129"/>
      <c r="L20" s="128"/>
      <c r="M20" s="81">
        <f>SUMPRODUCT(COUNTIF(C20:L20, {"ممتاز";"جيد جداً";"جيد"}))</f>
        <v>0</v>
      </c>
      <c r="N20" s="82">
        <f t="shared" si="0"/>
        <v>0</v>
      </c>
      <c r="O20" s="174">
        <f t="shared" si="1"/>
        <v>0</v>
      </c>
    </row>
    <row r="21" spans="1:19" s="2" customFormat="1" ht="20.100000000000001" customHeight="1" x14ac:dyDescent="0.15">
      <c r="A21" s="48"/>
      <c r="B21" s="130"/>
      <c r="C21" s="132" t="str">
        <f>IF(D21&gt;"",MAX($C$3:L20)+1,"")</f>
        <v/>
      </c>
      <c r="D21" s="131"/>
      <c r="E21" s="132" t="str">
        <f>IF(F21&gt;"",MAX($C$3:L20,C21)+1,"")</f>
        <v/>
      </c>
      <c r="F21" s="131"/>
      <c r="G21" s="132" t="str">
        <f>IF(H21&gt;"",MAX($C$3:L20,C21:F21)+1,"")</f>
        <v/>
      </c>
      <c r="H21" s="131"/>
      <c r="I21" s="129" t="str">
        <f>IF(J21&gt;"",MAX($C$3:L20,C21:H21)+1,"")</f>
        <v/>
      </c>
      <c r="J21" s="131"/>
      <c r="K21" s="132" t="str">
        <f>IF(L21&gt;"",MAX($C$3:L20,C21:J21)+1,"")</f>
        <v/>
      </c>
      <c r="L21" s="131"/>
      <c r="M21" s="81">
        <f>SUMPRODUCT(COUNTIF(C21:L21, {"ممتاز";"جيد جداً";"جيد"}))</f>
        <v>0</v>
      </c>
      <c r="N21" s="82">
        <f t="shared" si="0"/>
        <v>0</v>
      </c>
      <c r="O21" s="174">
        <f t="shared" si="1"/>
        <v>0</v>
      </c>
    </row>
    <row r="22" spans="1:19" s="2" customFormat="1" ht="20.100000000000001" customHeight="1" x14ac:dyDescent="0.15">
      <c r="A22" s="48"/>
      <c r="B22" s="130"/>
      <c r="C22" s="129" t="str">
        <f>IF(D22&gt;"",MAX($C$3:L21)+1,"")</f>
        <v/>
      </c>
      <c r="D22" s="128"/>
      <c r="E22" s="129"/>
      <c r="F22" s="128"/>
      <c r="G22" s="129"/>
      <c r="H22" s="128"/>
      <c r="I22" s="129" t="str">
        <f>IF(J22&gt;"",MAX($C$3:L21,C22:H22)+1,"")</f>
        <v/>
      </c>
      <c r="J22" s="128"/>
      <c r="K22" s="129" t="str">
        <f>IF(L22&gt;"",MAX($C$3:L21,C22:J22)+1,"")</f>
        <v/>
      </c>
      <c r="L22" s="128"/>
      <c r="M22" s="81">
        <f>SUMPRODUCT(COUNTIF(C22:L22, {"ممتاز";"جيد جداً";"جيد"}))</f>
        <v>0</v>
      </c>
      <c r="N22" s="82">
        <f t="shared" si="0"/>
        <v>0</v>
      </c>
      <c r="O22" s="174">
        <f t="shared" si="1"/>
        <v>0</v>
      </c>
    </row>
    <row r="23" spans="1:19" s="2" customFormat="1" ht="20.100000000000001" customHeight="1" x14ac:dyDescent="0.15">
      <c r="A23" s="48"/>
      <c r="B23" s="130"/>
      <c r="C23" s="132" t="str">
        <f>IF(D23&gt;"",MAX($C$3:L22)+1,"")</f>
        <v/>
      </c>
      <c r="D23" s="131"/>
      <c r="E23" s="132"/>
      <c r="F23" s="131"/>
      <c r="G23" s="132"/>
      <c r="H23" s="131"/>
      <c r="I23" s="129" t="str">
        <f>IF(J23&gt;"",MAX($C$3:L22,C23:H23)+1,"")</f>
        <v/>
      </c>
      <c r="J23" s="131"/>
      <c r="K23" s="132" t="str">
        <f>IF(L23&gt;"",MAX($C$3:L22,C23:J23)+1,"")</f>
        <v/>
      </c>
      <c r="L23" s="131"/>
      <c r="M23" s="81">
        <f>SUMPRODUCT(COUNTIF(C23:L23, {"ممتاز";"جيد جداً";"جيد"}))</f>
        <v>0</v>
      </c>
      <c r="N23" s="82">
        <f t="shared" si="0"/>
        <v>0</v>
      </c>
      <c r="O23" s="174">
        <f t="shared" si="1"/>
        <v>0</v>
      </c>
    </row>
    <row r="24" spans="1:19" s="2" customFormat="1" ht="20.100000000000001" customHeight="1" x14ac:dyDescent="0.15">
      <c r="A24" s="48"/>
      <c r="B24" s="130"/>
      <c r="C24" s="129" t="str">
        <f>IF(D24&gt;"",MAX($C$3:L23)+1,"")</f>
        <v/>
      </c>
      <c r="D24" s="128"/>
      <c r="E24" s="129"/>
      <c r="F24" s="128"/>
      <c r="G24" s="129"/>
      <c r="H24" s="128"/>
      <c r="I24" s="129" t="str">
        <f>IF(J24&gt;"",MAX($C$3:L23,C24:H24)+1,"")</f>
        <v/>
      </c>
      <c r="J24" s="128"/>
      <c r="K24" s="129" t="str">
        <f>IF(L24&gt;"",MAX($C$3:L23,C24:J24)+1,"")</f>
        <v/>
      </c>
      <c r="L24" s="128"/>
      <c r="M24" s="81">
        <f>SUMPRODUCT(COUNTIF(C24:L24, {"ممتاز";"جيد جداً";"جيد"}))</f>
        <v>0</v>
      </c>
      <c r="N24" s="82">
        <f t="shared" si="0"/>
        <v>0</v>
      </c>
      <c r="O24" s="174">
        <f t="shared" si="1"/>
        <v>0</v>
      </c>
    </row>
    <row r="25" spans="1:19" s="2" customFormat="1" ht="20.100000000000001" customHeight="1" x14ac:dyDescent="0.15">
      <c r="A25" s="48"/>
      <c r="B25" s="130"/>
      <c r="C25" s="132" t="str">
        <f>IF(D25&gt;"",MAX($C$3:L24)+1,"")</f>
        <v/>
      </c>
      <c r="D25" s="131"/>
      <c r="E25" s="132"/>
      <c r="F25" s="131"/>
      <c r="G25" s="132"/>
      <c r="H25" s="131"/>
      <c r="I25" s="129" t="str">
        <f>IF(J25&gt;"",MAX($C$3:L24,C25:H25)+1,"")</f>
        <v/>
      </c>
      <c r="J25" s="131"/>
      <c r="K25" s="132" t="str">
        <f>IF(L25&gt;"",MAX($C$3:L24,C25:J25)+1,"")</f>
        <v/>
      </c>
      <c r="L25" s="131"/>
      <c r="M25" s="81">
        <f>SUMPRODUCT(COUNTIF(C25:L25, {"ممتاز";"جيد جداً";"جيد"}))</f>
        <v>0</v>
      </c>
      <c r="N25" s="82">
        <f t="shared" si="0"/>
        <v>0</v>
      </c>
      <c r="O25" s="174">
        <f t="shared" si="1"/>
        <v>0</v>
      </c>
    </row>
    <row r="26" spans="1:19" s="2" customFormat="1" ht="20.100000000000001" customHeight="1" x14ac:dyDescent="0.15">
      <c r="A26" s="48"/>
      <c r="B26" s="130"/>
      <c r="C26" s="129" t="str">
        <f>IF(D26&gt;"",MAX($C$3:L25)+1,"")</f>
        <v/>
      </c>
      <c r="D26" s="128"/>
      <c r="E26" s="129"/>
      <c r="F26" s="128"/>
      <c r="G26" s="129"/>
      <c r="H26" s="128"/>
      <c r="I26" s="129" t="str">
        <f>IF(J26&gt;"",MAX($C$3:L25,C26:H26)+1,"")</f>
        <v/>
      </c>
      <c r="J26" s="128"/>
      <c r="K26" s="129" t="str">
        <f>IF(L26&gt;"",MAX($C$3:L25,C26:J26)+1,"")</f>
        <v/>
      </c>
      <c r="L26" s="128"/>
      <c r="M26" s="81">
        <f>SUMPRODUCT(COUNTIF(C26:L26, {"ممتاز";"جيد جداً";"جيد"}))</f>
        <v>0</v>
      </c>
      <c r="N26" s="82">
        <f t="shared" si="0"/>
        <v>0</v>
      </c>
      <c r="O26" s="174">
        <f t="shared" si="1"/>
        <v>0</v>
      </c>
    </row>
    <row r="27" spans="1:19" s="2" customFormat="1" ht="20.100000000000001" customHeight="1" x14ac:dyDescent="0.15">
      <c r="A27" s="48"/>
      <c r="B27" s="130"/>
      <c r="C27" s="132" t="str">
        <f>IF(D27&gt;"",MAX($C$3:L26)+1,"")</f>
        <v/>
      </c>
      <c r="D27" s="131"/>
      <c r="E27" s="132"/>
      <c r="F27" s="131"/>
      <c r="G27" s="132"/>
      <c r="H27" s="131"/>
      <c r="I27" s="129" t="str">
        <f>IF(J27&gt;"",MAX($C$3:L26,C27:H27)+1,"")</f>
        <v/>
      </c>
      <c r="J27" s="131"/>
      <c r="K27" s="132" t="str">
        <f>IF(L27&gt;"",MAX($C$3:L26,C27:J27)+1,"")</f>
        <v/>
      </c>
      <c r="L27" s="131"/>
      <c r="M27" s="81">
        <f>SUMPRODUCT(COUNTIF(C27:L27, {"ممتاز";"جيد جداً";"جيد"}))</f>
        <v>0</v>
      </c>
      <c r="N27" s="82">
        <f t="shared" si="0"/>
        <v>0</v>
      </c>
      <c r="O27" s="174">
        <f t="shared" si="1"/>
        <v>0</v>
      </c>
    </row>
    <row r="28" spans="1:19" s="2" customFormat="1" ht="20.100000000000001" customHeight="1" x14ac:dyDescent="0.15">
      <c r="A28" s="48"/>
      <c r="B28" s="130"/>
      <c r="C28" s="129" t="str">
        <f>IF(D28&gt;"",MAX($C$3:L27)+1,"")</f>
        <v/>
      </c>
      <c r="D28" s="128"/>
      <c r="E28" s="129" t="str">
        <f>IF(F28&gt;"",MAX($C$3:L27,C28)+1,"")</f>
        <v/>
      </c>
      <c r="F28" s="128"/>
      <c r="G28" s="129" t="str">
        <f>IF(H28&gt;"",MAX($C$3:L27,C28:F28)+1,"")</f>
        <v/>
      </c>
      <c r="H28" s="128"/>
      <c r="I28" s="129" t="str">
        <f>IF(J28&gt;"",MAX($C$3:L27,C28:H28)+1,"")</f>
        <v/>
      </c>
      <c r="J28" s="128"/>
      <c r="K28" s="129" t="str">
        <f>IF(L28&gt;"",MAX($C$3:L27,C28:J28)+1,"")</f>
        <v/>
      </c>
      <c r="L28" s="128"/>
      <c r="M28" s="81">
        <f>SUMPRODUCT(COUNTIF(C28:L28, {"ممتاز";"جيد جداً";"جيد"}))</f>
        <v>0</v>
      </c>
      <c r="N28" s="82">
        <f t="shared" si="0"/>
        <v>0</v>
      </c>
      <c r="O28" s="174">
        <f t="shared" si="1"/>
        <v>0</v>
      </c>
    </row>
    <row r="29" spans="1:19" s="2" customFormat="1" ht="20.100000000000001" customHeight="1" x14ac:dyDescent="0.15">
      <c r="A29" s="48"/>
      <c r="B29" s="130"/>
      <c r="C29" s="132"/>
      <c r="D29" s="131"/>
      <c r="E29" s="132"/>
      <c r="F29" s="131"/>
      <c r="G29" s="132"/>
      <c r="H29" s="131"/>
      <c r="I29" s="129" t="str">
        <f>IF(J29&gt;"",MAX($C$3:L28,C29:H29)+1,"")</f>
        <v/>
      </c>
      <c r="J29" s="131"/>
      <c r="K29" s="132"/>
      <c r="L29" s="131"/>
      <c r="M29" s="81">
        <f>SUMPRODUCT(COUNTIF(C29:L29, {"ممتاز";"جيد جداً";"جيد"}))</f>
        <v>0</v>
      </c>
      <c r="N29" s="82">
        <f t="shared" si="0"/>
        <v>0</v>
      </c>
      <c r="O29" s="174">
        <f t="shared" si="1"/>
        <v>0</v>
      </c>
    </row>
    <row r="30" spans="1:19" s="2" customFormat="1" ht="20.100000000000001" customHeight="1" x14ac:dyDescent="0.15">
      <c r="A30" s="48"/>
      <c r="B30" s="130"/>
      <c r="C30" s="129"/>
      <c r="D30" s="128"/>
      <c r="E30" s="129"/>
      <c r="F30" s="128"/>
      <c r="G30" s="129"/>
      <c r="H30" s="128"/>
      <c r="I30" s="129"/>
      <c r="J30" s="128"/>
      <c r="K30" s="129"/>
      <c r="L30" s="128"/>
      <c r="M30" s="81">
        <f>SUMPRODUCT(COUNTIF(C30:L30, {"ممتاز";"جيد جداً";"جيد"}))</f>
        <v>0</v>
      </c>
      <c r="N30" s="82">
        <f t="shared" si="0"/>
        <v>0</v>
      </c>
      <c r="O30" s="174">
        <f t="shared" si="1"/>
        <v>0</v>
      </c>
    </row>
    <row r="31" spans="1:19" s="2" customFormat="1" ht="20.100000000000001" customHeight="1" x14ac:dyDescent="0.15">
      <c r="A31" s="48"/>
      <c r="B31" s="130"/>
      <c r="C31" s="132"/>
      <c r="D31" s="131"/>
      <c r="E31" s="132"/>
      <c r="F31" s="131"/>
      <c r="G31" s="132"/>
      <c r="H31" s="131"/>
      <c r="I31" s="132"/>
      <c r="J31" s="131"/>
      <c r="K31" s="132"/>
      <c r="L31" s="131"/>
      <c r="M31" s="81">
        <f>SUMPRODUCT(COUNTIF(C31:L31, {"ممتاز";"جيد جداً";"جيد"}))</f>
        <v>0</v>
      </c>
      <c r="N31" s="82">
        <f t="shared" si="0"/>
        <v>0</v>
      </c>
      <c r="O31" s="174">
        <f t="shared" si="1"/>
        <v>0</v>
      </c>
    </row>
    <row r="32" spans="1:19" s="2" customFormat="1" ht="20.100000000000001" customHeight="1" x14ac:dyDescent="0.15">
      <c r="A32" s="48"/>
      <c r="B32" s="130"/>
      <c r="C32" s="129"/>
      <c r="D32" s="128"/>
      <c r="E32" s="129"/>
      <c r="F32" s="128"/>
      <c r="G32" s="129"/>
      <c r="H32" s="128"/>
      <c r="I32" s="129"/>
      <c r="J32" s="128"/>
      <c r="K32" s="129"/>
      <c r="L32" s="128"/>
      <c r="M32" s="81">
        <f>SUMPRODUCT(COUNTIF(C32:L32, {"ممتاز";"جيد جداً";"جيد"}))</f>
        <v>0</v>
      </c>
      <c r="N32" s="82">
        <f t="shared" si="0"/>
        <v>0</v>
      </c>
      <c r="O32" s="174">
        <f t="shared" si="1"/>
        <v>0</v>
      </c>
    </row>
    <row r="33" spans="1:15" s="2" customFormat="1" ht="20.100000000000001" customHeight="1" x14ac:dyDescent="0.15">
      <c r="A33" s="48"/>
      <c r="B33" s="130"/>
      <c r="C33" s="132"/>
      <c r="D33" s="131"/>
      <c r="E33" s="132"/>
      <c r="F33" s="131"/>
      <c r="G33" s="132"/>
      <c r="H33" s="131"/>
      <c r="I33" s="132"/>
      <c r="J33" s="131"/>
      <c r="K33" s="132"/>
      <c r="L33" s="131"/>
      <c r="M33" s="81">
        <f>SUMPRODUCT(COUNTIF(C33:L33, {"ممتاز";"جيد جداً";"جيد"}))</f>
        <v>0</v>
      </c>
      <c r="N33" s="82">
        <f t="shared" si="0"/>
        <v>0</v>
      </c>
      <c r="O33" s="174">
        <f t="shared" si="1"/>
        <v>0</v>
      </c>
    </row>
    <row r="34" spans="1:15" s="2" customFormat="1" ht="20.100000000000001" customHeight="1" x14ac:dyDescent="0.15">
      <c r="A34" s="48"/>
      <c r="B34" s="130"/>
      <c r="C34" s="129"/>
      <c r="D34" s="128"/>
      <c r="E34" s="129"/>
      <c r="F34" s="128"/>
      <c r="G34" s="129"/>
      <c r="H34" s="128"/>
      <c r="I34" s="129"/>
      <c r="J34" s="128"/>
      <c r="K34" s="129"/>
      <c r="L34" s="128"/>
      <c r="M34" s="81">
        <f>SUMPRODUCT(COUNTIF(C34:L34, {"ممتاز";"جيد جداً";"جيد"}))</f>
        <v>0</v>
      </c>
      <c r="N34" s="82">
        <f t="shared" si="0"/>
        <v>0</v>
      </c>
      <c r="O34" s="83">
        <f t="shared" si="1"/>
        <v>0</v>
      </c>
    </row>
    <row r="35" spans="1:15" ht="18" x14ac:dyDescent="0.15">
      <c r="G35" s="196" t="s">
        <v>24</v>
      </c>
      <c r="H35" s="197"/>
      <c r="I35" s="197"/>
      <c r="J35" s="197"/>
      <c r="K35" s="197"/>
      <c r="L35" s="198"/>
      <c r="M35" s="171" t="s">
        <v>25</v>
      </c>
      <c r="N35" s="46" t="s">
        <v>26</v>
      </c>
      <c r="O35" s="47" t="s">
        <v>27</v>
      </c>
    </row>
    <row r="36" spans="1:15" ht="18" x14ac:dyDescent="0.15">
      <c r="G36" s="193" t="s">
        <v>35</v>
      </c>
      <c r="H36" s="194"/>
      <c r="I36" s="194"/>
      <c r="J36" s="194"/>
      <c r="K36" s="194"/>
      <c r="L36" s="195"/>
      <c r="M36" s="48">
        <f>SUM(M3:M34)</f>
        <v>16</v>
      </c>
      <c r="N36" s="48">
        <f>SUM(N3:N34)</f>
        <v>6</v>
      </c>
      <c r="O36" s="48">
        <f>SUM(O3:O34)</f>
        <v>19</v>
      </c>
    </row>
    <row r="37" spans="1:15" ht="18" x14ac:dyDescent="0.15">
      <c r="G37" s="196" t="s">
        <v>38</v>
      </c>
      <c r="H37" s="197"/>
      <c r="I37" s="197"/>
      <c r="J37" s="197"/>
      <c r="K37" s="197"/>
      <c r="L37" s="198"/>
      <c r="M37" s="57"/>
      <c r="N37" s="58"/>
      <c r="O37" s="59"/>
    </row>
    <row r="38" spans="1:15" ht="18.75" thickBot="1" x14ac:dyDescent="0.2">
      <c r="G38" s="199" t="s">
        <v>41</v>
      </c>
      <c r="H38" s="200"/>
      <c r="I38" s="200"/>
      <c r="J38" s="200"/>
      <c r="K38" s="200"/>
      <c r="L38" s="201"/>
      <c r="M38" s="172"/>
      <c r="N38" s="62"/>
      <c r="O38" s="63"/>
    </row>
  </sheetData>
  <mergeCells count="9">
    <mergeCell ref="G36:L36"/>
    <mergeCell ref="G37:L37"/>
    <mergeCell ref="G38:L38"/>
    <mergeCell ref="O1:O2"/>
    <mergeCell ref="A1:B1"/>
    <mergeCell ref="C1:L1"/>
    <mergeCell ref="M1:M2"/>
    <mergeCell ref="N1:N2"/>
    <mergeCell ref="G35:L35"/>
  </mergeCells>
  <dataValidations count="1">
    <dataValidation type="list" allowBlank="1" showInputMessage="1" showErrorMessage="1" sqref="D3:D34 F3:F34 H3:H34 J3:J34 L3:L34" xr:uid="{00000000-0002-0000-0300-000000000000}">
      <formula1>"ضعيف,مقبول,جيد,جيد جداً,ممتاز"</formula1>
    </dataValidation>
  </dataValidations>
  <printOptions horizontalCentered="1" verticalCentered="1"/>
  <pageMargins left="0" right="0" top="0" bottom="0" header="0" footer="0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rightToLeft="1" view="pageBreakPreview" zoomScale="90" zoomScaleNormal="100" zoomScaleSheetLayoutView="90" workbookViewId="0" xr3:uid="{44B22561-5205-5C8A-B808-2C70100D228F}">
      <pane xSplit="2" ySplit="1" topLeftCell="C2" activePane="bottomRight" state="frozen"/>
      <selection activeCell="F14" sqref="F14"/>
      <selection pane="bottomLeft" activeCell="A5" sqref="A5"/>
      <selection pane="topRight" activeCell="AQ1" sqref="AQ1"/>
      <selection pane="bottomRight" activeCell="I10" sqref="I10"/>
    </sheetView>
  </sheetViews>
  <sheetFormatPr defaultColWidth="8.94921875" defaultRowHeight="13.5" x14ac:dyDescent="0.15"/>
  <cols>
    <col min="1" max="1" width="5.63671875" style="75" customWidth="1"/>
    <col min="2" max="5" width="3.67578125" style="75" customWidth="1"/>
    <col min="6" max="6" width="5.63671875" style="75" customWidth="1"/>
    <col min="7" max="7" width="6.86328125" style="75" bestFit="1" customWidth="1"/>
    <col min="8" max="8" width="4.65625" style="75" customWidth="1"/>
    <col min="9" max="16384" width="8.94921875" style="75"/>
  </cols>
  <sheetData>
    <row r="1" spans="1:8" s="2" customFormat="1" ht="20.100000000000001" customHeight="1" x14ac:dyDescent="0.15">
      <c r="A1" s="221" t="s">
        <v>2</v>
      </c>
      <c r="B1" s="222"/>
      <c r="C1" s="222"/>
      <c r="D1" s="222"/>
      <c r="E1" s="222"/>
      <c r="F1" s="222"/>
      <c r="G1" s="222"/>
      <c r="H1" s="223"/>
    </row>
    <row r="2" spans="1:8" s="2" customFormat="1" ht="20.100000000000001" customHeight="1" x14ac:dyDescent="0.15">
      <c r="A2" s="224" t="s">
        <v>11</v>
      </c>
      <c r="B2" s="225"/>
      <c r="C2" s="225"/>
      <c r="D2" s="225"/>
      <c r="E2" s="226"/>
      <c r="F2" s="219" t="s">
        <v>12</v>
      </c>
      <c r="G2" s="227" t="s">
        <v>13</v>
      </c>
      <c r="H2" s="229" t="s">
        <v>10</v>
      </c>
    </row>
    <row r="3" spans="1:8" s="2" customFormat="1" ht="31.5" customHeight="1" x14ac:dyDescent="0.15">
      <c r="A3" s="3" t="s">
        <v>18</v>
      </c>
      <c r="B3" s="4" t="s">
        <v>19</v>
      </c>
      <c r="C3" s="5" t="s">
        <v>20</v>
      </c>
      <c r="D3" s="6" t="s">
        <v>21</v>
      </c>
      <c r="E3" s="7" t="s">
        <v>22</v>
      </c>
      <c r="F3" s="220"/>
      <c r="G3" s="228"/>
      <c r="H3" s="230"/>
    </row>
    <row r="4" spans="1:8" s="2" customFormat="1" ht="20.100000000000001" customHeight="1" x14ac:dyDescent="0.15">
      <c r="A4" s="84">
        <v>0</v>
      </c>
      <c r="B4" s="85">
        <v>10</v>
      </c>
      <c r="C4" s="86">
        <v>2</v>
      </c>
      <c r="D4" s="87"/>
      <c r="E4" s="86"/>
      <c r="F4" s="88" t="s">
        <v>79</v>
      </c>
      <c r="G4" s="89" t="s">
        <v>51</v>
      </c>
      <c r="H4" s="90">
        <v>2</v>
      </c>
    </row>
    <row r="5" spans="1:8" s="2" customFormat="1" ht="20.100000000000001" customHeight="1" x14ac:dyDescent="0.15">
      <c r="A5" s="22"/>
      <c r="B5" s="23"/>
      <c r="C5" s="24"/>
      <c r="D5" s="25"/>
      <c r="E5" s="24"/>
      <c r="F5" s="26"/>
      <c r="G5" s="27"/>
      <c r="H5" s="28"/>
    </row>
    <row r="6" spans="1:8" s="2" customFormat="1" ht="20.100000000000001" customHeight="1" x14ac:dyDescent="0.15">
      <c r="A6" s="22"/>
      <c r="B6" s="23"/>
      <c r="C6" s="24"/>
      <c r="D6" s="25"/>
      <c r="E6" s="24"/>
      <c r="F6" s="26"/>
      <c r="G6" s="27"/>
      <c r="H6" s="28"/>
    </row>
    <row r="7" spans="1:8" s="2" customFormat="1" ht="20.100000000000001" customHeight="1" x14ac:dyDescent="0.15">
      <c r="A7" s="22"/>
      <c r="B7" s="23"/>
      <c r="C7" s="24"/>
      <c r="D7" s="25"/>
      <c r="E7" s="24"/>
      <c r="F7" s="26"/>
      <c r="G7" s="27"/>
      <c r="H7" s="28"/>
    </row>
    <row r="8" spans="1:8" s="2" customFormat="1" ht="20.100000000000001" customHeight="1" x14ac:dyDescent="0.15">
      <c r="A8" s="22"/>
      <c r="B8" s="23"/>
      <c r="C8" s="24"/>
      <c r="D8" s="25"/>
      <c r="E8" s="24"/>
      <c r="F8" s="26"/>
      <c r="G8" s="27"/>
      <c r="H8" s="28"/>
    </row>
    <row r="9" spans="1:8" s="2" customFormat="1" ht="20.100000000000001" customHeight="1" x14ac:dyDescent="0.15">
      <c r="A9" s="22"/>
      <c r="B9" s="23"/>
      <c r="C9" s="24"/>
      <c r="D9" s="25"/>
      <c r="E9" s="24"/>
      <c r="F9" s="26"/>
      <c r="G9" s="27"/>
      <c r="H9" s="28"/>
    </row>
    <row r="10" spans="1:8" s="2" customFormat="1" ht="20.100000000000001" customHeight="1" x14ac:dyDescent="0.15">
      <c r="A10" s="22"/>
      <c r="B10" s="23"/>
      <c r="C10" s="24"/>
      <c r="D10" s="25"/>
      <c r="E10" s="24"/>
      <c r="F10" s="26"/>
      <c r="G10" s="27"/>
      <c r="H10" s="28"/>
    </row>
    <row r="11" spans="1:8" s="2" customFormat="1" ht="20.100000000000001" customHeight="1" x14ac:dyDescent="0.15">
      <c r="A11" s="22"/>
      <c r="B11" s="23"/>
      <c r="C11" s="24"/>
      <c r="D11" s="25"/>
      <c r="E11" s="24"/>
      <c r="F11" s="26"/>
      <c r="G11" s="27"/>
      <c r="H11" s="28"/>
    </row>
    <row r="12" spans="1:8" s="2" customFormat="1" ht="20.100000000000001" customHeight="1" x14ac:dyDescent="0.15">
      <c r="A12" s="22"/>
      <c r="B12" s="23"/>
      <c r="C12" s="24">
        <v>2</v>
      </c>
      <c r="D12" s="25"/>
      <c r="E12" s="24"/>
      <c r="F12" s="26" t="s">
        <v>79</v>
      </c>
      <c r="G12" s="27" t="s">
        <v>115</v>
      </c>
      <c r="H12" s="28">
        <v>-1</v>
      </c>
    </row>
    <row r="13" spans="1:8" s="2" customFormat="1" ht="20.100000000000001" customHeight="1" x14ac:dyDescent="0.15">
      <c r="A13" s="22"/>
      <c r="B13" s="23"/>
      <c r="C13" s="24">
        <v>2</v>
      </c>
      <c r="D13" s="25"/>
      <c r="E13" s="24"/>
      <c r="F13" s="26" t="s">
        <v>79</v>
      </c>
      <c r="G13" s="27" t="s">
        <v>116</v>
      </c>
      <c r="H13" s="28">
        <v>3</v>
      </c>
    </row>
    <row r="14" spans="1:8" s="2" customFormat="1" ht="20.100000000000001" customHeight="1" x14ac:dyDescent="0.15">
      <c r="A14" s="22"/>
      <c r="B14" s="23"/>
      <c r="C14" s="24"/>
      <c r="D14" s="25"/>
      <c r="E14" s="24"/>
      <c r="F14" s="26"/>
      <c r="G14" s="27"/>
      <c r="H14" s="28"/>
    </row>
    <row r="15" spans="1:8" s="2" customFormat="1" ht="20.100000000000001" customHeight="1" x14ac:dyDescent="0.15">
      <c r="A15" s="22"/>
      <c r="B15" s="23"/>
      <c r="C15" s="24"/>
      <c r="D15" s="25"/>
      <c r="E15" s="24"/>
      <c r="F15" s="26"/>
      <c r="G15" s="27"/>
      <c r="H15" s="28"/>
    </row>
    <row r="16" spans="1:8" s="2" customFormat="1" ht="20.100000000000001" customHeight="1" x14ac:dyDescent="0.15">
      <c r="A16" s="22"/>
      <c r="B16" s="23"/>
      <c r="C16" s="24"/>
      <c r="D16" s="25"/>
      <c r="E16" s="24"/>
      <c r="F16" s="26"/>
      <c r="G16" s="27"/>
      <c r="H16" s="28"/>
    </row>
    <row r="17" spans="1:8" s="2" customFormat="1" ht="20.100000000000001" customHeight="1" x14ac:dyDescent="0.15">
      <c r="A17" s="22"/>
      <c r="B17" s="23"/>
      <c r="C17" s="24"/>
      <c r="D17" s="25"/>
      <c r="E17" s="24"/>
      <c r="F17" s="26"/>
      <c r="G17" s="27"/>
      <c r="H17" s="28"/>
    </row>
    <row r="18" spans="1:8" s="2" customFormat="1" ht="20.100000000000001" customHeight="1" x14ac:dyDescent="0.15">
      <c r="A18" s="22"/>
      <c r="B18" s="23"/>
      <c r="C18" s="24"/>
      <c r="D18" s="25"/>
      <c r="E18" s="24"/>
      <c r="F18" s="26"/>
      <c r="G18" s="27"/>
      <c r="H18" s="28"/>
    </row>
    <row r="19" spans="1:8" s="2" customFormat="1" ht="20.100000000000001" customHeight="1" x14ac:dyDescent="0.15">
      <c r="A19" s="22"/>
      <c r="B19" s="23"/>
      <c r="C19" s="24"/>
      <c r="D19" s="25"/>
      <c r="E19" s="24"/>
      <c r="F19" s="26"/>
      <c r="G19" s="27"/>
      <c r="H19" s="28"/>
    </row>
    <row r="20" spans="1:8" s="2" customFormat="1" ht="20.100000000000001" customHeight="1" x14ac:dyDescent="0.15">
      <c r="A20" s="22"/>
      <c r="B20" s="23"/>
      <c r="C20" s="24"/>
      <c r="D20" s="25"/>
      <c r="E20" s="24"/>
      <c r="F20" s="26"/>
      <c r="G20" s="27"/>
      <c r="H20" s="28"/>
    </row>
    <row r="21" spans="1:8" s="2" customFormat="1" ht="20.100000000000001" customHeight="1" x14ac:dyDescent="0.15">
      <c r="A21" s="22"/>
      <c r="B21" s="23"/>
      <c r="C21" s="24"/>
      <c r="D21" s="25"/>
      <c r="E21" s="24"/>
      <c r="F21" s="26"/>
      <c r="G21" s="27"/>
      <c r="H21" s="28"/>
    </row>
    <row r="22" spans="1:8" s="2" customFormat="1" ht="20.100000000000001" customHeight="1" x14ac:dyDescent="0.15">
      <c r="A22" s="22"/>
      <c r="B22" s="23"/>
      <c r="C22" s="24"/>
      <c r="D22" s="25"/>
      <c r="E22" s="24"/>
      <c r="F22" s="26"/>
      <c r="G22" s="27"/>
      <c r="H22" s="28"/>
    </row>
    <row r="23" spans="1:8" ht="18" x14ac:dyDescent="0.15">
      <c r="A23" s="22"/>
      <c r="B23" s="23"/>
      <c r="C23" s="24"/>
      <c r="D23" s="25"/>
      <c r="E23" s="24"/>
      <c r="F23" s="26"/>
      <c r="G23" s="27"/>
      <c r="H23" s="28"/>
    </row>
    <row r="24" spans="1:8" ht="18" x14ac:dyDescent="0.15">
      <c r="A24" s="22"/>
      <c r="B24" s="23"/>
      <c r="C24" s="24"/>
      <c r="D24" s="25"/>
      <c r="E24" s="24"/>
      <c r="F24" s="26"/>
      <c r="G24" s="27"/>
      <c r="H24" s="28"/>
    </row>
    <row r="25" spans="1:8" ht="18" x14ac:dyDescent="0.15">
      <c r="A25" s="22"/>
      <c r="B25" s="23"/>
      <c r="C25" s="24"/>
      <c r="D25" s="25"/>
      <c r="E25" s="24"/>
      <c r="F25" s="26"/>
      <c r="G25" s="27"/>
      <c r="H25" s="28"/>
    </row>
    <row r="26" spans="1:8" ht="18" x14ac:dyDescent="0.15">
      <c r="A26" s="22"/>
      <c r="B26" s="23"/>
      <c r="C26" s="24"/>
      <c r="D26" s="25"/>
      <c r="E26" s="24"/>
      <c r="F26" s="26"/>
      <c r="G26" s="27"/>
      <c r="H26" s="28"/>
    </row>
    <row r="27" spans="1:8" ht="18" x14ac:dyDescent="0.15">
      <c r="A27" s="22"/>
      <c r="B27" s="23"/>
      <c r="C27" s="24"/>
      <c r="D27" s="25"/>
      <c r="E27" s="24"/>
      <c r="F27" s="26"/>
      <c r="G27" s="27"/>
      <c r="H27" s="28"/>
    </row>
    <row r="28" spans="1:8" ht="18" x14ac:dyDescent="0.15">
      <c r="A28" s="22"/>
      <c r="B28" s="23"/>
      <c r="C28" s="24"/>
      <c r="D28" s="25"/>
      <c r="E28" s="24"/>
      <c r="F28" s="26"/>
      <c r="G28" s="27"/>
      <c r="H28" s="28"/>
    </row>
    <row r="29" spans="1:8" ht="18" x14ac:dyDescent="0.15">
      <c r="A29" s="22"/>
      <c r="B29" s="23"/>
      <c r="C29" s="24"/>
      <c r="D29" s="25"/>
      <c r="E29" s="24"/>
      <c r="F29" s="26"/>
      <c r="G29" s="27"/>
      <c r="H29" s="28"/>
    </row>
    <row r="30" spans="1:8" ht="18" x14ac:dyDescent="0.15">
      <c r="A30" s="22"/>
      <c r="B30" s="23"/>
      <c r="C30" s="24"/>
      <c r="D30" s="25"/>
      <c r="E30" s="24"/>
      <c r="F30" s="26"/>
      <c r="G30" s="27"/>
      <c r="H30" s="28"/>
    </row>
    <row r="31" spans="1:8" ht="18" x14ac:dyDescent="0.15">
      <c r="A31" s="22"/>
      <c r="B31" s="23"/>
      <c r="C31" s="24"/>
      <c r="D31" s="25"/>
      <c r="E31" s="24"/>
      <c r="F31" s="26"/>
      <c r="G31" s="27"/>
      <c r="H31" s="28"/>
    </row>
    <row r="32" spans="1:8" ht="18" x14ac:dyDescent="0.15">
      <c r="A32" s="22"/>
      <c r="B32" s="23"/>
      <c r="C32" s="24"/>
      <c r="D32" s="25"/>
      <c r="E32" s="24"/>
      <c r="F32" s="26"/>
      <c r="G32" s="27"/>
      <c r="H32" s="28"/>
    </row>
    <row r="33" spans="1:8" ht="18" x14ac:dyDescent="0.15">
      <c r="A33" s="22"/>
      <c r="B33" s="23"/>
      <c r="C33" s="24"/>
      <c r="D33" s="25"/>
      <c r="E33" s="24"/>
      <c r="F33" s="26"/>
      <c r="G33" s="27"/>
      <c r="H33" s="28"/>
    </row>
    <row r="34" spans="1:8" ht="18" x14ac:dyDescent="0.15">
      <c r="A34" s="22"/>
      <c r="B34" s="23"/>
      <c r="C34" s="24"/>
      <c r="D34" s="25"/>
      <c r="E34" s="24"/>
      <c r="F34" s="26"/>
      <c r="G34" s="27"/>
      <c r="H34" s="28"/>
    </row>
    <row r="35" spans="1:8" ht="18" x14ac:dyDescent="0.15">
      <c r="A35" s="35"/>
      <c r="B35" s="38"/>
      <c r="C35" s="39"/>
      <c r="D35" s="40"/>
      <c r="E35" s="41"/>
      <c r="F35" s="26"/>
      <c r="G35" s="27"/>
      <c r="H35" s="28"/>
    </row>
    <row r="36" spans="1:8" ht="18" x14ac:dyDescent="0.15">
      <c r="A36" s="196" t="s">
        <v>28</v>
      </c>
      <c r="B36" s="197"/>
      <c r="C36" s="198"/>
      <c r="D36" s="48" t="s">
        <v>29</v>
      </c>
      <c r="E36" s="48" t="s">
        <v>30</v>
      </c>
      <c r="F36" s="26"/>
      <c r="G36" s="27"/>
      <c r="H36" s="28">
        <f>IFERROR(AVERAGE(H4:H35),"")</f>
        <v>1.3333333333333333</v>
      </c>
    </row>
    <row r="37" spans="1:8" ht="18" x14ac:dyDescent="0.15">
      <c r="A37" s="216" t="s">
        <v>36</v>
      </c>
      <c r="B37" s="217"/>
      <c r="C37" s="218"/>
      <c r="D37" s="48">
        <f>SUMIF($F$4:$F$35,"مشرف",$D$4:$D$35)</f>
        <v>0</v>
      </c>
      <c r="E37" s="48">
        <f>SUMIF($F$4:$F$35,"مشرف",$E$4:$E$35)</f>
        <v>0</v>
      </c>
      <c r="F37" s="26"/>
      <c r="G37" s="27"/>
      <c r="H37" s="28"/>
    </row>
    <row r="38" spans="1:8" ht="18" x14ac:dyDescent="0.15">
      <c r="A38" s="231" t="s">
        <v>39</v>
      </c>
      <c r="B38" s="232"/>
      <c r="C38" s="233"/>
      <c r="D38" s="48">
        <f>SUMIF($F$4:$F$35,"معلم",$D$4:$D$35)-D39</f>
        <v>0</v>
      </c>
      <c r="E38" s="48">
        <f>SUMIF($F$4:$F$35,"معلم",$E$4:$E$35)-E39</f>
        <v>0</v>
      </c>
      <c r="F38" s="26"/>
      <c r="G38" s="27"/>
      <c r="H38" s="28"/>
    </row>
    <row r="39" spans="1:8" ht="18.75" thickBot="1" x14ac:dyDescent="0.2">
      <c r="A39" s="213" t="s">
        <v>42</v>
      </c>
      <c r="B39" s="214"/>
      <c r="C39" s="215"/>
      <c r="D39" s="64">
        <f>SUMIFS(D$4:D$35,$F$4:$F$35,"معلم",$G$4:$G$35,"إعادة")</f>
        <v>0</v>
      </c>
      <c r="E39" s="64">
        <f>SUMIFS(E$4:E$35,$F$4:$F$35,"معلم",$G$4:$G$35,"إعادة")</f>
        <v>0</v>
      </c>
      <c r="F39" s="65"/>
      <c r="G39" s="68"/>
      <c r="H39" s="63"/>
    </row>
  </sheetData>
  <mergeCells count="9">
    <mergeCell ref="A39:C39"/>
    <mergeCell ref="A37:C37"/>
    <mergeCell ref="A36:C36"/>
    <mergeCell ref="F2:F3"/>
    <mergeCell ref="A1:H1"/>
    <mergeCell ref="A2:E2"/>
    <mergeCell ref="G2:G3"/>
    <mergeCell ref="H2:H3"/>
    <mergeCell ref="A38:C38"/>
  </mergeCells>
  <printOptions horizontalCentered="1" verticalCentered="1"/>
  <pageMargins left="0" right="0" top="0" bottom="0" header="0" footer="0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9"/>
  <sheetViews>
    <sheetView rightToLeft="1" view="pageBreakPreview" zoomScale="90" zoomScaleNormal="100" zoomScaleSheetLayoutView="90" workbookViewId="0" xr3:uid="{7BE570AB-09E9-518F-B8F7-3F91B7162CA9}">
      <pane xSplit="2" ySplit="1" topLeftCell="C2" activePane="bottomRight" state="frozen"/>
      <selection activeCell="F14" sqref="F14"/>
      <selection pane="bottomLeft" activeCell="A5" sqref="A5"/>
      <selection pane="topRight" activeCell="AQ1" sqref="AQ1"/>
      <selection pane="bottomRight" activeCell="C14" sqref="C14"/>
    </sheetView>
  </sheetViews>
  <sheetFormatPr defaultColWidth="8.94921875" defaultRowHeight="13.5" x14ac:dyDescent="0.15"/>
  <cols>
    <col min="1" max="7" width="4.04296875" style="75" customWidth="1"/>
    <col min="8" max="16384" width="8.94921875" style="75"/>
  </cols>
  <sheetData>
    <row r="1" spans="1:8" s="2" customFormat="1" ht="20.100000000000001" customHeight="1" x14ac:dyDescent="0.15">
      <c r="A1" s="240" t="s">
        <v>3</v>
      </c>
      <c r="B1" s="241"/>
      <c r="C1" s="241"/>
      <c r="D1" s="241"/>
      <c r="E1" s="241"/>
      <c r="F1" s="241"/>
      <c r="G1" s="241"/>
      <c r="H1" s="242"/>
    </row>
    <row r="2" spans="1:8" s="2" customFormat="1" ht="20.100000000000001" customHeight="1" x14ac:dyDescent="0.15">
      <c r="A2" s="224" t="s">
        <v>11</v>
      </c>
      <c r="B2" s="225"/>
      <c r="C2" s="225"/>
      <c r="D2" s="225"/>
      <c r="E2" s="226"/>
      <c r="F2" s="236" t="s">
        <v>14</v>
      </c>
      <c r="G2" s="238" t="s">
        <v>15</v>
      </c>
      <c r="H2" s="243" t="s">
        <v>13</v>
      </c>
    </row>
    <row r="3" spans="1:8" s="2" customFormat="1" ht="20.100000000000001" customHeight="1" x14ac:dyDescent="0.15">
      <c r="A3" s="3" t="s">
        <v>18</v>
      </c>
      <c r="B3" s="4" t="s">
        <v>19</v>
      </c>
      <c r="C3" s="5" t="s">
        <v>20</v>
      </c>
      <c r="D3" s="6" t="s">
        <v>21</v>
      </c>
      <c r="E3" s="7" t="s">
        <v>22</v>
      </c>
      <c r="F3" s="237"/>
      <c r="G3" s="239"/>
      <c r="H3" s="244"/>
    </row>
    <row r="4" spans="1:8" s="2" customFormat="1" ht="20.100000000000001" customHeight="1" x14ac:dyDescent="0.15">
      <c r="A4" s="91"/>
      <c r="B4" s="85"/>
      <c r="C4" s="86">
        <v>1</v>
      </c>
      <c r="D4" s="87"/>
      <c r="E4" s="86"/>
      <c r="F4" s="92"/>
      <c r="G4" s="93"/>
      <c r="H4" s="94"/>
    </row>
    <row r="5" spans="1:8" s="2" customFormat="1" ht="20.100000000000001" customHeight="1" x14ac:dyDescent="0.15">
      <c r="A5" s="19"/>
      <c r="B5" s="23"/>
      <c r="C5" s="24"/>
      <c r="D5" s="25"/>
      <c r="E5" s="24"/>
      <c r="F5" s="29"/>
      <c r="G5" s="30"/>
      <c r="H5" s="31"/>
    </row>
    <row r="6" spans="1:8" s="2" customFormat="1" ht="20.100000000000001" customHeight="1" x14ac:dyDescent="0.15">
      <c r="A6" s="19"/>
      <c r="B6" s="23"/>
      <c r="C6" s="24"/>
      <c r="D6" s="25"/>
      <c r="E6" s="24"/>
      <c r="F6" s="29"/>
      <c r="G6" s="30"/>
      <c r="H6" s="31"/>
    </row>
    <row r="7" spans="1:8" s="2" customFormat="1" ht="20.100000000000001" customHeight="1" x14ac:dyDescent="0.15">
      <c r="A7" s="19"/>
      <c r="B7" s="23"/>
      <c r="C7" s="24"/>
      <c r="D7" s="25"/>
      <c r="E7" s="24"/>
      <c r="F7" s="29"/>
      <c r="G7" s="30"/>
      <c r="H7" s="31"/>
    </row>
    <row r="8" spans="1:8" s="2" customFormat="1" ht="20.100000000000001" customHeight="1" x14ac:dyDescent="0.15">
      <c r="A8" s="19"/>
      <c r="B8" s="23"/>
      <c r="C8" s="24">
        <v>29</v>
      </c>
      <c r="D8" s="25"/>
      <c r="E8" s="24"/>
      <c r="F8" s="29"/>
      <c r="G8" s="30"/>
      <c r="H8" s="31"/>
    </row>
    <row r="9" spans="1:8" s="2" customFormat="1" ht="20.100000000000001" customHeight="1" x14ac:dyDescent="0.15">
      <c r="A9" s="19">
        <v>0</v>
      </c>
      <c r="B9" s="23">
        <v>10</v>
      </c>
      <c r="C9" s="24">
        <v>2</v>
      </c>
      <c r="D9" s="25"/>
      <c r="E9" s="24"/>
      <c r="F9" s="29"/>
      <c r="G9" s="30"/>
      <c r="H9" s="31"/>
    </row>
    <row r="10" spans="1:8" s="2" customFormat="1" ht="20.100000000000001" customHeight="1" x14ac:dyDescent="0.15">
      <c r="A10" s="19"/>
      <c r="B10" s="23"/>
      <c r="C10" s="24">
        <v>30</v>
      </c>
      <c r="D10" s="25"/>
      <c r="E10" s="24"/>
      <c r="F10" s="29"/>
      <c r="G10" s="30"/>
      <c r="H10" s="31"/>
    </row>
    <row r="11" spans="1:8" s="2" customFormat="1" ht="20.100000000000001" customHeight="1" x14ac:dyDescent="0.15">
      <c r="A11" s="19"/>
      <c r="B11" s="23"/>
      <c r="C11" s="24">
        <v>2</v>
      </c>
      <c r="D11" s="25"/>
      <c r="E11" s="24"/>
      <c r="F11" s="29"/>
      <c r="G11" s="30"/>
      <c r="H11" s="31"/>
    </row>
    <row r="12" spans="1:8" s="2" customFormat="1" ht="20.100000000000001" customHeight="1" x14ac:dyDescent="0.15">
      <c r="A12" s="19"/>
      <c r="B12" s="23"/>
      <c r="C12" s="24"/>
      <c r="D12" s="25"/>
      <c r="E12" s="24"/>
      <c r="F12" s="29"/>
      <c r="G12" s="30"/>
      <c r="H12" s="31"/>
    </row>
    <row r="13" spans="1:8" s="2" customFormat="1" ht="20.100000000000001" customHeight="1" x14ac:dyDescent="0.15">
      <c r="A13" s="19"/>
      <c r="B13" s="23"/>
      <c r="C13" s="24"/>
      <c r="D13" s="25"/>
      <c r="E13" s="24"/>
      <c r="F13" s="29"/>
      <c r="G13" s="30"/>
      <c r="H13" s="31"/>
    </row>
    <row r="14" spans="1:8" s="2" customFormat="1" ht="20.100000000000001" customHeight="1" x14ac:dyDescent="0.15">
      <c r="A14" s="19"/>
      <c r="B14" s="23"/>
      <c r="C14" s="24">
        <v>1</v>
      </c>
      <c r="D14" s="25"/>
      <c r="E14" s="24"/>
      <c r="F14" s="29"/>
      <c r="G14" s="30"/>
      <c r="H14" s="31"/>
    </row>
    <row r="15" spans="1:8" s="2" customFormat="1" ht="20.100000000000001" customHeight="1" x14ac:dyDescent="0.15">
      <c r="A15" s="19"/>
      <c r="B15" s="23"/>
      <c r="C15" s="24"/>
      <c r="D15" s="25"/>
      <c r="E15" s="24"/>
      <c r="F15" s="29"/>
      <c r="G15" s="30"/>
      <c r="H15" s="31"/>
    </row>
    <row r="16" spans="1:8" s="2" customFormat="1" ht="20.100000000000001" customHeight="1" x14ac:dyDescent="0.15">
      <c r="A16" s="19"/>
      <c r="B16" s="23"/>
      <c r="C16" s="24"/>
      <c r="D16" s="25"/>
      <c r="E16" s="24"/>
      <c r="F16" s="29"/>
      <c r="G16" s="30"/>
      <c r="H16" s="31"/>
    </row>
    <row r="17" spans="1:8" s="2" customFormat="1" ht="20.100000000000001" customHeight="1" x14ac:dyDescent="0.15">
      <c r="A17" s="19"/>
      <c r="B17" s="23"/>
      <c r="C17" s="24"/>
      <c r="D17" s="25"/>
      <c r="E17" s="24"/>
      <c r="F17" s="29"/>
      <c r="G17" s="30"/>
      <c r="H17" s="31"/>
    </row>
    <row r="18" spans="1:8" s="2" customFormat="1" ht="20.100000000000001" customHeight="1" x14ac:dyDescent="0.15">
      <c r="A18" s="19"/>
      <c r="B18" s="23"/>
      <c r="C18" s="24"/>
      <c r="D18" s="25"/>
      <c r="E18" s="24"/>
      <c r="F18" s="29"/>
      <c r="G18" s="30"/>
      <c r="H18" s="31"/>
    </row>
    <row r="19" spans="1:8" s="2" customFormat="1" ht="20.100000000000001" customHeight="1" x14ac:dyDescent="0.15">
      <c r="A19" s="19"/>
      <c r="B19" s="23"/>
      <c r="C19" s="24"/>
      <c r="D19" s="25"/>
      <c r="E19" s="24"/>
      <c r="F19" s="29"/>
      <c r="G19" s="30"/>
      <c r="H19" s="31"/>
    </row>
    <row r="20" spans="1:8" s="2" customFormat="1" ht="20.100000000000001" customHeight="1" x14ac:dyDescent="0.15">
      <c r="A20" s="19"/>
      <c r="B20" s="23"/>
      <c r="C20" s="24"/>
      <c r="D20" s="25"/>
      <c r="E20" s="24"/>
      <c r="F20" s="29"/>
      <c r="G20" s="30"/>
      <c r="H20" s="31"/>
    </row>
    <row r="21" spans="1:8" s="2" customFormat="1" ht="20.100000000000001" customHeight="1" x14ac:dyDescent="0.15">
      <c r="A21" s="19"/>
      <c r="B21" s="23"/>
      <c r="C21" s="24"/>
      <c r="D21" s="25"/>
      <c r="E21" s="24"/>
      <c r="F21" s="29"/>
      <c r="G21" s="30"/>
      <c r="H21" s="31"/>
    </row>
    <row r="22" spans="1:8" s="2" customFormat="1" ht="20.100000000000001" customHeight="1" x14ac:dyDescent="0.15">
      <c r="A22" s="19"/>
      <c r="B22" s="23"/>
      <c r="C22" s="24"/>
      <c r="D22" s="25"/>
      <c r="E22" s="24"/>
      <c r="F22" s="29"/>
      <c r="G22" s="30"/>
      <c r="H22" s="31"/>
    </row>
    <row r="23" spans="1:8" s="2" customFormat="1" ht="20.100000000000001" customHeight="1" x14ac:dyDescent="0.15">
      <c r="A23" s="19"/>
      <c r="B23" s="23"/>
      <c r="C23" s="24"/>
      <c r="D23" s="25"/>
      <c r="E23" s="24"/>
      <c r="F23" s="29"/>
      <c r="G23" s="30"/>
      <c r="H23" s="31"/>
    </row>
    <row r="24" spans="1:8" s="2" customFormat="1" ht="20.100000000000001" customHeight="1" x14ac:dyDescent="0.15">
      <c r="A24" s="19"/>
      <c r="B24" s="23"/>
      <c r="C24" s="24"/>
      <c r="D24" s="25"/>
      <c r="E24" s="24"/>
      <c r="F24" s="29"/>
      <c r="G24" s="30"/>
      <c r="H24" s="31"/>
    </row>
    <row r="25" spans="1:8" s="2" customFormat="1" ht="20.100000000000001" customHeight="1" x14ac:dyDescent="0.15">
      <c r="A25" s="19"/>
      <c r="B25" s="23"/>
      <c r="C25" s="24"/>
      <c r="D25" s="25"/>
      <c r="E25" s="24"/>
      <c r="F25" s="29"/>
      <c r="G25" s="30"/>
      <c r="H25" s="31"/>
    </row>
    <row r="26" spans="1:8" s="2" customFormat="1" ht="20.100000000000001" customHeight="1" x14ac:dyDescent="0.15">
      <c r="A26" s="19"/>
      <c r="B26" s="23"/>
      <c r="C26" s="24"/>
      <c r="D26" s="25"/>
      <c r="E26" s="24"/>
      <c r="F26" s="29"/>
      <c r="G26" s="30"/>
      <c r="H26" s="31"/>
    </row>
    <row r="27" spans="1:8" s="2" customFormat="1" ht="20.100000000000001" customHeight="1" x14ac:dyDescent="0.15">
      <c r="A27" s="19"/>
      <c r="B27" s="23"/>
      <c r="C27" s="24"/>
      <c r="D27" s="25"/>
      <c r="E27" s="24"/>
      <c r="F27" s="29"/>
      <c r="G27" s="30"/>
      <c r="H27" s="31"/>
    </row>
    <row r="28" spans="1:8" s="2" customFormat="1" ht="20.100000000000001" customHeight="1" x14ac:dyDescent="0.15">
      <c r="A28" s="19"/>
      <c r="B28" s="23"/>
      <c r="C28" s="24"/>
      <c r="D28" s="25"/>
      <c r="E28" s="24"/>
      <c r="F28" s="29"/>
      <c r="G28" s="30"/>
      <c r="H28" s="31"/>
    </row>
    <row r="29" spans="1:8" s="2" customFormat="1" ht="20.100000000000001" customHeight="1" x14ac:dyDescent="0.15">
      <c r="A29" s="19"/>
      <c r="B29" s="23"/>
      <c r="C29" s="24"/>
      <c r="D29" s="25"/>
      <c r="E29" s="24"/>
      <c r="F29" s="29"/>
      <c r="G29" s="30"/>
      <c r="H29" s="31"/>
    </row>
    <row r="30" spans="1:8" s="2" customFormat="1" ht="20.100000000000001" customHeight="1" x14ac:dyDescent="0.15">
      <c r="A30" s="19"/>
      <c r="B30" s="23"/>
      <c r="C30" s="24"/>
      <c r="D30" s="25"/>
      <c r="E30" s="24"/>
      <c r="F30" s="29"/>
      <c r="G30" s="30"/>
      <c r="H30" s="31"/>
    </row>
    <row r="31" spans="1:8" s="2" customFormat="1" ht="20.100000000000001" customHeight="1" x14ac:dyDescent="0.15">
      <c r="A31" s="19"/>
      <c r="B31" s="23"/>
      <c r="C31" s="24"/>
      <c r="D31" s="25"/>
      <c r="E31" s="24"/>
      <c r="F31" s="29"/>
      <c r="G31" s="30"/>
      <c r="H31" s="31"/>
    </row>
    <row r="32" spans="1:8" s="2" customFormat="1" ht="20.100000000000001" customHeight="1" x14ac:dyDescent="0.15">
      <c r="A32" s="19"/>
      <c r="B32" s="23"/>
      <c r="C32" s="24"/>
      <c r="D32" s="25"/>
      <c r="E32" s="24"/>
      <c r="F32" s="29"/>
      <c r="G32" s="30"/>
      <c r="H32" s="31"/>
    </row>
    <row r="33" spans="1:8" s="2" customFormat="1" ht="20.100000000000001" customHeight="1" x14ac:dyDescent="0.15">
      <c r="A33" s="19"/>
      <c r="B33" s="23"/>
      <c r="C33" s="24"/>
      <c r="D33" s="25"/>
      <c r="E33" s="24"/>
      <c r="F33" s="29"/>
      <c r="G33" s="30"/>
      <c r="H33" s="31"/>
    </row>
    <row r="34" spans="1:8" s="2" customFormat="1" ht="20.100000000000001" customHeight="1" x14ac:dyDescent="0.15">
      <c r="A34" s="19"/>
      <c r="B34" s="23"/>
      <c r="C34" s="24"/>
      <c r="D34" s="25"/>
      <c r="E34" s="24"/>
      <c r="F34" s="29"/>
      <c r="G34" s="30"/>
      <c r="H34" s="31"/>
    </row>
    <row r="35" spans="1:8" s="2" customFormat="1" ht="20.100000000000001" customHeight="1" x14ac:dyDescent="0.15">
      <c r="A35" s="42"/>
      <c r="B35" s="43"/>
      <c r="C35" s="41"/>
      <c r="D35" s="40"/>
      <c r="E35" s="41"/>
      <c r="F35" s="29"/>
      <c r="G35" s="30"/>
      <c r="H35" s="31"/>
    </row>
    <row r="36" spans="1:8" ht="18" x14ac:dyDescent="0.15">
      <c r="A36" s="234" t="s">
        <v>31</v>
      </c>
      <c r="B36" s="235"/>
      <c r="C36" s="235"/>
      <c r="D36" s="48" t="s">
        <v>29</v>
      </c>
      <c r="E36" s="77" t="s">
        <v>30</v>
      </c>
      <c r="F36" s="29"/>
      <c r="G36" s="30"/>
      <c r="H36" s="31"/>
    </row>
    <row r="37" spans="1:8" ht="18" x14ac:dyDescent="0.15">
      <c r="A37" s="51"/>
      <c r="B37" s="52"/>
      <c r="C37" s="53"/>
      <c r="D37" s="48">
        <f>SUM(D4:D35)</f>
        <v>0</v>
      </c>
      <c r="E37" s="48">
        <f>SUM(E4:E35)</f>
        <v>0</v>
      </c>
      <c r="F37" s="29"/>
      <c r="G37" s="30"/>
      <c r="H37" s="31"/>
    </row>
    <row r="38" spans="1:8" ht="18" x14ac:dyDescent="0.15">
      <c r="A38" s="78"/>
      <c r="B38" s="14"/>
      <c r="C38" s="15"/>
      <c r="D38" s="16"/>
      <c r="E38" s="15"/>
      <c r="F38" s="29"/>
      <c r="G38" s="30"/>
      <c r="H38" s="31"/>
    </row>
    <row r="39" spans="1:8" ht="18.75" thickBot="1" x14ac:dyDescent="0.2">
      <c r="A39" s="69"/>
      <c r="B39" s="70"/>
      <c r="C39" s="71"/>
      <c r="D39" s="76"/>
      <c r="E39" s="71"/>
      <c r="F39" s="64"/>
      <c r="G39" s="72"/>
      <c r="H39" s="63"/>
    </row>
  </sheetData>
  <mergeCells count="6">
    <mergeCell ref="A36:C36"/>
    <mergeCell ref="F2:F3"/>
    <mergeCell ref="G2:G3"/>
    <mergeCell ref="A1:H1"/>
    <mergeCell ref="A2:E2"/>
    <mergeCell ref="H2:H3"/>
  </mergeCells>
  <printOptions horizontalCentered="1" verticalCentered="1"/>
  <pageMargins left="0" right="0" top="0" bottom="0" header="0" footer="0"/>
  <pageSetup paperSize="9" orientation="portrait" horizontalDpi="0" verticalDpi="0" r:id="rId1"/>
  <colBreaks count="1" manualBreakCount="1">
    <brk id="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9"/>
  <sheetViews>
    <sheetView rightToLeft="1" view="pageBreakPreview" zoomScale="90" zoomScaleNormal="100" zoomScaleSheetLayoutView="90" workbookViewId="0" xr3:uid="{65FA3815-DCC1-5481-872F-D2879ED395ED}">
      <pane xSplit="2" ySplit="1" topLeftCell="C2" activePane="bottomRight" state="frozen"/>
      <selection activeCell="F14" sqref="F14"/>
      <selection pane="bottomLeft" activeCell="A5" sqref="A5"/>
      <selection pane="topRight" activeCell="AQ1" sqref="AQ1"/>
      <selection pane="bottomRight" activeCell="E13" sqref="E13"/>
    </sheetView>
  </sheetViews>
  <sheetFormatPr defaultColWidth="8.94921875" defaultRowHeight="13.5" x14ac:dyDescent="0.15"/>
  <cols>
    <col min="1" max="2" width="4.04296875" style="75" customWidth="1"/>
    <col min="3" max="3" width="3.67578125" style="75" customWidth="1"/>
    <col min="4" max="4" width="4.04296875" style="75" customWidth="1"/>
    <col min="5" max="5" width="9.0703125" style="75" customWidth="1"/>
    <col min="6" max="9" width="4.04296875" style="75" customWidth="1"/>
    <col min="10" max="16384" width="8.94921875" style="75"/>
  </cols>
  <sheetData>
    <row r="1" spans="1:9" s="2" customFormat="1" ht="20.100000000000001" customHeight="1" x14ac:dyDescent="0.15">
      <c r="A1" s="247" t="s">
        <v>4</v>
      </c>
      <c r="B1" s="248"/>
      <c r="C1" s="248"/>
      <c r="D1" s="248"/>
      <c r="E1" s="248"/>
      <c r="F1" s="248"/>
      <c r="G1" s="248"/>
      <c r="H1" s="248"/>
      <c r="I1" s="248"/>
    </row>
    <row r="2" spans="1:9" s="2" customFormat="1" ht="20.100000000000001" customHeight="1" x14ac:dyDescent="0.15">
      <c r="A2" s="249" t="s">
        <v>16</v>
      </c>
      <c r="B2" s="250"/>
      <c r="C2" s="250"/>
      <c r="D2" s="251"/>
      <c r="E2" s="252" t="s">
        <v>17</v>
      </c>
      <c r="F2" s="252"/>
      <c r="G2" s="252"/>
      <c r="H2" s="252"/>
      <c r="I2" s="253"/>
    </row>
    <row r="3" spans="1:9" s="2" customFormat="1" ht="36" customHeight="1" x14ac:dyDescent="0.15">
      <c r="A3" s="3" t="s">
        <v>18</v>
      </c>
      <c r="B3" s="4" t="s">
        <v>19</v>
      </c>
      <c r="C3" s="8" t="s">
        <v>20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  <c r="I3" s="9" t="s">
        <v>10</v>
      </c>
    </row>
    <row r="4" spans="1:9" s="2" customFormat="1" ht="20.100000000000001" customHeight="1" x14ac:dyDescent="0.15">
      <c r="A4" s="91"/>
      <c r="B4" s="85"/>
      <c r="C4" s="95"/>
      <c r="D4" s="96"/>
      <c r="E4" s="84"/>
      <c r="F4" s="85"/>
      <c r="G4" s="85"/>
      <c r="H4" s="95"/>
      <c r="I4" s="96"/>
    </row>
    <row r="5" spans="1:9" s="2" customFormat="1" ht="20.100000000000001" customHeight="1" x14ac:dyDescent="0.15">
      <c r="A5" s="22">
        <v>1</v>
      </c>
      <c r="B5" s="23">
        <v>14</v>
      </c>
      <c r="C5" s="32">
        <v>2</v>
      </c>
      <c r="D5" s="33"/>
      <c r="E5" s="22">
        <v>29</v>
      </c>
      <c r="F5" s="23"/>
      <c r="G5" s="23"/>
      <c r="H5" s="32"/>
      <c r="I5" s="34"/>
    </row>
    <row r="6" spans="1:9" s="2" customFormat="1" ht="20.100000000000001" customHeight="1" x14ac:dyDescent="0.15">
      <c r="A6" s="22"/>
      <c r="B6" s="23"/>
      <c r="C6" s="32"/>
      <c r="D6" s="33"/>
      <c r="E6" s="22"/>
      <c r="F6" s="23"/>
      <c r="G6" s="23"/>
      <c r="H6" s="32"/>
      <c r="I6" s="34"/>
    </row>
    <row r="7" spans="1:9" s="2" customFormat="1" ht="20.100000000000001" customHeight="1" x14ac:dyDescent="0.15">
      <c r="A7" s="22">
        <v>1</v>
      </c>
      <c r="B7" s="23">
        <v>14</v>
      </c>
      <c r="C7" s="32">
        <v>2</v>
      </c>
      <c r="D7" s="33"/>
      <c r="E7" s="22">
        <v>29</v>
      </c>
      <c r="F7" s="23"/>
      <c r="G7" s="23"/>
      <c r="H7" s="32"/>
      <c r="I7" s="34"/>
    </row>
    <row r="8" spans="1:9" s="2" customFormat="1" ht="20.100000000000001" customHeight="1" x14ac:dyDescent="0.15">
      <c r="A8" s="22"/>
      <c r="B8" s="23"/>
      <c r="C8" s="32"/>
      <c r="D8" s="33"/>
      <c r="E8" s="22">
        <v>29</v>
      </c>
      <c r="F8" s="23"/>
      <c r="G8" s="23"/>
      <c r="H8" s="32"/>
      <c r="I8" s="34"/>
    </row>
    <row r="9" spans="1:9" s="2" customFormat="1" ht="20.100000000000001" customHeight="1" x14ac:dyDescent="0.15">
      <c r="A9" s="22"/>
      <c r="B9" s="23"/>
      <c r="C9" s="32"/>
      <c r="D9" s="33"/>
      <c r="E9" s="22"/>
      <c r="F9" s="23"/>
      <c r="G9" s="23"/>
      <c r="H9" s="32"/>
      <c r="I9" s="34"/>
    </row>
    <row r="10" spans="1:9" s="2" customFormat="1" ht="20.100000000000001" customHeight="1" x14ac:dyDescent="0.15">
      <c r="A10" s="22">
        <v>1</v>
      </c>
      <c r="B10" s="23">
        <v>17</v>
      </c>
      <c r="C10" s="32">
        <v>2</v>
      </c>
      <c r="D10" s="33" t="s">
        <v>156</v>
      </c>
      <c r="E10" s="22">
        <v>2</v>
      </c>
      <c r="F10" s="23">
        <v>2</v>
      </c>
      <c r="G10" s="23">
        <v>2</v>
      </c>
      <c r="H10" s="32"/>
      <c r="I10" s="34"/>
    </row>
    <row r="11" spans="1:9" s="2" customFormat="1" ht="20.100000000000001" customHeight="1" x14ac:dyDescent="0.15">
      <c r="A11" s="22"/>
      <c r="B11" s="23"/>
      <c r="C11" s="32"/>
      <c r="D11" s="33"/>
      <c r="E11" s="22"/>
      <c r="F11" s="23"/>
      <c r="G11" s="23"/>
      <c r="H11" s="32"/>
      <c r="I11" s="34"/>
    </row>
    <row r="12" spans="1:9" s="2" customFormat="1" ht="20.100000000000001" customHeight="1" x14ac:dyDescent="0.15">
      <c r="A12" s="22"/>
      <c r="B12" s="23"/>
      <c r="C12" s="32"/>
      <c r="D12" s="33"/>
      <c r="E12" s="22">
        <v>1</v>
      </c>
      <c r="F12" s="23">
        <v>1</v>
      </c>
      <c r="G12" s="23">
        <v>1</v>
      </c>
      <c r="H12" s="32"/>
      <c r="I12" s="34"/>
    </row>
    <row r="13" spans="1:9" s="2" customFormat="1" ht="20.100000000000001" customHeight="1" x14ac:dyDescent="0.15">
      <c r="A13" s="22">
        <v>1</v>
      </c>
      <c r="B13" s="23">
        <v>2</v>
      </c>
      <c r="C13" s="32">
        <v>3</v>
      </c>
      <c r="D13" s="33"/>
      <c r="E13" s="22">
        <v>1</v>
      </c>
      <c r="F13" s="23"/>
      <c r="G13" s="23"/>
      <c r="H13" s="32"/>
      <c r="I13" s="34"/>
    </row>
    <row r="14" spans="1:9" s="2" customFormat="1" ht="20.100000000000001" customHeight="1" x14ac:dyDescent="0.15">
      <c r="A14" s="22">
        <v>1</v>
      </c>
      <c r="B14" s="23">
        <v>2</v>
      </c>
      <c r="C14" s="32">
        <v>3</v>
      </c>
      <c r="D14" s="33"/>
      <c r="E14" s="22">
        <v>1</v>
      </c>
      <c r="F14" s="23">
        <v>1</v>
      </c>
      <c r="G14" s="23"/>
      <c r="H14" s="32"/>
      <c r="I14" s="34"/>
    </row>
    <row r="15" spans="1:9" s="2" customFormat="1" ht="20.100000000000001" customHeight="1" x14ac:dyDescent="0.15">
      <c r="A15" s="22">
        <v>1</v>
      </c>
      <c r="B15" s="23">
        <v>4</v>
      </c>
      <c r="C15" s="32">
        <v>3</v>
      </c>
      <c r="D15" s="33"/>
      <c r="E15" s="22">
        <v>1</v>
      </c>
      <c r="F15" s="23">
        <v>1</v>
      </c>
      <c r="G15" s="23"/>
      <c r="H15" s="32"/>
      <c r="I15" s="34"/>
    </row>
    <row r="16" spans="1:9" s="2" customFormat="1" ht="20.100000000000001" customHeight="1" x14ac:dyDescent="0.15">
      <c r="A16" s="22">
        <v>1</v>
      </c>
      <c r="B16" s="23">
        <v>6</v>
      </c>
      <c r="C16" s="32">
        <v>3</v>
      </c>
      <c r="D16" s="33"/>
      <c r="E16" s="22">
        <v>1</v>
      </c>
      <c r="F16" s="23">
        <v>1</v>
      </c>
      <c r="G16" s="23"/>
      <c r="H16" s="32"/>
      <c r="I16" s="34"/>
    </row>
    <row r="17" spans="1:9" s="2" customFormat="1" ht="20.100000000000001" customHeight="1" x14ac:dyDescent="0.15">
      <c r="A17" s="22"/>
      <c r="B17" s="23"/>
      <c r="C17" s="32"/>
      <c r="D17" s="33"/>
      <c r="E17" s="22"/>
      <c r="F17" s="23"/>
      <c r="G17" s="23"/>
      <c r="H17" s="32"/>
      <c r="I17" s="34"/>
    </row>
    <row r="18" spans="1:9" s="2" customFormat="1" ht="20.100000000000001" customHeight="1" x14ac:dyDescent="0.15">
      <c r="A18" s="22"/>
      <c r="B18" s="23"/>
      <c r="C18" s="32"/>
      <c r="D18" s="33"/>
      <c r="E18" s="22"/>
      <c r="F18" s="23"/>
      <c r="G18" s="23"/>
      <c r="H18" s="32"/>
      <c r="I18" s="34"/>
    </row>
    <row r="19" spans="1:9" s="2" customFormat="1" ht="20.100000000000001" customHeight="1" x14ac:dyDescent="0.15">
      <c r="A19" s="22"/>
      <c r="B19" s="23"/>
      <c r="C19" s="32"/>
      <c r="D19" s="33"/>
      <c r="E19" s="22"/>
      <c r="F19" s="23"/>
      <c r="G19" s="23"/>
      <c r="H19" s="32"/>
      <c r="I19" s="34"/>
    </row>
    <row r="20" spans="1:9" s="2" customFormat="1" ht="20.100000000000001" customHeight="1" x14ac:dyDescent="0.15">
      <c r="A20" s="22"/>
      <c r="B20" s="23"/>
      <c r="C20" s="32"/>
      <c r="D20" s="33"/>
      <c r="E20" s="22"/>
      <c r="F20" s="23"/>
      <c r="G20" s="23"/>
      <c r="H20" s="32"/>
      <c r="I20" s="34"/>
    </row>
    <row r="21" spans="1:9" s="2" customFormat="1" ht="20.100000000000001" customHeight="1" x14ac:dyDescent="0.15">
      <c r="A21" s="22"/>
      <c r="B21" s="23"/>
      <c r="C21" s="32"/>
      <c r="D21" s="33"/>
      <c r="E21" s="22"/>
      <c r="F21" s="23"/>
      <c r="G21" s="23"/>
      <c r="H21" s="32"/>
      <c r="I21" s="34"/>
    </row>
    <row r="22" spans="1:9" s="2" customFormat="1" ht="20.100000000000001" customHeight="1" x14ac:dyDescent="0.15">
      <c r="A22" s="22"/>
      <c r="B22" s="23"/>
      <c r="C22" s="32"/>
      <c r="D22" s="33"/>
      <c r="E22" s="22"/>
      <c r="F22" s="23"/>
      <c r="G22" s="23"/>
      <c r="H22" s="32"/>
      <c r="I22" s="34"/>
    </row>
    <row r="23" spans="1:9" s="2" customFormat="1" ht="20.100000000000001" customHeight="1" x14ac:dyDescent="0.15">
      <c r="A23" s="22"/>
      <c r="B23" s="23"/>
      <c r="C23" s="32"/>
      <c r="D23" s="33"/>
      <c r="E23" s="22"/>
      <c r="F23" s="23"/>
      <c r="G23" s="23"/>
      <c r="H23" s="32"/>
      <c r="I23" s="34"/>
    </row>
    <row r="24" spans="1:9" s="2" customFormat="1" ht="20.100000000000001" customHeight="1" x14ac:dyDescent="0.15">
      <c r="A24" s="22"/>
      <c r="B24" s="23"/>
      <c r="C24" s="32"/>
      <c r="D24" s="33"/>
      <c r="E24" s="22"/>
      <c r="F24" s="23"/>
      <c r="G24" s="23"/>
      <c r="H24" s="32"/>
      <c r="I24" s="34"/>
    </row>
    <row r="25" spans="1:9" s="2" customFormat="1" ht="20.100000000000001" customHeight="1" x14ac:dyDescent="0.15">
      <c r="A25" s="22"/>
      <c r="B25" s="23"/>
      <c r="C25" s="32"/>
      <c r="D25" s="33"/>
      <c r="E25" s="22"/>
      <c r="F25" s="23"/>
      <c r="G25" s="23"/>
      <c r="H25" s="32"/>
      <c r="I25" s="34"/>
    </row>
    <row r="26" spans="1:9" s="2" customFormat="1" ht="20.100000000000001" customHeight="1" x14ac:dyDescent="0.15">
      <c r="A26" s="22"/>
      <c r="B26" s="23"/>
      <c r="C26" s="32"/>
      <c r="D26" s="33"/>
      <c r="E26" s="22"/>
      <c r="F26" s="23"/>
      <c r="G26" s="23"/>
      <c r="H26" s="32"/>
      <c r="I26" s="34"/>
    </row>
    <row r="27" spans="1:9" s="2" customFormat="1" ht="20.100000000000001" customHeight="1" x14ac:dyDescent="0.15">
      <c r="A27" s="22"/>
      <c r="B27" s="23"/>
      <c r="C27" s="32"/>
      <c r="D27" s="33"/>
      <c r="E27" s="22"/>
      <c r="F27" s="23"/>
      <c r="G27" s="23"/>
      <c r="H27" s="32"/>
      <c r="I27" s="34"/>
    </row>
    <row r="28" spans="1:9" s="2" customFormat="1" ht="20.100000000000001" customHeight="1" x14ac:dyDescent="0.15">
      <c r="A28" s="22"/>
      <c r="B28" s="23"/>
      <c r="C28" s="32"/>
      <c r="D28" s="33"/>
      <c r="E28" s="22"/>
      <c r="F28" s="23"/>
      <c r="G28" s="23"/>
      <c r="H28" s="32"/>
      <c r="I28" s="34"/>
    </row>
    <row r="29" spans="1:9" s="2" customFormat="1" ht="20.100000000000001" customHeight="1" x14ac:dyDescent="0.15">
      <c r="A29" s="22"/>
      <c r="B29" s="23"/>
      <c r="C29" s="32"/>
      <c r="D29" s="33"/>
      <c r="E29" s="22"/>
      <c r="F29" s="23"/>
      <c r="G29" s="23"/>
      <c r="H29" s="32"/>
      <c r="I29" s="34"/>
    </row>
    <row r="30" spans="1:9" s="2" customFormat="1" ht="20.100000000000001" customHeight="1" x14ac:dyDescent="0.15">
      <c r="A30" s="22"/>
      <c r="B30" s="23"/>
      <c r="C30" s="32"/>
      <c r="D30" s="33"/>
      <c r="E30" s="22"/>
      <c r="F30" s="23"/>
      <c r="G30" s="23"/>
      <c r="H30" s="32"/>
      <c r="I30" s="34"/>
    </row>
    <row r="31" spans="1:9" s="2" customFormat="1" ht="20.100000000000001" customHeight="1" x14ac:dyDescent="0.15">
      <c r="A31" s="22"/>
      <c r="B31" s="23"/>
      <c r="C31" s="32"/>
      <c r="D31" s="33"/>
      <c r="E31" s="22"/>
      <c r="F31" s="23"/>
      <c r="G31" s="23"/>
      <c r="H31" s="32"/>
      <c r="I31" s="34"/>
    </row>
    <row r="32" spans="1:9" s="2" customFormat="1" ht="20.100000000000001" customHeight="1" x14ac:dyDescent="0.15">
      <c r="A32" s="22"/>
      <c r="B32" s="23"/>
      <c r="C32" s="32"/>
      <c r="D32" s="33"/>
      <c r="E32" s="22"/>
      <c r="F32" s="23"/>
      <c r="G32" s="23"/>
      <c r="H32" s="32"/>
      <c r="I32" s="34"/>
    </row>
    <row r="33" spans="1:9" s="2" customFormat="1" ht="20.100000000000001" customHeight="1" x14ac:dyDescent="0.15">
      <c r="A33" s="22"/>
      <c r="B33" s="23"/>
      <c r="C33" s="32"/>
      <c r="D33" s="33"/>
      <c r="E33" s="22"/>
      <c r="F33" s="23"/>
      <c r="G33" s="23"/>
      <c r="H33" s="32"/>
      <c r="I33" s="34"/>
    </row>
    <row r="34" spans="1:9" s="2" customFormat="1" ht="20.100000000000001" customHeight="1" x14ac:dyDescent="0.15">
      <c r="A34" s="22"/>
      <c r="B34" s="23"/>
      <c r="C34" s="32"/>
      <c r="D34" s="33"/>
      <c r="E34" s="22"/>
      <c r="F34" s="23"/>
      <c r="G34" s="23"/>
      <c r="H34" s="32"/>
      <c r="I34" s="34"/>
    </row>
    <row r="35" spans="1:9" s="2" customFormat="1" ht="20.100000000000001" customHeight="1" x14ac:dyDescent="0.15">
      <c r="A35" s="44"/>
      <c r="B35" s="43"/>
      <c r="C35" s="45"/>
      <c r="D35" s="34"/>
      <c r="E35" s="44"/>
      <c r="F35" s="43"/>
      <c r="G35" s="43"/>
      <c r="H35" s="45"/>
      <c r="I35" s="34"/>
    </row>
    <row r="36" spans="1:9" s="2" customFormat="1" ht="20.100000000000001" customHeight="1" x14ac:dyDescent="0.15">
      <c r="A36" s="246" t="s">
        <v>32</v>
      </c>
      <c r="B36" s="245"/>
      <c r="C36" s="245"/>
      <c r="D36" s="49">
        <f>SUM(D4:D35)</f>
        <v>0</v>
      </c>
      <c r="E36" s="245" t="s">
        <v>33</v>
      </c>
      <c r="F36" s="245"/>
      <c r="G36" s="245"/>
      <c r="H36" s="245"/>
      <c r="I36" s="49">
        <f>SUM(I4:I35)</f>
        <v>0</v>
      </c>
    </row>
    <row r="37" spans="1:9" ht="18" x14ac:dyDescent="0.15">
      <c r="A37" s="246"/>
      <c r="B37" s="245"/>
      <c r="C37" s="245"/>
      <c r="D37" s="54"/>
      <c r="E37" s="245"/>
      <c r="F37" s="245"/>
      <c r="G37" s="245"/>
      <c r="H37" s="245"/>
      <c r="I37" s="55"/>
    </row>
    <row r="38" spans="1:9" ht="18" x14ac:dyDescent="0.15">
      <c r="A38" s="13"/>
      <c r="B38" s="60"/>
      <c r="C38" s="17"/>
      <c r="D38" s="61"/>
      <c r="E38" s="13"/>
      <c r="F38" s="14"/>
      <c r="G38" s="14"/>
      <c r="H38" s="17"/>
      <c r="I38" s="18"/>
    </row>
    <row r="39" spans="1:9" ht="18.75" thickBot="1" x14ac:dyDescent="0.2">
      <c r="A39" s="66"/>
      <c r="B39" s="70"/>
      <c r="C39" s="67"/>
      <c r="D39" s="73"/>
      <c r="E39" s="66"/>
      <c r="F39" s="70"/>
      <c r="G39" s="70"/>
      <c r="H39" s="67"/>
      <c r="I39" s="74"/>
    </row>
  </sheetData>
  <mergeCells count="5">
    <mergeCell ref="E36:H37"/>
    <mergeCell ref="A36:C37"/>
    <mergeCell ref="A1:I1"/>
    <mergeCell ref="A2:D2"/>
    <mergeCell ref="E2:I2"/>
  </mergeCells>
  <dataValidations count="1">
    <dataValidation type="list" allowBlank="1" showInputMessage="1" showErrorMessage="1" sqref="E1" xr:uid="{00000000-0002-0000-0A00-000000000000}">
      <formula1>"1,2,3,4,5,6,7,8,9,10,11,12,13,14,15,16,17,18,19,20,21,22,23,24,25,26,27,28,29,30"</formula1>
    </dataValidation>
  </dataValidations>
  <printOptions horizontalCentered="1" verticalCentered="1"/>
  <pageMargins left="0" right="0" top="0" bottom="0" header="0" footer="0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T44"/>
  <sheetViews>
    <sheetView rightToLeft="1" zoomScaleNormal="60" zoomScaleSheetLayoutView="100" workbookViewId="0" xr3:uid="{F9CF3CF3-643B-5BE6-8B46-32C596A47465}">
      <selection activeCell="C41" sqref="C41"/>
    </sheetView>
  </sheetViews>
  <sheetFormatPr defaultColWidth="9.19140625" defaultRowHeight="13.5" x14ac:dyDescent="0.15"/>
  <cols>
    <col min="1" max="1" width="6.86328125" style="100" customWidth="1"/>
    <col min="2" max="6" width="10.05078125" style="100" customWidth="1"/>
    <col min="7" max="7" width="4.90234375" style="75" customWidth="1"/>
    <col min="8" max="8" width="5.1484375" style="75" customWidth="1"/>
    <col min="9" max="9" width="11.27734375" customWidth="1"/>
    <col min="18" max="18" width="9.19140625" style="75"/>
    <col min="19" max="20" width="6.25" style="75" customWidth="1"/>
  </cols>
  <sheetData>
    <row r="1" spans="1:19" ht="31.5" customHeight="1" thickTop="1" thickBot="1" x14ac:dyDescent="0.2">
      <c r="A1" s="148" t="s">
        <v>125</v>
      </c>
      <c r="B1" s="175">
        <v>1</v>
      </c>
      <c r="C1" s="175">
        <v>2</v>
      </c>
      <c r="D1" s="175">
        <v>3</v>
      </c>
      <c r="E1" s="175">
        <v>4</v>
      </c>
      <c r="F1" s="175">
        <v>5</v>
      </c>
      <c r="G1" s="175"/>
      <c r="H1" s="175"/>
      <c r="I1" s="153"/>
      <c r="R1" s="137" t="s">
        <v>13</v>
      </c>
      <c r="S1" s="137" t="s">
        <v>124</v>
      </c>
    </row>
    <row r="2" spans="1:19" ht="13.5" customHeight="1" thickTop="1" thickBot="1" x14ac:dyDescent="0.2">
      <c r="A2" s="257" t="s">
        <v>80</v>
      </c>
      <c r="B2" s="146" t="s">
        <v>6</v>
      </c>
      <c r="C2" s="146" t="s">
        <v>6</v>
      </c>
      <c r="D2" s="146" t="s">
        <v>6</v>
      </c>
      <c r="E2" s="146" t="s">
        <v>6</v>
      </c>
      <c r="F2" s="146" t="s">
        <v>6</v>
      </c>
      <c r="G2" s="255" t="s">
        <v>106</v>
      </c>
      <c r="H2" s="258" t="s">
        <v>107</v>
      </c>
      <c r="I2" s="153"/>
      <c r="R2" s="136" t="s">
        <v>123</v>
      </c>
      <c r="S2" s="136">
        <v>-1</v>
      </c>
    </row>
    <row r="3" spans="1:19" ht="13.5" customHeight="1" thickTop="1" thickBot="1" x14ac:dyDescent="0.2">
      <c r="A3" s="257"/>
      <c r="B3" s="146" t="s">
        <v>13</v>
      </c>
      <c r="C3" s="146" t="s">
        <v>13</v>
      </c>
      <c r="D3" s="146" t="s">
        <v>13</v>
      </c>
      <c r="E3" s="146" t="s">
        <v>13</v>
      </c>
      <c r="F3" s="146" t="s">
        <v>13</v>
      </c>
      <c r="G3" s="256"/>
      <c r="H3" s="259"/>
      <c r="I3" s="153"/>
      <c r="R3" s="136" t="s">
        <v>115</v>
      </c>
      <c r="S3" s="136">
        <v>-1</v>
      </c>
    </row>
    <row r="4" spans="1:19" ht="13.5" customHeight="1" thickTop="1" thickBot="1" x14ac:dyDescent="0.2">
      <c r="A4" s="254">
        <v>32</v>
      </c>
      <c r="B4" s="160">
        <f t="array" aca="1" ref="B4" ca="1">IF(B$1&lt;=COUNTIF(استماع!$C$3:$L$34,$A4),OFFSET(استماع!$B$2,SMALL(IF(استماع!$C$3:$L$34=$A4,ROW($4:$35)-3),B$1),0),"")</f>
        <v>43625</v>
      </c>
      <c r="C4" s="144" t="str">
        <f t="array" aca="1" ref="C4" ca="1">IF(C$1&lt;=COUNTIF(استماع!$C$3:$L$34,$A4),OFFSET(استماع!$B$2,SMALL(IF(استماع!$C$3:$L$34=$A4,ROW($4:$35)-3),C$1),0),"")</f>
        <v/>
      </c>
      <c r="D4" s="142" t="str">
        <f t="array" aca="1" ref="D4" ca="1">IF(D$1&lt;=COUNTIF(استماع!$C$3:$L$34,$A4),OFFSET(استماع!$B$2,SMALL(IF(استماع!$C$3:$L$34=$A4,ROW($4:$35)-3),D$1),0),"")</f>
        <v/>
      </c>
      <c r="E4" s="138" t="str">
        <f t="array" aca="1" ref="E4" ca="1">IF(E$1&lt;=COUNTIF(استماع!$C$3:$L$34,$A4),OFFSET(استماع!$B$2,SMALL(IF(استماع!$C$3:$L$34=$A4,ROW($4:$35)-3),E$1),0),"")</f>
        <v/>
      </c>
      <c r="F4" s="142" t="str">
        <f t="array" aca="1" ref="F4" ca="1">IF(F$1&lt;=COUNTIF(استماع!$C$3:$L$34,$A4),OFFSET(استماع!$B$2,SMALL(IF(استماع!$C$3:$L$34=$A4,ROW($4:$35)-3),F$1),0),"")</f>
        <v/>
      </c>
      <c r="G4" s="265" t="str">
        <f ca="1">IF(COUNTBLANK($B5:$F5)=5,"/",IF(SUMPRODUCT(($R$2:$R$7=$B5:$F5)*($S$2:$S$7))=-1,"ضعيف",INDEX($R$4:$R$7,MATCH(SUMPRODUCT(($R$2:$R$7=$B5:$F5)*($S$2:$S$7)),$S$4:$S$7,0))))</f>
        <v>جيد</v>
      </c>
      <c r="H4" s="262">
        <f ca="1">IF(COUNTBLANK($B5:$F5)=5,"/",IF(SUMPRODUCT(($R$2:$R$7=$B5:$F5)*($S$2:$S$7))=-1,"ضعيف",INDEX($S$4:$S$7,MATCH(SUMPRODUCT(($R$2:$R$7=$B5:$F5)*($S$2:$S$7)),$S$4:$S$7,0))))</f>
        <v>1</v>
      </c>
      <c r="I4" s="175" t="s">
        <v>122</v>
      </c>
      <c r="R4" s="136" t="s">
        <v>108</v>
      </c>
      <c r="S4" s="136">
        <v>0</v>
      </c>
    </row>
    <row r="5" spans="1:19" ht="13.5" customHeight="1" thickTop="1" thickBot="1" x14ac:dyDescent="0.2">
      <c r="A5" s="254"/>
      <c r="B5" s="158" t="str">
        <f t="array" aca="1" ref="B5" ca="1">IF(B$1&lt;=COUNTIF(استماع!$C$3:$L$34,$A4),OFFSET(استماع!$B$2,MATCH(B4,استماع!$B$3:$B$34,0),SMALL(IF(OFFSET(استماع!$C$2:$L$2,MATCH(B4,استماع!$B$3:$B$34,0),0)=$A4,COLUMN($C:$L)-2),COUNTIF($B4:B4,B4))+1),"")</f>
        <v>جيد</v>
      </c>
      <c r="C5" s="143" t="str">
        <f t="array" aca="1" ref="C5" ca="1">IF(C$1&lt;=COUNTIF(استماع!$C$3:$L$34,$A4),OFFSET(استماع!$B$2,MATCH(C4,استماع!$B$3:$B$34,0),SMALL(IF(OFFSET(استماع!$C$2:$L$2,MATCH(C4,استماع!$B$3:$B$34,0),0)=$A4,COLUMN($C:$L)-2),COUNTIF($B4:C4,C4))+1),"")</f>
        <v/>
      </c>
      <c r="D5" s="139" t="str">
        <f t="array" aca="1" ref="D5" ca="1">IF(D$1&lt;=COUNTIF(استماع!$C$3:$L$34,$A4),OFFSET(استماع!$B$2,MATCH(D4,استماع!$B$3:$B$34,0),SMALL(IF(OFFSET(استماع!$C$2:$L$2,MATCH(D4,استماع!$B$3:$B$34,0),0)=$A4,COLUMN($C:$L)-2),COUNTIF($B4:D4,D4))+1),"")</f>
        <v/>
      </c>
      <c r="E5" s="141" t="str">
        <f t="array" aca="1" ref="E5" ca="1">IF(E$1&lt;=COUNTIF(استماع!$C$3:$L$34,$A4),OFFSET(استماع!$B$2,MATCH(E4,استماع!$B$3:$B$34,0),SMALL(IF(OFFSET(استماع!$C$2:$L$2,MATCH(E4,استماع!$B$3:$B$34,0),0)=$A4,COLUMN($C:$L)-2),COUNTIF($B4:E4,E4))+1),"")</f>
        <v/>
      </c>
      <c r="F5" s="139" t="str">
        <f t="array" aca="1" ref="F5" ca="1">IF(F$1&lt;=COUNTIF(استماع!$C$3:$L$34,$A4),OFFSET(استماع!$B$2,MATCH(F4,استماع!$B$3:$B$34,0),SMALL(IF(OFFSET(استماع!$C$2:$L$2,MATCH(F4,استماع!$B$3:$B$34,0),0)=$A4,COLUMN($C:$L)-2),COUNTIF($B4:F4,F4))+1),"")</f>
        <v/>
      </c>
      <c r="G5" s="264"/>
      <c r="H5" s="261"/>
      <c r="I5" s="155">
        <f ca="1">MIN(B$4:F$4,B6:F6,B8:F8,B$10:F$10,B12:F12,B14:F14,B16:F16,B18:F18,B20:F20,B22:F22,B24:F24,B26:F26,B28:F28,B30:F30,B32:F32,B34:F34,B36:F36,B38:F38,B40:F40,B42:F42)</f>
        <v>43625</v>
      </c>
      <c r="R5" s="136" t="s">
        <v>51</v>
      </c>
      <c r="S5" s="136">
        <v>1</v>
      </c>
    </row>
    <row r="6" spans="1:19" ht="13.5" customHeight="1" thickTop="1" thickBot="1" x14ac:dyDescent="0.2">
      <c r="A6" s="291">
        <v>33</v>
      </c>
      <c r="B6" s="161">
        <f t="array" aca="1" ref="B6" ca="1">IF(B$1&lt;=COUNTIF(استماع!$C$3:$L$34,$A6),OFFSET(استماع!$B$2,SMALL(IF(استماع!$C$3:$L$34=$A6,ROW($4:$35)-3),B$1),0),"")</f>
        <v>43626</v>
      </c>
      <c r="C6" s="138">
        <f t="array" aca="1" ref="C6" ca="1">IF(C$1&lt;=COUNTIF(استماع!$C$3:$L$34,$A6),OFFSET(استماع!$B$2,SMALL(IF(استماع!$C$3:$L$34=$A6,ROW($4:$35)-3),C$1),0),"")</f>
        <v>43628</v>
      </c>
      <c r="D6" s="140" t="str">
        <f t="array" aca="1" ref="D6" ca="1">IF(D$1&lt;=COUNTIF(استماع!$C$3:$L$34,$A6),OFFSET(استماع!$B$2,SMALL(IF(استماع!$C$3:$L$34=$A6,ROW($4:$35)-3),D$1),0),"")</f>
        <v/>
      </c>
      <c r="E6" s="138" t="str">
        <f t="array" aca="1" ref="E6" ca="1">IF(E$1&lt;=COUNTIF(استماع!$C$3:$L$34,$A6),OFFSET(استماع!$B$2,SMALL(IF(استماع!$C$3:$L$34=$A6,ROW($4:$35)-3),E$1),0),"")</f>
        <v/>
      </c>
      <c r="F6" s="140" t="str">
        <f t="array" aca="1" ref="F6" ca="1">IF(F$1&lt;=COUNTIF(استماع!$C$3:$L$34,$A6),OFFSET(استماع!$B$2,SMALL(IF(استماع!$C$3:$L$34=$A6,ROW($4:$35)-3),F$1),0),"")</f>
        <v/>
      </c>
      <c r="G6" s="263" t="str">
        <f ca="1">IF(COUNTBLANK($B7:$F7)=5,"/",IF(SUMPRODUCT(($R$2:$R$7=$B7:$F7)*($S$2:$S$7))=-1,"ضعيف",INDEX($R$4:$R$7,MATCH(SUMPRODUCT(($R$2:$R$7=$B7:$F7)*($S$2:$S$7)),$S$4:$S$7,0))))</f>
        <v>جيد جداً</v>
      </c>
      <c r="H6" s="260">
        <f ca="1">IF(COUNTBLANK($B7:$F7)=5,"/",IF(SUMPRODUCT(($R$2:$R$7=$B7:$F7)*($S$2:$S$7))=-1,"ضعيف",INDEX($S$4:$S$7,MATCH(SUMPRODUCT(($R$2:$R$7=$B7:$F7)*($S$2:$S$7)),$S$4:$S$7,0))))</f>
        <v>2</v>
      </c>
      <c r="I6" s="175" t="s">
        <v>121</v>
      </c>
      <c r="R6" s="136" t="s">
        <v>116</v>
      </c>
      <c r="S6" s="136">
        <v>2</v>
      </c>
    </row>
    <row r="7" spans="1:19" ht="13.5" customHeight="1" thickTop="1" thickBot="1" x14ac:dyDescent="0.2">
      <c r="A7" s="292"/>
      <c r="B7" s="159" t="str">
        <f t="array" aca="1" ref="B7" ca="1">IF(B$1&lt;=COUNTIF(استماع!$C$3:$L$34,$A6),OFFSET(استماع!$B$2,MATCH(B6,استماع!$B$3:$B$34,0),SMALL(IF(OFFSET(استماع!$C$2:$L$2,MATCH(B6,استماع!$B$3:$B$34,0),0)=$A6,COLUMN($C:$L)-2),COUNTIF($B6:B6,B6))+1),"")</f>
        <v>ضعيف</v>
      </c>
      <c r="C7" s="141" t="str">
        <f t="array" aca="1" ref="C7" ca="1">IF(C$1&lt;=COUNTIF(استماع!$C$3:$L$34,$A6),OFFSET(استماع!$B$2,MATCH(C6,استماع!$B$3:$B$34,0),SMALL(IF(OFFSET(استماع!$C$2:$L$2,MATCH(C6,استماع!$B$3:$B$34,0),0)=$A6,COLUMN($C:$L)-2),COUNTIF($B6:C6,C6))+1),"")</f>
        <v>ممتاز</v>
      </c>
      <c r="D7" s="139" t="str">
        <f t="array" aca="1" ref="D7" ca="1">IF(D$1&lt;=COUNTIF(استماع!$C$3:$L$34,$A6),OFFSET(استماع!$B$2,MATCH(D6,استماع!$B$3:$B$34,0),SMALL(IF(OFFSET(استماع!$C$2:$L$2,MATCH(D6,استماع!$B$3:$B$34,0),0)=$A6,COLUMN($C:$L)-2),COUNTIF($B6:D6,D6))+1),"")</f>
        <v/>
      </c>
      <c r="E7" s="141" t="str">
        <f t="array" aca="1" ref="E7" ca="1">IF(E$1&lt;=COUNTIF(استماع!$C$3:$L$34,$A6),OFFSET(استماع!$B$2,MATCH(E6,استماع!$B$3:$B$34,0),SMALL(IF(OFFSET(استماع!$C$2:$L$2,MATCH(E6,استماع!$B$3:$B$34,0),0)=$A6,COLUMN($C:$L)-2),COUNTIF($B6:E6,E6))+1),"")</f>
        <v/>
      </c>
      <c r="F7" s="139" t="str">
        <f t="array" aca="1" ref="F7" ca="1">IF(F$1&lt;=COUNTIF(استماع!$C$3:$L$34,$A6),OFFSET(استماع!$B$2,MATCH(F6,استماع!$B$3:$B$34,0),SMALL(IF(OFFSET(استماع!$C$2:$L$2,MATCH(F6,استماع!$B$3:$B$34,0),0)=$A6,COLUMN($C:$L)-2),COUNTIF($B6:F6,F6))+1),"")</f>
        <v/>
      </c>
      <c r="G7" s="264"/>
      <c r="H7" s="261"/>
      <c r="I7" s="154">
        <f ca="1">MAX(B$4:F$4,B6:F6,B8:F8,B$10:F$10,B12:F12,B14:F14,B16:F16,B18:F18,B20:F20,B22:F22,B24:F24,B26:F26,B28:F28,B30:F30,B32:F32,B34:F34,B36:F36,B38:F38,B40:F40,B42:F42)</f>
        <v>43642</v>
      </c>
      <c r="R7" s="136" t="s">
        <v>50</v>
      </c>
      <c r="S7" s="136">
        <v>3</v>
      </c>
    </row>
    <row r="8" spans="1:19" ht="13.5" customHeight="1" thickTop="1" thickBot="1" x14ac:dyDescent="0.2">
      <c r="A8" s="291">
        <v>34</v>
      </c>
      <c r="B8" s="140">
        <f t="array" aca="1" ref="B8" ca="1">IF(B$1&lt;=COUNTIF(استماع!$C$3:$L$34,$A8),OFFSET(استماع!$B$2,SMALL(IF(استماع!$C$3:$L$34=$A8,ROW($4:$35)-3),B$1),0),"")</f>
        <v>43626</v>
      </c>
      <c r="C8" s="138">
        <f t="array" aca="1" ref="C8" ca="1">IF(C$1&lt;=COUNTIF(استماع!$C$3:$L$34,$A8),OFFSET(استماع!$B$2,SMALL(IF(استماع!$C$3:$L$34=$A8,ROW($4:$35)-3),C$1),0),"")</f>
        <v>43628</v>
      </c>
      <c r="D8" s="140" t="str">
        <f t="array" aca="1" ref="D8" ca="1">IF(D$1&lt;=COUNTIF(استماع!$C$3:$L$34,$A8),OFFSET(استماع!$B$2,SMALL(IF(استماع!$C$3:$L$34=$A8,ROW($4:$35)-3),D$1),0),"")</f>
        <v/>
      </c>
      <c r="E8" s="138" t="str">
        <f t="array" aca="1" ref="E8" ca="1">IF(E$1&lt;=COUNTIF(استماع!$C$3:$L$34,$A8),OFFSET(استماع!$B$2,SMALL(IF(استماع!$C$3:$L$34=$A8,ROW($4:$35)-3),E$1),0),"")</f>
        <v/>
      </c>
      <c r="F8" s="140" t="str">
        <f t="array" aca="1" ref="F8" ca="1">IF(F$1&lt;=COUNTIF(استماع!$C$3:$L$34,$A8),OFFSET(استماع!$B$2,SMALL(IF(استماع!$C$3:$L$34=$A8,ROW($4:$35)-3),F$1),0),"")</f>
        <v/>
      </c>
      <c r="G8" s="263" t="str">
        <f ca="1">IF(COUNTBLANK($B9:$F9)=5,"/",IF(SUMPRODUCT(($R$2:$R$7=$B9:$F9)*($S$2:$S$7))=-1,"ضعيف",INDEX($R$4:$R$7,MATCH(SUMPRODUCT(($R$2:$R$7=$B9:$F9)*($S$2:$S$7)),$S$4:$S$7,0))))</f>
        <v>جيد جداً</v>
      </c>
      <c r="H8" s="260">
        <f ca="1">IF(COUNTBLANK($B9:$F9)=5,"/",IF(SUMPRODUCT(($R$2:$R$7=$B9:$F9)*($S$2:$S$7))=-1,"ضعيف",INDEX($S$4:$S$7,MATCH(SUMPRODUCT(($R$2:$R$7=$B9:$F9)*($S$2:$S$7)),$S$4:$S$7,0))))</f>
        <v>2</v>
      </c>
      <c r="I8" s="175" t="s">
        <v>120</v>
      </c>
    </row>
    <row r="9" spans="1:19" ht="13.5" customHeight="1" thickTop="1" thickBot="1" x14ac:dyDescent="0.2">
      <c r="A9" s="292"/>
      <c r="B9" s="139" t="str">
        <f t="array" aca="1" ref="B9" ca="1">IF(B$1&lt;=COUNTIF(استماع!$C$3:$L$34,$A8),OFFSET(استماع!$B$2,MATCH(B8,استماع!$B$3:$B$34,0),SMALL(IF(OFFSET(استماع!$C$2:$L$2,MATCH(B8,استماع!$B$3:$B$34,0),0)=$A8,COLUMN($C:$L)-2),COUNTIF($B8:B8,B8))+1),"")</f>
        <v>ضعيف</v>
      </c>
      <c r="C9" s="141" t="str">
        <f t="array" aca="1" ref="C9" ca="1">IF(C$1&lt;=COUNTIF(استماع!$C$3:$L$34,$A8),OFFSET(استماع!$B$2,MATCH(C8,استماع!$B$3:$B$34,0),SMALL(IF(OFFSET(استماع!$C$2:$L$2,MATCH(C8,استماع!$B$3:$B$34,0),0)=$A8,COLUMN($C:$L)-2),COUNTIF($B8:C8,C8))+1),"")</f>
        <v>ممتاز</v>
      </c>
      <c r="D9" s="139" t="str">
        <f t="array" aca="1" ref="D9" ca="1">IF(D$1&lt;=COUNTIF(استماع!$C$3:$L$34,$A8),OFFSET(استماع!$B$2,MATCH(D8,استماع!$B$3:$B$34,0),SMALL(IF(OFFSET(استماع!$C$2:$L$2,MATCH(D8,استماع!$B$3:$B$34,0),0)=$A8,COLUMN($C:$L)-2),COUNTIF($B8:D8,D8))+1),"")</f>
        <v/>
      </c>
      <c r="E9" s="141" t="str">
        <f t="array" aca="1" ref="E9" ca="1">IF(E$1&lt;=COUNTIF(استماع!$C$3:$L$34,$A8),OFFSET(استماع!$B$2,MATCH(E8,استماع!$B$3:$B$34,0),SMALL(IF(OFFSET(استماع!$C$2:$L$2,MATCH(E8,استماع!$B$3:$B$34,0),0)=$A8,COLUMN($C:$L)-2),COUNTIF($B8:E8,E8))+1),"")</f>
        <v/>
      </c>
      <c r="F9" s="139" t="str">
        <f t="array" aca="1" ref="F9" ca="1">IF(F$1&lt;=COUNTIF(استماع!$C$3:$L$34,$A8),OFFSET(استماع!$B$2,MATCH(F8,استماع!$B$3:$B$34,0),SMALL(IF(OFFSET(استماع!$C$2:$L$2,MATCH(F8,استماع!$B$3:$B$34,0),0)=$A8,COLUMN($C:$L)-2),COUNTIF($B8:F8,F8))+1),"")</f>
        <v/>
      </c>
      <c r="G9" s="264"/>
      <c r="H9" s="261"/>
      <c r="I9" s="156">
        <f ca="1">COUNTIF(استماع!B3:B17,"&gt;="&amp;I5)-COUNTIF(استماع!B3:B17,"&gt;"&amp;I7)</f>
        <v>15</v>
      </c>
    </row>
    <row r="10" spans="1:19" ht="13.5" customHeight="1" thickTop="1" thickBot="1" x14ac:dyDescent="0.2">
      <c r="A10" s="291">
        <v>35</v>
      </c>
      <c r="B10" s="140">
        <f t="array" aca="1" ref="B10" ca="1">IF(B$1&lt;=COUNTIF(استماع!$C$3:$L$34,$A10),OFFSET(استماع!$B$2,SMALL(IF(استماع!$C$3:$L$34=$A10,ROW($4:$35)-3),B$1),0),"")</f>
        <v>43628</v>
      </c>
      <c r="C10" s="138" t="str">
        <f t="array" aca="1" ref="C10" ca="1">IF(C$1&lt;=COUNTIF(استماع!$C$3:$L$34,$A10),OFFSET(استماع!$B$2,SMALL(IF(استماع!$C$3:$L$34=$A10,ROW($4:$35)-3),C$1),0),"")</f>
        <v/>
      </c>
      <c r="D10" s="140" t="str">
        <f t="array" aca="1" ref="D10" ca="1">IF(D$1&lt;=COUNTIF(استماع!$C$3:$L$34,$A10),OFFSET(استماع!$B$2,SMALL(IF(استماع!$C$3:$L$34=$A10,ROW($4:$35)-3),D$1),0),"")</f>
        <v/>
      </c>
      <c r="E10" s="138" t="str">
        <f t="array" aca="1" ref="E10" ca="1">IF(E$1&lt;=COUNTIF(استماع!$C$3:$L$34,$A10),OFFSET(استماع!$B$2,SMALL(IF(استماع!$C$3:$L$34=$A10,ROW($4:$35)-3),E$1),0),"")</f>
        <v/>
      </c>
      <c r="F10" s="140" t="str">
        <f t="array" aca="1" ref="F10" ca="1">IF(F$1&lt;=COUNTIF(استماع!$C$3:$L$34,$A10),OFFSET(استماع!$B$2,SMALL(IF(استماع!$C$3:$L$34=$A10,ROW($4:$35)-3),F$1),0),"")</f>
        <v/>
      </c>
      <c r="G10" s="263" t="str">
        <f ca="1">IF(COUNTBLANK($B11:$F11)=5,"/",IF(SUMPRODUCT(($R$2:$R$7=$B11:$F11)*($S$2:$S$7))=-1,"ضعيف",INDEX($R$4:$R$7,MATCH(SUMPRODUCT(($R$2:$R$7=$B11:$F11)*($S$2:$S$7)),$S$4:$S$7,0))))</f>
        <v>ممتاز</v>
      </c>
      <c r="H10" s="260">
        <f ca="1">IF(COUNTBLANK($B11:$F11)=5,"/",IF(SUMPRODUCT(($R$2:$R$7=$B11:$F11)*($S$2:$S$7))=-1,"ضعيف",INDEX($S$4:$S$7,MATCH(SUMPRODUCT(($R$2:$R$7=$B11:$F11)*($S$2:$S$7)),$S$4:$S$7,0))))</f>
        <v>3</v>
      </c>
      <c r="I10" s="175" t="s">
        <v>119</v>
      </c>
    </row>
    <row r="11" spans="1:19" ht="13.5" customHeight="1" thickTop="1" thickBot="1" x14ac:dyDescent="0.2">
      <c r="A11" s="292"/>
      <c r="B11" s="139" t="str">
        <f t="array" aca="1" ref="B11" ca="1">IF(B$1&lt;=COUNTIF(استماع!$C$3:$L$34,$A10),OFFSET(استماع!$B$2,MATCH(B10,استماع!$B$3:$B$34,0),SMALL(IF(OFFSET(استماع!$C$2:$L$2,MATCH(B10,استماع!$B$3:$B$34,0),0)=$A10,COLUMN($C:$L)-2),COUNTIF($B10:B10,B10))+1),"")</f>
        <v>ممتاز</v>
      </c>
      <c r="C11" s="141" t="str">
        <f t="array" aca="1" ref="C11" ca="1">IF(C$1&lt;=COUNTIF(استماع!$C$3:$L$34,$A10),OFFSET(استماع!$B$2,MATCH(C10,استماع!$B$3:$B$34,0),SMALL(IF(OFFSET(استماع!$C$2:$L$2,MATCH(C10,استماع!$B$3:$B$34,0),0)=$A10,COLUMN($C:$L)-2),COUNTIF($B10:C10,C10))+1),"")</f>
        <v/>
      </c>
      <c r="D11" s="139" t="str">
        <f t="array" aca="1" ref="D11" ca="1">IF(D$1&lt;=COUNTIF(استماع!$C$3:$L$34,$A10),OFFSET(استماع!$B$2,MATCH(D10,استماع!$B$3:$B$34,0),SMALL(IF(OFFSET(استماع!$C$2:$L$2,MATCH(D10,استماع!$B$3:$B$34,0),0)=$A10,COLUMN($C:$L)-2),COUNTIF($B10:D10,D10))+1),"")</f>
        <v/>
      </c>
      <c r="E11" s="141" t="str">
        <f t="array" aca="1" ref="E11" ca="1">IF(E$1&lt;=COUNTIF(استماع!$C$3:$L$34,$A10),OFFSET(استماع!$B$2,MATCH(E10,استماع!$B$3:$B$34,0),SMALL(IF(OFFSET(استماع!$C$2:$L$2,MATCH(E10,استماع!$B$3:$B$34,0),0)=$A10,COLUMN($C:$L)-2),COUNTIF($B10:E10,E10))+1),"")</f>
        <v/>
      </c>
      <c r="F11" s="139" t="str">
        <f t="array" aca="1" ref="F11" ca="1">IF(F$1&lt;=COUNTIF(استماع!$C$3:$L$34,$A10),OFFSET(استماع!$B$2,MATCH(F10,استماع!$B$3:$B$34,0),SMALL(IF(OFFSET(استماع!$C$2:$L$2,MATCH(F10,استماع!$B$3:$B$34,0),0)=$A10,COLUMN($C:$L)-2),COUNTIF($B10:F10,F10))+1),"")</f>
        <v/>
      </c>
      <c r="G11" s="264"/>
      <c r="H11" s="261"/>
      <c r="I11" s="157">
        <f ca="1">20/I9</f>
        <v>1.3333333333333333</v>
      </c>
    </row>
    <row r="12" spans="1:19" ht="13.5" customHeight="1" thickTop="1" thickBot="1" x14ac:dyDescent="0.25">
      <c r="A12" s="291">
        <v>36</v>
      </c>
      <c r="B12" s="140">
        <f t="array" aca="1" ref="B12" ca="1">IF(B$1&lt;=COUNTIF(استماع!$C$3:$L$34,$A12),OFFSET(استماع!$B$2,SMALL(IF(استماع!$C$3:$L$34=$A12,ROW($4:$35)-3),B$1),0),"")</f>
        <v>43629</v>
      </c>
      <c r="C12" s="138">
        <f t="array" aca="1" ref="C12" ca="1">IF(C$1&lt;=COUNTIF(استماع!$C$3:$L$34,$A12),OFFSET(استماع!$B$2,SMALL(IF(استماع!$C$3:$L$34=$A12,ROW($4:$35)-3),C$1),0),"")</f>
        <v>43632</v>
      </c>
      <c r="D12" s="140" t="str">
        <f t="array" aca="1" ref="D12" ca="1">IF(D$1&lt;=COUNTIF(استماع!$C$3:$L$34,$A12),OFFSET(استماع!$B$2,SMALL(IF(استماع!$C$3:$L$34=$A12,ROW($4:$35)-3),D$1),0),"")</f>
        <v/>
      </c>
      <c r="E12" s="138" t="str">
        <f t="array" aca="1" ref="E12" ca="1">IF(E$1&lt;=COUNTIF(استماع!$C$3:$L$34,$A12),OFFSET(استماع!$B$2,SMALL(IF(استماع!$C$3:$L$34=$A12,ROW($4:$35)-3),E$1),0),"")</f>
        <v/>
      </c>
      <c r="F12" s="140" t="str">
        <f t="array" aca="1" ref="F12" ca="1">IF(F$1&lt;=COUNTIF(استماع!$C$3:$L$34,$A12),OFFSET(استماع!$B$2,SMALL(IF(استماع!$C$3:$L$34=$A12,ROW($4:$35)-3),F$1),0),"")</f>
        <v/>
      </c>
      <c r="G12" s="263" t="str">
        <f ca="1">IF(COUNTBLANK($B13:$F13)=5,"/",IF(SUMPRODUCT(($R$2:$R$7=$B13:$F13)*($S$2:$S$7))=-1,"ضعيف",INDEX($R$4:$R$7,MATCH(SUMPRODUCT(($R$2:$R$7=$B13:$F13)*($S$2:$S$7)),$S$4:$S$7,0))))</f>
        <v>جيد</v>
      </c>
      <c r="H12" s="260">
        <f ca="1">IF(COUNTBLANK($B13:$F13)=5,"/",IF(SUMPRODUCT(($R$2:$R$7=$B13:$F13)*($S$2:$S$7))=-1,"ضعيف",INDEX($S$4:$S$7,MATCH(SUMPRODUCT(($R$2:$R$7=$B13:$F13)*($S$2:$S$7)),$S$4:$S$7,0))))</f>
        <v>1</v>
      </c>
      <c r="I12" s="175" t="s">
        <v>126</v>
      </c>
      <c r="J12" s="135"/>
    </row>
    <row r="13" spans="1:19" ht="13.5" customHeight="1" thickTop="1" thickBot="1" x14ac:dyDescent="0.2">
      <c r="A13" s="292"/>
      <c r="B13" s="139" t="str">
        <f t="array" aca="1" ref="B13" ca="1">IF(B$1&lt;=COUNTIF(استماع!$C$3:$L$34,$A12),OFFSET(استماع!$B$2,MATCH(B12,استماع!$B$3:$B$34,0),SMALL(IF(OFFSET(استماع!$C$2:$L$2,MATCH(B12,استماع!$B$3:$B$34,0),0)=$A12,COLUMN($C:$L)-2),COUNTIF($B12:B12,B12))+1),"")</f>
        <v>ضعيف</v>
      </c>
      <c r="C13" s="141" t="str">
        <f t="array" aca="1" ref="C13" ca="1">IF(C$1&lt;=COUNTIF(استماع!$C$3:$L$34,$A12),OFFSET(استماع!$B$2,MATCH(C12,استماع!$B$3:$B$34,0),SMALL(IF(OFFSET(استماع!$C$2:$L$2,MATCH(C12,استماع!$B$3:$B$34,0),0)=$A12,COLUMN($C:$L)-2),COUNTIF($B12:C12,C12))+1),"")</f>
        <v>جيد جداً</v>
      </c>
      <c r="D13" s="139" t="str">
        <f t="array" aca="1" ref="D13" ca="1">IF(D$1&lt;=COUNTIF(استماع!$C$3:$L$34,$A12),OFFSET(استماع!$B$2,MATCH(D12,استماع!$B$3:$B$34,0),SMALL(IF(OFFSET(استماع!$C$2:$L$2,MATCH(D12,استماع!$B$3:$B$34,0),0)=$A12,COLUMN($C:$L)-2),COUNTIF($B12:D12,D12))+1),"")</f>
        <v/>
      </c>
      <c r="E13" s="141" t="str">
        <f t="array" aca="1" ref="E13" ca="1">IF(E$1&lt;=COUNTIF(استماع!$C$3:$L$34,$A12),OFFSET(استماع!$B$2,MATCH(E12,استماع!$B$3:$B$34,0),SMALL(IF(OFFSET(استماع!$C$2:$L$2,MATCH(E12,استماع!$B$3:$B$34,0),0)=$A12,COLUMN($C:$L)-2),COUNTIF($B12:E12,E12))+1),"")</f>
        <v/>
      </c>
      <c r="F13" s="139" t="str">
        <f t="array" aca="1" ref="F13" ca="1">IF(F$1&lt;=COUNTIF(استماع!$C$3:$L$34,$A12),OFFSET(استماع!$B$2,MATCH(F12,استماع!$B$3:$B$34,0),SMALL(IF(OFFSET(استماع!$C$2:$L$2,MATCH(F12,استماع!$B$3:$B$34,0),0)=$A12,COLUMN($C:$L)-2),COUNTIF($B12:F12,F12))+1),"")</f>
        <v/>
      </c>
      <c r="G13" s="264"/>
      <c r="H13" s="261"/>
      <c r="I13" s="156">
        <f ca="1">SUM(H4:H43)</f>
        <v>32</v>
      </c>
    </row>
    <row r="14" spans="1:19" ht="13.5" customHeight="1" thickTop="1" thickBot="1" x14ac:dyDescent="0.2">
      <c r="A14" s="291">
        <v>37</v>
      </c>
      <c r="B14" s="140">
        <f t="array" aca="1" ref="B14" ca="1">IF(B$1&lt;=COUNTIF(استماع!$C$3:$L$34,$A14),OFFSET(استماع!$B$2,SMALL(IF(استماع!$C$3:$L$34=$A14,ROW($4:$35)-3),B$1),0),"")</f>
        <v>43632</v>
      </c>
      <c r="C14" s="138">
        <f t="array" aca="1" ref="C14" ca="1">IF(C$1&lt;=COUNTIF(استماع!$C$3:$L$34,$A14),OFFSET(استماع!$B$2,SMALL(IF(استماع!$C$3:$L$34=$A14,ROW($4:$35)-3),C$1),0),"")</f>
        <v>43633</v>
      </c>
      <c r="D14" s="140" t="str">
        <f t="array" aca="1" ref="D14" ca="1">IF(D$1&lt;=COUNTIF(استماع!$C$3:$L$34,$A14),OFFSET(استماع!$B$2,SMALL(IF(استماع!$C$3:$L$34=$A14,ROW($4:$35)-3),D$1),0),"")</f>
        <v/>
      </c>
      <c r="E14" s="138" t="str">
        <f t="array" aca="1" ref="E14" ca="1">IF(E$1&lt;=COUNTIF(استماع!$C$3:$L$34,$A14),OFFSET(استماع!$B$2,SMALL(IF(استماع!$C$3:$L$34=$A14,ROW($4:$35)-3),E$1),0),"")</f>
        <v/>
      </c>
      <c r="F14" s="140" t="str">
        <f t="array" aca="1" ref="F14" ca="1">IF(F$1&lt;=COUNTIF(استماع!$C$3:$L$34,$A14),OFFSET(استماع!$B$2,SMALL(IF(استماع!$C$3:$L$34=$A14,ROW($4:$35)-3),F$1),0),"")</f>
        <v/>
      </c>
      <c r="G14" s="263" t="str">
        <f ca="1">IF(COUNTBLANK($B15:$F15)=5,"/",IF(SUMPRODUCT(($R$2:$R$7=$B15:$F15)*($S$2:$S$7))=-1,"ضعيف",INDEX($R$4:$R$7,MATCH(SUMPRODUCT(($R$2:$R$7=$B15:$F15)*($S$2:$S$7)),$S$4:$S$7,0))))</f>
        <v>جيد</v>
      </c>
      <c r="H14" s="260">
        <f ca="1">IF(COUNTBLANK($B15:$F15)=5,"/",IF(SUMPRODUCT(($R$2:$R$7=$B15:$F15)*($S$2:$S$7))=-1,"ضعيف",INDEX($S$4:$S$7,MATCH(SUMPRODUCT(($R$2:$R$7=$B15:$F15)*($S$2:$S$7)),$S$4:$S$7,0))))</f>
        <v>1</v>
      </c>
      <c r="I14" s="175" t="s">
        <v>86</v>
      </c>
    </row>
    <row r="15" spans="1:19" ht="13.5" customHeight="1" thickTop="1" thickBot="1" x14ac:dyDescent="0.2">
      <c r="A15" s="292"/>
      <c r="B15" s="139" t="str">
        <f t="array" aca="1" ref="B15" ca="1">IF(B$1&lt;=COUNTIF(استماع!$C$3:$L$34,$A14),OFFSET(استماع!$B$2,MATCH(B14,استماع!$B$3:$B$34,0),SMALL(IF(OFFSET(استماع!$C$2:$L$2,MATCH(B14,استماع!$B$3:$B$34,0),0)=$A14,COLUMN($C:$L)-2),COUNTIF($B14:B14,B14))+1),"")</f>
        <v>ضعيف</v>
      </c>
      <c r="C15" s="141" t="str">
        <f t="array" aca="1" ref="C15" ca="1">IF(C$1&lt;=COUNTIF(استماع!$C$3:$L$34,$A14),OFFSET(استماع!$B$2,MATCH(C14,استماع!$B$3:$B$34,0),SMALL(IF(OFFSET(استماع!$C$2:$L$2,MATCH(C14,استماع!$B$3:$B$34,0),0)=$A14,COLUMN($C:$L)-2),COUNTIF($B14:C14,C14))+1),"")</f>
        <v>جيد جداً</v>
      </c>
      <c r="D15" s="139" t="str">
        <f t="array" aca="1" ref="D15" ca="1">IF(D$1&lt;=COUNTIF(استماع!$C$3:$L$34,$A14),OFFSET(استماع!$B$2,MATCH(D14,استماع!$B$3:$B$34,0),SMALL(IF(OFFSET(استماع!$C$2:$L$2,MATCH(D14,استماع!$B$3:$B$34,0),0)=$A14,COLUMN($C:$L)-2),COUNTIF($B14:D14,D14))+1),"")</f>
        <v/>
      </c>
      <c r="E15" s="141" t="str">
        <f t="array" aca="1" ref="E15" ca="1">IF(E$1&lt;=COUNTIF(استماع!$C$3:$L$34,$A14),OFFSET(استماع!$B$2,MATCH(E14,استماع!$B$3:$B$34,0),SMALL(IF(OFFSET(استماع!$C$2:$L$2,MATCH(E14,استماع!$B$3:$B$34,0),0)=$A14,COLUMN($C:$L)-2),COUNTIF($B14:E14,E14))+1),"")</f>
        <v/>
      </c>
      <c r="F15" s="139" t="str">
        <f t="array" aca="1" ref="F15" ca="1">IF(F$1&lt;=COUNTIF(استماع!$C$3:$L$34,$A14),OFFSET(استماع!$B$2,MATCH(F14,استماع!$B$3:$B$34,0),SMALL(IF(OFFSET(استماع!$C$2:$L$2,MATCH(F14,استماع!$B$3:$B$34,0),0)=$A14,COLUMN($C:$L)-2),COUNTIF($B14:F14,F14))+1),"")</f>
        <v/>
      </c>
      <c r="G15" s="264"/>
      <c r="H15" s="261"/>
      <c r="I15" s="157">
        <f ca="1">I13/20</f>
        <v>1.6</v>
      </c>
      <c r="K15" s="134"/>
    </row>
    <row r="16" spans="1:19" ht="13.5" customHeight="1" thickTop="1" thickBot="1" x14ac:dyDescent="0.2">
      <c r="A16" s="291">
        <v>38</v>
      </c>
      <c r="B16" s="140">
        <f t="array" aca="1" ref="B16" ca="1">IF(B$1&lt;=COUNTIF(استماع!$C$3:$L$34,$A16),OFFSET(استماع!$B$2,SMALL(IF(استماع!$C$3:$L$34=$A16,ROW($4:$35)-3),B$1),0),"")</f>
        <v>43633</v>
      </c>
      <c r="C16" s="138" t="str">
        <f t="array" aca="1" ref="C16" ca="1">IF(C$1&lt;=COUNTIF(استماع!$C$3:$L$34,$A16),OFFSET(استماع!$B$2,SMALL(IF(استماع!$C$3:$L$34=$A16,ROW($4:$35)-3),C$1),0),"")</f>
        <v/>
      </c>
      <c r="D16" s="140" t="str">
        <f t="array" aca="1" ref="D16" ca="1">IF(D$1&lt;=COUNTIF(استماع!$C$3:$L$34,$A16),OFFSET(استماع!$B$2,SMALL(IF(استماع!$C$3:$L$34=$A16,ROW($4:$35)-3),D$1),0),"")</f>
        <v/>
      </c>
      <c r="E16" s="138" t="str">
        <f t="array" aca="1" ref="E16" ca="1">IF(E$1&lt;=COUNTIF(استماع!$C$3:$L$34,$A16),OFFSET(استماع!$B$2,SMALL(IF(استماع!$C$3:$L$34=$A16,ROW($4:$35)-3),E$1),0),"")</f>
        <v/>
      </c>
      <c r="F16" s="140" t="str">
        <f t="array" aca="1" ref="F16" ca="1">IF(F$1&lt;=COUNTIF(استماع!$C$3:$L$34,$A16),OFFSET(استماع!$B$2,SMALL(IF(استماع!$C$3:$L$34=$A16,ROW($4:$35)-3),F$1),0),"")</f>
        <v/>
      </c>
      <c r="G16" s="263" t="str">
        <f ca="1">IF(COUNTBLANK($B17:$F17)=5,"/",IF(SUMPRODUCT(($R$2:$R$7=$B17:$F17)*($S$2:$S$7))=-1,"ضعيف",INDEX($R$4:$R$7,MATCH(SUMPRODUCT(($R$2:$R$7=$B17:$F17)*($S$2:$S$7)),$S$4:$S$7,0))))</f>
        <v>جيد</v>
      </c>
      <c r="H16" s="260">
        <f ca="1">IF(COUNTBLANK($B17:$F17)=5,"/",IF(SUMPRODUCT(($R$2:$R$7=$B17:$F17)*($S$2:$S$7))=-1,"ضعيف",INDEX($S$4:$S$7,MATCH(SUMPRODUCT(($R$2:$R$7=$B17:$F17)*($S$2:$S$7)),$S$4:$S$7,0))))</f>
        <v>1</v>
      </c>
      <c r="I16" s="175" t="s">
        <v>118</v>
      </c>
      <c r="K16" s="134"/>
    </row>
    <row r="17" spans="1:9" ht="13.5" customHeight="1" thickTop="1" thickBot="1" x14ac:dyDescent="0.2">
      <c r="A17" s="292"/>
      <c r="B17" s="139" t="str">
        <f t="array" aca="1" ref="B17" ca="1">IF(B$1&lt;=COUNTIF(استماع!$C$3:$L$34,$A16),OFFSET(استماع!$B$2,MATCH(B16,استماع!$B$3:$B$34,0),SMALL(IF(OFFSET(استماع!$C$2:$L$2,MATCH(B16,استماع!$B$3:$B$34,0),0)=$A16,COLUMN($C:$L)-2),COUNTIF($B16:B16,B16))+1),"")</f>
        <v>جيد</v>
      </c>
      <c r="C17" s="141" t="str">
        <f t="array" aca="1" ref="C17" ca="1">IF(C$1&lt;=COUNTIF(استماع!$C$3:$L$34,$A16),OFFSET(استماع!$B$2,MATCH(C16,استماع!$B$3:$B$34,0),SMALL(IF(OFFSET(استماع!$C$2:$L$2,MATCH(C16,استماع!$B$3:$B$34,0),0)=$A16,COLUMN($C:$L)-2),COUNTIF($B16:C16,C16))+1),"")</f>
        <v/>
      </c>
      <c r="D17" s="139" t="str">
        <f t="array" aca="1" ref="D17" ca="1">IF(D$1&lt;=COUNTIF(استماع!$C$3:$L$34,$A16),OFFSET(استماع!$B$2,MATCH(D16,استماع!$B$3:$B$34,0),SMALL(IF(OFFSET(استماع!$C$2:$L$2,MATCH(D16,استماع!$B$3:$B$34,0),0)=$A16,COLUMN($C:$L)-2),COUNTIF($B16:D16,D16))+1),"")</f>
        <v/>
      </c>
      <c r="E17" s="141" t="str">
        <f t="array" aca="1" ref="E17" ca="1">IF(E$1&lt;=COUNTIF(استماع!$C$3:$L$34,$A16),OFFSET(استماع!$B$2,MATCH(E16,استماع!$B$3:$B$34,0),SMALL(IF(OFFSET(استماع!$C$2:$L$2,MATCH(E16,استماع!$B$3:$B$34,0),0)=$A16,COLUMN($C:$L)-2),COUNTIF($B16:E16,E16))+1),"")</f>
        <v/>
      </c>
      <c r="F17" s="139" t="str">
        <f t="array" aca="1" ref="F17" ca="1">IF(F$1&lt;=COUNTIF(استماع!$C$3:$L$34,$A16),OFFSET(استماع!$B$2,MATCH(F16,استماع!$B$3:$B$34,0),SMALL(IF(OFFSET(استماع!$C$2:$L$2,MATCH(F16,استماع!$B$3:$B$34,0),0)=$A16,COLUMN($C:$L)-2),COUNTIF($B16:F16,F16))+1),"")</f>
        <v/>
      </c>
      <c r="G17" s="264"/>
      <c r="H17" s="261"/>
      <c r="I17" s="155">
        <v>43633</v>
      </c>
    </row>
    <row r="18" spans="1:9" ht="13.5" customHeight="1" thickTop="1" thickBot="1" x14ac:dyDescent="0.2">
      <c r="A18" s="291">
        <v>39</v>
      </c>
      <c r="B18" s="140">
        <f t="array" aca="1" ref="B18" ca="1">IF(B$1&lt;=COUNTIF(استماع!$C$3:$L$34,$A18),OFFSET(استماع!$B$2,SMALL(IF(استماع!$C$3:$L$34=$A18,ROW($4:$35)-3),B$1),0),"")</f>
        <v>43634</v>
      </c>
      <c r="C18" s="138" t="str">
        <f t="array" aca="1" ref="C18" ca="1">IF(C$1&lt;=COUNTIF(استماع!$C$3:$L$34,$A18),OFFSET(استماع!$B$2,SMALL(IF(استماع!$C$3:$L$34=$A18,ROW($4:$35)-3),C$1),0),"")</f>
        <v/>
      </c>
      <c r="D18" s="140" t="str">
        <f t="array" aca="1" ref="D18" ca="1">IF(D$1&lt;=COUNTIF(استماع!$C$3:$L$34,$A18),OFFSET(استماع!$B$2,SMALL(IF(استماع!$C$3:$L$34=$A18,ROW($4:$35)-3),D$1),0),"")</f>
        <v/>
      </c>
      <c r="E18" s="138" t="str">
        <f t="array" aca="1" ref="E18" ca="1">IF(E$1&lt;=COUNTIF(استماع!$C$3:$L$34,$A18),OFFSET(استماع!$B$2,SMALL(IF(استماع!$C$3:$L$34=$A18,ROW($4:$35)-3),E$1),0),"")</f>
        <v/>
      </c>
      <c r="F18" s="140" t="str">
        <f t="array" aca="1" ref="F18" ca="1">IF(F$1&lt;=COUNTIF(استماع!$C$3:$L$34,$A18),OFFSET(استماع!$B$2,SMALL(IF(استماع!$C$3:$L$34=$A18,ROW($4:$35)-3),F$1),0),"")</f>
        <v/>
      </c>
      <c r="G18" s="263" t="str">
        <f ca="1">IF(COUNTBLANK($B19:$F19)=5,"/",IF(SUMPRODUCT(($R$2:$R$7=$B19:$F19)*($S$2:$S$7))=-1,"ضعيف",INDEX($R$4:$R$7,MATCH(SUMPRODUCT(($R$2:$R$7=$B19:$F19)*($S$2:$S$7)),$S$4:$S$7,0))))</f>
        <v>ممتاز</v>
      </c>
      <c r="H18" s="260">
        <f ca="1">IF(COUNTBLANK($B19:$F19)=5,"/",IF(SUMPRODUCT(($R$2:$R$7=$B19:$F19)*($S$2:$S$7))=-1,"ضعيف",INDEX($S$4:$S$7,MATCH(SUMPRODUCT(($R$2:$R$7=$B19:$F19)*($S$2:$S$7)),$S$4:$S$7,0))))</f>
        <v>3</v>
      </c>
      <c r="I18" s="175" t="s">
        <v>127</v>
      </c>
    </row>
    <row r="19" spans="1:9" ht="13.5" customHeight="1" thickTop="1" thickBot="1" x14ac:dyDescent="0.2">
      <c r="A19" s="292"/>
      <c r="B19" s="139" t="str">
        <f t="array" aca="1" ref="B19" ca="1">IF(B$1&lt;=COUNTIF(استماع!$C$3:$L$34,$A18),OFFSET(استماع!$B$2,MATCH(B18,استماع!$B$3:$B$34,0),SMALL(IF(OFFSET(استماع!$C$2:$L$2,MATCH(B18,استماع!$B$3:$B$34,0),0)=$A18,COLUMN($C:$L)-2),COUNTIF($B18:B18,B18))+1),"")</f>
        <v>ممتاز</v>
      </c>
      <c r="C19" s="141" t="str">
        <f t="array" aca="1" ref="C19" ca="1">IF(C$1&lt;=COUNTIF(استماع!$C$3:$L$34,$A18),OFFSET(استماع!$B$2,MATCH(C18,استماع!$B$3:$B$34,0),SMALL(IF(OFFSET(استماع!$C$2:$L$2,MATCH(C18,استماع!$B$3:$B$34,0),0)=$A18,COLUMN($C:$L)-2),COUNTIF($B18:C18,C18))+1),"")</f>
        <v/>
      </c>
      <c r="D19" s="139" t="str">
        <f t="array" aca="1" ref="D19" ca="1">IF(D$1&lt;=COUNTIF(استماع!$C$3:$L$34,$A18),OFFSET(استماع!$B$2,MATCH(D18,استماع!$B$3:$B$34,0),SMALL(IF(OFFSET(استماع!$C$2:$L$2,MATCH(D18,استماع!$B$3:$B$34,0),0)=$A18,COLUMN($C:$L)-2),COUNTIF($B18:D18,D18))+1),"")</f>
        <v/>
      </c>
      <c r="E19" s="141" t="str">
        <f t="array" aca="1" ref="E19" ca="1">IF(E$1&lt;=COUNTIF(استماع!$C$3:$L$34,$A18),OFFSET(استماع!$B$2,MATCH(E18,استماع!$B$3:$B$34,0),SMALL(IF(OFFSET(استماع!$C$2:$L$2,MATCH(E18,استماع!$B$3:$B$34,0),0)=$A18,COLUMN($C:$L)-2),COUNTIF($B18:E18,E18))+1),"")</f>
        <v/>
      </c>
      <c r="F19" s="139" t="str">
        <f t="array" aca="1" ref="F19" ca="1">IF(F$1&lt;=COUNTIF(استماع!$C$3:$L$34,$A18),OFFSET(استماع!$B$2,MATCH(F18,استماع!$B$3:$B$34,0),SMALL(IF(OFFSET(استماع!$C$2:$L$2,MATCH(F18,استماع!$B$3:$B$34,0),0)=$A18,COLUMN($C:$L)-2),COUNTIF($B18:F18,F18))+1),"")</f>
        <v/>
      </c>
      <c r="G19" s="264"/>
      <c r="H19" s="261"/>
      <c r="I19" s="175" t="s">
        <v>140</v>
      </c>
    </row>
    <row r="20" spans="1:9" ht="13.5" customHeight="1" thickTop="1" thickBot="1" x14ac:dyDescent="0.2">
      <c r="A20" s="291">
        <v>40</v>
      </c>
      <c r="B20" s="140">
        <f t="array" aca="1" ref="B20" ca="1">IF(B$1&lt;=COUNTIF(استماع!$C$3:$L$34,$A20),OFFSET(استماع!$B$2,SMALL(IF(استماع!$C$3:$L$34=$A20,ROW($4:$35)-3),B$1),0),"")</f>
        <v>43634</v>
      </c>
      <c r="C20" s="138" t="str">
        <f t="array" aca="1" ref="C20" ca="1">IF(C$1&lt;=COUNTIF(استماع!$C$3:$L$34,$A20),OFFSET(استماع!$B$2,SMALL(IF(استماع!$C$3:$L$34=$A20,ROW($4:$35)-3),C$1),0),"")</f>
        <v/>
      </c>
      <c r="D20" s="140" t="str">
        <f t="array" aca="1" ref="D20" ca="1">IF(D$1&lt;=COUNTIF(استماع!$C$3:$L$34,$A20),OFFSET(استماع!$B$2,SMALL(IF(استماع!$C$3:$L$34=$A20,ROW($4:$35)-3),D$1),0),"")</f>
        <v/>
      </c>
      <c r="E20" s="138" t="str">
        <f t="array" aca="1" ref="E20" ca="1">IF(E$1&lt;=COUNTIF(استماع!$C$3:$L$34,$A20),OFFSET(استماع!$B$2,SMALL(IF(استماع!$C$3:$L$34=$A20,ROW($4:$35)-3),E$1),0),"")</f>
        <v/>
      </c>
      <c r="F20" s="140" t="str">
        <f t="array" aca="1" ref="F20" ca="1">IF(F$1&lt;=COUNTIF(استماع!$C$3:$L$34,$A20),OFFSET(استماع!$B$2,SMALL(IF(استماع!$C$3:$L$34=$A20,ROW($4:$35)-3),F$1),0),"")</f>
        <v/>
      </c>
      <c r="G20" s="263" t="str">
        <f ca="1">IF(COUNTBLANK($B21:$F21)=5,"/",IF(SUMPRODUCT(($R$2:$R$7=$B21:$F21)*($S$2:$S$7))=-1,"ضعيف",INDEX($R$4:$R$7,MATCH(SUMPRODUCT(($R$2:$R$7=$B21:$F21)*($S$2:$S$7)),$S$4:$S$7,0))))</f>
        <v>جيد</v>
      </c>
      <c r="H20" s="260">
        <f ca="1">IF(COUNTBLANK($B21:$F21)=5,"/",IF(SUMPRODUCT(($R$2:$R$7=$B21:$F21)*($S$2:$S$7))=-1,"ضعيف",INDEX($S$4:$S$7,MATCH(SUMPRODUCT(($R$2:$R$7=$B21:$F21)*($S$2:$S$7)),$S$4:$S$7,0))))</f>
        <v>1</v>
      </c>
      <c r="I20" s="175" t="s">
        <v>128</v>
      </c>
    </row>
    <row r="21" spans="1:9" ht="13.5" customHeight="1" thickTop="1" thickBot="1" x14ac:dyDescent="0.2">
      <c r="A21" s="292"/>
      <c r="B21" s="139" t="str">
        <f t="array" aca="1" ref="B21" ca="1">IF(B$1&lt;=COUNTIF(استماع!$C$3:$L$34,$A20),OFFSET(استماع!$B$2,MATCH(B20,استماع!$B$3:$B$34,0),SMALL(IF(OFFSET(استماع!$C$2:$L$2,MATCH(B20,استماع!$B$3:$B$34,0),0)=$A20,COLUMN($C:$L)-2),COUNTIF($B20:B20,B20))+1),"")</f>
        <v>جيد</v>
      </c>
      <c r="C21" s="141" t="str">
        <f t="array" aca="1" ref="C21" ca="1">IF(C$1&lt;=COUNTIF(استماع!$C$3:$L$34,$A20),OFFSET(استماع!$B$2,MATCH(C20,استماع!$B$3:$B$34,0),SMALL(IF(OFFSET(استماع!$C$2:$L$2,MATCH(C20,استماع!$B$3:$B$34,0),0)=$A20,COLUMN($C:$L)-2),COUNTIF($B20:C20,C20))+1),"")</f>
        <v/>
      </c>
      <c r="D21" s="139" t="str">
        <f t="array" aca="1" ref="D21" ca="1">IF(D$1&lt;=COUNTIF(استماع!$C$3:$L$34,$A20),OFFSET(استماع!$B$2,MATCH(D20,استماع!$B$3:$B$34,0),SMALL(IF(OFFSET(استماع!$C$2:$L$2,MATCH(D20,استماع!$B$3:$B$34,0),0)=$A20,COLUMN($C:$L)-2),COUNTIF($B20:D20,D20))+1),"")</f>
        <v/>
      </c>
      <c r="E21" s="141" t="str">
        <f t="array" aca="1" ref="E21" ca="1">IF(E$1&lt;=COUNTIF(استماع!$C$3:$L$34,$A20),OFFSET(استماع!$B$2,MATCH(E20,استماع!$B$3:$B$34,0),SMALL(IF(OFFSET(استماع!$C$2:$L$2,MATCH(E20,استماع!$B$3:$B$34,0),0)=$A20,COLUMN($C:$L)-2),COUNTIF($B20:E20,E20))+1),"")</f>
        <v/>
      </c>
      <c r="F21" s="139" t="str">
        <f t="array" aca="1" ref="F21" ca="1">IF(F$1&lt;=COUNTIF(استماع!$C$3:$L$34,$A20),OFFSET(استماع!$B$2,MATCH(F20,استماع!$B$3:$B$34,0),SMALL(IF(OFFSET(استماع!$C$2:$L$2,MATCH(F20,استماع!$B$3:$B$34,0),0)=$A20,COLUMN($C:$L)-2),COUNTIF($B20:F20,F20))+1),"")</f>
        <v/>
      </c>
      <c r="G21" s="264"/>
      <c r="H21" s="261"/>
      <c r="I21" s="175"/>
    </row>
    <row r="22" spans="1:9" ht="13.5" customHeight="1" thickTop="1" thickBot="1" x14ac:dyDescent="0.2">
      <c r="A22" s="291">
        <v>41</v>
      </c>
      <c r="B22" s="140">
        <f t="array" aca="1" ref="B22" ca="1">IF(B$1&lt;=COUNTIF(استماع!$C$3:$L$34,$A22),OFFSET(استماع!$B$2,SMALL(IF(استماع!$C$3:$L$34=$A22,ROW($4:$35)-3),B$1),0),"")</f>
        <v>43634</v>
      </c>
      <c r="C22" s="138" t="str">
        <f t="array" aca="1" ref="C22" ca="1">IF(C$1&lt;=COUNTIF(استماع!$C$3:$L$34,$A22),OFFSET(استماع!$B$2,SMALL(IF(استماع!$C$3:$L$34=$A22,ROW($4:$35)-3),C$1),0),"")</f>
        <v/>
      </c>
      <c r="D22" s="140" t="str">
        <f t="array" aca="1" ref="D22" ca="1">IF(D$1&lt;=COUNTIF(استماع!$C$3:$L$34,$A22),OFFSET(استماع!$B$2,SMALL(IF(استماع!$C$3:$L$34=$A22,ROW($4:$35)-3),D$1),0),"")</f>
        <v/>
      </c>
      <c r="E22" s="138" t="str">
        <f t="array" aca="1" ref="E22" ca="1">IF(E$1&lt;=COUNTIF(استماع!$C$3:$L$34,$A22),OFFSET(استماع!$B$2,SMALL(IF(استماع!$C$3:$L$34=$A22,ROW($4:$35)-3),E$1),0),"")</f>
        <v/>
      </c>
      <c r="F22" s="140" t="str">
        <f t="array" aca="1" ref="F22" ca="1">IF(F$1&lt;=COUNTIF(استماع!$C$3:$L$34,$A22),OFFSET(استماع!$B$2,SMALL(IF(استماع!$C$3:$L$34=$A22,ROW($4:$35)-3),F$1),0),"")</f>
        <v/>
      </c>
      <c r="G22" s="263" t="str">
        <f ca="1">IF(COUNTBLANK($B23:$F23)=5,"/",IF(SUMPRODUCT(($R$2:$R$7=$B23:$F23)*($S$2:$S$7))=-1,"ضعيف",INDEX($R$4:$R$7,MATCH(SUMPRODUCT(($R$2:$R$7=$B23:$F23)*($S$2:$S$7)),$S$4:$S$7,0))))</f>
        <v>جيد</v>
      </c>
      <c r="H22" s="260">
        <f ca="1">IF(COUNTBLANK($B23:$F23)=5,"/",IF(SUMPRODUCT(($R$2:$R$7=$B23:$F23)*($S$2:$S$7))=-1,"ضعيف",INDEX($S$4:$S$7,MATCH(SUMPRODUCT(($R$2:$R$7=$B23:$F23)*($S$2:$S$7)),$S$4:$S$7,0))))</f>
        <v>1</v>
      </c>
      <c r="I22" s="175" t="s">
        <v>129</v>
      </c>
    </row>
    <row r="23" spans="1:9" ht="13.5" customHeight="1" thickTop="1" thickBot="1" x14ac:dyDescent="0.2">
      <c r="A23" s="292"/>
      <c r="B23" s="139" t="str">
        <f t="array" aca="1" ref="B23" ca="1">IF(B$1&lt;=COUNTIF(استماع!$C$3:$L$34,$A22),OFFSET(استماع!$B$2,MATCH(B22,استماع!$B$3:$B$34,0),SMALL(IF(OFFSET(استماع!$C$2:$L$2,MATCH(B22,استماع!$B$3:$B$34,0),0)=$A22,COLUMN($C:$L)-2),COUNTIF($B22:B22,B22))+1),"")</f>
        <v>جيد</v>
      </c>
      <c r="C23" s="141" t="str">
        <f t="array" aca="1" ref="C23" ca="1">IF(C$1&lt;=COUNTIF(استماع!$C$3:$L$34,$A22),OFFSET(استماع!$B$2,MATCH(C22,استماع!$B$3:$B$34,0),SMALL(IF(OFFSET(استماع!$C$2:$L$2,MATCH(C22,استماع!$B$3:$B$34,0),0)=$A22,COLUMN($C:$L)-2),COUNTIF($B22:C22,C22))+1),"")</f>
        <v/>
      </c>
      <c r="D23" s="139" t="str">
        <f t="array" aca="1" ref="D23" ca="1">IF(D$1&lt;=COUNTIF(استماع!$C$3:$L$34,$A22),OFFSET(استماع!$B$2,MATCH(D22,استماع!$B$3:$B$34,0),SMALL(IF(OFFSET(استماع!$C$2:$L$2,MATCH(D22,استماع!$B$3:$B$34,0),0)=$A22,COLUMN($C:$L)-2),COUNTIF($B22:D22,D22))+1),"")</f>
        <v/>
      </c>
      <c r="E23" s="141" t="str">
        <f t="array" aca="1" ref="E23" ca="1">IF(E$1&lt;=COUNTIF(استماع!$C$3:$L$34,$A22),OFFSET(استماع!$B$2,MATCH(E22,استماع!$B$3:$B$34,0),SMALL(IF(OFFSET(استماع!$C$2:$L$2,MATCH(E22,استماع!$B$3:$B$34,0),0)=$A22,COLUMN($C:$L)-2),COUNTIF($B22:E22,E22))+1),"")</f>
        <v/>
      </c>
      <c r="F23" s="139" t="str">
        <f t="array" aca="1" ref="F23" ca="1">IF(F$1&lt;=COUNTIF(استماع!$C$3:$L$34,$A22),OFFSET(استماع!$B$2,MATCH(F22,استماع!$B$3:$B$34,0),SMALL(IF(OFFSET(استماع!$C$2:$L$2,MATCH(F22,استماع!$B$3:$B$34,0),0)=$A22,COLUMN($C:$L)-2),COUNTIF($B22:F22,F22))+1),"")</f>
        <v/>
      </c>
      <c r="G23" s="264"/>
      <c r="H23" s="261"/>
      <c r="I23" s="175"/>
    </row>
    <row r="24" spans="1:9" ht="13.5" customHeight="1" thickTop="1" thickBot="1" x14ac:dyDescent="0.2">
      <c r="A24" s="291">
        <v>42</v>
      </c>
      <c r="B24" s="140">
        <f t="array" aca="1" ref="B24" ca="1">IF(B$1&lt;=COUNTIF(استماع!$C$3:$L$34,$A24),OFFSET(استماع!$B$2,SMALL(IF(استماع!$C$3:$L$34=$A24,ROW($4:$35)-3),B$1),0),"")</f>
        <v>43638</v>
      </c>
      <c r="C24" s="138" t="str">
        <f t="array" aca="1" ref="C24" ca="1">IF(C$1&lt;=COUNTIF(استماع!$C$3:$L$34,$A24),OFFSET(استماع!$B$2,SMALL(IF(استماع!$C$3:$L$34=$A24,ROW($4:$35)-3),C$1),0),"")</f>
        <v/>
      </c>
      <c r="D24" s="140" t="str">
        <f t="array" aca="1" ref="D24" ca="1">IF(D$1&lt;=COUNTIF(استماع!$C$3:$L$34,$A24),OFFSET(استماع!$B$2,SMALL(IF(استماع!$C$3:$L$34=$A24,ROW($4:$35)-3),D$1),0),"")</f>
        <v/>
      </c>
      <c r="E24" s="138" t="str">
        <f t="array" aca="1" ref="E24" ca="1">IF(E$1&lt;=COUNTIF(استماع!$C$3:$L$34,$A24),OFFSET(استماع!$B$2,SMALL(IF(استماع!$C$3:$L$34=$A24,ROW($4:$35)-3),E$1),0),"")</f>
        <v/>
      </c>
      <c r="F24" s="140" t="str">
        <f t="array" aca="1" ref="F24" ca="1">IF(F$1&lt;=COUNTIF(استماع!$C$3:$L$34,$A24),OFFSET(استماع!$B$2,SMALL(IF(استماع!$C$3:$L$34=$A24,ROW($4:$35)-3),F$1),0),"")</f>
        <v/>
      </c>
      <c r="G24" s="263" t="str">
        <f ca="1">IF(COUNTBLANK($B25:$F25)=5,"/",IF(SUMPRODUCT(($R$2:$R$7=$B25:$F25)*($S$2:$S$7))=-1,"ضعيف",INDEX($R$4:$R$7,MATCH(SUMPRODUCT(($R$2:$R$7=$B25:$F25)*($S$2:$S$7)),$S$4:$S$7,0))))</f>
        <v>ممتاز</v>
      </c>
      <c r="H24" s="260">
        <f ca="1">IF(COUNTBLANK($B25:$F25)=5,"/",IF(SUMPRODUCT(($R$2:$R$7=$B25:$F25)*($S$2:$S$7))=-1,"ضعيف",INDEX($S$4:$S$7,MATCH(SUMPRODUCT(($R$2:$R$7=$B25:$F25)*($S$2:$S$7)),$S$4:$S$7,0))))</f>
        <v>3</v>
      </c>
      <c r="I24" s="175" t="s">
        <v>106</v>
      </c>
    </row>
    <row r="25" spans="1:9" ht="13.5" customHeight="1" thickTop="1" thickBot="1" x14ac:dyDescent="0.2">
      <c r="A25" s="292"/>
      <c r="B25" s="139" t="str">
        <f t="array" aca="1" ref="B25" ca="1">IF(B$1&lt;=COUNTIF(استماع!$C$3:$L$34,$A24),OFFSET(استماع!$B$2,MATCH(B24,استماع!$B$3:$B$34,0),SMALL(IF(OFFSET(استماع!$C$2:$L$2,MATCH(B24,استماع!$B$3:$B$34,0),0)=$A24,COLUMN($C:$L)-2),COUNTIF($B24:B24,B24))+1),"")</f>
        <v>ممتاز</v>
      </c>
      <c r="C25" s="141" t="str">
        <f t="array" aca="1" ref="C25" ca="1">IF(C$1&lt;=COUNTIF(استماع!$C$3:$L$34,$A24),OFFSET(استماع!$B$2,MATCH(C24,استماع!$B$3:$B$34,0),SMALL(IF(OFFSET(استماع!$C$2:$L$2,MATCH(C24,استماع!$B$3:$B$34,0),0)=$A24,COLUMN($C:$L)-2),COUNTIF($B24:C24,C24))+1),"")</f>
        <v/>
      </c>
      <c r="D25" s="139" t="str">
        <f t="array" aca="1" ref="D25" ca="1">IF(D$1&lt;=COUNTIF(استماع!$C$3:$L$34,$A24),OFFSET(استماع!$B$2,MATCH(D24,استماع!$B$3:$B$34,0),SMALL(IF(OFFSET(استماع!$C$2:$L$2,MATCH(D24,استماع!$B$3:$B$34,0),0)=$A24,COLUMN($C:$L)-2),COUNTIF($B24:D24,D24))+1),"")</f>
        <v/>
      </c>
      <c r="E25" s="141" t="str">
        <f t="array" aca="1" ref="E25" ca="1">IF(E$1&lt;=COUNTIF(استماع!$C$3:$L$34,$A24),OFFSET(استماع!$B$2,MATCH(E24,استماع!$B$3:$B$34,0),SMALL(IF(OFFSET(استماع!$C$2:$L$2,MATCH(E24,استماع!$B$3:$B$34,0),0)=$A24,COLUMN($C:$L)-2),COUNTIF($B24:E24,E24))+1),"")</f>
        <v/>
      </c>
      <c r="F25" s="139" t="str">
        <f t="array" aca="1" ref="F25" ca="1">IF(F$1&lt;=COUNTIF(استماع!$C$3:$L$34,$A24),OFFSET(استماع!$B$2,MATCH(F24,استماع!$B$3:$B$34,0),SMALL(IF(OFFSET(استماع!$C$2:$L$2,MATCH(F24,استماع!$B$3:$B$34,0),0)=$A24,COLUMN($C:$L)-2),COUNTIF($B24:F24,F24))+1),"")</f>
        <v/>
      </c>
      <c r="G25" s="264"/>
      <c r="H25" s="261"/>
      <c r="I25" s="175"/>
    </row>
    <row r="26" spans="1:9" ht="13.5" customHeight="1" thickTop="1" thickBot="1" x14ac:dyDescent="0.2">
      <c r="A26" s="291">
        <v>43</v>
      </c>
      <c r="B26" s="140">
        <f t="array" aca="1" ref="B26" ca="1">IF(B$1&lt;=COUNTIF(استماع!$C$3:$L$34,$A26),OFFSET(استماع!$B$2,SMALL(IF(استماع!$C$3:$L$34=$A26,ROW($4:$35)-3),B$1),0),"")</f>
        <v>43638</v>
      </c>
      <c r="C26" s="138" t="str">
        <f t="array" aca="1" ref="C26" ca="1">IF(C$1&lt;=COUNTIF(استماع!$C$3:$L$34,$A26),OFFSET(استماع!$B$2,SMALL(IF(استماع!$C$3:$L$34=$A26,ROW($4:$35)-3),C$1),0),"")</f>
        <v/>
      </c>
      <c r="D26" s="140" t="str">
        <f t="array" aca="1" ref="D26" ca="1">IF(D$1&lt;=COUNTIF(استماع!$C$3:$L$34,$A26),OFFSET(استماع!$B$2,SMALL(IF(استماع!$C$3:$L$34=$A26,ROW($4:$35)-3),D$1),0),"")</f>
        <v/>
      </c>
      <c r="E26" s="138" t="str">
        <f t="array" aca="1" ref="E26" ca="1">IF(E$1&lt;=COUNTIF(استماع!$C$3:$L$34,$A26),OFFSET(استماع!$B$2,SMALL(IF(استماع!$C$3:$L$34=$A26,ROW($4:$35)-3),E$1),0),"")</f>
        <v/>
      </c>
      <c r="F26" s="140" t="str">
        <f t="array" aca="1" ref="F26" ca="1">IF(F$1&lt;=COUNTIF(استماع!$C$3:$L$34,$A26),OFFSET(استماع!$B$2,SMALL(IF(استماع!$C$3:$L$34=$A26,ROW($4:$35)-3),F$1),0),"")</f>
        <v/>
      </c>
      <c r="G26" s="263" t="str">
        <f ca="1">IF(COUNTBLANK($B27:$F27)=5,"/",IF(SUMPRODUCT(($R$2:$R$7=$B27:$F27)*($S$2:$S$7))=-1,"ضعيف",INDEX($R$4:$R$7,MATCH(SUMPRODUCT(($R$2:$R$7=$B27:$F27)*($S$2:$S$7)),$S$4:$S$7,0))))</f>
        <v>ممتاز</v>
      </c>
      <c r="H26" s="260">
        <f ca="1">IF(COUNTBLANK($B27:$F27)=5,"/",IF(SUMPRODUCT(($R$2:$R$7=$B27:$F27)*($S$2:$S$7))=-1,"ضعيف",INDEX($S$4:$S$7,MATCH(SUMPRODUCT(($R$2:$R$7=$B27:$F27)*($S$2:$S$7)),$S$4:$S$7,0))))</f>
        <v>3</v>
      </c>
      <c r="I26" s="175" t="s">
        <v>117</v>
      </c>
    </row>
    <row r="27" spans="1:9" ht="13.5" customHeight="1" thickTop="1" thickBot="1" x14ac:dyDescent="0.2">
      <c r="A27" s="292"/>
      <c r="B27" s="139" t="str">
        <f t="array" aca="1" ref="B27" ca="1">IF(B$1&lt;=COUNTIF(استماع!$C$3:$L$34,$A26),OFFSET(استماع!$B$2,MATCH(B26,استماع!$B$3:$B$34,0),SMALL(IF(OFFSET(استماع!$C$2:$L$2,MATCH(B26,استماع!$B$3:$B$34,0),0)=$A26,COLUMN($C:$L)-2),COUNTIF($B26:B26,B26))+1),"")</f>
        <v>ممتاز</v>
      </c>
      <c r="C27" s="141" t="str">
        <f t="array" aca="1" ref="C27" ca="1">IF(C$1&lt;=COUNTIF(استماع!$C$3:$L$34,$A26),OFFSET(استماع!$B$2,MATCH(C26,استماع!$B$3:$B$34,0),SMALL(IF(OFFSET(استماع!$C$2:$L$2,MATCH(C26,استماع!$B$3:$B$34,0),0)=$A26,COLUMN($C:$L)-2),COUNTIF($B26:C26,C26))+1),"")</f>
        <v/>
      </c>
      <c r="D27" s="139" t="str">
        <f t="array" aca="1" ref="D27" ca="1">IF(D$1&lt;=COUNTIF(استماع!$C$3:$L$34,$A26),OFFSET(استماع!$B$2,MATCH(D26,استماع!$B$3:$B$34,0),SMALL(IF(OFFSET(استماع!$C$2:$L$2,MATCH(D26,استماع!$B$3:$B$34,0),0)=$A26,COLUMN($C:$L)-2),COUNTIF($B26:D26,D26))+1),"")</f>
        <v/>
      </c>
      <c r="E27" s="141" t="str">
        <f t="array" aca="1" ref="E27" ca="1">IF(E$1&lt;=COUNTIF(استماع!$C$3:$L$34,$A26),OFFSET(استماع!$B$2,MATCH(E26,استماع!$B$3:$B$34,0),SMALL(IF(OFFSET(استماع!$C$2:$L$2,MATCH(E26,استماع!$B$3:$B$34,0),0)=$A26,COLUMN($C:$L)-2),COUNTIF($B26:E26,E26))+1),"")</f>
        <v/>
      </c>
      <c r="F27" s="139" t="str">
        <f t="array" aca="1" ref="F27" ca="1">IF(F$1&lt;=COUNTIF(استماع!$C$3:$L$34,$A26),OFFSET(استماع!$B$2,MATCH(F26,استماع!$B$3:$B$34,0),SMALL(IF(OFFSET(استماع!$C$2:$L$2,MATCH(F26,استماع!$B$3:$B$34,0),0)=$A26,COLUMN($C:$L)-2),COUNTIF($B26:F26,F26))+1),"")</f>
        <v/>
      </c>
      <c r="G27" s="264"/>
      <c r="H27" s="261"/>
      <c r="I27" s="155">
        <v>43636</v>
      </c>
    </row>
    <row r="28" spans="1:9" ht="13.5" customHeight="1" thickTop="1" thickBot="1" x14ac:dyDescent="0.2">
      <c r="A28" s="291">
        <v>44</v>
      </c>
      <c r="B28" s="140">
        <f t="array" aca="1" ref="B28" ca="1">IF(B$1&lt;=COUNTIF(استماع!$C$3:$L$34,$A28),OFFSET(استماع!$B$2,SMALL(IF(استماع!$C$3:$L$34=$A28,ROW($4:$35)-3),B$1),0),"")</f>
        <v>43640</v>
      </c>
      <c r="C28" s="138">
        <f t="array" aca="1" ref="C28" ca="1">IF(C$1&lt;=COUNTIF(استماع!$C$3:$L$34,$A28),OFFSET(استماع!$B$2,SMALL(IF(استماع!$C$3:$L$34=$A28,ROW($4:$35)-3),C$1),0),"")</f>
        <v>43640</v>
      </c>
      <c r="D28" s="140" t="str">
        <f t="array" aca="1" ref="D28" ca="1">IF(D$1&lt;=COUNTIF(استماع!$C$3:$L$34,$A28),OFFSET(استماع!$B$2,SMALL(IF(استماع!$C$3:$L$34=$A28,ROW($4:$35)-3),D$1),0),"")</f>
        <v/>
      </c>
      <c r="E28" s="138" t="str">
        <f t="array" aca="1" ref="E28" ca="1">IF(E$1&lt;=COUNTIF(استماع!$C$3:$L$34,$A28),OFFSET(استماع!$B$2,SMALL(IF(استماع!$C$3:$L$34=$A28,ROW($4:$35)-3),E$1),0),"")</f>
        <v/>
      </c>
      <c r="F28" s="140" t="str">
        <f t="array" aca="1" ref="F28" ca="1">IF(F$1&lt;=COUNTIF(استماع!$C$3:$L$34,$A28),OFFSET(استماع!$B$2,SMALL(IF(استماع!$C$3:$L$34=$A28,ROW($4:$35)-3),F$1),0),"")</f>
        <v/>
      </c>
      <c r="G28" s="263" t="str">
        <f ca="1">IF(COUNTBLANK($B29:$F29)=5,"/",IF(SUMPRODUCT(($R$2:$R$7=$B29:$F29)*($S$2:$S$7))=-1,"ضعيف",INDEX($R$4:$R$7,MATCH(SUMPRODUCT(($R$2:$R$7=$B29:$F29)*($S$2:$S$7)),$S$4:$S$7,0))))</f>
        <v>جيد جداً</v>
      </c>
      <c r="H28" s="260">
        <f ca="1">IF(COUNTBLANK($B29:$F29)=5,"/",IF(SUMPRODUCT(($R$2:$R$7=$B29:$F29)*($S$2:$S$7))=-1,"ضعيف",INDEX($S$4:$S$7,MATCH(SUMPRODUCT(($R$2:$R$7=$B29:$F29)*($S$2:$S$7)),$S$4:$S$7,0))))</f>
        <v>2</v>
      </c>
      <c r="I28" s="175"/>
    </row>
    <row r="29" spans="1:9" ht="13.5" customHeight="1" thickTop="1" thickBot="1" x14ac:dyDescent="0.2">
      <c r="A29" s="292"/>
      <c r="B29" s="139" t="str">
        <f t="array" aca="1" ref="B29" ca="1">IF(B$1&lt;=COUNTIF(استماع!$C$3:$L$34,$A28),OFFSET(استماع!$B$2,MATCH(B28,استماع!$B$3:$B$34,0),SMALL(IF(OFFSET(استماع!$C$2:$L$2,MATCH(B28,استماع!$B$3:$B$34,0),0)=$A28,COLUMN($C:$L)-2),COUNTIF($B28:B28,B28))+1),"")</f>
        <v>ضعيف</v>
      </c>
      <c r="C29" s="141" t="str">
        <f t="array" aca="1" ref="C29" ca="1">IF(C$1&lt;=COUNTIF(استماع!$C$3:$L$34,$A28),OFFSET(استماع!$B$2,MATCH(C28,استماع!$B$3:$B$34,0),SMALL(IF(OFFSET(استماع!$C$2:$L$2,MATCH(C28,استماع!$B$3:$B$34,0),0)=$A28,COLUMN($C:$L)-2),COUNTIF($B28:C28,C28))+1),"")</f>
        <v>ممتاز</v>
      </c>
      <c r="D29" s="139" t="str">
        <f t="array" aca="1" ref="D29" ca="1">IF(D$1&lt;=COUNTIF(استماع!$C$3:$L$34,$A28),OFFSET(استماع!$B$2,MATCH(D28,استماع!$B$3:$B$34,0),SMALL(IF(OFFSET(استماع!$C$2:$L$2,MATCH(D28,استماع!$B$3:$B$34,0),0)=$A28,COLUMN($C:$L)-2),COUNTIF($B28:D28,D28))+1),"")</f>
        <v/>
      </c>
      <c r="E29" s="141" t="str">
        <f t="array" aca="1" ref="E29" ca="1">IF(E$1&lt;=COUNTIF(استماع!$C$3:$L$34,$A28),OFFSET(استماع!$B$2,MATCH(E28,استماع!$B$3:$B$34,0),SMALL(IF(OFFSET(استماع!$C$2:$L$2,MATCH(E28,استماع!$B$3:$B$34,0),0)=$A28,COLUMN($C:$L)-2),COUNTIF($B28:E28,E28))+1),"")</f>
        <v/>
      </c>
      <c r="F29" s="139" t="str">
        <f t="array" aca="1" ref="F29" ca="1">IF(F$1&lt;=COUNTIF(استماع!$C$3:$L$34,$A28),OFFSET(استماع!$B$2,MATCH(F28,استماع!$B$3:$B$34,0),SMALL(IF(OFFSET(استماع!$C$2:$L$2,MATCH(F28,استماع!$B$3:$B$34,0),0)=$A28,COLUMN($C:$L)-2),COUNTIF($B28:F28,F28))+1),"")</f>
        <v/>
      </c>
      <c r="G29" s="264"/>
      <c r="H29" s="261"/>
      <c r="I29" s="175"/>
    </row>
    <row r="30" spans="1:9" ht="13.5" customHeight="1" thickTop="1" thickBot="1" x14ac:dyDescent="0.2">
      <c r="A30" s="291">
        <v>45</v>
      </c>
      <c r="B30" s="140">
        <f t="array" aca="1" ref="B30" ca="1">IF(B$1&lt;=COUNTIF(استماع!$C$3:$L$34,$A30),OFFSET(استماع!$B$2,SMALL(IF(استماع!$C$3:$L$34=$A30,ROW($4:$35)-3),B$1),0),"")</f>
        <v>43640</v>
      </c>
      <c r="C30" s="138" t="str">
        <f t="array" aca="1" ref="C30" ca="1">IF(C$1&lt;=COUNTIF(استماع!$C$3:$L$34,$A30),OFFSET(استماع!$B$2,SMALL(IF(استماع!$C$3:$L$34=$A30,ROW($4:$35)-3),C$1),0),"")</f>
        <v/>
      </c>
      <c r="D30" s="140" t="str">
        <f t="array" aca="1" ref="D30" ca="1">IF(D$1&lt;=COUNTIF(استماع!$C$3:$L$34,$A30),OFFSET(استماع!$B$2,SMALL(IF(استماع!$C$3:$L$34=$A30,ROW($4:$35)-3),D$1),0),"")</f>
        <v/>
      </c>
      <c r="E30" s="138" t="str">
        <f t="array" aca="1" ref="E30" ca="1">IF(E$1&lt;=COUNTIF(استماع!$C$3:$L$34,$A30),OFFSET(استماع!$B$2,SMALL(IF(استماع!$C$3:$L$34=$A30,ROW($4:$35)-3),E$1),0),"")</f>
        <v/>
      </c>
      <c r="F30" s="140" t="str">
        <f t="array" aca="1" ref="F30" ca="1">IF(F$1&lt;=COUNTIF(استماع!$C$3:$L$34,$A30),OFFSET(استماع!$B$2,SMALL(IF(استماع!$C$3:$L$34=$A30,ROW($4:$35)-3),F$1),0),"")</f>
        <v/>
      </c>
      <c r="G30" s="263" t="str">
        <f ca="1">IF(COUNTBLANK($B31:$F31)=5,"/",IF(SUMPRODUCT(($R$2:$R$7=$B31:$F31)*($S$2:$S$7))=-1,"ضعيف",INDEX($R$4:$R$7,MATCH(SUMPRODUCT(($R$2:$R$7=$B31:$F31)*($S$2:$S$7)),$S$4:$S$7,0))))</f>
        <v>جيد جداً</v>
      </c>
      <c r="H30" s="260">
        <f ca="1">IF(COUNTBLANK($B31:$F31)=5,"/",IF(SUMPRODUCT(($R$2:$R$7=$B31:$F31)*($S$2:$S$7))=-1,"ضعيف",INDEX($S$4:$S$7,MATCH(SUMPRODUCT(($R$2:$R$7=$B31:$F31)*($S$2:$S$7)),$S$4:$S$7,0))))</f>
        <v>2</v>
      </c>
      <c r="I30" s="175"/>
    </row>
    <row r="31" spans="1:9" ht="13.5" customHeight="1" thickTop="1" thickBot="1" x14ac:dyDescent="0.2">
      <c r="A31" s="292"/>
      <c r="B31" s="139" t="str">
        <f t="array" aca="1" ref="B31" ca="1">IF(B$1&lt;=COUNTIF(استماع!$C$3:$L$34,$A30),OFFSET(استماع!$B$2,MATCH(B30,استماع!$B$3:$B$34,0),SMALL(IF(OFFSET(استماع!$C$2:$L$2,MATCH(B30,استماع!$B$3:$B$34,0),0)=$A30,COLUMN($C:$L)-2),COUNTIF($B30:B30,B30))+1),"")</f>
        <v>جيد جداً</v>
      </c>
      <c r="C31" s="141" t="str">
        <f t="array" aca="1" ref="C31" ca="1">IF(C$1&lt;=COUNTIF(استماع!$C$3:$L$34,$A30),OFFSET(استماع!$B$2,MATCH(C30,استماع!$B$3:$B$34,0),SMALL(IF(OFFSET(استماع!$C$2:$L$2,MATCH(C30,استماع!$B$3:$B$34,0),0)=$A30,COLUMN($C:$L)-2),COUNTIF($B30:C30,C30))+1),"")</f>
        <v/>
      </c>
      <c r="D31" s="139" t="str">
        <f t="array" aca="1" ref="D31" ca="1">IF(D$1&lt;=COUNTIF(استماع!$C$3:$L$34,$A30),OFFSET(استماع!$B$2,MATCH(D30,استماع!$B$3:$B$34,0),SMALL(IF(OFFSET(استماع!$C$2:$L$2,MATCH(D30,استماع!$B$3:$B$34,0),0)=$A30,COLUMN($C:$L)-2),COUNTIF($B30:D30,D30))+1),"")</f>
        <v/>
      </c>
      <c r="E31" s="141" t="str">
        <f t="array" aca="1" ref="E31" ca="1">IF(E$1&lt;=COUNTIF(استماع!$C$3:$L$34,$A30),OFFSET(استماع!$B$2,MATCH(E30,استماع!$B$3:$B$34,0),SMALL(IF(OFFSET(استماع!$C$2:$L$2,MATCH(E30,استماع!$B$3:$B$34,0),0)=$A30,COLUMN($C:$L)-2),COUNTIF($B30:E30,E30))+1),"")</f>
        <v/>
      </c>
      <c r="F31" s="139" t="str">
        <f t="array" aca="1" ref="F31" ca="1">IF(F$1&lt;=COUNTIF(استماع!$C$3:$L$34,$A30),OFFSET(استماع!$B$2,MATCH(F30,استماع!$B$3:$B$34,0),SMALL(IF(OFFSET(استماع!$C$2:$L$2,MATCH(F30,استماع!$B$3:$B$34,0),0)=$A30,COLUMN($C:$L)-2),COUNTIF($B30:F30,F30))+1),"")</f>
        <v/>
      </c>
      <c r="G31" s="264"/>
      <c r="H31" s="261"/>
      <c r="I31" s="175"/>
    </row>
    <row r="32" spans="1:9" ht="13.5" customHeight="1" thickTop="1" thickBot="1" x14ac:dyDescent="0.2">
      <c r="A32" s="291">
        <v>46</v>
      </c>
      <c r="B32" s="140">
        <f t="array" aca="1" ref="B32" ca="1">IF(B$1&lt;=COUNTIF(استماع!$C$3:$L$34,$A32),OFFSET(استماع!$B$2,SMALL(IF(استماع!$C$3:$L$34=$A32,ROW($4:$35)-3),B$1),0),"")</f>
        <v>43641</v>
      </c>
      <c r="C32" s="138" t="str">
        <f t="array" aca="1" ref="C32" ca="1">IF(C$1&lt;=COUNTIF(استماع!$C$3:$L$34,$A32),OFFSET(استماع!$B$2,SMALL(IF(استماع!$C$3:$L$34=$A32,ROW($4:$35)-3),C$1),0),"")</f>
        <v/>
      </c>
      <c r="D32" s="140" t="str">
        <f t="array" aca="1" ref="D32" ca="1">IF(D$1&lt;=COUNTIF(استماع!$C$3:$L$34,$A32),OFFSET(استماع!$B$2,SMALL(IF(استماع!$C$3:$L$34=$A32,ROW($4:$35)-3),D$1),0),"")</f>
        <v/>
      </c>
      <c r="E32" s="138" t="str">
        <f t="array" aca="1" ref="E32" ca="1">IF(E$1&lt;=COUNTIF(استماع!$C$3:$L$34,$A32),OFFSET(استماع!$B$2,SMALL(IF(استماع!$C$3:$L$34=$A32,ROW($4:$35)-3),E$1),0),"")</f>
        <v/>
      </c>
      <c r="F32" s="140" t="str">
        <f t="array" aca="1" ref="F32" ca="1">IF(F$1&lt;=COUNTIF(استماع!$C$3:$L$34,$A32),OFFSET(استماع!$B$2,SMALL(IF(استماع!$C$3:$L$34=$A32,ROW($4:$35)-3),F$1),0),"")</f>
        <v/>
      </c>
      <c r="G32" s="263" t="str">
        <f ca="1">IF(COUNTBLANK($B33:$F33)=5,"/",IF(SUMPRODUCT(($R$2:$R$7=$B33:$F33)*($S$2:$S$7))=-1,"ضعيف",INDEX($R$4:$R$7,MATCH(SUMPRODUCT(($R$2:$R$7=$B33:$F33)*($S$2:$S$7)),$S$4:$S$7,0))))</f>
        <v>ممتاز</v>
      </c>
      <c r="H32" s="260">
        <f ca="1">IF(COUNTBLANK($B33:$F33)=5,"/",IF(SUMPRODUCT(($R$2:$R$7=$B33:$F33)*($S$2:$S$7))=-1,"ضعيف",INDEX($S$4:$S$7,MATCH(SUMPRODUCT(($R$2:$R$7=$B33:$F33)*($S$2:$S$7)),$S$4:$S$7,0))))</f>
        <v>3</v>
      </c>
      <c r="I32" s="175"/>
    </row>
    <row r="33" spans="1:9" ht="13.5" customHeight="1" thickTop="1" thickBot="1" x14ac:dyDescent="0.2">
      <c r="A33" s="292"/>
      <c r="B33" s="139" t="str">
        <f t="array" aca="1" ref="B33" ca="1">IF(B$1&lt;=COUNTIF(استماع!$C$3:$L$34,$A32),OFFSET(استماع!$B$2,MATCH(B32,استماع!$B$3:$B$34,0),SMALL(IF(OFFSET(استماع!$C$2:$L$2,MATCH(B32,استماع!$B$3:$B$34,0),0)=$A32,COLUMN($C:$L)-2),COUNTIF($B32:B32,B32))+1),"")</f>
        <v>ممتاز</v>
      </c>
      <c r="C33" s="141" t="str">
        <f t="array" aca="1" ref="C33" ca="1">IF(C$1&lt;=COUNTIF(استماع!$C$3:$L$34,$A32),OFFSET(استماع!$B$2,MATCH(C32,استماع!$B$3:$B$34,0),SMALL(IF(OFFSET(استماع!$C$2:$L$2,MATCH(C32,استماع!$B$3:$B$34,0),0)=$A32,COLUMN($C:$L)-2),COUNTIF($B32:C32,C32))+1),"")</f>
        <v/>
      </c>
      <c r="D33" s="139" t="str">
        <f t="array" aca="1" ref="D33" ca="1">IF(D$1&lt;=COUNTIF(استماع!$C$3:$L$34,$A32),OFFSET(استماع!$B$2,MATCH(D32,استماع!$B$3:$B$34,0),SMALL(IF(OFFSET(استماع!$C$2:$L$2,MATCH(D32,استماع!$B$3:$B$34,0),0)=$A32,COLUMN($C:$L)-2),COUNTIF($B32:D32,D32))+1),"")</f>
        <v/>
      </c>
      <c r="E33" s="141" t="str">
        <f t="array" aca="1" ref="E33" ca="1">IF(E$1&lt;=COUNTIF(استماع!$C$3:$L$34,$A32),OFFSET(استماع!$B$2,MATCH(E32,استماع!$B$3:$B$34,0),SMALL(IF(OFFSET(استماع!$C$2:$L$2,MATCH(E32,استماع!$B$3:$B$34,0),0)=$A32,COLUMN($C:$L)-2),COUNTIF($B32:E32,E32))+1),"")</f>
        <v/>
      </c>
      <c r="F33" s="139" t="str">
        <f t="array" aca="1" ref="F33" ca="1">IF(F$1&lt;=COUNTIF(استماع!$C$3:$L$34,$A32),OFFSET(استماع!$B$2,MATCH(F32,استماع!$B$3:$B$34,0),SMALL(IF(OFFSET(استماع!$C$2:$L$2,MATCH(F32,استماع!$B$3:$B$34,0),0)=$A32,COLUMN($C:$L)-2),COUNTIF($B32:F32,F32))+1),"")</f>
        <v/>
      </c>
      <c r="G33" s="264"/>
      <c r="H33" s="261"/>
      <c r="I33" s="175"/>
    </row>
    <row r="34" spans="1:9" ht="13.5" customHeight="1" thickTop="1" thickBot="1" x14ac:dyDescent="0.2">
      <c r="A34" s="291">
        <v>47</v>
      </c>
      <c r="B34" s="140">
        <f t="array" aca="1" ref="B34" ca="1">IF(B$1&lt;=COUNTIF(استماع!$C$3:$L$34,$A34),OFFSET(استماع!$B$2,SMALL(IF(استماع!$C$3:$L$34=$A34,ROW($4:$35)-3),B$1),0),"")</f>
        <v>43641</v>
      </c>
      <c r="C34" s="138" t="str">
        <f t="array" aca="1" ref="C34" ca="1">IF(C$1&lt;=COUNTIF(استماع!$C$3:$L$34,$A34),OFFSET(استماع!$B$2,SMALL(IF(استماع!$C$3:$L$34=$A34,ROW($4:$35)-3),C$1),0),"")</f>
        <v/>
      </c>
      <c r="D34" s="140" t="str">
        <f t="array" aca="1" ref="D34" ca="1">IF(D$1&lt;=COUNTIF(استماع!$C$3:$L$34,$A34),OFFSET(استماع!$B$2,SMALL(IF(استماع!$C$3:$L$34=$A34,ROW($4:$35)-3),D$1),0),"")</f>
        <v/>
      </c>
      <c r="E34" s="138" t="str">
        <f t="array" aca="1" ref="E34" ca="1">IF(E$1&lt;=COUNTIF(استماع!$C$3:$L$34,$A34),OFFSET(استماع!$B$2,SMALL(IF(استماع!$C$3:$L$34=$A34,ROW($4:$35)-3),E$1),0),"")</f>
        <v/>
      </c>
      <c r="F34" s="140" t="str">
        <f t="array" aca="1" ref="F34" ca="1">IF(F$1&lt;=COUNTIF(استماع!$C$3:$L$34,$A34),OFFSET(استماع!$B$2,SMALL(IF(استماع!$C$3:$L$34=$A34,ROW($4:$35)-3),F$1),0),"")</f>
        <v/>
      </c>
      <c r="G34" s="263" t="str">
        <f ca="1">IF(COUNTBLANK($B35:$F35)=5,"/",IF(SUMPRODUCT(($R$2:$R$7=$B35:$F35)*($S$2:$S$7))=-1,"ضعيف",INDEX($R$4:$R$7,MATCH(SUMPRODUCT(($R$2:$R$7=$B35:$F35)*($S$2:$S$7)),$S$4:$S$7,0))))</f>
        <v>ممتاز</v>
      </c>
      <c r="H34" s="260">
        <f ca="1">IF(COUNTBLANK($B35:$F35)=5,"/",IF(SUMPRODUCT(($R$2:$R$7=$B35:$F35)*($S$2:$S$7))=-1,"ضعيف",INDEX($S$4:$S$7,MATCH(SUMPRODUCT(($R$2:$R$7=$B35:$F35)*($S$2:$S$7)),$S$4:$S$7,0))))</f>
        <v>3</v>
      </c>
      <c r="I34" s="175"/>
    </row>
    <row r="35" spans="1:9" ht="13.5" customHeight="1" thickTop="1" thickBot="1" x14ac:dyDescent="0.2">
      <c r="A35" s="292"/>
      <c r="B35" s="139" t="str">
        <f t="array" aca="1" ref="B35" ca="1">IF(B$1&lt;=COUNTIF(استماع!$C$3:$L$34,$A34),OFFSET(استماع!$B$2,MATCH(B34,استماع!$B$3:$B$34,0),SMALL(IF(OFFSET(استماع!$C$2:$L$2,MATCH(B34,استماع!$B$3:$B$34,0),0)=$A34,COLUMN($C:$L)-2),COUNTIF($B34:B34,B34))+1),"")</f>
        <v>ممتاز</v>
      </c>
      <c r="C35" s="141" t="str">
        <f t="array" aca="1" ref="C35" ca="1">IF(C$1&lt;=COUNTIF(استماع!$C$3:$L$34,$A34),OFFSET(استماع!$B$2,MATCH(C34,استماع!$B$3:$B$34,0),SMALL(IF(OFFSET(استماع!$C$2:$L$2,MATCH(C34,استماع!$B$3:$B$34,0),0)=$A34,COLUMN($C:$L)-2),COUNTIF($B34:C34,C34))+1),"")</f>
        <v/>
      </c>
      <c r="D35" s="139" t="str">
        <f t="array" aca="1" ref="D35" ca="1">IF(D$1&lt;=COUNTIF(استماع!$C$3:$L$34,$A34),OFFSET(استماع!$B$2,MATCH(D34,استماع!$B$3:$B$34,0),SMALL(IF(OFFSET(استماع!$C$2:$L$2,MATCH(D34,استماع!$B$3:$B$34,0),0)=$A34,COLUMN($C:$L)-2),COUNTIF($B34:D34,D34))+1),"")</f>
        <v/>
      </c>
      <c r="E35" s="141" t="str">
        <f t="array" aca="1" ref="E35" ca="1">IF(E$1&lt;=COUNTIF(استماع!$C$3:$L$34,$A34),OFFSET(استماع!$B$2,MATCH(E34,استماع!$B$3:$B$34,0),SMALL(IF(OFFSET(استماع!$C$2:$L$2,MATCH(E34,استماع!$B$3:$B$34,0),0)=$A34,COLUMN($C:$L)-2),COUNTIF($B34:E34,E34))+1),"")</f>
        <v/>
      </c>
      <c r="F35" s="139" t="str">
        <f t="array" aca="1" ref="F35" ca="1">IF(F$1&lt;=COUNTIF(استماع!$C$3:$L$34,$A34),OFFSET(استماع!$B$2,MATCH(F34,استماع!$B$3:$B$34,0),SMALL(IF(OFFSET(استماع!$C$2:$L$2,MATCH(F34,استماع!$B$3:$B$34,0),0)=$A34,COLUMN($C:$L)-2),COUNTIF($B34:F34,F34))+1),"")</f>
        <v/>
      </c>
      <c r="G35" s="264"/>
      <c r="H35" s="261"/>
      <c r="I35" s="175"/>
    </row>
    <row r="36" spans="1:9" ht="13.5" customHeight="1" thickTop="1" thickBot="1" x14ac:dyDescent="0.2">
      <c r="A36" s="291">
        <v>48</v>
      </c>
      <c r="B36" s="140">
        <f t="array" aca="1" ref="B36" ca="1">IF(B$1&lt;=COUNTIF(استماع!$C$3:$L$34,$A36),OFFSET(استماع!$B$2,SMALL(IF(استماع!$C$3:$L$34=$A36,ROW($4:$35)-3),B$1),0),"")</f>
        <v>43642</v>
      </c>
      <c r="C36" s="138" t="str">
        <f t="array" aca="1" ref="C36" ca="1">IF(C$1&lt;=COUNTIF(استماع!$C$3:$L$34,$A36),OFFSET(استماع!$B$2,SMALL(IF(استماع!$C$3:$L$34=$A36,ROW($4:$35)-3),C$1),0),"")</f>
        <v/>
      </c>
      <c r="D36" s="140" t="str">
        <f t="array" aca="1" ref="D36" ca="1">IF(D$1&lt;=COUNTIF(استماع!$C$3:$L$34,$A36),OFFSET(استماع!$B$2,SMALL(IF(استماع!$C$3:$L$34=$A36,ROW($4:$35)-3),D$1),0),"")</f>
        <v/>
      </c>
      <c r="E36" s="138" t="str">
        <f t="array" aca="1" ref="E36" ca="1">IF(E$1&lt;=COUNTIF(استماع!$C$3:$L$34,$A36),OFFSET(استماع!$B$2,SMALL(IF(استماع!$C$3:$L$34=$A36,ROW($4:$35)-3),E$1),0),"")</f>
        <v/>
      </c>
      <c r="F36" s="140" t="str">
        <f t="array" aca="1" ref="F36" ca="1">IF(F$1&lt;=COUNTIF(استماع!$C$3:$L$34,$A36),OFFSET(استماع!$B$2,SMALL(IF(استماع!$C$3:$L$34=$A36,ROW($4:$35)-3),F$1),0),"")</f>
        <v/>
      </c>
      <c r="G36" s="263" t="str">
        <f ca="1">IF(COUNTBLANK($B37:$F37)=5,"/",IF(SUMPRODUCT(($R$2:$R$7=$B37:$F37)*($S$2:$S$7))=-1,"ضعيف",INDEX($R$4:$R$7,MATCH(SUMPRODUCT(($R$2:$R$7=$B37:$F37)*($S$2:$S$7)),$S$4:$S$7,0))))</f>
        <v>ضعيف</v>
      </c>
      <c r="H36" s="260" t="str">
        <f ca="1">IF(COUNTBLANK($B37:$F37)=5,"/",IF(SUMPRODUCT(($R$2:$R$7=$B37:$F37)*($S$2:$S$7))=-1,"ضعيف",INDEX($S$4:$S$7,MATCH(SUMPRODUCT(($R$2:$R$7=$B37:$F37)*($S$2:$S$7)),$S$4:$S$7,0))))</f>
        <v>ضعيف</v>
      </c>
      <c r="I36" s="175"/>
    </row>
    <row r="37" spans="1:9" ht="13.5" customHeight="1" thickTop="1" thickBot="1" x14ac:dyDescent="0.2">
      <c r="A37" s="292"/>
      <c r="B37" s="139" t="str">
        <f t="array" aca="1" ref="B37" ca="1">IF(B$1&lt;=COUNTIF(استماع!$C$3:$L$34,$A36),OFFSET(استماع!$B$2,MATCH(B36,استماع!$B$3:$B$34,0),SMALL(IF(OFFSET(استماع!$C$2:$L$2,MATCH(B36,استماع!$B$3:$B$34,0),0)=$A36,COLUMN($C:$L)-2),COUNTIF($B36:B36,B36))+1),"")</f>
        <v>ضعيف</v>
      </c>
      <c r="C37" s="141" t="str">
        <f t="array" aca="1" ref="C37" ca="1">IF(C$1&lt;=COUNTIF(استماع!$C$3:$L$34,$A36),OFFSET(استماع!$B$2,MATCH(C36,استماع!$B$3:$B$34,0),SMALL(IF(OFFSET(استماع!$C$2:$L$2,MATCH(C36,استماع!$B$3:$B$34,0),0)=$A36,COLUMN($C:$L)-2),COUNTIF($B36:C36,C36))+1),"")</f>
        <v/>
      </c>
      <c r="D37" s="139" t="str">
        <f t="array" aca="1" ref="D37" ca="1">IF(D$1&lt;=COUNTIF(استماع!$C$3:$L$34,$A36),OFFSET(استماع!$B$2,MATCH(D36,استماع!$B$3:$B$34,0),SMALL(IF(OFFSET(استماع!$C$2:$L$2,MATCH(D36,استماع!$B$3:$B$34,0),0)=$A36,COLUMN($C:$L)-2),COUNTIF($B36:D36,D36))+1),"")</f>
        <v/>
      </c>
      <c r="E37" s="141" t="str">
        <f t="array" aca="1" ref="E37" ca="1">IF(E$1&lt;=COUNTIF(استماع!$C$3:$L$34,$A36),OFFSET(استماع!$B$2,MATCH(E36,استماع!$B$3:$B$34,0),SMALL(IF(OFFSET(استماع!$C$2:$L$2,MATCH(E36,استماع!$B$3:$B$34,0),0)=$A36,COLUMN($C:$L)-2),COUNTIF($B36:E36,E36))+1),"")</f>
        <v/>
      </c>
      <c r="F37" s="139" t="str">
        <f t="array" aca="1" ref="F37" ca="1">IF(F$1&lt;=COUNTIF(استماع!$C$3:$L$34,$A36),OFFSET(استماع!$B$2,MATCH(F36,استماع!$B$3:$B$34,0),SMALL(IF(OFFSET(استماع!$C$2:$L$2,MATCH(F36,استماع!$B$3:$B$34,0),0)=$A36,COLUMN($C:$L)-2),COUNTIF($B36:F36,F36))+1),"")</f>
        <v/>
      </c>
      <c r="G37" s="264"/>
      <c r="H37" s="261"/>
      <c r="I37" s="175"/>
    </row>
    <row r="38" spans="1:9" ht="13.5" customHeight="1" thickTop="1" thickBot="1" x14ac:dyDescent="0.2">
      <c r="A38" s="291">
        <v>49</v>
      </c>
      <c r="B38" s="140" t="str">
        <f t="array" aca="1" ref="B38" ca="1">IF(B$1&lt;=COUNTIF(استماع!$C$3:$L$34,$A38),OFFSET(استماع!$B$2,SMALL(IF(استماع!$C$3:$L$34=$A38,ROW($4:$35)-3),B$1),0),"")</f>
        <v/>
      </c>
      <c r="C38" s="138" t="str">
        <f t="array" aca="1" ref="C38" ca="1">IF(C$1&lt;=COUNTIF(استماع!$C$3:$L$34,$A38),OFFSET(استماع!$B$2,SMALL(IF(استماع!$C$3:$L$34=$A38,ROW($4:$35)-3),C$1),0),"")</f>
        <v/>
      </c>
      <c r="D38" s="140" t="str">
        <f t="array" aca="1" ref="D38" ca="1">IF(D$1&lt;=COUNTIF(استماع!$C$3:$L$34,$A38),OFFSET(استماع!$B$2,SMALL(IF(استماع!$C$3:$L$34=$A38,ROW($4:$35)-3),D$1),0),"")</f>
        <v/>
      </c>
      <c r="E38" s="138" t="str">
        <f t="array" aca="1" ref="E38" ca="1">IF(E$1&lt;=COUNTIF(استماع!$C$3:$L$34,$A38),OFFSET(استماع!$B$2,SMALL(IF(استماع!$C$3:$L$34=$A38,ROW($4:$35)-3),E$1),0),"")</f>
        <v/>
      </c>
      <c r="F38" s="140" t="str">
        <f t="array" aca="1" ref="F38" ca="1">IF(F$1&lt;=COUNTIF(استماع!$C$3:$L$34,$A38),OFFSET(استماع!$B$2,SMALL(IF(استماع!$C$3:$L$34=$A38,ROW($4:$35)-3),F$1),0),"")</f>
        <v/>
      </c>
      <c r="G38" s="263" t="str">
        <f ca="1">IF(COUNTBLANK($B39:$F39)=5,"/",IF(SUMPRODUCT(($R$2:$R$7=$B39:$F39)*($S$2:$S$7))=-1,"ضعيف",INDEX($R$4:$R$7,MATCH(SUMPRODUCT(($R$2:$R$7=$B39:$F39)*($S$2:$S$7)),$S$4:$S$7,0))))</f>
        <v>/</v>
      </c>
      <c r="H38" s="260" t="str">
        <f ca="1">IF(COUNTBLANK($B39:$F39)=5,"/",IF(SUMPRODUCT(($R$2:$R$7=$B39:$F39)*($S$2:$S$7))=-1,"ضعيف",INDEX($S$4:$S$7,MATCH(SUMPRODUCT(($R$2:$R$7=$B39:$F39)*($S$2:$S$7)),$S$4:$S$7,0))))</f>
        <v>/</v>
      </c>
      <c r="I38" s="175"/>
    </row>
    <row r="39" spans="1:9" ht="13.5" customHeight="1" thickTop="1" thickBot="1" x14ac:dyDescent="0.2">
      <c r="A39" s="292"/>
      <c r="B39" s="139" t="str">
        <f t="array" aca="1" ref="B39" ca="1">IF(B$1&lt;=COUNTIF(استماع!$C$3:$L$34,$A38),OFFSET(استماع!$B$2,MATCH(B38,استماع!$B$3:$B$34,0),SMALL(IF(OFFSET(استماع!$C$2:$L$2,MATCH(B38,استماع!$B$3:$B$34,0),0)=$A38,COLUMN($C:$L)-2),COUNTIF($B38:B38,B38))+1),"")</f>
        <v/>
      </c>
      <c r="C39" s="141" t="str">
        <f t="array" aca="1" ref="C39" ca="1">IF(C$1&lt;=COUNTIF(استماع!$C$3:$L$34,$A38),OFFSET(استماع!$B$2,MATCH(C38,استماع!$B$3:$B$34,0),SMALL(IF(OFFSET(استماع!$C$2:$L$2,MATCH(C38,استماع!$B$3:$B$34,0),0)=$A38,COLUMN($C:$L)-2),COUNTIF($B38:C38,C38))+1),"")</f>
        <v/>
      </c>
      <c r="D39" s="139" t="str">
        <f t="array" aca="1" ref="D39" ca="1">IF(D$1&lt;=COUNTIF(استماع!$C$3:$L$34,$A38),OFFSET(استماع!$B$2,MATCH(D38,استماع!$B$3:$B$34,0),SMALL(IF(OFFSET(استماع!$C$2:$L$2,MATCH(D38,استماع!$B$3:$B$34,0),0)=$A38,COLUMN($C:$L)-2),COUNTIF($B38:D38,D38))+1),"")</f>
        <v/>
      </c>
      <c r="E39" s="141" t="str">
        <f t="array" aca="1" ref="E39" ca="1">IF(E$1&lt;=COUNTIF(استماع!$C$3:$L$34,$A38),OFFSET(استماع!$B$2,MATCH(E38,استماع!$B$3:$B$34,0),SMALL(IF(OFFSET(استماع!$C$2:$L$2,MATCH(E38,استماع!$B$3:$B$34,0),0)=$A38,COLUMN($C:$L)-2),COUNTIF($B38:E38,E38))+1),"")</f>
        <v/>
      </c>
      <c r="F39" s="139" t="str">
        <f t="array" aca="1" ref="F39" ca="1">IF(F$1&lt;=COUNTIF(استماع!$C$3:$L$34,$A38),OFFSET(استماع!$B$2,MATCH(F38,استماع!$B$3:$B$34,0),SMALL(IF(OFFSET(استماع!$C$2:$L$2,MATCH(F38,استماع!$B$3:$B$34,0),0)=$A38,COLUMN($C:$L)-2),COUNTIF($B38:F38,F38))+1),"")</f>
        <v/>
      </c>
      <c r="G39" s="264"/>
      <c r="H39" s="261"/>
      <c r="I39" s="175"/>
    </row>
    <row r="40" spans="1:9" ht="13.5" customHeight="1" thickTop="1" thickBot="1" x14ac:dyDescent="0.2">
      <c r="A40" s="291">
        <v>50</v>
      </c>
      <c r="B40" s="140" t="str">
        <f t="array" aca="1" ref="B40" ca="1">IF(B$1&lt;=COUNTIF(استماع!$C$3:$L$34,$A40),OFFSET(استماع!$B$2,SMALL(IF(استماع!$C$3:$L$34=$A40,ROW($4:$35)-3),B$1),0),"")</f>
        <v/>
      </c>
      <c r="C40" s="138" t="str">
        <f t="array" aca="1" ref="C40" ca="1">IF(C$1&lt;=COUNTIF(استماع!$C$3:$L$34,$A40),OFFSET(استماع!$B$2,SMALL(IF(استماع!$C$3:$L$34=$A40,ROW($4:$35)-3),C$1),0),"")</f>
        <v/>
      </c>
      <c r="D40" s="140" t="str">
        <f t="array" aca="1" ref="D40" ca="1">IF(D$1&lt;=COUNTIF(استماع!$C$3:$L$34,$A40),OFFSET(استماع!$B$2,SMALL(IF(استماع!$C$3:$L$34=$A40,ROW($4:$35)-3),D$1),0),"")</f>
        <v/>
      </c>
      <c r="E40" s="138" t="str">
        <f t="array" aca="1" ref="E40" ca="1">IF(E$1&lt;=COUNTIF(استماع!$C$3:$L$34,$A40),OFFSET(استماع!$B$2,SMALL(IF(استماع!$C$3:$L$34=$A40,ROW($4:$35)-3),E$1),0),"")</f>
        <v/>
      </c>
      <c r="F40" s="140" t="str">
        <f t="array" aca="1" ref="F40" ca="1">IF(F$1&lt;=COUNTIF(استماع!$C$3:$L$34,$A40),OFFSET(استماع!$B$2,SMALL(IF(استماع!$C$3:$L$34=$A40,ROW($4:$35)-3),F$1),0),"")</f>
        <v/>
      </c>
      <c r="G40" s="263" t="str">
        <f ca="1">IF(COUNTBLANK($B41:$F41)=5,"/",IF(SUMPRODUCT(($R$2:$R$7=$B41:$F41)*($S$2:$S$7))=-1,"ضعيف",INDEX($R$4:$R$7,MATCH(SUMPRODUCT(($R$2:$R$7=$B41:$F41)*($S$2:$S$7)),$S$4:$S$7,0))))</f>
        <v>/</v>
      </c>
      <c r="H40" s="260" t="str">
        <f ca="1">IF(COUNTBLANK($B41:$F41)=5,"/",IF(SUMPRODUCT(($R$2:$R$7=$B41:$F41)*($S$2:$S$7))=-1,"ضعيف",INDEX($S$4:$S$7,MATCH(SUMPRODUCT(($R$2:$R$7=$B41:$F41)*($S$2:$S$7)),$S$4:$S$7,0))))</f>
        <v>/</v>
      </c>
      <c r="I40" s="175"/>
    </row>
    <row r="41" spans="1:9" ht="13.5" customHeight="1" thickTop="1" thickBot="1" x14ac:dyDescent="0.2">
      <c r="A41" s="292"/>
      <c r="B41" s="139" t="str">
        <f t="array" aca="1" ref="B41" ca="1">IF(B$1&lt;=COUNTIF(استماع!$C$3:$L$34,$A40),OFFSET(استماع!$B$2,MATCH(B40,استماع!$B$3:$B$34,0),SMALL(IF(OFFSET(استماع!$C$2:$L$2,MATCH(B40,استماع!$B$3:$B$34,0),0)=$A40,COLUMN($C:$L)-2),COUNTIF($B40:B40,B40))+1),"")</f>
        <v/>
      </c>
      <c r="C41" s="141" t="str">
        <f t="array" aca="1" ref="C41" ca="1">IF(C$1&lt;=COUNTIF(استماع!$C$3:$L$34,$A40),OFFSET(استماع!$B$2,MATCH(C40,استماع!$B$3:$B$34,0),SMALL(IF(OFFSET(استماع!$C$2:$L$2,MATCH(C40,استماع!$B$3:$B$34,0),0)=$A40,COLUMN($C:$L)-2),COUNTIF($B40:C40,C40))+1),"")</f>
        <v/>
      </c>
      <c r="D41" s="139" t="str">
        <f t="array" aca="1" ref="D41" ca="1">IF(D$1&lt;=COUNTIF(استماع!$C$3:$L$34,$A40),OFFSET(استماع!$B$2,MATCH(D40,استماع!$B$3:$B$34,0),SMALL(IF(OFFSET(استماع!$C$2:$L$2,MATCH(D40,استماع!$B$3:$B$34,0),0)=$A40,COLUMN($C:$L)-2),COUNTIF($B40:D40,D40))+1),"")</f>
        <v/>
      </c>
      <c r="E41" s="141" t="str">
        <f t="array" aca="1" ref="E41" ca="1">IF(E$1&lt;=COUNTIF(استماع!$C$3:$L$34,$A40),OFFSET(استماع!$B$2,MATCH(E40,استماع!$B$3:$B$34,0),SMALL(IF(OFFSET(استماع!$C$2:$L$2,MATCH(E40,استماع!$B$3:$B$34,0),0)=$A40,COLUMN($C:$L)-2),COUNTIF($B40:E40,E40))+1),"")</f>
        <v/>
      </c>
      <c r="F41" s="139" t="str">
        <f t="array" aca="1" ref="F41" ca="1">IF(F$1&lt;=COUNTIF(استماع!$C$3:$L$34,$A40),OFFSET(استماع!$B$2,MATCH(F40,استماع!$B$3:$B$34,0),SMALL(IF(OFFSET(استماع!$C$2:$L$2,MATCH(F40,استماع!$B$3:$B$34,0),0)=$A40,COLUMN($C:$L)-2),COUNTIF($B40:F40,F40))+1),"")</f>
        <v/>
      </c>
      <c r="G41" s="264"/>
      <c r="H41" s="261"/>
      <c r="I41" s="175"/>
    </row>
    <row r="42" spans="1:9" ht="13.5" customHeight="1" thickTop="1" thickBot="1" x14ac:dyDescent="0.2">
      <c r="A42" s="291">
        <v>51</v>
      </c>
      <c r="B42" s="140" t="str">
        <f t="array" aca="1" ref="B42" ca="1">IF(B$1&lt;=COUNTIF(استماع!$C$3:$L$34,$A42),OFFSET(استماع!$B$2,SMALL(IF(استماع!$C$3:$L$34=$A42,ROW($4:$35)-3),B$1),0),"")</f>
        <v/>
      </c>
      <c r="C42" s="138" t="str">
        <f t="array" aca="1" ref="C42" ca="1">IF(C$1&lt;=COUNTIF(استماع!$C$3:$L$34,$A42),OFFSET(استماع!$B$2,SMALL(IF(استماع!$C$3:$L$34=$A42,ROW($4:$35)-3),C$1),0),"")</f>
        <v/>
      </c>
      <c r="D42" s="140" t="str">
        <f t="array" aca="1" ref="D42" ca="1">IF(D$1&lt;=COUNTIF(استماع!$C$3:$L$34,$A42),OFFSET(استماع!$B$2,SMALL(IF(استماع!$C$3:$L$34=$A42,ROW($4:$35)-3),D$1),0),"")</f>
        <v/>
      </c>
      <c r="E42" s="138" t="str">
        <f t="array" aca="1" ref="E42" ca="1">IF(E$1&lt;=COUNTIF(استماع!$C$3:$L$34,$A42),OFFSET(استماع!$B$2,SMALL(IF(استماع!$C$3:$L$34=$A42,ROW($4:$35)-3),E$1),0),"")</f>
        <v/>
      </c>
      <c r="F42" s="140" t="str">
        <f t="array" aca="1" ref="F42" ca="1">IF(F$1&lt;=COUNTIF(استماع!$C$3:$L$34,$A42),OFFSET(استماع!$B$2,SMALL(IF(استماع!$C$3:$L$34=$A42,ROW($4:$35)-3),F$1),0),"")</f>
        <v/>
      </c>
      <c r="G42" s="263" t="str">
        <f ca="1">IF(COUNTBLANK($B43:$F43)=5,"/",IF(SUMPRODUCT(($R$2:$R$7=$B43:$F43)*($S$2:$S$7))=-1,"ضعيف",INDEX($R$4:$R$7,MATCH(SUMPRODUCT(($R$2:$R$7=$B43:$F43)*($S$2:$S$7)),$S$4:$S$7,0))))</f>
        <v>/</v>
      </c>
      <c r="H42" s="260" t="str">
        <f ca="1">IF(COUNTBLANK($B43:$F43)=5,"/",IF(SUMPRODUCT(($R$2:$R$7=$B43:$F43)*($S$2:$S$7))=-1,"ضعيف",INDEX($S$4:$S$7,MATCH(SUMPRODUCT(($R$2:$R$7=$B43:$F43)*($S$2:$S$7)),$S$4:$S$7,0))))</f>
        <v>/</v>
      </c>
      <c r="I42" s="175"/>
    </row>
    <row r="43" spans="1:9" ht="13.5" customHeight="1" thickTop="1" thickBot="1" x14ac:dyDescent="0.2">
      <c r="A43" s="292"/>
      <c r="B43" s="139" t="str">
        <f t="array" aca="1" ref="B43" ca="1">IF(B$1&lt;=COUNTIF(استماع!$C$3:$L$34,$A42),OFFSET(استماع!$B$2,MATCH(B42,استماع!$B$3:$B$34,0),SMALL(IF(OFFSET(استماع!$C$2:$L$2,MATCH(B42,استماع!$B$3:$B$34,0),0)=$A42,COLUMN($C:$L)-2),COUNTIF($B42:B42,B42))+1),"")</f>
        <v/>
      </c>
      <c r="C43" s="141" t="str">
        <f t="array" aca="1" ref="C43" ca="1">IF(C$1&lt;=COUNTIF(استماع!$C$3:$L$34,$A42),OFFSET(استماع!$B$2,MATCH(C42,استماع!$B$3:$B$34,0),SMALL(IF(OFFSET(استماع!$C$2:$L$2,MATCH(C42,استماع!$B$3:$B$34,0),0)=$A42,COLUMN($C:$L)-2),COUNTIF($B42:C42,C42))+1),"")</f>
        <v/>
      </c>
      <c r="D43" s="139" t="str">
        <f t="array" aca="1" ref="D43" ca="1">IF(D$1&lt;=COUNTIF(استماع!$C$3:$L$34,$A42),OFFSET(استماع!$B$2,MATCH(D42,استماع!$B$3:$B$34,0),SMALL(IF(OFFSET(استماع!$C$2:$L$2,MATCH(D42,استماع!$B$3:$B$34,0),0)=$A42,COLUMN($C:$L)-2),COUNTIF($B42:D42,D42))+1),"")</f>
        <v/>
      </c>
      <c r="E43" s="141" t="str">
        <f t="array" aca="1" ref="E43" ca="1">IF(E$1&lt;=COUNTIF(استماع!$C$3:$L$34,$A42),OFFSET(استماع!$B$2,MATCH(E42,استماع!$B$3:$B$34,0),SMALL(IF(OFFSET(استماع!$C$2:$L$2,MATCH(E42,استماع!$B$3:$B$34,0),0)=$A42,COLUMN($C:$L)-2),COUNTIF($B42:E42,E42))+1),"")</f>
        <v/>
      </c>
      <c r="F43" s="139" t="str">
        <f t="array" aca="1" ref="F43" ca="1">IF(F$1&lt;=COUNTIF(استماع!$C$3:$L$34,$A42),OFFSET(استماع!$B$2,MATCH(F42,استماع!$B$3:$B$34,0),SMALL(IF(OFFSET(استماع!$C$2:$L$2,MATCH(F42,استماع!$B$3:$B$34,0),0)=$A42,COLUMN($C:$L)-2),COUNTIF($B42:F42,F42))+1),"")</f>
        <v/>
      </c>
      <c r="G43" s="264"/>
      <c r="H43" s="261"/>
      <c r="I43" s="175"/>
    </row>
    <row r="44" spans="1:9" ht="14.25" thickTop="1" x14ac:dyDescent="0.15"/>
  </sheetData>
  <mergeCells count="63">
    <mergeCell ref="H36:H37"/>
    <mergeCell ref="H38:H39"/>
    <mergeCell ref="H40:H41"/>
    <mergeCell ref="H24:H25"/>
    <mergeCell ref="H26:H27"/>
    <mergeCell ref="H28:H29"/>
    <mergeCell ref="H30:H31"/>
    <mergeCell ref="H32:H33"/>
    <mergeCell ref="H34:H35"/>
    <mergeCell ref="G38:G39"/>
    <mergeCell ref="G40:G41"/>
    <mergeCell ref="G42:G43"/>
    <mergeCell ref="H42:H43"/>
    <mergeCell ref="H12:H13"/>
    <mergeCell ref="H14:H15"/>
    <mergeCell ref="H16:H17"/>
    <mergeCell ref="H18:H19"/>
    <mergeCell ref="H20:H21"/>
    <mergeCell ref="H22:H23"/>
    <mergeCell ref="G26:G27"/>
    <mergeCell ref="G28:G29"/>
    <mergeCell ref="G30:G31"/>
    <mergeCell ref="G32:G33"/>
    <mergeCell ref="G34:G35"/>
    <mergeCell ref="G36:G37"/>
    <mergeCell ref="G24:G25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6:H7"/>
    <mergeCell ref="H10:H11"/>
    <mergeCell ref="H4:H5"/>
    <mergeCell ref="H8:H9"/>
    <mergeCell ref="G2:G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2:A3"/>
    <mergeCell ref="A14:A15"/>
    <mergeCell ref="A40:A41"/>
    <mergeCell ref="A42:A43"/>
    <mergeCell ref="A34:A35"/>
    <mergeCell ref="A36:A37"/>
    <mergeCell ref="A38:A39"/>
  </mergeCells>
  <pageMargins left="0" right="0" top="0" bottom="0" header="0" footer="0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rightToLeft="1" zoomScaleNormal="60" zoomScaleSheetLayoutView="100" workbookViewId="0" xr3:uid="{958C4451-9541-5A59-BF78-D2F731DF1C81}">
      <pane xSplit="2" ySplit="2" topLeftCell="C3" activePane="bottomRight" state="frozen"/>
      <selection activeCell="C5" sqref="C5"/>
      <selection pane="bottomLeft" activeCell="C5" sqref="C5"/>
      <selection pane="topRight" activeCell="C5" sqref="C5"/>
      <selection pane="bottomRight" activeCell="L7" sqref="L7"/>
    </sheetView>
  </sheetViews>
  <sheetFormatPr defaultRowHeight="13.5" x14ac:dyDescent="0.15"/>
  <cols>
    <col min="1" max="1" width="3.0625" customWidth="1"/>
    <col min="2" max="2" width="6.6171875" customWidth="1"/>
    <col min="3" max="11" width="3.67578125" customWidth="1"/>
  </cols>
  <sheetData>
    <row r="1" spans="1:12" ht="21" customHeight="1" x14ac:dyDescent="0.15">
      <c r="A1" s="266"/>
      <c r="B1" s="266"/>
      <c r="C1" s="267" t="s">
        <v>93</v>
      </c>
      <c r="D1" s="268"/>
      <c r="E1" s="267" t="s">
        <v>94</v>
      </c>
      <c r="F1" s="268"/>
      <c r="G1" s="267" t="s">
        <v>95</v>
      </c>
      <c r="H1" s="268"/>
      <c r="I1" s="267" t="s">
        <v>96</v>
      </c>
      <c r="J1" s="268"/>
      <c r="K1" s="180" t="s">
        <v>99</v>
      </c>
    </row>
    <row r="2" spans="1:12" ht="28.5" customHeight="1" x14ac:dyDescent="0.15">
      <c r="A2" s="266"/>
      <c r="B2" s="266"/>
      <c r="C2" s="179" t="s">
        <v>105</v>
      </c>
      <c r="D2" s="181" t="s">
        <v>97</v>
      </c>
      <c r="E2" s="181" t="s">
        <v>80</v>
      </c>
      <c r="F2" s="181" t="s">
        <v>20</v>
      </c>
      <c r="G2" s="181" t="s">
        <v>98</v>
      </c>
      <c r="H2" s="181" t="s">
        <v>20</v>
      </c>
      <c r="I2" s="181" t="s">
        <v>98</v>
      </c>
      <c r="J2" s="181" t="s">
        <v>20</v>
      </c>
      <c r="K2" s="181" t="s">
        <v>100</v>
      </c>
    </row>
    <row r="3" spans="1:12" x14ac:dyDescent="0.15">
      <c r="A3" s="106">
        <v>6</v>
      </c>
      <c r="B3" s="106" t="s">
        <v>141</v>
      </c>
      <c r="C3" s="106">
        <f>SUMIF(فردي!C$4:C$35,"30",فردي!B$4:B$35)-SUMIF(فردي!C$4:C$35,"30",فردي!A$4:A$35)</f>
        <v>0</v>
      </c>
      <c r="D3" s="106">
        <f>COUNTIF(فردي!E$4:H$35,"30")</f>
        <v>0</v>
      </c>
      <c r="E3" s="106">
        <f>SUMIF(ثنائي!C$4:C$35,"30",ثنائي!B$4:B$35)-SUMIF(ثنائي!C$4:C$35,"30",ثنائي!A$4:A$35)</f>
        <v>0</v>
      </c>
      <c r="F3" s="106">
        <f>COUNTIFS(ثنائي!C$4:C$35,"30",ثنائي!B$4:B$35,"")</f>
        <v>1</v>
      </c>
      <c r="G3" s="106">
        <f>COUNTIFS(اختبار!$C$4:$C$35,"30",اختبار!$B$4:$B$35,"10",اختبار!$H$4:$H$35,"&gt;0")</f>
        <v>0</v>
      </c>
      <c r="H3" s="106">
        <f>COUNTIFS(اختبار!$C$4:$C$35,"30",اختبار!$B$4:$B$35,"",اختبار!$H$4:$H$35,"&gt;0")</f>
        <v>0</v>
      </c>
      <c r="I3" s="106">
        <f>COUNTIFS(اختبار!$C$4:$C$35,"30",اختبار!$B$4:$B$35,"10",اختبار!$H$4:$H$35,"-1")</f>
        <v>0</v>
      </c>
      <c r="J3" s="106">
        <f>COUNTIFS(اختبار!$C$4:$C$35,"30",اختبار!$B$4:$B$35,"",اختبار!$H$4:$H$35,"-1")</f>
        <v>0</v>
      </c>
      <c r="K3" s="106" t="e">
        <f>AVERAGEIF(اختبار!$C$4:$C$35,"30",اختبار!$H$4:$H$35)</f>
        <v>#DIV/0!</v>
      </c>
      <c r="L3" t="s">
        <v>155</v>
      </c>
    </row>
    <row r="4" spans="1:12" x14ac:dyDescent="0.15">
      <c r="A4" s="106">
        <v>6</v>
      </c>
      <c r="B4" s="182" t="s">
        <v>142</v>
      </c>
      <c r="C4" s="182">
        <f>SUMIF(فردي!C$4:C$35,"29",فردي!B$4:B$35)-SUMIF(فردي!C$4:C$35,"29",فردي!A$4:A$35)</f>
        <v>0</v>
      </c>
      <c r="D4" s="182">
        <f>COUNTIF(فردي!E$4:H$35,"29")</f>
        <v>3</v>
      </c>
      <c r="E4" s="182">
        <f>SUMIF(ثنائي!C$4:C$35,"29",ثنائي!B$4:B$35)-SUMIF(ثنائي!C$4:C$35,"29",ثنائي!A$4:A$35)</f>
        <v>0</v>
      </c>
      <c r="F4" s="182">
        <f>COUNTIFS(ثنائي!C$4:C$35,"29",ثنائي!B$4:B$35,"")</f>
        <v>1</v>
      </c>
      <c r="G4" s="182">
        <f>COUNTIFS(اختبار!$C$4:$C$35,"29",اختبار!$B$4:$B$35,"10",اختبار!$H$4:$H$35,"&gt;0")</f>
        <v>0</v>
      </c>
      <c r="H4" s="182">
        <f>COUNTIFS(اختبار!$C$4:$C$35,"29",اختبار!$B$4:$B$35,"",اختبار!$H$4:$H$35,"&gt;0")</f>
        <v>0</v>
      </c>
      <c r="I4" s="182">
        <f>COUNTIFS(اختبار!$C$4:$C$35,"29",اختبار!$B$4:$B$35,"10",اختبار!$H$4:$H$35,"-1")</f>
        <v>0</v>
      </c>
      <c r="J4" s="182">
        <f>COUNTIFS(اختبار!$C$4:$C$35,"29",اختبار!$B$4:$B$35,"",اختبار!$H$4:$H$35,"-1")</f>
        <v>0</v>
      </c>
      <c r="K4" s="182" t="e">
        <f>AVERAGEIF(اختبار!$C$4:$C$35,"29",اختبار!$H$4:$H$35)</f>
        <v>#DIV/0!</v>
      </c>
      <c r="L4">
        <f>SUMPRODUCT(COUNTIFS(اختبار!$C$4:$C$35,"30",اختبار!$B$4:$B$35,"",اختبار!$H$4:$H$35,{"جيد";"جيدن"}))</f>
        <v>0</v>
      </c>
    </row>
    <row r="5" spans="1:12" x14ac:dyDescent="0.15">
      <c r="A5" s="106">
        <v>6</v>
      </c>
      <c r="B5" s="106" t="s">
        <v>143</v>
      </c>
      <c r="C5" s="106">
        <f>SUMIF(فردي!C$4:C$35,"1",فردي!B$4:B$35)-SUMIF(فردي!C$4:C$35,"1",فردي!A$4:A$35)</f>
        <v>0</v>
      </c>
      <c r="D5" s="106">
        <f>COUNTIF(فردي!E$4:H$35,"1")</f>
        <v>10</v>
      </c>
      <c r="E5" s="106">
        <f>SUMIF(ثنائي!C$4:C$35,"1",ثنائي!B$4:B$35)-SUMIF(ثنائي!C$4:C$35,"1",ثنائي!A$4:A$35)</f>
        <v>0</v>
      </c>
      <c r="F5" s="106">
        <f>COUNTIFS(ثنائي!C$4:C$35,"1",ثنائي!B$4:B$35,"")</f>
        <v>2</v>
      </c>
      <c r="G5" s="106">
        <f>COUNTIFS(اختبار!$C$4:$C$35,"1",اختبار!$B$4:$B$35,"10",اختبار!$H$4:$H$35,"&gt;0")</f>
        <v>0</v>
      </c>
      <c r="H5" s="106">
        <f>COUNTIFS(اختبار!$C$4:$C$35,"1",اختبار!$B$4:$B$35,"",اختبار!$H$4:$H$35,"&gt;0")</f>
        <v>0</v>
      </c>
      <c r="I5" s="106">
        <f>COUNTIFS(اختبار!$C$4:$C$35,"1",اختبار!$B$4:$B$35,"10",اختبار!$H$4:$H$35,"-1")</f>
        <v>0</v>
      </c>
      <c r="J5" s="106">
        <f>COUNTIFS(اختبار!$C$4:$C$35,"1",اختبار!$B$4:$B$35,"",اختبار!$H$4:$H$35,"-1")</f>
        <v>0</v>
      </c>
      <c r="K5" s="106" t="e">
        <f>AVERAGEIF(اختبار!$C$4:$C$35,"1",اختبار!$H$4:$H$35)</f>
        <v>#DIV/0!</v>
      </c>
    </row>
    <row r="6" spans="1:12" x14ac:dyDescent="0.15">
      <c r="A6" s="106">
        <v>6</v>
      </c>
      <c r="B6" s="182" t="s">
        <v>144</v>
      </c>
      <c r="C6" s="182">
        <f>SUMIF(فردي!C$4:C$35,"2",فردي!B$4:B$35)-SUMIF(فردي!C$4:C$35,"2",فردي!A$4:A$35)</f>
        <v>42</v>
      </c>
      <c r="D6" s="182">
        <f>COUNTIF(فردي!E$4:H$35,"2")</f>
        <v>3</v>
      </c>
      <c r="E6" s="182">
        <f>SUMIF(ثنائي!C$4:C$35,"2",ثنائي!B$4:B$35)-SUMIF(ثنائي!C$4:C$35,"2",ثنائي!A$4:A$35)</f>
        <v>10</v>
      </c>
      <c r="F6" s="182">
        <f>COUNTIFS(ثنائي!C$4:C$35,"2",ثنائي!B$4:B$35,"")</f>
        <v>1</v>
      </c>
      <c r="G6" s="182">
        <f>COUNTIFS(اختبار!$C$4:$C$35,"2",اختبار!$B$4:$B$35,"10",اختبار!$H$4:$H$35,"&gt;0")</f>
        <v>1</v>
      </c>
      <c r="H6" s="182">
        <f>COUNTIFS(اختبار!$C$4:$C$35,"2",اختبار!$B$4:$B$35,"",اختبار!$H$4:$H$35,"&gt;0")</f>
        <v>1</v>
      </c>
      <c r="I6" s="182">
        <f>COUNTIFS(اختبار!$C$4:$C$35,"2",اختبار!$B$4:$B$35,"10",اختبار!$H$4:$H$35,"-1")</f>
        <v>0</v>
      </c>
      <c r="J6" s="182">
        <f>COUNTIFS(اختبار!$C$4:$C$35,"2",اختبار!$B$4:$B$35,"",اختبار!$H$4:$H$35,"-1")</f>
        <v>1</v>
      </c>
      <c r="K6" s="182">
        <f>AVERAGEIF(اختبار!$C$4:$C$35,"2",اختبار!$H$4:$H$35)</f>
        <v>1.3333333333333333</v>
      </c>
    </row>
    <row r="7" spans="1:12" x14ac:dyDescent="0.15">
      <c r="A7" s="106">
        <v>6</v>
      </c>
      <c r="B7" s="106" t="s">
        <v>145</v>
      </c>
      <c r="C7" s="106">
        <f>SUMIF(فردي!C$4:C$35,"3",فردي!B$4:B$35)-SUMIF(فردي!C$4:C$35,"3",فردي!A$4:A$35)</f>
        <v>10</v>
      </c>
      <c r="D7" s="106">
        <f>COUNTIF(فردي!E$4:H$35,"3")</f>
        <v>0</v>
      </c>
      <c r="E7" s="106">
        <f>SUMIF(ثنائي!C$4:C$35,"3",ثنائي!B$4:B$35)-SUMIF(ثنائي!C$4:C$35,"3",ثنائي!A$4:A$35)</f>
        <v>0</v>
      </c>
      <c r="F7" s="106">
        <f>COUNTIFS(ثنائي!C$4:C$35,"3",ثنائي!B$4:B$35,"")</f>
        <v>0</v>
      </c>
      <c r="G7" s="106">
        <f>COUNTIFS(اختبار!$C$4:$C$35,"3",اختبار!$B$4:$B$35,"10",اختبار!$H$4:$H$35,"&gt;0")</f>
        <v>0</v>
      </c>
      <c r="H7" s="106">
        <f>COUNTIFS(اختبار!$C$4:$C$35,"3",اختبار!$B$4:$B$35,"",اختبار!$H$4:$H$35,"&gt;0")</f>
        <v>0</v>
      </c>
      <c r="I7" s="106">
        <f>COUNTIFS(اختبار!$C$4:$C$35,"3",اختبار!$B$4:$B$35,"10",اختبار!$H$4:$H$35,"-1")</f>
        <v>0</v>
      </c>
      <c r="J7" s="106">
        <f>COUNTIFS(اختبار!$C$4:$C$35,"3",اختبار!$B$4:$B$35,"",اختبار!$H$4:$H$35,"-1")</f>
        <v>0</v>
      </c>
      <c r="K7" s="106" t="e">
        <f>AVERAGEIF(اختبار!$C$4:$C$35,"3",اختبار!$H$4:$H$35)</f>
        <v>#DIV/0!</v>
      </c>
    </row>
    <row r="8" spans="1:12" x14ac:dyDescent="0.15">
      <c r="A8" s="106">
        <v>6</v>
      </c>
      <c r="B8" s="182" t="s">
        <v>146</v>
      </c>
      <c r="C8" s="182">
        <f>SUMIF(فردي!C$4:C$35,"4",فردي!B$4:B$35)-SUMIF(فردي!C$4:C$35,"4",فردي!A$4:A$35)</f>
        <v>0</v>
      </c>
      <c r="D8" s="182">
        <f>COUNTIF(فردي!E$4:H$35,"4")</f>
        <v>0</v>
      </c>
      <c r="E8" s="182">
        <f>SUMIF(ثنائي!C$4:C$35,"4",ثنائي!B$4:B$35)-SUMIF(ثنائي!C$4:C$35,"4",ثنائي!A$4:A$35)</f>
        <v>0</v>
      </c>
      <c r="F8" s="182">
        <f>COUNTIFS(ثنائي!C$4:C$35,"4",ثنائي!B$4:B$35,"")</f>
        <v>0</v>
      </c>
      <c r="G8" s="182">
        <f>COUNTIFS(اختبار!$C$4:$C$35,"4",اختبار!$B$4:$B$35,"10",اختبار!$H$4:$H$35,"&gt;0")</f>
        <v>0</v>
      </c>
      <c r="H8" s="182">
        <f>COUNTIFS(اختبار!$C$4:$C$35,"4",اختبار!$B$4:$B$35,"",اختبار!$H$4:$H$35,"&gt;0")</f>
        <v>0</v>
      </c>
      <c r="I8" s="182">
        <f>COUNTIFS(اختبار!$C$4:$C$35,"4",اختبار!$B$4:$B$35,"10",اختبار!$H$4:$H$35,"-1")</f>
        <v>0</v>
      </c>
      <c r="J8" s="182">
        <f>COUNTIFS(اختبار!$C$4:$C$35,"4",اختبار!$B$4:$B$35,"",اختبار!$H$4:$H$35,"-1")</f>
        <v>0</v>
      </c>
      <c r="K8" s="182" t="e">
        <f>AVERAGEIF(اختبار!$C$4:$C$35,"4",اختبار!$H$4:$H$35)</f>
        <v>#DIV/0!</v>
      </c>
    </row>
    <row r="9" spans="1:12" x14ac:dyDescent="0.15">
      <c r="A9" s="106">
        <v>6</v>
      </c>
      <c r="B9" s="106" t="s">
        <v>147</v>
      </c>
      <c r="C9" s="106">
        <f>SUMIF(فردي!C$4:C$35,"5",فردي!B$4:B$35)-SUMIF(فردي!C$4:C$35,"5",فردي!A$4:A$35)</f>
        <v>0</v>
      </c>
      <c r="D9" s="106">
        <f>COUNTIF(فردي!E$4:H$35,"5")</f>
        <v>0</v>
      </c>
      <c r="E9" s="106">
        <f>SUMIF(ثنائي!C$4:C$35,"5",ثنائي!B$4:B$35)-SUMIF(ثنائي!C$4:C$35,"5",ثنائي!A$4:A$35)</f>
        <v>0</v>
      </c>
      <c r="F9" s="106">
        <f>COUNTIFS(ثنائي!C$4:C$35,"5",ثنائي!B$4:B$35,"")</f>
        <v>0</v>
      </c>
      <c r="G9" s="106">
        <f>COUNTIFS(اختبار!$C$4:$C$35,"5",اختبار!$B$4:$B$35,"10",اختبار!$H$4:$H$35,"&gt;0")</f>
        <v>0</v>
      </c>
      <c r="H9" s="106">
        <f>COUNTIFS(اختبار!$C$4:$C$35,"5",اختبار!$B$4:$B$35,"",اختبار!$H$4:$H$35,"&gt;0")</f>
        <v>0</v>
      </c>
      <c r="I9" s="106">
        <f>COUNTIFS(اختبار!$C$4:$C$35,"5",اختبار!$B$4:$B$35,"10",اختبار!$H$4:$H$35,"-1")</f>
        <v>0</v>
      </c>
      <c r="J9" s="106">
        <f>COUNTIFS(اختبار!$C$4:$C$35,"5",اختبار!$B$4:$B$35,"",اختبار!$H$4:$H$35,"-1")</f>
        <v>0</v>
      </c>
      <c r="K9" s="106" t="e">
        <f>AVERAGEIF(اختبار!$C$4:$C$35,"5",اختبار!$H$4:$H$35)</f>
        <v>#DIV/0!</v>
      </c>
    </row>
    <row r="10" spans="1:12" x14ac:dyDescent="0.15">
      <c r="A10" s="106">
        <v>6</v>
      </c>
      <c r="B10" s="182" t="s">
        <v>148</v>
      </c>
      <c r="C10" s="182">
        <f>SUMIF(فردي!C$4:C$35,"6",فردي!B$4:B$35)-SUMIF(فردي!C$4:C$35,"6",فردي!A$4:A$35)</f>
        <v>0</v>
      </c>
      <c r="D10" s="182">
        <f>COUNTIF(فردي!E$4:H$35,"6")</f>
        <v>0</v>
      </c>
      <c r="E10" s="182">
        <f>SUMIF(ثنائي!C$4:C$35,"6",ثنائي!B$4:B$35)-SUMIF(ثنائي!C$4:C$35,"6",ثنائي!A$4:A$35)</f>
        <v>0</v>
      </c>
      <c r="F10" s="182">
        <f>COUNTIFS(ثنائي!C$4:C$35,"6",ثنائي!B$4:B$35,"")</f>
        <v>0</v>
      </c>
      <c r="G10" s="182">
        <f>COUNTIFS(اختبار!$C$4:$C$35,"6",اختبار!$B$4:$B$35,"10",اختبار!$H$4:$H$35,"&gt;0")</f>
        <v>0</v>
      </c>
      <c r="H10" s="182">
        <f>COUNTIFS(اختبار!$C$4:$C$35,"6",اختبار!$B$4:$B$35,"",اختبار!$H$4:$H$35,"&gt;0")</f>
        <v>0</v>
      </c>
      <c r="I10" s="182">
        <f>COUNTIFS(اختبار!$C$4:$C$35,"6",اختبار!$B$4:$B$35,"10",اختبار!$H$4:$H$35,"-1")</f>
        <v>0</v>
      </c>
      <c r="J10" s="182">
        <f>COUNTIFS(اختبار!$C$4:$C$35,"6",اختبار!$B$4:$B$35,"",اختبار!$H$4:$H$35,"-1")</f>
        <v>0</v>
      </c>
      <c r="K10" s="182" t="e">
        <f>AVERAGEIF(اختبار!$C$4:$C$35,"6",اختبار!$H$4:$H$35)</f>
        <v>#DIV/0!</v>
      </c>
    </row>
    <row r="11" spans="1:12" x14ac:dyDescent="0.15">
      <c r="A11" s="106">
        <v>6</v>
      </c>
      <c r="B11" s="106" t="s">
        <v>149</v>
      </c>
      <c r="C11" s="106">
        <f>SUMIF(فردي!C$4:C$35,"7",فردي!B$4:B$35)-SUMIF(فردي!C$4:C$35,"7",فردي!A$4:A$35)</f>
        <v>0</v>
      </c>
      <c r="D11" s="106">
        <f>COUNTIF(فردي!E$4:H$35,"7")</f>
        <v>0</v>
      </c>
      <c r="E11" s="106">
        <f>SUMIF(ثنائي!C$4:C$35,"7",ثنائي!B$4:B$35)-SUMIF(ثنائي!C$4:C$35,"7",ثنائي!A$4:A$35)</f>
        <v>0</v>
      </c>
      <c r="F11" s="106">
        <f>COUNTIFS(ثنائي!C$4:C$35,"7",ثنائي!B$4:B$35,"")</f>
        <v>0</v>
      </c>
      <c r="G11" s="106">
        <f>COUNTIFS(اختبار!$C$4:$C$35,"7",اختبار!$B$4:$B$35,"10",اختبار!$H$4:$H$35,"&gt;0")</f>
        <v>0</v>
      </c>
      <c r="H11" s="106">
        <f>COUNTIFS(اختبار!$C$4:$C$35,"7",اختبار!$B$4:$B$35,"",اختبار!$H$4:$H$35,"&gt;0")</f>
        <v>0</v>
      </c>
      <c r="I11" s="106">
        <f>COUNTIFS(اختبار!$C$4:$C$35,"7",اختبار!$B$4:$B$35,"10",اختبار!$H$4:$H$35,"-1")</f>
        <v>0</v>
      </c>
      <c r="J11" s="106">
        <f>COUNTIFS(اختبار!$C$4:$C$35,"7",اختبار!$B$4:$B$35,"",اختبار!$H$4:$H$35,"-1")</f>
        <v>0</v>
      </c>
      <c r="K11" s="106" t="e">
        <f>AVERAGEIF(اختبار!$C$4:$C$35,"7",اختبار!$H$4:$H$35)</f>
        <v>#DIV/0!</v>
      </c>
    </row>
    <row r="12" spans="1:12" x14ac:dyDescent="0.15">
      <c r="A12" s="106">
        <v>8</v>
      </c>
      <c r="B12" s="182" t="s">
        <v>150</v>
      </c>
      <c r="C12" s="182">
        <f>SUMIF(فردي!C$4:C$35,"7",فردي!B$4:B$35)-SUMIF(فردي!C$4:C$35,"7",فردي!A$4:A$35)</f>
        <v>0</v>
      </c>
      <c r="D12" s="182">
        <f>COUNTIF(فردي!E$4:H$35,"7")</f>
        <v>0</v>
      </c>
      <c r="E12" s="182">
        <f>SUMIF(ثنائي!C$4:C$35,"7",ثنائي!B$4:B$35)-SUMIF(ثنائي!C$4:C$35,"7",ثنائي!A$4:A$35)</f>
        <v>0</v>
      </c>
      <c r="F12" s="182">
        <f>COUNTIFS(ثنائي!C$4:C$35,"7",ثنائي!B$4:B$35,"")</f>
        <v>0</v>
      </c>
      <c r="G12" s="182">
        <f>COUNTIFS(اختبار!$C$4:$C$35,"7",اختبار!$B$4:$B$35,"10",اختبار!$H$4:$H$35,"&gt;0")</f>
        <v>0</v>
      </c>
      <c r="H12" s="182">
        <f>COUNTIFS(اختبار!$C$4:$C$35,"7",اختبار!$B$4:$B$35,"",اختبار!$H$4:$H$35,"&gt;0")</f>
        <v>0</v>
      </c>
      <c r="I12" s="182">
        <f>COUNTIFS(اختبار!$C$4:$C$35,"7",اختبار!$B$4:$B$35,"10",اختبار!$H$4:$H$35,"-1")</f>
        <v>0</v>
      </c>
      <c r="J12" s="182">
        <f>COUNTIFS(اختبار!$C$4:$C$35,"7",اختبار!$B$4:$B$35,"",اختبار!$H$4:$H$35,"-1")</f>
        <v>0</v>
      </c>
      <c r="K12" s="182" t="e">
        <f>AVERAGEIF(اختبار!$C$4:$C$35,"7",اختبار!$H$4:$H$35)</f>
        <v>#DIV/0!</v>
      </c>
    </row>
    <row r="13" spans="1:12" x14ac:dyDescent="0.15">
      <c r="A13" s="106">
        <v>6</v>
      </c>
      <c r="B13" s="106" t="s">
        <v>151</v>
      </c>
      <c r="C13" s="106">
        <f>SUMIF(فردي!C$4:C$35,"9",فردي!B$4:B$35)-SUMIF(فردي!C$4:C$35,"9",فردي!A$4:A$35)</f>
        <v>0</v>
      </c>
      <c r="D13" s="106">
        <f>COUNTIF(فردي!E$4:H$35,"9")</f>
        <v>0</v>
      </c>
      <c r="E13" s="106">
        <f>SUMIF(ثنائي!C$4:C$35,"9",ثنائي!B$4:B$35)-SUMIF(ثنائي!C$4:C$35,"9",ثنائي!A$4:A$35)</f>
        <v>0</v>
      </c>
      <c r="F13" s="106">
        <f>COUNTIFS(ثنائي!C$4:C$35,"9",ثنائي!B$4:B$35,"")</f>
        <v>0</v>
      </c>
      <c r="G13" s="106">
        <f>COUNTIFS(اختبار!$C$4:$C$35,"9",اختبار!$B$4:$B$35,"10",اختبار!$H$4:$H$35,"&gt;0")</f>
        <v>0</v>
      </c>
      <c r="H13" s="106">
        <f>COUNTIFS(اختبار!$C$4:$C$35,"9",اختبار!$B$4:$B$35,"",اختبار!$H$4:$H$35,"&gt;0")</f>
        <v>0</v>
      </c>
      <c r="I13" s="106">
        <f>COUNTIFS(اختبار!$C$4:$C$35,"9",اختبار!$B$4:$B$35,"10",اختبار!$H$4:$H$35,"-1")</f>
        <v>0</v>
      </c>
      <c r="J13" s="106">
        <f>COUNTIFS(اختبار!$C$4:$C$35,"9",اختبار!$B$4:$B$35,"",اختبار!$H$4:$H$35,"-1")</f>
        <v>0</v>
      </c>
      <c r="K13" s="106" t="e">
        <f>AVERAGEIF(اختبار!$C$4:$C$35,"9",اختبار!$H$4:$H$35)</f>
        <v>#DIV/0!</v>
      </c>
    </row>
    <row r="14" spans="1:12" x14ac:dyDescent="0.15">
      <c r="A14" s="106">
        <v>6</v>
      </c>
      <c r="B14" s="182" t="s">
        <v>152</v>
      </c>
      <c r="C14" s="182">
        <f>SUMIF(فردي!C$4:C$35,"10",فردي!B$4:B$35)-SUMIF(فردي!C$4:C$35,"10",فردي!A$4:A$35)</f>
        <v>0</v>
      </c>
      <c r="D14" s="182">
        <f>COUNTIF(فردي!E$4:H$35,"10")</f>
        <v>0</v>
      </c>
      <c r="E14" s="182">
        <f>SUMIF(ثنائي!C$4:C$35,"10",ثنائي!B$4:B$35)-SUMIF(ثنائي!C$4:C$35,"10",ثنائي!A$4:A$35)</f>
        <v>0</v>
      </c>
      <c r="F14" s="182">
        <f>COUNTIFS(ثنائي!C$4:C$35,"10",ثنائي!B$4:B$35,"")</f>
        <v>0</v>
      </c>
      <c r="G14" s="182">
        <f>COUNTIFS(اختبار!$C$4:$C$35,"10",اختبار!$B$4:$B$35,"10",اختبار!$H$4:$H$35,"&gt;0")</f>
        <v>0</v>
      </c>
      <c r="H14" s="182">
        <f>COUNTIFS(اختبار!$C$4:$C$35,"10",اختبار!$B$4:$B$35,"",اختبار!$H$4:$H$35,"&gt;0")</f>
        <v>0</v>
      </c>
      <c r="I14" s="182">
        <f>COUNTIFS(اختبار!$C$4:$C$35,"10",اختبار!$B$4:$B$35,"10",اختبار!$H$4:$H$35,"-1")</f>
        <v>0</v>
      </c>
      <c r="J14" s="182">
        <f>COUNTIFS(اختبار!$C$4:$C$35,"10",اختبار!$B$4:$B$35,"",اختبار!$H$4:$H$35,"-1")</f>
        <v>0</v>
      </c>
      <c r="K14" s="182" t="e">
        <f>AVERAGEIF(اختبار!$C$4:$C$35,"10",اختبار!$H$4:$H$35)</f>
        <v>#DIV/0!</v>
      </c>
    </row>
    <row r="15" spans="1:12" x14ac:dyDescent="0.15">
      <c r="A15" s="106">
        <v>6</v>
      </c>
      <c r="B15" s="106"/>
      <c r="C15" s="106">
        <f>SUMIF(فردي!C$4:C$35,"11",فردي!B$4:B$35)-SUMIF(فردي!C$4:C$35,"11",فردي!A$4:A$35)</f>
        <v>0</v>
      </c>
      <c r="D15" s="106">
        <f>COUNTIF(فردي!E$4:H$35,"11")</f>
        <v>0</v>
      </c>
      <c r="E15" s="106">
        <f>SUMIF(ثنائي!C$4:C$35,"11",ثنائي!B$4:B$35)-SUMIF(ثنائي!C$4:C$35,"11",ثنائي!A$4:A$35)</f>
        <v>0</v>
      </c>
      <c r="F15" s="106">
        <f>COUNTIFS(ثنائي!C$4:C$35,"11",ثنائي!B$4:B$35,"")</f>
        <v>0</v>
      </c>
      <c r="G15" s="106">
        <f>COUNTIFS(اختبار!$C$4:$C$35,"11",اختبار!$B$4:$B$35,"10",اختبار!$H$4:$H$35,"&gt;0")</f>
        <v>0</v>
      </c>
      <c r="H15" s="106">
        <f>COUNTIFS(اختبار!$C$4:$C$35,"11",اختبار!$B$4:$B$35,"",اختبار!$H$4:$H$35,"&gt;0")</f>
        <v>0</v>
      </c>
      <c r="I15" s="106">
        <f>COUNTIFS(اختبار!$C$4:$C$35,"11",اختبار!$B$4:$B$35,"10",اختبار!$H$4:$H$35,"-1")</f>
        <v>0</v>
      </c>
      <c r="J15" s="106">
        <f>COUNTIFS(اختبار!$C$4:$C$35,"11",اختبار!$B$4:$B$35,"",اختبار!$H$4:$H$35,"-1")</f>
        <v>0</v>
      </c>
      <c r="K15" s="106" t="e">
        <f>AVERAGEIF(اختبار!$C$4:$C$35,"11",اختبار!$H$4:$H$35)</f>
        <v>#DIV/0!</v>
      </c>
    </row>
    <row r="16" spans="1:12" x14ac:dyDescent="0.15">
      <c r="A16" s="106">
        <v>6</v>
      </c>
      <c r="B16" s="182"/>
      <c r="C16" s="182">
        <f>SUMIF(فردي!C$4:C$35,"12",فردي!B$4:B$35)-SUMIF(فردي!C$4:C$35,"12",فردي!A$4:A$35)</f>
        <v>0</v>
      </c>
      <c r="D16" s="182">
        <f>COUNTIF(فردي!E$4:H$35,"12")</f>
        <v>0</v>
      </c>
      <c r="E16" s="182">
        <f>SUMIF(ثنائي!C$4:C$35,"12",ثنائي!B$4:B$35)-SUMIF(ثنائي!C$4:C$35,"12",ثنائي!A$4:A$35)</f>
        <v>0</v>
      </c>
      <c r="F16" s="182">
        <f>COUNTIFS(ثنائي!C$4:C$35,"12",ثنائي!B$4:B$35,"")</f>
        <v>0</v>
      </c>
      <c r="G16" s="182">
        <f>COUNTIFS(اختبار!$C$4:$C$35,"12",اختبار!$B$4:$B$35,"10",اختبار!$H$4:$H$35,"&gt;0")</f>
        <v>0</v>
      </c>
      <c r="H16" s="182">
        <f>COUNTIFS(اختبار!$C$4:$C$35,"12",اختبار!$B$4:$B$35,"",اختبار!$H$4:$H$35,"&gt;0")</f>
        <v>0</v>
      </c>
      <c r="I16" s="182">
        <f>COUNTIFS(اختبار!$C$4:$C$35,"12",اختبار!$B$4:$B$35,"10",اختبار!$H$4:$H$35,"-1")</f>
        <v>0</v>
      </c>
      <c r="J16" s="182">
        <f>COUNTIFS(اختبار!$C$4:$C$35,"12",اختبار!$B$4:$B$35,"",اختبار!$H$4:$H$35,"-1")</f>
        <v>0</v>
      </c>
      <c r="K16" s="182" t="e">
        <f>AVERAGEIF(اختبار!$C$4:$C$35,"12",اختبار!$H$4:$H$35)</f>
        <v>#DIV/0!</v>
      </c>
    </row>
    <row r="17" spans="1:11" x14ac:dyDescent="0.15">
      <c r="A17" s="106"/>
      <c r="B17" s="106"/>
      <c r="C17" s="106">
        <f>SUMIF(فردي!C$4:C$35,"13",فردي!B$4:B$35)-SUMIF(فردي!C$4:C$35,"13",فردي!A$4:A$35)</f>
        <v>0</v>
      </c>
      <c r="D17" s="106">
        <f>COUNTIF(فردي!E$4:H$35,"13")</f>
        <v>0</v>
      </c>
      <c r="E17" s="106">
        <f>SUMIF(ثنائي!C$4:C$35,"13",ثنائي!B$4:B$35)-SUMIF(ثنائي!C$4:C$35,"13",ثنائي!A$4:A$35)</f>
        <v>0</v>
      </c>
      <c r="F17" s="106">
        <f>COUNTIFS(ثنائي!C$4:C$35,"13",ثنائي!B$4:B$35,"")</f>
        <v>0</v>
      </c>
      <c r="G17" s="106">
        <f>COUNTIFS(اختبار!$C$4:$C$35,"13",اختبار!$B$4:$B$35,"10",اختبار!$H$4:$H$35,"&gt;0")</f>
        <v>0</v>
      </c>
      <c r="H17" s="106">
        <f>COUNTIFS(اختبار!$C$4:$C$35,"13",اختبار!$B$4:$B$35,"",اختبار!$H$4:$H$35,"&gt;0")</f>
        <v>0</v>
      </c>
      <c r="I17" s="106">
        <f>COUNTIFS(اختبار!$C$4:$C$35,"13",اختبار!$B$4:$B$35,"10",اختبار!$H$4:$H$35,"-1")</f>
        <v>0</v>
      </c>
      <c r="J17" s="106">
        <f>COUNTIFS(اختبار!$C$4:$C$35,"13",اختبار!$B$4:$B$35,"",اختبار!$H$4:$H$35,"-1")</f>
        <v>0</v>
      </c>
      <c r="K17" s="106" t="e">
        <f>AVERAGEIF(اختبار!$C$4:$C$35,"13",اختبار!$H$4:$H$35)</f>
        <v>#DIV/0!</v>
      </c>
    </row>
    <row r="18" spans="1:11" x14ac:dyDescent="0.15">
      <c r="A18" s="106">
        <v>6</v>
      </c>
      <c r="B18" s="182"/>
      <c r="C18" s="182">
        <f>SUMIF(فردي!C$4:C$35,"14",فردي!B$4:B$35)-SUMIF(فردي!C$4:C$35,"14",فردي!A$4:A$35)</f>
        <v>0</v>
      </c>
      <c r="D18" s="182">
        <f>COUNTIF(فردي!E$4:H$35,"14")</f>
        <v>0</v>
      </c>
      <c r="E18" s="182">
        <f>SUMIF(ثنائي!C$4:C$35,"14",ثنائي!B$4:B$35)-SUMIF(ثنائي!C$4:C$35,"14",ثنائي!A$4:A$35)</f>
        <v>0</v>
      </c>
      <c r="F18" s="182">
        <f>COUNTIFS(ثنائي!C$4:C$35,"14",ثنائي!B$4:B$35,"")</f>
        <v>0</v>
      </c>
      <c r="G18" s="182">
        <f>COUNTIFS(اختبار!$C$4:$C$35,"14",اختبار!$B$4:$B$35,"10",اختبار!$H$4:$H$35,"&gt;0")</f>
        <v>0</v>
      </c>
      <c r="H18" s="182">
        <f>COUNTIFS(اختبار!$C$4:$C$35,"14",اختبار!$B$4:$B$35,"",اختبار!$H$4:$H$35,"&gt;0")</f>
        <v>0</v>
      </c>
      <c r="I18" s="182">
        <f>COUNTIFS(اختبار!$C$4:$C$35,"14",اختبار!$B$4:$B$35,"10",اختبار!$H$4:$H$35,"-1")</f>
        <v>0</v>
      </c>
      <c r="J18" s="182">
        <f>COUNTIFS(اختبار!$C$4:$C$35,"14",اختبار!$B$4:$B$35,"",اختبار!$H$4:$H$35,"-1")</f>
        <v>0</v>
      </c>
      <c r="K18" s="182" t="e">
        <f>AVERAGEIF(اختبار!$C$4:$C$35,"14",اختبار!$H$4:$H$35)</f>
        <v>#DIV/0!</v>
      </c>
    </row>
    <row r="19" spans="1:11" x14ac:dyDescent="0.15">
      <c r="A19" s="106">
        <v>6</v>
      </c>
      <c r="B19" s="106"/>
      <c r="C19" s="106">
        <f>SUMIF(فردي!C$4:C$35,"15",فردي!B$4:B$35)-SUMIF(فردي!C$4:C$35,"15",فردي!A$4:A$35)</f>
        <v>0</v>
      </c>
      <c r="D19" s="106">
        <f>COUNTIF(فردي!E$4:H$35,"15")</f>
        <v>0</v>
      </c>
      <c r="E19" s="106">
        <f>SUMIF(ثنائي!C$4:C$35,"15",ثنائي!B$4:B$35)-SUMIF(ثنائي!C$4:C$35,"15",ثنائي!A$4:A$35)</f>
        <v>0</v>
      </c>
      <c r="F19" s="106">
        <f>COUNTIFS(ثنائي!C$4:C$35,"15",ثنائي!B$4:B$35,"")</f>
        <v>0</v>
      </c>
      <c r="G19" s="106">
        <f>COUNTIFS(اختبار!$C$4:$C$35,"15",اختبار!$B$4:$B$35,"10",اختبار!$H$4:$H$35,"&gt;0")</f>
        <v>0</v>
      </c>
      <c r="H19" s="106">
        <f>COUNTIFS(اختبار!$C$4:$C$35,"15",اختبار!$B$4:$B$35,"",اختبار!$H$4:$H$35,"&gt;0")</f>
        <v>0</v>
      </c>
      <c r="I19" s="106">
        <f>COUNTIFS(اختبار!$C$4:$C$35,"15",اختبار!$B$4:$B$35,"10",اختبار!$H$4:$H$35,"-1")</f>
        <v>0</v>
      </c>
      <c r="J19" s="106">
        <f>COUNTIFS(اختبار!$C$4:$C$35,"15",اختبار!$B$4:$B$35,"",اختبار!$H$4:$H$35,"-1")</f>
        <v>0</v>
      </c>
      <c r="K19" s="106" t="e">
        <f>AVERAGEIF(اختبار!$C$4:$C$35,"15",اختبار!$H$4:$H$35)</f>
        <v>#DIV/0!</v>
      </c>
    </row>
    <row r="20" spans="1:11" x14ac:dyDescent="0.15">
      <c r="A20" s="106">
        <v>6</v>
      </c>
      <c r="B20" s="182"/>
      <c r="C20" s="182">
        <f>SUMIF(فردي!C$4:C$35,"16",فردي!B$4:B$35)-SUMIF(فردي!C$4:C$35,"16",فردي!A$4:A$35)</f>
        <v>0</v>
      </c>
      <c r="D20" s="182">
        <f>COUNTIF(فردي!E$4:H$35,"16")</f>
        <v>0</v>
      </c>
      <c r="E20" s="182">
        <f>SUMIF(ثنائي!C$4:C$35,"16",ثنائي!B$4:B$35)-SUMIF(ثنائي!C$4:C$35,"16",ثنائي!A$4:A$35)</f>
        <v>0</v>
      </c>
      <c r="F20" s="182">
        <f>COUNTIFS(ثنائي!C$4:C$35,"16",ثنائي!B$4:B$35,"")</f>
        <v>0</v>
      </c>
      <c r="G20" s="182">
        <f>COUNTIFS(اختبار!$C$4:$C$35,"16",اختبار!$B$4:$B$35,"10",اختبار!$H$4:$H$35,"&gt;0")</f>
        <v>0</v>
      </c>
      <c r="H20" s="182">
        <f>COUNTIFS(اختبار!$C$4:$C$35,"16",اختبار!$B$4:$B$35,"",اختبار!$H$4:$H$35,"&gt;0")</f>
        <v>0</v>
      </c>
      <c r="I20" s="182">
        <f>COUNTIFS(اختبار!$C$4:$C$35,"16",اختبار!$B$4:$B$35,"10",اختبار!$H$4:$H$35,"-1")</f>
        <v>0</v>
      </c>
      <c r="J20" s="182">
        <f>COUNTIFS(اختبار!$C$4:$C$35,"16",اختبار!$B$4:$B$35,"",اختبار!$H$4:$H$35,"-1")</f>
        <v>0</v>
      </c>
      <c r="K20" s="182" t="e">
        <f>AVERAGEIF(اختبار!$C$4:$C$35,"16",اختبار!$H$4:$H$35)</f>
        <v>#DIV/0!</v>
      </c>
    </row>
    <row r="21" spans="1:11" x14ac:dyDescent="0.15">
      <c r="A21" s="106">
        <v>6</v>
      </c>
      <c r="B21" s="106"/>
      <c r="C21" s="106">
        <f>SUMIF(فردي!C$4:C$35,"17",فردي!B$4:B$35)-SUMIF(فردي!C$4:C$35,"17",فردي!A$4:A$35)</f>
        <v>0</v>
      </c>
      <c r="D21" s="106">
        <f>COUNTIF(فردي!E$4:H$35,"17")</f>
        <v>0</v>
      </c>
      <c r="E21" s="106">
        <f>SUMIF(ثنائي!C$4:C$35,"17",ثنائي!B$4:B$35)-SUMIF(ثنائي!C$4:C$35,"17",ثنائي!A$4:A$35)</f>
        <v>0</v>
      </c>
      <c r="F21" s="106">
        <f>COUNTIFS(ثنائي!C$4:C$35,"17",ثنائي!B$4:B$35,"")</f>
        <v>0</v>
      </c>
      <c r="G21" s="106">
        <f>COUNTIFS(اختبار!$C$4:$C$35,"17",اختبار!$B$4:$B$35,"10",اختبار!$H$4:$H$35,"&gt;0")</f>
        <v>0</v>
      </c>
      <c r="H21" s="106">
        <f>COUNTIFS(اختبار!$C$4:$C$35,"17",اختبار!$B$4:$B$35,"",اختبار!$H$4:$H$35,"&gt;0")</f>
        <v>0</v>
      </c>
      <c r="I21" s="106">
        <f>COUNTIFS(اختبار!$C$4:$C$35,"17",اختبار!$B$4:$B$35,"10",اختبار!$H$4:$H$35,"-1")</f>
        <v>0</v>
      </c>
      <c r="J21" s="106">
        <f>COUNTIFS(اختبار!$C$4:$C$35,"17",اختبار!$B$4:$B$35,"",اختبار!$H$4:$H$35,"-1")</f>
        <v>0</v>
      </c>
      <c r="K21" s="106" t="e">
        <f>AVERAGEIF(اختبار!$C$4:$C$35,"17",اختبار!$H$4:$H$35)</f>
        <v>#DIV/0!</v>
      </c>
    </row>
    <row r="22" spans="1:11" x14ac:dyDescent="0.15">
      <c r="A22" s="106">
        <v>6</v>
      </c>
      <c r="B22" s="182"/>
      <c r="C22" s="182">
        <f>SUMIF(فردي!C$4:C$35,"18",فردي!B$4:B$35)-SUMIF(فردي!C$4:C$35,"18",فردي!A$4:A$35)</f>
        <v>0</v>
      </c>
      <c r="D22" s="182">
        <f>COUNTIF(فردي!E$4:H$35,"18")</f>
        <v>0</v>
      </c>
      <c r="E22" s="182">
        <f>SUMIF(ثنائي!C$4:C$35,"18",ثنائي!B$4:B$35)-SUMIF(ثنائي!C$4:C$35,"18",ثنائي!A$4:A$35)</f>
        <v>0</v>
      </c>
      <c r="F22" s="182">
        <f>COUNTIFS(ثنائي!C$4:C$35,"18",ثنائي!B$4:B$35,"")</f>
        <v>0</v>
      </c>
      <c r="G22" s="182">
        <f>COUNTIFS(اختبار!$C$4:$C$35,"18",اختبار!$B$4:$B$35,"10",اختبار!$H$4:$H$35,"&gt;0")</f>
        <v>0</v>
      </c>
      <c r="H22" s="182">
        <f>COUNTIFS(اختبار!$C$4:$C$35,"18",اختبار!$B$4:$B$35,"",اختبار!$H$4:$H$35,"&gt;0")</f>
        <v>0</v>
      </c>
      <c r="I22" s="182">
        <f>COUNTIFS(اختبار!$C$4:$C$35,"18",اختبار!$B$4:$B$35,"10",اختبار!$H$4:$H$35,"-1")</f>
        <v>0</v>
      </c>
      <c r="J22" s="182">
        <f>COUNTIFS(اختبار!$C$4:$C$35,"18",اختبار!$B$4:$B$35,"",اختبار!$H$4:$H$35,"-1")</f>
        <v>0</v>
      </c>
      <c r="K22" s="182" t="e">
        <f>AVERAGEIF(اختبار!$C$4:$C$35,"18",اختبار!$H$4:$H$35)</f>
        <v>#DIV/0!</v>
      </c>
    </row>
    <row r="23" spans="1:11" x14ac:dyDescent="0.15">
      <c r="A23" s="106">
        <v>6</v>
      </c>
      <c r="B23" s="106"/>
      <c r="C23" s="106">
        <f>SUMIF(فردي!C$4:C$35,"30",فردي!B$4:B$35)-SUMIF(فردي!C$4:C$35,"30",فردي!A$4:A$35)</f>
        <v>0</v>
      </c>
      <c r="D23" s="106">
        <f>COUNTIF(فردي!E$4:H$35,"30")</f>
        <v>0</v>
      </c>
      <c r="E23" s="106">
        <f>SUMIF(ثنائي!C$4:C$35,"30",ثنائي!B$4:B$35)-SUMIF(ثنائي!C$4:C$35,"30",ثنائي!A$4:A$35)</f>
        <v>0</v>
      </c>
      <c r="F23" s="106">
        <f>COUNTIFS(ثنائي!C$4:C$35,"30",ثنائي!B$4:B$35,"")</f>
        <v>1</v>
      </c>
      <c r="G23" s="106">
        <f>COUNTIFS(اختبار!$C$4:$C$35,"30",اختبار!$B$4:$B$35,"10",اختبار!$H$4:$H$35,"&gt;0")</f>
        <v>0</v>
      </c>
      <c r="H23" s="106">
        <f>COUNTIFS(اختبار!$C$4:$C$35,"30",اختبار!$B$4:$B$35,"",اختبار!$H$4:$H$35,"&gt;0")</f>
        <v>0</v>
      </c>
      <c r="I23" s="106">
        <f>COUNTIFS(اختبار!$C$4:$C$35,"30",اختبار!$B$4:$B$35,"10",اختبار!$H$4:$H$35,"-1")</f>
        <v>0</v>
      </c>
      <c r="J23" s="106">
        <f>COUNTIFS(اختبار!$C$4:$C$35,"30",اختبار!$B$4:$B$35,"",اختبار!$H$4:$H$35,"-1")</f>
        <v>0</v>
      </c>
      <c r="K23" s="106" t="e">
        <f>AVERAGEIF(اختبار!$C$4:$C$35,"30",اختبار!$H$4:$H$35)</f>
        <v>#DIV/0!</v>
      </c>
    </row>
    <row r="24" spans="1:11" x14ac:dyDescent="0.15">
      <c r="A24" s="106">
        <v>6</v>
      </c>
      <c r="B24" s="182"/>
      <c r="C24" s="182">
        <f>SUMIF(فردي!C$4:C$35,"30",فردي!B$4:B$35)-SUMIF(فردي!C$4:C$35,"30",فردي!A$4:A$35)</f>
        <v>0</v>
      </c>
      <c r="D24" s="182">
        <f>COUNTIF(فردي!E$4:H$35,"30")</f>
        <v>0</v>
      </c>
      <c r="E24" s="182">
        <f>SUMIF(ثنائي!C$4:C$35,"30",ثنائي!B$4:B$35)-SUMIF(ثنائي!C$4:C$35,"30",ثنائي!A$4:A$35)</f>
        <v>0</v>
      </c>
      <c r="F24" s="182">
        <f>COUNTIFS(ثنائي!C$4:C$35,"30",ثنائي!B$4:B$35,"")</f>
        <v>1</v>
      </c>
      <c r="G24" s="182">
        <f>COUNTIFS(اختبار!$C$4:$C$35,"30",اختبار!$B$4:$B$35,"10",اختبار!$H$4:$H$35,"&gt;0")</f>
        <v>0</v>
      </c>
      <c r="H24" s="182">
        <f>COUNTIFS(اختبار!$C$4:$C$35,"30",اختبار!$B$4:$B$35,"",اختبار!$H$4:$H$35,"&gt;0")</f>
        <v>0</v>
      </c>
      <c r="I24" s="182">
        <f>COUNTIFS(اختبار!$C$4:$C$35,"30",اختبار!$B$4:$B$35,"10",اختبار!$H$4:$H$35,"-1")</f>
        <v>0</v>
      </c>
      <c r="J24" s="182">
        <f>COUNTIFS(اختبار!$C$4:$C$35,"30",اختبار!$B$4:$B$35,"",اختبار!$H$4:$H$35,"-1")</f>
        <v>0</v>
      </c>
      <c r="K24" s="182" t="e">
        <f>AVERAGEIF(اختبار!$C$4:$C$35,"30",اختبار!$H$4:$H$35)</f>
        <v>#DIV/0!</v>
      </c>
    </row>
    <row r="25" spans="1:11" x14ac:dyDescent="0.15">
      <c r="A25" s="106">
        <v>6</v>
      </c>
      <c r="B25" s="106"/>
      <c r="C25" s="106">
        <f>SUMIF(فردي!C$4:C$35,"30",فردي!B$4:B$35)-SUMIF(فردي!C$4:C$35,"30",فردي!A$4:A$35)</f>
        <v>0</v>
      </c>
      <c r="D25" s="106">
        <f>COUNTIF(فردي!E$4:H$35,"30")</f>
        <v>0</v>
      </c>
      <c r="E25" s="106">
        <f>SUMIF(ثنائي!C$4:C$35,"30",ثنائي!B$4:B$35)-SUMIF(ثنائي!C$4:C$35,"30",ثنائي!A$4:A$35)</f>
        <v>0</v>
      </c>
      <c r="F25" s="106">
        <f>COUNTIFS(ثنائي!C$4:C$35,"30",ثنائي!B$4:B$35,"")</f>
        <v>1</v>
      </c>
      <c r="G25" s="106">
        <f>COUNTIFS(اختبار!$C$4:$C$35,"30",اختبار!$B$4:$B$35,"10",اختبار!$H$4:$H$35,"&gt;0")</f>
        <v>0</v>
      </c>
      <c r="H25" s="106">
        <f>COUNTIFS(اختبار!$C$4:$C$35,"30",اختبار!$B$4:$B$35,"",اختبار!$H$4:$H$35,"&gt;0")</f>
        <v>0</v>
      </c>
      <c r="I25" s="106">
        <f>COUNTIFS(اختبار!$C$4:$C$35,"30",اختبار!$B$4:$B$35,"10",اختبار!$H$4:$H$35,"-1")</f>
        <v>0</v>
      </c>
      <c r="J25" s="106">
        <f>COUNTIFS(اختبار!$C$4:$C$35,"30",اختبار!$B$4:$B$35,"",اختبار!$H$4:$H$35,"-1")</f>
        <v>0</v>
      </c>
      <c r="K25" s="106" t="e">
        <f>AVERAGEIF(اختبار!$C$4:$C$35,"30",اختبار!$H$4:$H$35)</f>
        <v>#DIV/0!</v>
      </c>
    </row>
    <row r="26" spans="1:11" x14ac:dyDescent="0.15">
      <c r="A26" s="106">
        <v>6</v>
      </c>
      <c r="B26" s="182"/>
      <c r="C26" s="182">
        <f>SUMIF(فردي!C$4:C$35,"30",فردي!B$4:B$35)-SUMIF(فردي!C$4:C$35,"30",فردي!A$4:A$35)</f>
        <v>0</v>
      </c>
      <c r="D26" s="182">
        <f>COUNTIF(فردي!E$4:H$35,"30")</f>
        <v>0</v>
      </c>
      <c r="E26" s="182">
        <f>SUMIF(ثنائي!C$4:C$35,"30",ثنائي!B$4:B$35)-SUMIF(ثنائي!C$4:C$35,"30",ثنائي!A$4:A$35)</f>
        <v>0</v>
      </c>
      <c r="F26" s="182">
        <f>COUNTIFS(ثنائي!C$4:C$35,"30",ثنائي!B$4:B$35,"")</f>
        <v>1</v>
      </c>
      <c r="G26" s="182">
        <f>COUNTIFS(اختبار!$C$4:$C$35,"30",اختبار!$B$4:$B$35,"10",اختبار!$H$4:$H$35,"&gt;0")</f>
        <v>0</v>
      </c>
      <c r="H26" s="182">
        <f>COUNTIFS(اختبار!$C$4:$C$35,"30",اختبار!$B$4:$B$35,"",اختبار!$H$4:$H$35,"&gt;0")</f>
        <v>0</v>
      </c>
      <c r="I26" s="182">
        <f>COUNTIFS(اختبار!$C$4:$C$35,"30",اختبار!$B$4:$B$35,"10",اختبار!$H$4:$H$35,"-1")</f>
        <v>0</v>
      </c>
      <c r="J26" s="182">
        <f>COUNTIFS(اختبار!$C$4:$C$35,"30",اختبار!$B$4:$B$35,"",اختبار!$H$4:$H$35,"-1")</f>
        <v>0</v>
      </c>
      <c r="K26" s="182" t="e">
        <f>AVERAGEIF(اختبار!$C$4:$C$35,"30",اختبار!$H$4:$H$35)</f>
        <v>#DIV/0!</v>
      </c>
    </row>
    <row r="27" spans="1:11" x14ac:dyDescent="0.15">
      <c r="A27" s="106">
        <v>6</v>
      </c>
      <c r="B27" s="106"/>
      <c r="C27" s="106">
        <f>SUMIF(فردي!C$4:C$35,"30",فردي!B$4:B$35)-SUMIF(فردي!C$4:C$35,"30",فردي!A$4:A$35)</f>
        <v>0</v>
      </c>
      <c r="D27" s="106">
        <f>COUNTIF(فردي!E$4:H$35,"30")</f>
        <v>0</v>
      </c>
      <c r="E27" s="106">
        <f>SUMIF(ثنائي!C$4:C$35,"30",ثنائي!B$4:B$35)-SUMIF(ثنائي!C$4:C$35,"30",ثنائي!A$4:A$35)</f>
        <v>0</v>
      </c>
      <c r="F27" s="106">
        <f>COUNTIFS(ثنائي!C$4:C$35,"30",ثنائي!B$4:B$35,"")</f>
        <v>1</v>
      </c>
      <c r="G27" s="106">
        <f>COUNTIFS(اختبار!$C$4:$C$35,"30",اختبار!$B$4:$B$35,"10",اختبار!$H$4:$H$35,"&gt;0")</f>
        <v>0</v>
      </c>
      <c r="H27" s="106">
        <f>COUNTIFS(اختبار!$C$4:$C$35,"30",اختبار!$B$4:$B$35,"",اختبار!$H$4:$H$35,"&gt;0")</f>
        <v>0</v>
      </c>
      <c r="I27" s="106">
        <f>COUNTIFS(اختبار!$C$4:$C$35,"30",اختبار!$B$4:$B$35,"10",اختبار!$H$4:$H$35,"-1")</f>
        <v>0</v>
      </c>
      <c r="J27" s="106">
        <f>COUNTIFS(اختبار!$C$4:$C$35,"30",اختبار!$B$4:$B$35,"",اختبار!$H$4:$H$35,"-1")</f>
        <v>0</v>
      </c>
      <c r="K27" s="106" t="e">
        <f>AVERAGEIF(اختبار!$C$4:$C$35,"30",اختبار!$H$4:$H$35)</f>
        <v>#DIV/0!</v>
      </c>
    </row>
    <row r="28" spans="1:11" x14ac:dyDescent="0.15">
      <c r="A28" s="106">
        <v>6</v>
      </c>
      <c r="B28" s="182"/>
      <c r="C28" s="182">
        <f>SUMIF(فردي!C$4:C$35,"30",فردي!B$4:B$35)-SUMIF(فردي!C$4:C$35,"30",فردي!A$4:A$35)</f>
        <v>0</v>
      </c>
      <c r="D28" s="182">
        <f>COUNTIF(فردي!E$4:H$35,"30")</f>
        <v>0</v>
      </c>
      <c r="E28" s="182">
        <f>SUMIF(ثنائي!C$4:C$35,"30",ثنائي!B$4:B$35)-SUMIF(ثنائي!C$4:C$35,"30",ثنائي!A$4:A$35)</f>
        <v>0</v>
      </c>
      <c r="F28" s="182">
        <f>COUNTIFS(ثنائي!C$4:C$35,"30",ثنائي!B$4:B$35,"")</f>
        <v>1</v>
      </c>
      <c r="G28" s="182">
        <f>COUNTIFS(اختبار!$C$4:$C$35,"30",اختبار!$B$4:$B$35,"10",اختبار!$H$4:$H$35,"&gt;0")</f>
        <v>0</v>
      </c>
      <c r="H28" s="182">
        <f>COUNTIFS(اختبار!$C$4:$C$35,"30",اختبار!$B$4:$B$35,"",اختبار!$H$4:$H$35,"&gt;0")</f>
        <v>0</v>
      </c>
      <c r="I28" s="182">
        <f>COUNTIFS(اختبار!$C$4:$C$35,"30",اختبار!$B$4:$B$35,"10",اختبار!$H$4:$H$35,"-1")</f>
        <v>0</v>
      </c>
      <c r="J28" s="182">
        <f>COUNTIFS(اختبار!$C$4:$C$35,"30",اختبار!$B$4:$B$35,"",اختبار!$H$4:$H$35,"-1")</f>
        <v>0</v>
      </c>
      <c r="K28" s="182" t="e">
        <f>AVERAGEIF(اختبار!$C$4:$C$35,"30",اختبار!$H$4:$H$35)</f>
        <v>#DIV/0!</v>
      </c>
    </row>
    <row r="29" spans="1:11" x14ac:dyDescent="0.15">
      <c r="A29" s="106">
        <v>6</v>
      </c>
      <c r="B29" s="106"/>
      <c r="C29" s="106">
        <f>SUMIF(فردي!C$4:C$35,"30",فردي!B$4:B$35)-SUMIF(فردي!C$4:C$35,"30",فردي!A$4:A$35)</f>
        <v>0</v>
      </c>
      <c r="D29" s="106">
        <f>COUNTIF(فردي!E$4:H$35,"30")</f>
        <v>0</v>
      </c>
      <c r="E29" s="106">
        <f>SUMIF(ثنائي!C$4:C$35,"30",ثنائي!B$4:B$35)-SUMIF(ثنائي!C$4:C$35,"30",ثنائي!A$4:A$35)</f>
        <v>0</v>
      </c>
      <c r="F29" s="106">
        <f>COUNTIFS(ثنائي!C$4:C$35,"30",ثنائي!B$4:B$35,"")</f>
        <v>1</v>
      </c>
      <c r="G29" s="106">
        <f>COUNTIFS(اختبار!$C$4:$C$35,"30",اختبار!$B$4:$B$35,"10",اختبار!$H$4:$H$35,"&gt;0")</f>
        <v>0</v>
      </c>
      <c r="H29" s="106">
        <f>COUNTIFS(اختبار!$C$4:$C$35,"30",اختبار!$B$4:$B$35,"",اختبار!$H$4:$H$35,"&gt;0")</f>
        <v>0</v>
      </c>
      <c r="I29" s="106">
        <f>COUNTIFS(اختبار!$C$4:$C$35,"30",اختبار!$B$4:$B$35,"10",اختبار!$H$4:$H$35,"-1")</f>
        <v>0</v>
      </c>
      <c r="J29" s="106">
        <f>COUNTIFS(اختبار!$C$4:$C$35,"30",اختبار!$B$4:$B$35,"",اختبار!$H$4:$H$35,"-1")</f>
        <v>0</v>
      </c>
      <c r="K29" s="106" t="e">
        <f>AVERAGEIF(اختبار!$C$4:$C$35,"30",اختبار!$H$4:$H$35)</f>
        <v>#DIV/0!</v>
      </c>
    </row>
    <row r="30" spans="1:11" x14ac:dyDescent="0.15">
      <c r="A30" s="106">
        <v>6</v>
      </c>
      <c r="B30" s="182"/>
      <c r="C30" s="182">
        <f>SUMIF(فردي!C$4:C$35,"30",فردي!B$4:B$35)-SUMIF(فردي!C$4:C$35,"30",فردي!A$4:A$35)</f>
        <v>0</v>
      </c>
      <c r="D30" s="182">
        <f>COUNTIF(فردي!E$4:H$35,"30")</f>
        <v>0</v>
      </c>
      <c r="E30" s="182">
        <f>SUMIF(ثنائي!C$4:C$35,"30",ثنائي!B$4:B$35)-SUMIF(ثنائي!C$4:C$35,"30",ثنائي!A$4:A$35)</f>
        <v>0</v>
      </c>
      <c r="F30" s="182">
        <f>COUNTIFS(ثنائي!C$4:C$35,"30",ثنائي!B$4:B$35,"")</f>
        <v>1</v>
      </c>
      <c r="G30" s="182">
        <f>COUNTIFS(اختبار!$C$4:$C$35,"30",اختبار!$B$4:$B$35,"10",اختبار!$H$4:$H$35,"&gt;0")</f>
        <v>0</v>
      </c>
      <c r="H30" s="182">
        <f>COUNTIFS(اختبار!$C$4:$C$35,"30",اختبار!$B$4:$B$35,"",اختبار!$H$4:$H$35,"&gt;0")</f>
        <v>0</v>
      </c>
      <c r="I30" s="182">
        <f>COUNTIFS(اختبار!$C$4:$C$35,"30",اختبار!$B$4:$B$35,"10",اختبار!$H$4:$H$35,"-1")</f>
        <v>0</v>
      </c>
      <c r="J30" s="182">
        <f>COUNTIFS(اختبار!$C$4:$C$35,"30",اختبار!$B$4:$B$35,"",اختبار!$H$4:$H$35,"-1")</f>
        <v>0</v>
      </c>
      <c r="K30" s="182" t="e">
        <f>AVERAGEIF(اختبار!$C$4:$C$35,"30",اختبار!$H$4:$H$35)</f>
        <v>#DIV/0!</v>
      </c>
    </row>
    <row r="31" spans="1:11" x14ac:dyDescent="0.15">
      <c r="A31" s="106">
        <v>6</v>
      </c>
      <c r="B31" s="106"/>
      <c r="C31" s="106">
        <f>SUMIF(فردي!C$4:C$35,"30",فردي!B$4:B$35)-SUMIF(فردي!C$4:C$35,"30",فردي!A$4:A$35)</f>
        <v>0</v>
      </c>
      <c r="D31" s="106">
        <f>COUNTIF(فردي!E$4:H$35,"30")</f>
        <v>0</v>
      </c>
      <c r="E31" s="106">
        <f>SUMIF(ثنائي!C$4:C$35,"30",ثنائي!B$4:B$35)-SUMIF(ثنائي!C$4:C$35,"30",ثنائي!A$4:A$35)</f>
        <v>0</v>
      </c>
      <c r="F31" s="106">
        <f>COUNTIFS(ثنائي!C$4:C$35,"30",ثنائي!B$4:B$35,"")</f>
        <v>1</v>
      </c>
      <c r="G31" s="106">
        <f>COUNTIFS(اختبار!$C$4:$C$35,"30",اختبار!$B$4:$B$35,"10",اختبار!$H$4:$H$35,"&gt;0")</f>
        <v>0</v>
      </c>
      <c r="H31" s="106">
        <f>COUNTIFS(اختبار!$C$4:$C$35,"30",اختبار!$B$4:$B$35,"",اختبار!$H$4:$H$35,"&gt;0")</f>
        <v>0</v>
      </c>
      <c r="I31" s="106">
        <f>COUNTIFS(اختبار!$C$4:$C$35,"30",اختبار!$B$4:$B$35,"10",اختبار!$H$4:$H$35,"-1")</f>
        <v>0</v>
      </c>
      <c r="J31" s="106">
        <f>COUNTIFS(اختبار!$C$4:$C$35,"30",اختبار!$B$4:$B$35,"",اختبار!$H$4:$H$35,"-1")</f>
        <v>0</v>
      </c>
      <c r="K31" s="106" t="e">
        <f>AVERAGEIF(اختبار!$C$4:$C$35,"30",اختبار!$H$4:$H$35)</f>
        <v>#DIV/0!</v>
      </c>
    </row>
    <row r="32" spans="1:11" x14ac:dyDescent="0.15">
      <c r="A32" s="106">
        <v>6</v>
      </c>
      <c r="B32" s="182"/>
      <c r="C32" s="182">
        <f>SUMIF(فردي!C$4:C$35,"30",فردي!B$4:B$35)-SUMIF(فردي!C$4:C$35,"30",فردي!A$4:A$35)</f>
        <v>0</v>
      </c>
      <c r="D32" s="182">
        <f>COUNTIF(فردي!E$4:H$35,"30")</f>
        <v>0</v>
      </c>
      <c r="E32" s="182">
        <f>SUMIF(ثنائي!C$4:C$35,"30",ثنائي!B$4:B$35)-SUMIF(ثنائي!C$4:C$35,"30",ثنائي!A$4:A$35)</f>
        <v>0</v>
      </c>
      <c r="F32" s="182">
        <f>COUNTIFS(ثنائي!C$4:C$35,"30",ثنائي!B$4:B$35,"")</f>
        <v>1</v>
      </c>
      <c r="G32" s="182">
        <f>COUNTIFS(اختبار!$C$4:$C$35,"30",اختبار!$B$4:$B$35,"10",اختبار!$H$4:$H$35,"&gt;0")</f>
        <v>0</v>
      </c>
      <c r="H32" s="182">
        <f>COUNTIFS(اختبار!$C$4:$C$35,"30",اختبار!$B$4:$B$35,"",اختبار!$H$4:$H$35,"&gt;0")</f>
        <v>0</v>
      </c>
      <c r="I32" s="182">
        <f>COUNTIFS(اختبار!$C$4:$C$35,"30",اختبار!$B$4:$B$35,"10",اختبار!$H$4:$H$35,"-1")</f>
        <v>0</v>
      </c>
      <c r="J32" s="182">
        <f>COUNTIFS(اختبار!$C$4:$C$35,"30",اختبار!$B$4:$B$35,"",اختبار!$H$4:$H$35,"-1")</f>
        <v>0</v>
      </c>
      <c r="K32" s="182" t="e">
        <f>AVERAGEIF(اختبار!$C$4:$C$35,"30",اختبار!$H$4:$H$35)</f>
        <v>#DIV/0!</v>
      </c>
    </row>
    <row r="33" spans="1:11" x14ac:dyDescent="0.15">
      <c r="A33" s="106">
        <v>6</v>
      </c>
      <c r="B33" s="182" t="s">
        <v>153</v>
      </c>
      <c r="C33" s="182">
        <f>SUM(فردي!B$4:B$35)-SUM(فردي!B$4:B$35)</f>
        <v>0</v>
      </c>
      <c r="D33" s="182">
        <f>COUNT(فردي!E$4:H$35)</f>
        <v>16</v>
      </c>
      <c r="E33" s="182">
        <f>SUM(ثنائي!B$4:B$35)-SUM(ثنائي!B$4:B$35)</f>
        <v>0</v>
      </c>
      <c r="F33" s="182">
        <f>IF(ثنائي!B$4:B$35="",COUNT(ثنائي!C$4:C$35))</f>
        <v>6</v>
      </c>
      <c r="G33" s="182">
        <f>COUNTIFS(اختبار!$C$4:$C$35,"&gt;0",اختبار!$B$4:$B$35,"10",اختبار!$H$4:$H$35,"&gt;0")</f>
        <v>1</v>
      </c>
      <c r="H33" s="182">
        <f>COUNTIFS(اختبار!$C$4:$C$35,"&gt;0",اختبار!$B$4:$B$35,"",اختبار!$H$4:$H$35,"&gt;0")</f>
        <v>1</v>
      </c>
      <c r="I33" s="182">
        <f>COUNTIFS(اختبار!$C$4:$C$35,"30",اختبار!$B$4:$B$35,"10",اختبار!$H$4:$H$35,"-1")</f>
        <v>0</v>
      </c>
      <c r="J33" s="182">
        <f>COUNTIFS(اختبار!$C$4:$C$35,"30",اختبار!$B$4:$B$35,"",اختبار!$H$4:$H$35,"-1")</f>
        <v>0</v>
      </c>
      <c r="K33" s="182">
        <f>AVERAGE(اختبار!$H$4:$H$35)</f>
        <v>1.3333333333333333</v>
      </c>
    </row>
    <row r="34" spans="1:11" x14ac:dyDescent="0.15">
      <c r="B34" t="s">
        <v>154</v>
      </c>
      <c r="C34">
        <f>SUM(C$3:C$13)</f>
        <v>52</v>
      </c>
      <c r="D34">
        <f t="shared" ref="D34:K34" si="0">SUM(D$3:D$13)</f>
        <v>16</v>
      </c>
      <c r="E34">
        <f t="shared" si="0"/>
        <v>10</v>
      </c>
      <c r="F34">
        <f t="shared" si="0"/>
        <v>5</v>
      </c>
      <c r="G34">
        <f t="shared" si="0"/>
        <v>1</v>
      </c>
      <c r="H34">
        <f t="shared" si="0"/>
        <v>1</v>
      </c>
      <c r="I34">
        <f t="shared" si="0"/>
        <v>0</v>
      </c>
      <c r="J34">
        <f t="shared" si="0"/>
        <v>1</v>
      </c>
      <c r="K34" t="e">
        <f t="shared" si="0"/>
        <v>#DIV/0!</v>
      </c>
    </row>
  </sheetData>
  <mergeCells count="6">
    <mergeCell ref="A1:A2"/>
    <mergeCell ref="B1:B2"/>
    <mergeCell ref="G1:H1"/>
    <mergeCell ref="I1:J1"/>
    <mergeCell ref="E1:F1"/>
    <mergeCell ref="C1:D1"/>
  </mergeCells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rightToLeft="1" zoomScaleNormal="60" zoomScaleSheetLayoutView="100" workbookViewId="0" xr3:uid="{AEA406A1-0E4B-5B11-9CD5-51D6E497D94C}">
      <selection activeCell="H18" sqref="H18"/>
    </sheetView>
  </sheetViews>
  <sheetFormatPr defaultRowHeight="13.5" x14ac:dyDescent="0.15"/>
  <cols>
    <col min="1" max="1" width="5.76171875" bestFit="1" customWidth="1"/>
    <col min="2" max="6" width="4.90234375" customWidth="1"/>
    <col min="7" max="7" width="4.90234375" bestFit="1" customWidth="1"/>
    <col min="8" max="8" width="10.41796875" bestFit="1" customWidth="1"/>
  </cols>
  <sheetData>
    <row r="2" spans="1:8" x14ac:dyDescent="0.15">
      <c r="A2" s="120" t="s">
        <v>6</v>
      </c>
      <c r="B2" s="273">
        <v>43625</v>
      </c>
      <c r="C2" s="273"/>
      <c r="D2" s="269" t="s">
        <v>52</v>
      </c>
      <c r="E2" s="269"/>
      <c r="F2" s="270"/>
      <c r="G2" s="270"/>
    </row>
    <row r="3" spans="1:8" x14ac:dyDescent="0.15">
      <c r="A3" s="271" t="s">
        <v>101</v>
      </c>
      <c r="B3" s="123">
        <v>1</v>
      </c>
      <c r="C3" s="123">
        <v>2</v>
      </c>
      <c r="D3" s="123">
        <v>3</v>
      </c>
      <c r="E3" s="123">
        <v>4</v>
      </c>
      <c r="F3" s="123">
        <v>5</v>
      </c>
      <c r="G3" s="123" t="s">
        <v>86</v>
      </c>
    </row>
    <row r="4" spans="1:8" x14ac:dyDescent="0.15">
      <c r="A4" s="284"/>
      <c r="B4" s="118">
        <f>INDEX(استماع!C$4:C$34,MATCH(DAY($B$2),حضور!$B$4:$B$35,0),1)</f>
        <v>33</v>
      </c>
      <c r="C4" s="118">
        <f>INDEX(استماع!E$4:E$34,MATCH(DAY($B$2),حضور!$B$4:$B$35,0),1)</f>
        <v>34</v>
      </c>
      <c r="D4" s="118" t="str">
        <f>INDEX(استماع!G$4:G$34,MATCH(DAY($B$2),حضور!$B$4:$B$35,0),1)</f>
        <v/>
      </c>
      <c r="E4" s="118" t="str">
        <f>INDEX(استماع!I$4:I$34,MATCH(DAY($B$2),حضور!$B$4:$B$35,0),1)</f>
        <v/>
      </c>
      <c r="F4" s="118" t="str">
        <f>INDEX(استماع!K$4:K$34,MATCH(DAY($B$2),حضور!$B$4:$B$35,0),1)</f>
        <v/>
      </c>
      <c r="G4" s="125"/>
    </row>
    <row r="5" spans="1:8" x14ac:dyDescent="0.15">
      <c r="A5" s="274"/>
      <c r="B5" s="173" t="str">
        <f>INDEX(استماع!D$4:D$34,MATCH(DAY($B$2),حضور!$B$4:$B$35,0),1)</f>
        <v>ضعيف</v>
      </c>
      <c r="C5" s="118" t="str">
        <f>INDEX(استماع!F$4:F$34,MATCH(DAY($B$2),حضور!$B$4:$B$35,0),1)</f>
        <v>ضعيف</v>
      </c>
      <c r="D5" s="118">
        <f>INDEX(استماع!H$4:H$34,MATCH(DAY($B$2),حضور!$B$4:$B$35,0),1)</f>
        <v>0</v>
      </c>
      <c r="E5" s="118">
        <f>INDEX(استماع!J$4:J$34,MATCH(DAY($B$2),حضور!$B$4:$B$35,0),1)</f>
        <v>0</v>
      </c>
      <c r="F5" s="118">
        <f>INDEX(استماع!L$4:L$34,MATCH(DAY($B$2),حضور!$B$4:$B$35,0),1)</f>
        <v>0</v>
      </c>
      <c r="G5" s="125"/>
    </row>
    <row r="6" spans="1:8" x14ac:dyDescent="0.15">
      <c r="A6" s="271" t="s">
        <v>102</v>
      </c>
      <c r="B6" s="122" t="s">
        <v>18</v>
      </c>
      <c r="C6" s="124" t="s">
        <v>103</v>
      </c>
      <c r="D6" s="122" t="s">
        <v>20</v>
      </c>
      <c r="E6" s="274" t="s">
        <v>104</v>
      </c>
      <c r="F6" s="275"/>
      <c r="G6" s="122" t="s">
        <v>13</v>
      </c>
    </row>
    <row r="7" spans="1:8" x14ac:dyDescent="0.15">
      <c r="A7" s="272"/>
      <c r="B7" s="118">
        <f>INDEX(اختبار!A4:A35,MATCH(DAY($B$2),حضور!$B$4:$B$35,0),1)</f>
        <v>0</v>
      </c>
      <c r="C7" s="118">
        <f>INDEX(اختبار!B4:B35,MATCH(DAY($B$2),حضور!$B$4:$B$35,0),1)</f>
        <v>10</v>
      </c>
      <c r="D7" s="118">
        <f>INDEX(اختبار!C4:C35,MATCH(DAY($B$2),حضور!$B$4:$B$35,0),1)</f>
        <v>2</v>
      </c>
      <c r="E7" s="278" t="str">
        <f>INDEX(اختبار!F4:F35,MATCH(DAY($B$2),حضور!$B$4:$B$35,0),1)</f>
        <v>معلم</v>
      </c>
      <c r="F7" s="279"/>
      <c r="G7" s="125" t="str">
        <f>INDEX(اختبار!G4:G35,MATCH(DAY($B$2),حضور!$B$4:$B$35,0),1)</f>
        <v>جيد</v>
      </c>
    </row>
    <row r="8" spans="1:8" x14ac:dyDescent="0.15">
      <c r="A8" s="271" t="s">
        <v>94</v>
      </c>
      <c r="B8" s="120" t="s">
        <v>18</v>
      </c>
      <c r="C8" s="121" t="s">
        <v>103</v>
      </c>
      <c r="D8" s="120" t="s">
        <v>20</v>
      </c>
      <c r="E8" s="276" t="s">
        <v>15</v>
      </c>
      <c r="F8" s="277"/>
      <c r="G8" s="271"/>
    </row>
    <row r="9" spans="1:8" x14ac:dyDescent="0.15">
      <c r="A9" s="272"/>
      <c r="B9" s="118">
        <f>INDEX(ثنائي!A4:A35,MATCH(DAY($B$2),حضور!$B$4:$B$35,0),1)</f>
        <v>0</v>
      </c>
      <c r="C9" s="119">
        <f>INDEX(ثنائي!B4:B35,MATCH(DAY($B$2),حضور!$B$4:$B$35,0),1)</f>
        <v>0</v>
      </c>
      <c r="D9" s="118">
        <f>INDEX(ثنائي!C4:C35,MATCH(DAY($B$2),حضور!$B$4:$B$35,0),1)</f>
        <v>1</v>
      </c>
      <c r="E9" s="278">
        <f>INDEX(ثنائي!G4:G35,MATCH(DAY($B$2),حضور!$B$4:$B$35,0),1)</f>
        <v>0</v>
      </c>
      <c r="F9" s="279"/>
      <c r="G9" s="280"/>
    </row>
    <row r="10" spans="1:8" x14ac:dyDescent="0.15">
      <c r="A10" s="271" t="s">
        <v>105</v>
      </c>
      <c r="B10" s="120" t="s">
        <v>18</v>
      </c>
      <c r="C10" s="121" t="s">
        <v>103</v>
      </c>
      <c r="D10" s="120" t="s">
        <v>20</v>
      </c>
      <c r="E10" s="281"/>
      <c r="F10" s="282"/>
      <c r="G10" s="280"/>
    </row>
    <row r="11" spans="1:8" x14ac:dyDescent="0.15">
      <c r="A11" s="272"/>
      <c r="B11" s="118">
        <f>INDEX(فردي!A4:A35,MATCH(DAY($B$2),حضور!$B$4:$B$35,0),1)</f>
        <v>0</v>
      </c>
      <c r="C11" s="119">
        <f>INDEX(فردي!B4:B35,MATCH(DAY($B$2),حضور!$B$4:$B$35,0),1)</f>
        <v>0</v>
      </c>
      <c r="D11" s="118">
        <f>INDEX(فردي!C4:C35,MATCH(DAY($B$2),حضور!$B$4:$B$35,0),1)</f>
        <v>0</v>
      </c>
      <c r="E11" s="274"/>
      <c r="F11" s="283"/>
      <c r="G11" s="280"/>
    </row>
    <row r="12" spans="1:8" x14ac:dyDescent="0.15">
      <c r="A12" s="271" t="s">
        <v>97</v>
      </c>
      <c r="B12" s="120">
        <v>1</v>
      </c>
      <c r="C12" s="120">
        <v>2</v>
      </c>
      <c r="D12" s="120">
        <v>3</v>
      </c>
      <c r="E12" s="120">
        <v>4</v>
      </c>
      <c r="F12" s="120"/>
      <c r="G12" s="280"/>
      <c r="H12" s="126"/>
    </row>
    <row r="13" spans="1:8" x14ac:dyDescent="0.15">
      <c r="A13" s="272"/>
      <c r="B13" s="118">
        <f>INDEX(فردي!E$4:E$35,MATCH(DAY($B$2),حضور!$B$4:$B$35,0),1)</f>
        <v>0</v>
      </c>
      <c r="C13" s="118">
        <f>INDEX(فردي!F$4:F$35,MATCH(DAY($B$2),حضور!$B$4:$B$35,0),1)</f>
        <v>0</v>
      </c>
      <c r="D13" s="118">
        <f>INDEX(فردي!G$4:G$35,MATCH(DAY($B$2),حضور!$B$4:$B$35,0),1)</f>
        <v>0</v>
      </c>
      <c r="E13" s="118">
        <f>INDEX(فردي!H$4:H$35,MATCH(DAY($B$2),حضور!$B$4:$B$35,0),1)</f>
        <v>0</v>
      </c>
      <c r="F13" s="118"/>
      <c r="G13" s="272"/>
    </row>
    <row r="16" spans="1:8" x14ac:dyDescent="0.15">
      <c r="D16" t="s">
        <v>110</v>
      </c>
    </row>
    <row r="17" spans="4:4" x14ac:dyDescent="0.15">
      <c r="D17" t="s">
        <v>111</v>
      </c>
    </row>
    <row r="18" spans="4:4" x14ac:dyDescent="0.15">
      <c r="D18" t="s">
        <v>112</v>
      </c>
    </row>
    <row r="19" spans="4:4" x14ac:dyDescent="0.15">
      <c r="D19" t="s">
        <v>113</v>
      </c>
    </row>
    <row r="20" spans="4:4" x14ac:dyDescent="0.15">
      <c r="D20" t="s">
        <v>114</v>
      </c>
    </row>
    <row r="21" spans="4:4" x14ac:dyDescent="0.15">
      <c r="D21" t="s">
        <v>109</v>
      </c>
    </row>
  </sheetData>
  <mergeCells count="14">
    <mergeCell ref="D2:E2"/>
    <mergeCell ref="F2:G2"/>
    <mergeCell ref="A10:A11"/>
    <mergeCell ref="A12:A13"/>
    <mergeCell ref="B2:C2"/>
    <mergeCell ref="A6:A7"/>
    <mergeCell ref="E6:F6"/>
    <mergeCell ref="E8:F8"/>
    <mergeCell ref="E7:F7"/>
    <mergeCell ref="E9:F9"/>
    <mergeCell ref="A8:A9"/>
    <mergeCell ref="G8:G13"/>
    <mergeCell ref="E10:F11"/>
    <mergeCell ref="A3:A5"/>
  </mergeCells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2"/>
  <sheetViews>
    <sheetView rightToLeft="1" zoomScaleNormal="60" zoomScaleSheetLayoutView="100" workbookViewId="0" xr3:uid="{842E5F09-E766-5B8D-85AF-A39847EA96FD}">
      <pane xSplit="2" ySplit="3" topLeftCell="C4" activePane="bottomRight" state="frozen"/>
      <selection activeCell="K21" sqref="K21"/>
      <selection pane="bottomLeft" activeCell="E25" sqref="E25"/>
      <selection pane="topRight" activeCell="C1" sqref="C1"/>
      <selection pane="bottomRight" activeCell="C21" sqref="C21:E21"/>
    </sheetView>
  </sheetViews>
  <sheetFormatPr defaultRowHeight="13.5" x14ac:dyDescent="0.15"/>
  <cols>
    <col min="1" max="1" width="3.0625" customWidth="1"/>
    <col min="2" max="2" width="12.13671875" bestFit="1" customWidth="1"/>
    <col min="3" max="3" width="3.921875" customWidth="1"/>
    <col min="4" max="4" width="3.4296875" bestFit="1" customWidth="1"/>
    <col min="5" max="5" width="6.86328125" customWidth="1"/>
    <col min="6" max="6" width="6.12890625" customWidth="1"/>
    <col min="7" max="9" width="5.63671875" customWidth="1"/>
    <col min="10" max="10" width="3.67578125" customWidth="1"/>
    <col min="11" max="13" width="5.390625" customWidth="1"/>
    <col min="14" max="15" width="4.04296875" customWidth="1"/>
    <col min="16" max="16" width="5.390625" customWidth="1"/>
    <col min="17" max="19" width="4.04296875" customWidth="1"/>
    <col min="20" max="20" width="3.67578125" customWidth="1"/>
    <col min="21" max="22" width="4.90234375" customWidth="1"/>
    <col min="23" max="23" width="5.1484375" bestFit="1" customWidth="1"/>
    <col min="24" max="24" width="3.921875" bestFit="1" customWidth="1"/>
    <col min="25" max="25" width="5.1484375" bestFit="1" customWidth="1"/>
    <col min="26" max="26" width="3.921875" bestFit="1" customWidth="1"/>
    <col min="27" max="28" width="3.921875" customWidth="1"/>
    <col min="29" max="30" width="4.90234375" customWidth="1"/>
    <col min="31" max="31" width="3.921875" customWidth="1"/>
  </cols>
  <sheetData>
    <row r="1" spans="1:31" s="75" customFormat="1" ht="36" customHeight="1" thickBot="1" x14ac:dyDescent="0.2">
      <c r="A1" s="285" t="s">
        <v>83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AC1" s="115"/>
      <c r="AD1" s="115"/>
    </row>
    <row r="2" spans="1:31" ht="30" customHeight="1" thickTop="1" x14ac:dyDescent="0.15">
      <c r="A2" s="266" t="s">
        <v>44</v>
      </c>
      <c r="B2" s="266" t="s">
        <v>52</v>
      </c>
      <c r="C2" s="266" t="s">
        <v>7</v>
      </c>
      <c r="D2" s="266"/>
      <c r="E2" s="266" t="s">
        <v>53</v>
      </c>
      <c r="F2" s="266"/>
      <c r="G2" s="266"/>
      <c r="H2" s="286" t="s">
        <v>40</v>
      </c>
      <c r="I2" s="286" t="s">
        <v>82</v>
      </c>
      <c r="J2" s="286"/>
      <c r="K2" s="286" t="s">
        <v>54</v>
      </c>
      <c r="L2" s="286" t="s">
        <v>39</v>
      </c>
      <c r="M2" s="286"/>
      <c r="N2" s="286" t="s">
        <v>42</v>
      </c>
      <c r="O2" s="286"/>
      <c r="P2" s="286" t="s">
        <v>55</v>
      </c>
      <c r="Q2" s="286" t="s">
        <v>88</v>
      </c>
      <c r="R2" s="286"/>
      <c r="S2" s="286" t="s">
        <v>31</v>
      </c>
      <c r="T2" s="286"/>
      <c r="U2" s="266" t="s">
        <v>57</v>
      </c>
      <c r="V2" s="266"/>
      <c r="W2" s="267" t="s">
        <v>85</v>
      </c>
      <c r="X2" s="268"/>
      <c r="Y2" s="267" t="s">
        <v>56</v>
      </c>
      <c r="Z2" s="268"/>
      <c r="AA2" s="266" t="s">
        <v>89</v>
      </c>
      <c r="AB2" s="266" t="s">
        <v>44</v>
      </c>
      <c r="AC2" s="266" t="s">
        <v>90</v>
      </c>
      <c r="AD2" s="266" t="s">
        <v>91</v>
      </c>
      <c r="AE2" s="266" t="s">
        <v>92</v>
      </c>
    </row>
    <row r="3" spans="1:31" ht="28.5" customHeight="1" x14ac:dyDescent="0.15">
      <c r="A3" s="266"/>
      <c r="B3" s="266"/>
      <c r="C3" s="110" t="s">
        <v>58</v>
      </c>
      <c r="D3" s="110" t="s">
        <v>59</v>
      </c>
      <c r="E3" s="111" t="s">
        <v>60</v>
      </c>
      <c r="F3" s="111" t="s">
        <v>61</v>
      </c>
      <c r="G3" s="110" t="s">
        <v>10</v>
      </c>
      <c r="H3" s="286"/>
      <c r="I3" s="111" t="s">
        <v>80</v>
      </c>
      <c r="J3" s="111" t="s">
        <v>81</v>
      </c>
      <c r="K3" s="286"/>
      <c r="L3" s="110" t="s">
        <v>29</v>
      </c>
      <c r="M3" s="110" t="s">
        <v>30</v>
      </c>
      <c r="N3" s="110" t="s">
        <v>29</v>
      </c>
      <c r="O3" s="110" t="s">
        <v>30</v>
      </c>
      <c r="P3" s="286"/>
      <c r="Q3" s="286"/>
      <c r="R3" s="286"/>
      <c r="S3" s="110" t="s">
        <v>29</v>
      </c>
      <c r="T3" s="110" t="s">
        <v>30</v>
      </c>
      <c r="U3" s="111" t="s">
        <v>62</v>
      </c>
      <c r="V3" s="111" t="s">
        <v>63</v>
      </c>
      <c r="W3" s="114" t="s">
        <v>86</v>
      </c>
      <c r="X3" s="114" t="s">
        <v>87</v>
      </c>
      <c r="Y3" s="114" t="s">
        <v>86</v>
      </c>
      <c r="Z3" s="114" t="s">
        <v>87</v>
      </c>
      <c r="AA3" s="266"/>
      <c r="AB3" s="266"/>
      <c r="AC3" s="266"/>
      <c r="AD3" s="266"/>
      <c r="AE3" s="266"/>
    </row>
    <row r="4" spans="1:31" x14ac:dyDescent="0.15">
      <c r="A4" s="106">
        <v>1</v>
      </c>
      <c r="B4" s="106" t="s">
        <v>67</v>
      </c>
      <c r="C4" s="106">
        <f>COUNTIF(حضور!C$4:C$35,"م")</f>
        <v>15</v>
      </c>
      <c r="D4" s="106">
        <f>COUNTIF(حضور!C$4:C$35,"غ")</f>
        <v>0</v>
      </c>
      <c r="E4" s="106">
        <f>SUMPRODUCT(COUNTIF(استماع!C3:L34, {"ممتاز";"جيد جداً";"جيد"}))</f>
        <v>16</v>
      </c>
      <c r="F4" s="106">
        <f>COUNTIF(استماع!C3:L34,"ضعيف")</f>
        <v>6</v>
      </c>
      <c r="G4" s="106">
        <f>SUM(استماع!O3:O34)</f>
        <v>19</v>
      </c>
      <c r="H4" s="107">
        <f>E4/C$17</f>
        <v>1.0666666666666667</v>
      </c>
      <c r="I4" s="108">
        <f>INT(H4)</f>
        <v>1</v>
      </c>
      <c r="J4" s="108">
        <f>(H4-INT(H4))*15</f>
        <v>0.99999999999999978</v>
      </c>
      <c r="K4" s="106">
        <f>SUMIF(اختبار!F$4:F$35,"مشرف",اختبار!E$4:E$35)</f>
        <v>0</v>
      </c>
      <c r="L4" s="106">
        <f>SUMIF(اختبار!F$4:F$35,"معلم",اختبار!D$4:D$35)-N4</f>
        <v>0</v>
      </c>
      <c r="M4" s="106">
        <f>SUMIF(اختبار!F$4:F$35,"معلم",اختبار!E$4:E$35)-O4</f>
        <v>0</v>
      </c>
      <c r="N4" s="106">
        <f>SUMIFS(اختبار!D$4:D$35,اختبار!F$4:F$35,"معلم",اختبار!$G$4:$G$35,"إعادة")</f>
        <v>0</v>
      </c>
      <c r="O4" s="106">
        <f>SUMIFS(اختبار!E$4:E$35,اختبار!F$4:F$35,"معلم",اختبار!$G$4:$G$35,"إعادة")</f>
        <v>0</v>
      </c>
      <c r="P4" s="107">
        <f t="shared" ref="P4:P15" si="0">G4/E4</f>
        <v>1.1875</v>
      </c>
      <c r="Q4" s="106">
        <f t="shared" ref="Q4:Q15" si="1">H4*P4</f>
        <v>1.2666666666666666</v>
      </c>
      <c r="R4" s="106"/>
      <c r="S4" s="106">
        <f>SUM(ثنائي!D$4:D$35)</f>
        <v>0</v>
      </c>
      <c r="T4" s="106">
        <f>SUM(ثنائي!E$4:E$35)</f>
        <v>0</v>
      </c>
      <c r="U4" s="106">
        <v>55</v>
      </c>
      <c r="V4" s="109">
        <f t="shared" ref="V4:V15" si="2">U4+E4</f>
        <v>71</v>
      </c>
      <c r="W4" s="107">
        <f>AVERAGE(اختبار!H$4:H$35)</f>
        <v>1.3333333333333333</v>
      </c>
      <c r="X4" s="106"/>
      <c r="Y4" s="107">
        <f t="shared" ref="Y4:Y15" si="3">AVERAGE(Q4,W4)</f>
        <v>1.2999999999999998</v>
      </c>
      <c r="Z4" s="106"/>
      <c r="AA4" s="105" t="e">
        <f>RANK($H4,$H$4:$H$15)</f>
        <v>#REF!</v>
      </c>
      <c r="AB4" s="105" t="e">
        <f>RANK($P4,$P$4:$P$15)</f>
        <v>#REF!</v>
      </c>
      <c r="AC4" s="105" t="e">
        <f>RANK($Q4,$Q$4:$Q$15)</f>
        <v>#REF!</v>
      </c>
      <c r="AD4" s="105" t="e">
        <f>RANK($W4,$W$4:$W$15)</f>
        <v>#REF!</v>
      </c>
      <c r="AE4" s="105" t="e">
        <f>RANK($Y4,$Y$4:$Y$15)</f>
        <v>#REF!</v>
      </c>
    </row>
    <row r="5" spans="1:31" x14ac:dyDescent="0.15">
      <c r="A5" s="106">
        <v>2</v>
      </c>
      <c r="B5" s="106" t="s">
        <v>69</v>
      </c>
      <c r="C5" s="106" t="e">
        <f>COUNTIF(#REF!,"م")</f>
        <v>#REF!</v>
      </c>
      <c r="D5" s="106" t="e">
        <f>COUNTIF(#REF!,"غ")</f>
        <v>#REF!</v>
      </c>
      <c r="E5" s="106" t="e">
        <f>COUNTIF(#REF!,"&gt;0")</f>
        <v>#REF!</v>
      </c>
      <c r="F5" s="106" t="e">
        <f>COUNTIF(#REF!,"=-1")</f>
        <v>#REF!</v>
      </c>
      <c r="G5" s="106" t="e">
        <f>SUM(#REF!)</f>
        <v>#REF!</v>
      </c>
      <c r="H5" s="107" t="e">
        <f t="shared" ref="H5:H15" si="4">E5/C$17</f>
        <v>#REF!</v>
      </c>
      <c r="I5" s="108" t="e">
        <f t="shared" ref="I5:I15" si="5">INT(H5)</f>
        <v>#REF!</v>
      </c>
      <c r="J5" s="108" t="e">
        <f t="shared" ref="J5:J15" si="6">(H5-INT(H5))*15</f>
        <v>#REF!</v>
      </c>
      <c r="K5" s="106" t="e">
        <f>SUMIF(#REF!,"مشرف",#REF!)</f>
        <v>#REF!</v>
      </c>
      <c r="L5" s="106" t="e">
        <f>SUMIF(#REF!,"معلم",#REF!)-N5</f>
        <v>#REF!</v>
      </c>
      <c r="M5" s="106" t="e">
        <f>SUMIF(#REF!,"معلم",#REF!)-O5</f>
        <v>#REF!</v>
      </c>
      <c r="N5" s="106" t="e">
        <f>SUMIFS(#REF!,#REF!,"معلم",#REF!,"إعادة")</f>
        <v>#REF!</v>
      </c>
      <c r="O5" s="106" t="e">
        <f>SUMIFS(#REF!,#REF!,"معلم",#REF!,"إعادة")</f>
        <v>#REF!</v>
      </c>
      <c r="P5" s="107" t="e">
        <f t="shared" si="0"/>
        <v>#REF!</v>
      </c>
      <c r="Q5" s="106" t="e">
        <f t="shared" si="1"/>
        <v>#REF!</v>
      </c>
      <c r="R5" s="106"/>
      <c r="S5" s="106" t="e">
        <f>SUM(#REF!)</f>
        <v>#REF!</v>
      </c>
      <c r="T5" s="106" t="e">
        <f>SUM(#REF!)</f>
        <v>#REF!</v>
      </c>
      <c r="U5" s="106">
        <v>33</v>
      </c>
      <c r="V5" s="109" t="e">
        <f t="shared" si="2"/>
        <v>#REF!</v>
      </c>
      <c r="W5" s="107" t="e">
        <f>AVERAGE(#REF!)</f>
        <v>#REF!</v>
      </c>
      <c r="X5" s="106"/>
      <c r="Y5" s="107" t="e">
        <f t="shared" si="3"/>
        <v>#REF!</v>
      </c>
      <c r="Z5" s="106"/>
      <c r="AA5" s="105" t="e">
        <f t="shared" ref="AA5:AA15" si="7">RANK($H5,$H$4:$H$15)</f>
        <v>#REF!</v>
      </c>
      <c r="AB5" s="105" t="e">
        <f t="shared" ref="AB5:AB15" si="8">RANK($P5,$P$4:$P$15)</f>
        <v>#REF!</v>
      </c>
      <c r="AC5" s="105" t="e">
        <f t="shared" ref="AC5:AC15" si="9">RANK($Q5,$Q$4:$Q$15)</f>
        <v>#REF!</v>
      </c>
      <c r="AD5" s="105" t="e">
        <f t="shared" ref="AD5:AD15" si="10">RANK($W5,$W$4:$W$15)</f>
        <v>#REF!</v>
      </c>
      <c r="AE5" s="105" t="e">
        <f t="shared" ref="AE5:AE15" si="11">RANK($Y5,$Y$4:$Y$15)</f>
        <v>#REF!</v>
      </c>
    </row>
    <row r="6" spans="1:31" x14ac:dyDescent="0.15">
      <c r="A6" s="106">
        <v>3</v>
      </c>
      <c r="B6" s="106" t="s">
        <v>71</v>
      </c>
      <c r="C6" s="106" t="e">
        <f>COUNTIF(#REF!,"م")</f>
        <v>#REF!</v>
      </c>
      <c r="D6" s="106" t="e">
        <f>COUNTIF(#REF!,"غ")</f>
        <v>#REF!</v>
      </c>
      <c r="E6" s="106" t="e">
        <f>COUNTIF(#REF!,"&gt;0")</f>
        <v>#REF!</v>
      </c>
      <c r="F6" s="106" t="e">
        <f>COUNTIF(#REF!,"=-1")</f>
        <v>#REF!</v>
      </c>
      <c r="G6" s="106" t="e">
        <f>SUM(#REF!)</f>
        <v>#REF!</v>
      </c>
      <c r="H6" s="107" t="e">
        <f t="shared" si="4"/>
        <v>#REF!</v>
      </c>
      <c r="I6" s="108" t="e">
        <f t="shared" si="5"/>
        <v>#REF!</v>
      </c>
      <c r="J6" s="108" t="e">
        <f t="shared" si="6"/>
        <v>#REF!</v>
      </c>
      <c r="K6" s="106" t="e">
        <f>SUMIF(#REF!,"مشرف",#REF!)</f>
        <v>#REF!</v>
      </c>
      <c r="L6" s="106" t="e">
        <f>SUMIF(#REF!,"معلم",#REF!)-N6</f>
        <v>#REF!</v>
      </c>
      <c r="M6" s="106" t="e">
        <f>SUMIF(#REF!,"معلم",#REF!)-O6</f>
        <v>#REF!</v>
      </c>
      <c r="N6" s="106" t="e">
        <f>SUMIFS(#REF!,#REF!,"معلم",#REF!,"إعادة")</f>
        <v>#REF!</v>
      </c>
      <c r="O6" s="106" t="e">
        <f>SUMIFS(#REF!,#REF!,"معلم",#REF!,"إعادة")</f>
        <v>#REF!</v>
      </c>
      <c r="P6" s="107" t="e">
        <f t="shared" si="0"/>
        <v>#REF!</v>
      </c>
      <c r="Q6" s="106" t="e">
        <f t="shared" si="1"/>
        <v>#REF!</v>
      </c>
      <c r="R6" s="106"/>
      <c r="S6" s="106" t="e">
        <f>SUM(#REF!)</f>
        <v>#REF!</v>
      </c>
      <c r="T6" s="106" t="e">
        <f>SUM(#REF!)</f>
        <v>#REF!</v>
      </c>
      <c r="U6" s="106">
        <v>174</v>
      </c>
      <c r="V6" s="109" t="e">
        <f t="shared" si="2"/>
        <v>#REF!</v>
      </c>
      <c r="W6" s="107" t="e">
        <f>AVERAGE(#REF!)</f>
        <v>#REF!</v>
      </c>
      <c r="X6" s="106"/>
      <c r="Y6" s="107" t="e">
        <f t="shared" si="3"/>
        <v>#REF!</v>
      </c>
      <c r="Z6" s="106"/>
      <c r="AA6" s="105" t="e">
        <f t="shared" si="7"/>
        <v>#REF!</v>
      </c>
      <c r="AB6" s="105" t="e">
        <f t="shared" si="8"/>
        <v>#REF!</v>
      </c>
      <c r="AC6" s="105" t="e">
        <f t="shared" si="9"/>
        <v>#REF!</v>
      </c>
      <c r="AD6" s="105" t="e">
        <f t="shared" si="10"/>
        <v>#REF!</v>
      </c>
      <c r="AE6" s="105" t="e">
        <f t="shared" si="11"/>
        <v>#REF!</v>
      </c>
    </row>
    <row r="7" spans="1:31" x14ac:dyDescent="0.15">
      <c r="A7" s="106">
        <v>4</v>
      </c>
      <c r="B7" s="106" t="s">
        <v>75</v>
      </c>
      <c r="C7" s="106" t="e">
        <f>COUNTIF(#REF!,"م")</f>
        <v>#REF!</v>
      </c>
      <c r="D7" s="106" t="e">
        <f>COUNTIF(#REF!,"غ")</f>
        <v>#REF!</v>
      </c>
      <c r="E7" s="106" t="e">
        <f>COUNTIF(#REF!,"&gt;0")</f>
        <v>#REF!</v>
      </c>
      <c r="F7" s="106" t="e">
        <f>COUNTIF(#REF!,"=-1")</f>
        <v>#REF!</v>
      </c>
      <c r="G7" s="106" t="e">
        <f>SUM(#REF!)</f>
        <v>#REF!</v>
      </c>
      <c r="H7" s="107" t="e">
        <f t="shared" si="4"/>
        <v>#REF!</v>
      </c>
      <c r="I7" s="108" t="e">
        <f t="shared" si="5"/>
        <v>#REF!</v>
      </c>
      <c r="J7" s="108" t="e">
        <f t="shared" si="6"/>
        <v>#REF!</v>
      </c>
      <c r="K7" s="106" t="e">
        <f>SUMIF(#REF!,"مشرف",#REF!)</f>
        <v>#REF!</v>
      </c>
      <c r="L7" s="106" t="e">
        <f>SUMIF(#REF!,"معلم",#REF!)-N7</f>
        <v>#REF!</v>
      </c>
      <c r="M7" s="106" t="e">
        <f>SUMIF(#REF!,"معلم",#REF!)-O7</f>
        <v>#REF!</v>
      </c>
      <c r="N7" s="106" t="e">
        <f>SUMIFS(#REF!,#REF!,"معلم",#REF!,"إعادة")</f>
        <v>#REF!</v>
      </c>
      <c r="O7" s="106" t="e">
        <f>SUMIFS(#REF!,#REF!,"معلم",#REF!,"إعادة")</f>
        <v>#REF!</v>
      </c>
      <c r="P7" s="107" t="e">
        <f t="shared" si="0"/>
        <v>#REF!</v>
      </c>
      <c r="Q7" s="106" t="e">
        <f t="shared" si="1"/>
        <v>#REF!</v>
      </c>
      <c r="R7" s="106"/>
      <c r="S7" s="106" t="e">
        <f>SUM(#REF!)</f>
        <v>#REF!</v>
      </c>
      <c r="T7" s="106" t="e">
        <f>SUM(#REF!)</f>
        <v>#REF!</v>
      </c>
      <c r="U7" s="106">
        <v>165</v>
      </c>
      <c r="V7" s="109" t="e">
        <f t="shared" si="2"/>
        <v>#REF!</v>
      </c>
      <c r="W7" s="107" t="e">
        <f>AVERAGE(#REF!)</f>
        <v>#REF!</v>
      </c>
      <c r="X7" s="106"/>
      <c r="Y7" s="107" t="e">
        <f t="shared" si="3"/>
        <v>#REF!</v>
      </c>
      <c r="Z7" s="106"/>
      <c r="AA7" s="105" t="e">
        <f t="shared" si="7"/>
        <v>#REF!</v>
      </c>
      <c r="AB7" s="105" t="e">
        <f t="shared" si="8"/>
        <v>#REF!</v>
      </c>
      <c r="AC7" s="105" t="e">
        <f t="shared" si="9"/>
        <v>#REF!</v>
      </c>
      <c r="AD7" s="105" t="e">
        <f t="shared" si="10"/>
        <v>#REF!</v>
      </c>
      <c r="AE7" s="105" t="e">
        <f t="shared" si="11"/>
        <v>#REF!</v>
      </c>
    </row>
    <row r="8" spans="1:31" x14ac:dyDescent="0.15">
      <c r="A8" s="106">
        <v>5</v>
      </c>
      <c r="B8" s="106" t="s">
        <v>70</v>
      </c>
      <c r="C8" s="106" t="e">
        <f>COUNTIF(#REF!,"م")</f>
        <v>#REF!</v>
      </c>
      <c r="D8" s="106" t="e">
        <f>COUNTIF(#REF!,"غ")</f>
        <v>#REF!</v>
      </c>
      <c r="E8" s="106" t="e">
        <f>COUNTIF(#REF!,"&gt;0")</f>
        <v>#REF!</v>
      </c>
      <c r="F8" s="106" t="e">
        <f>COUNTIF(#REF!,"=-1")</f>
        <v>#REF!</v>
      </c>
      <c r="G8" s="106" t="e">
        <f>SUM(#REF!)</f>
        <v>#REF!</v>
      </c>
      <c r="H8" s="107" t="e">
        <f t="shared" si="4"/>
        <v>#REF!</v>
      </c>
      <c r="I8" s="108" t="e">
        <f t="shared" si="5"/>
        <v>#REF!</v>
      </c>
      <c r="J8" s="108" t="e">
        <f t="shared" si="6"/>
        <v>#REF!</v>
      </c>
      <c r="K8" s="106" t="e">
        <f>SUMIF(#REF!,"مشرف",#REF!)</f>
        <v>#REF!</v>
      </c>
      <c r="L8" s="106" t="e">
        <f>SUMIF(#REF!,"معلم",#REF!)-N8</f>
        <v>#REF!</v>
      </c>
      <c r="M8" s="106" t="e">
        <f>SUMIF(#REF!,"معلم",#REF!)-O8</f>
        <v>#REF!</v>
      </c>
      <c r="N8" s="106" t="e">
        <f>SUMIFS(#REF!,#REF!,"معلم",#REF!,"إعادة")</f>
        <v>#REF!</v>
      </c>
      <c r="O8" s="106" t="e">
        <f>SUMIFS(#REF!,#REF!,"معلم",#REF!,"إعادة")</f>
        <v>#REF!</v>
      </c>
      <c r="P8" s="107" t="e">
        <f t="shared" si="0"/>
        <v>#REF!</v>
      </c>
      <c r="Q8" s="106" t="e">
        <f t="shared" si="1"/>
        <v>#REF!</v>
      </c>
      <c r="R8" s="106"/>
      <c r="S8" s="106" t="e">
        <f>SUM(#REF!)</f>
        <v>#REF!</v>
      </c>
      <c r="T8" s="106" t="e">
        <f>SUM(#REF!)</f>
        <v>#REF!</v>
      </c>
      <c r="U8" s="106">
        <v>65</v>
      </c>
      <c r="V8" s="109" t="e">
        <f t="shared" si="2"/>
        <v>#REF!</v>
      </c>
      <c r="W8" s="107" t="e">
        <f>AVERAGE(#REF!)</f>
        <v>#REF!</v>
      </c>
      <c r="X8" s="106"/>
      <c r="Y8" s="107" t="e">
        <f t="shared" si="3"/>
        <v>#REF!</v>
      </c>
      <c r="Z8" s="106"/>
      <c r="AA8" s="105" t="e">
        <f t="shared" si="7"/>
        <v>#REF!</v>
      </c>
      <c r="AB8" s="105" t="e">
        <f t="shared" si="8"/>
        <v>#REF!</v>
      </c>
      <c r="AC8" s="105" t="e">
        <f t="shared" si="9"/>
        <v>#REF!</v>
      </c>
      <c r="AD8" s="105" t="e">
        <f t="shared" si="10"/>
        <v>#REF!</v>
      </c>
      <c r="AE8" s="105" t="e">
        <f t="shared" si="11"/>
        <v>#REF!</v>
      </c>
    </row>
    <row r="9" spans="1:31" x14ac:dyDescent="0.15">
      <c r="A9" s="106">
        <v>6</v>
      </c>
      <c r="B9" s="106" t="s">
        <v>64</v>
      </c>
      <c r="C9" s="106" t="e">
        <f>COUNTIF(#REF!,"م")</f>
        <v>#REF!</v>
      </c>
      <c r="D9" s="106" t="e">
        <f>COUNTIF(#REF!,"غ")</f>
        <v>#REF!</v>
      </c>
      <c r="E9" s="106" t="e">
        <f>COUNTIF(#REF!,"&gt;0")</f>
        <v>#REF!</v>
      </c>
      <c r="F9" s="106" t="e">
        <f>COUNTIF(#REF!,"=-1")</f>
        <v>#REF!</v>
      </c>
      <c r="G9" s="106" t="e">
        <f>SUM(#REF!)</f>
        <v>#REF!</v>
      </c>
      <c r="H9" s="107" t="e">
        <f t="shared" si="4"/>
        <v>#REF!</v>
      </c>
      <c r="I9" s="108" t="e">
        <f t="shared" si="5"/>
        <v>#REF!</v>
      </c>
      <c r="J9" s="108" t="e">
        <f t="shared" si="6"/>
        <v>#REF!</v>
      </c>
      <c r="K9" s="106" t="e">
        <f>SUMIF(#REF!,"مشرف",#REF!)</f>
        <v>#REF!</v>
      </c>
      <c r="L9" s="106" t="e">
        <f>SUMIF(#REF!,"معلم",#REF!)-N9</f>
        <v>#REF!</v>
      </c>
      <c r="M9" s="106" t="e">
        <f>SUMIF(#REF!,"معلم",#REF!)-O9</f>
        <v>#REF!</v>
      </c>
      <c r="N9" s="106" t="e">
        <f>SUMIFS(#REF!,#REF!,"معلم",#REF!,"إعادة")</f>
        <v>#REF!</v>
      </c>
      <c r="O9" s="106" t="e">
        <f>SUMIFS(#REF!,#REF!,"معلم",#REF!,"إعادة")</f>
        <v>#REF!</v>
      </c>
      <c r="P9" s="107" t="e">
        <f t="shared" si="0"/>
        <v>#REF!</v>
      </c>
      <c r="Q9" s="106" t="e">
        <f t="shared" si="1"/>
        <v>#REF!</v>
      </c>
      <c r="R9" s="106"/>
      <c r="S9" s="106" t="e">
        <f>SUM(#REF!)</f>
        <v>#REF!</v>
      </c>
      <c r="T9" s="106" t="e">
        <f>SUM(#REF!)</f>
        <v>#REF!</v>
      </c>
      <c r="U9" s="106">
        <v>402</v>
      </c>
      <c r="V9" s="109" t="e">
        <f t="shared" si="2"/>
        <v>#REF!</v>
      </c>
      <c r="W9" s="107" t="e">
        <f>AVERAGE(#REF!)</f>
        <v>#REF!</v>
      </c>
      <c r="X9" s="106"/>
      <c r="Y9" s="107" t="e">
        <f t="shared" si="3"/>
        <v>#REF!</v>
      </c>
      <c r="Z9" s="106"/>
      <c r="AA9" s="105" t="e">
        <f t="shared" si="7"/>
        <v>#REF!</v>
      </c>
      <c r="AB9" s="105" t="e">
        <f t="shared" si="8"/>
        <v>#REF!</v>
      </c>
      <c r="AC9" s="105" t="e">
        <f t="shared" si="9"/>
        <v>#REF!</v>
      </c>
      <c r="AD9" s="105" t="e">
        <f t="shared" si="10"/>
        <v>#REF!</v>
      </c>
      <c r="AE9" s="105" t="e">
        <f t="shared" si="11"/>
        <v>#REF!</v>
      </c>
    </row>
    <row r="10" spans="1:31" x14ac:dyDescent="0.15">
      <c r="A10" s="106">
        <v>7</v>
      </c>
      <c r="B10" s="106" t="s">
        <v>73</v>
      </c>
      <c r="C10" s="106" t="e">
        <f>COUNTIF(#REF!,"م")</f>
        <v>#REF!</v>
      </c>
      <c r="D10" s="106" t="e">
        <f>COUNTIF(#REF!,"غ")</f>
        <v>#REF!</v>
      </c>
      <c r="E10" s="106" t="e">
        <f>COUNTIF(#REF!,"&gt;0")</f>
        <v>#REF!</v>
      </c>
      <c r="F10" s="106" t="e">
        <f>COUNTIF(#REF!,"=-1")</f>
        <v>#REF!</v>
      </c>
      <c r="G10" s="106" t="e">
        <f>SUM(#REF!)</f>
        <v>#REF!</v>
      </c>
      <c r="H10" s="107" t="e">
        <f t="shared" si="4"/>
        <v>#REF!</v>
      </c>
      <c r="I10" s="108" t="e">
        <f t="shared" si="5"/>
        <v>#REF!</v>
      </c>
      <c r="J10" s="108" t="e">
        <f t="shared" si="6"/>
        <v>#REF!</v>
      </c>
      <c r="K10" s="106" t="e">
        <f>SUMIF(#REF!,"مشرف",#REF!)</f>
        <v>#REF!</v>
      </c>
      <c r="L10" s="106" t="e">
        <f>SUMIF(#REF!,"معلم",#REF!)-N10</f>
        <v>#REF!</v>
      </c>
      <c r="M10" s="106" t="e">
        <f>SUMIF(#REF!,"معلم",#REF!)-O10</f>
        <v>#REF!</v>
      </c>
      <c r="N10" s="106" t="e">
        <f>SUMIFS(#REF!,#REF!,"معلم",#REF!,"إعادة")</f>
        <v>#REF!</v>
      </c>
      <c r="O10" s="106" t="e">
        <f>SUMIFS(#REF!,#REF!,"معلم",#REF!,"إعادة")</f>
        <v>#REF!</v>
      </c>
      <c r="P10" s="107" t="e">
        <f t="shared" si="0"/>
        <v>#REF!</v>
      </c>
      <c r="Q10" s="106" t="e">
        <f t="shared" si="1"/>
        <v>#REF!</v>
      </c>
      <c r="R10" s="106"/>
      <c r="S10" s="106" t="e">
        <f>SUM(#REF!)</f>
        <v>#REF!</v>
      </c>
      <c r="T10" s="106" t="e">
        <f>SUM(#REF!)</f>
        <v>#REF!</v>
      </c>
      <c r="U10" s="106">
        <v>63</v>
      </c>
      <c r="V10" s="109" t="e">
        <f t="shared" si="2"/>
        <v>#REF!</v>
      </c>
      <c r="W10" s="107" t="e">
        <f>AVERAGE(#REF!)</f>
        <v>#REF!</v>
      </c>
      <c r="X10" s="106"/>
      <c r="Y10" s="107" t="e">
        <f t="shared" si="3"/>
        <v>#REF!</v>
      </c>
      <c r="Z10" s="106"/>
      <c r="AA10" s="105" t="e">
        <f t="shared" si="7"/>
        <v>#REF!</v>
      </c>
      <c r="AB10" s="105" t="e">
        <f t="shared" si="8"/>
        <v>#REF!</v>
      </c>
      <c r="AC10" s="105" t="e">
        <f t="shared" si="9"/>
        <v>#REF!</v>
      </c>
      <c r="AD10" s="105" t="e">
        <f t="shared" si="10"/>
        <v>#REF!</v>
      </c>
      <c r="AE10" s="105" t="e">
        <f t="shared" si="11"/>
        <v>#REF!</v>
      </c>
    </row>
    <row r="11" spans="1:31" x14ac:dyDescent="0.15">
      <c r="A11" s="106">
        <v>8</v>
      </c>
      <c r="B11" s="106" t="s">
        <v>65</v>
      </c>
      <c r="C11" s="106" t="e">
        <f>COUNTIF(#REF!,"م")</f>
        <v>#REF!</v>
      </c>
      <c r="D11" s="106" t="e">
        <f>COUNTIF(#REF!,"غ")</f>
        <v>#REF!</v>
      </c>
      <c r="E11" s="106" t="e">
        <f>COUNTIF(#REF!,"&gt;0")</f>
        <v>#REF!</v>
      </c>
      <c r="F11" s="106" t="e">
        <f>COUNTIF(#REF!,"=-1")</f>
        <v>#REF!</v>
      </c>
      <c r="G11" s="106" t="e">
        <f>SUM(#REF!)</f>
        <v>#REF!</v>
      </c>
      <c r="H11" s="107" t="e">
        <f t="shared" si="4"/>
        <v>#REF!</v>
      </c>
      <c r="I11" s="108" t="e">
        <f t="shared" si="5"/>
        <v>#REF!</v>
      </c>
      <c r="J11" s="108" t="e">
        <f t="shared" si="6"/>
        <v>#REF!</v>
      </c>
      <c r="K11" s="106" t="e">
        <f>SUMIF(#REF!,"مشرف",#REF!)</f>
        <v>#REF!</v>
      </c>
      <c r="L11" s="106" t="e">
        <f>SUMIF(#REF!,"معلم",#REF!)-N11</f>
        <v>#REF!</v>
      </c>
      <c r="M11" s="106" t="e">
        <f>SUMIF(#REF!,"معلم",#REF!)-O11</f>
        <v>#REF!</v>
      </c>
      <c r="N11" s="106" t="e">
        <f>SUMIFS(#REF!,#REF!,"معلم",#REF!,"إعادة")</f>
        <v>#REF!</v>
      </c>
      <c r="O11" s="106" t="e">
        <f>SUMIFS(#REF!,#REF!,"معلم",#REF!,"إعادة")</f>
        <v>#REF!</v>
      </c>
      <c r="P11" s="107" t="e">
        <f t="shared" si="0"/>
        <v>#REF!</v>
      </c>
      <c r="Q11" s="106" t="e">
        <f t="shared" si="1"/>
        <v>#REF!</v>
      </c>
      <c r="R11" s="106"/>
      <c r="S11" s="106" t="e">
        <f>SUM(#REF!)</f>
        <v>#REF!</v>
      </c>
      <c r="T11" s="106" t="e">
        <f>SUM(#REF!)</f>
        <v>#REF!</v>
      </c>
      <c r="U11" s="106">
        <v>144</v>
      </c>
      <c r="V11" s="109" t="e">
        <f t="shared" si="2"/>
        <v>#REF!</v>
      </c>
      <c r="W11" s="107" t="e">
        <f>AVERAGE(#REF!)</f>
        <v>#REF!</v>
      </c>
      <c r="X11" s="106"/>
      <c r="Y11" s="107" t="e">
        <f t="shared" si="3"/>
        <v>#REF!</v>
      </c>
      <c r="Z11" s="106"/>
      <c r="AA11" s="105" t="e">
        <f t="shared" si="7"/>
        <v>#REF!</v>
      </c>
      <c r="AB11" s="105" t="e">
        <f t="shared" si="8"/>
        <v>#REF!</v>
      </c>
      <c r="AC11" s="105" t="e">
        <f t="shared" si="9"/>
        <v>#REF!</v>
      </c>
      <c r="AD11" s="105" t="e">
        <f t="shared" si="10"/>
        <v>#REF!</v>
      </c>
      <c r="AE11" s="105" t="e">
        <f t="shared" si="11"/>
        <v>#REF!</v>
      </c>
    </row>
    <row r="12" spans="1:31" x14ac:dyDescent="0.15">
      <c r="A12" s="106">
        <v>9</v>
      </c>
      <c r="B12" s="106" t="s">
        <v>74</v>
      </c>
      <c r="C12" s="106" t="e">
        <f>COUNTIF(#REF!,"م")</f>
        <v>#REF!</v>
      </c>
      <c r="D12" s="106" t="e">
        <f>COUNTIF(#REF!,"غ")</f>
        <v>#REF!</v>
      </c>
      <c r="E12" s="106" t="e">
        <f>COUNTIF(#REF!,"&gt;0")</f>
        <v>#REF!</v>
      </c>
      <c r="F12" s="106" t="e">
        <f>COUNTIF(#REF!,"=-1")</f>
        <v>#REF!</v>
      </c>
      <c r="G12" s="106" t="e">
        <f>SUM(#REF!)</f>
        <v>#REF!</v>
      </c>
      <c r="H12" s="107" t="e">
        <f t="shared" si="4"/>
        <v>#REF!</v>
      </c>
      <c r="I12" s="108" t="e">
        <f t="shared" si="5"/>
        <v>#REF!</v>
      </c>
      <c r="J12" s="108" t="e">
        <f t="shared" si="6"/>
        <v>#REF!</v>
      </c>
      <c r="K12" s="106" t="e">
        <f>SUMIF(#REF!,"مشرف",#REF!)</f>
        <v>#REF!</v>
      </c>
      <c r="L12" s="106" t="e">
        <f>SUMIF(#REF!,"معلم",#REF!)-N12</f>
        <v>#REF!</v>
      </c>
      <c r="M12" s="106" t="e">
        <f>SUMIF(#REF!,"معلم",#REF!)-O12</f>
        <v>#REF!</v>
      </c>
      <c r="N12" s="106" t="e">
        <f>SUMIFS(#REF!,#REF!,"معلم",#REF!,"إعادة")</f>
        <v>#REF!</v>
      </c>
      <c r="O12" s="106" t="e">
        <f>SUMIFS(#REF!,#REF!,"معلم",#REF!,"إعادة")</f>
        <v>#REF!</v>
      </c>
      <c r="P12" s="107" t="e">
        <f t="shared" si="0"/>
        <v>#REF!</v>
      </c>
      <c r="Q12" s="106" t="e">
        <f t="shared" si="1"/>
        <v>#REF!</v>
      </c>
      <c r="R12" s="106"/>
      <c r="S12" s="106" t="e">
        <f>SUM(#REF!)</f>
        <v>#REF!</v>
      </c>
      <c r="T12" s="106" t="e">
        <f>SUM(#REF!)</f>
        <v>#REF!</v>
      </c>
      <c r="U12" s="106">
        <v>168</v>
      </c>
      <c r="V12" s="109" t="e">
        <f t="shared" si="2"/>
        <v>#REF!</v>
      </c>
      <c r="W12" s="107" t="e">
        <f>AVERAGE(#REF!)</f>
        <v>#REF!</v>
      </c>
      <c r="X12" s="106"/>
      <c r="Y12" s="107" t="e">
        <f t="shared" si="3"/>
        <v>#REF!</v>
      </c>
      <c r="Z12" s="106"/>
      <c r="AA12" s="105" t="e">
        <f t="shared" si="7"/>
        <v>#REF!</v>
      </c>
      <c r="AB12" s="105" t="e">
        <f t="shared" si="8"/>
        <v>#REF!</v>
      </c>
      <c r="AC12" s="105" t="e">
        <f t="shared" si="9"/>
        <v>#REF!</v>
      </c>
      <c r="AD12" s="105" t="e">
        <f t="shared" si="10"/>
        <v>#REF!</v>
      </c>
      <c r="AE12" s="105" t="e">
        <f t="shared" si="11"/>
        <v>#REF!</v>
      </c>
    </row>
    <row r="13" spans="1:31" x14ac:dyDescent="0.15">
      <c r="A13" s="106">
        <v>10</v>
      </c>
      <c r="B13" s="106" t="s">
        <v>68</v>
      </c>
      <c r="C13" s="106" t="e">
        <f>COUNTIF(#REF!,"م")</f>
        <v>#REF!</v>
      </c>
      <c r="D13" s="106" t="e">
        <f>COUNTIF(#REF!,"غ")</f>
        <v>#REF!</v>
      </c>
      <c r="E13" s="106" t="e">
        <f>COUNTIF(#REF!,"&gt;0")</f>
        <v>#REF!</v>
      </c>
      <c r="F13" s="106" t="e">
        <f>COUNTIF(#REF!,"=-1")</f>
        <v>#REF!</v>
      </c>
      <c r="G13" s="106" t="e">
        <f>SUM(#REF!)</f>
        <v>#REF!</v>
      </c>
      <c r="H13" s="107" t="e">
        <f t="shared" si="4"/>
        <v>#REF!</v>
      </c>
      <c r="I13" s="108" t="e">
        <f t="shared" si="5"/>
        <v>#REF!</v>
      </c>
      <c r="J13" s="108" t="e">
        <f t="shared" si="6"/>
        <v>#REF!</v>
      </c>
      <c r="K13" s="106" t="e">
        <f>SUMIF(#REF!,"مشرف",#REF!)</f>
        <v>#REF!</v>
      </c>
      <c r="L13" s="106" t="e">
        <f>SUMIF(#REF!,"معلم",#REF!)-N13</f>
        <v>#REF!</v>
      </c>
      <c r="M13" s="106" t="e">
        <f>SUMIF(#REF!,"معلم",#REF!)-O13</f>
        <v>#REF!</v>
      </c>
      <c r="N13" s="106" t="e">
        <f>SUMIFS(#REF!,#REF!,"معلم",#REF!,"إعادة")</f>
        <v>#REF!</v>
      </c>
      <c r="O13" s="106" t="e">
        <f>SUMIFS(#REF!,#REF!,"معلم",#REF!,"إعادة")</f>
        <v>#REF!</v>
      </c>
      <c r="P13" s="107" t="e">
        <f t="shared" si="0"/>
        <v>#REF!</v>
      </c>
      <c r="Q13" s="106" t="e">
        <f t="shared" si="1"/>
        <v>#REF!</v>
      </c>
      <c r="R13" s="106"/>
      <c r="S13" s="106" t="e">
        <f>SUM(#REF!)</f>
        <v>#REF!</v>
      </c>
      <c r="T13" s="106" t="e">
        <f>SUM(#REF!)</f>
        <v>#REF!</v>
      </c>
      <c r="U13" s="106">
        <v>55</v>
      </c>
      <c r="V13" s="109" t="e">
        <f t="shared" si="2"/>
        <v>#REF!</v>
      </c>
      <c r="W13" s="107" t="e">
        <f>AVERAGE(#REF!)</f>
        <v>#REF!</v>
      </c>
      <c r="X13" s="106"/>
      <c r="Y13" s="107" t="e">
        <f t="shared" si="3"/>
        <v>#REF!</v>
      </c>
      <c r="Z13" s="106"/>
      <c r="AA13" s="105" t="e">
        <f t="shared" si="7"/>
        <v>#REF!</v>
      </c>
      <c r="AB13" s="105" t="e">
        <f t="shared" si="8"/>
        <v>#REF!</v>
      </c>
      <c r="AC13" s="105" t="e">
        <f t="shared" si="9"/>
        <v>#REF!</v>
      </c>
      <c r="AD13" s="105" t="e">
        <f t="shared" si="10"/>
        <v>#REF!</v>
      </c>
      <c r="AE13" s="105" t="e">
        <f t="shared" si="11"/>
        <v>#REF!</v>
      </c>
    </row>
    <row r="14" spans="1:31" x14ac:dyDescent="0.15">
      <c r="A14" s="106">
        <v>11</v>
      </c>
      <c r="B14" s="106" t="s">
        <v>72</v>
      </c>
      <c r="C14" s="106" t="e">
        <f>COUNTIF(#REF!,"م")</f>
        <v>#REF!</v>
      </c>
      <c r="D14" s="106" t="e">
        <f>COUNTIF(#REF!,"غ")</f>
        <v>#REF!</v>
      </c>
      <c r="E14" s="106" t="e">
        <f>COUNTIF(#REF!,"&gt;0")</f>
        <v>#REF!</v>
      </c>
      <c r="F14" s="106" t="e">
        <f>COUNTIF(#REF!,"=-1")</f>
        <v>#REF!</v>
      </c>
      <c r="G14" s="106" t="e">
        <f>SUM(#REF!)</f>
        <v>#REF!</v>
      </c>
      <c r="H14" s="107" t="e">
        <f t="shared" si="4"/>
        <v>#REF!</v>
      </c>
      <c r="I14" s="108" t="e">
        <f t="shared" si="5"/>
        <v>#REF!</v>
      </c>
      <c r="J14" s="108" t="e">
        <f t="shared" si="6"/>
        <v>#REF!</v>
      </c>
      <c r="K14" s="106" t="e">
        <f>SUMIF(#REF!,"مشرف",#REF!)</f>
        <v>#REF!</v>
      </c>
      <c r="L14" s="106" t="e">
        <f>SUMIF(#REF!,"معلم",#REF!)-N14</f>
        <v>#REF!</v>
      </c>
      <c r="M14" s="106" t="e">
        <f>SUMIF(#REF!,"معلم",#REF!)-O14</f>
        <v>#REF!</v>
      </c>
      <c r="N14" s="106" t="e">
        <f>SUMIFS(#REF!,#REF!,"معلم",#REF!,"إعادة")</f>
        <v>#REF!</v>
      </c>
      <c r="O14" s="106" t="e">
        <f>SUMIFS(#REF!,#REF!,"معلم",#REF!,"إعادة")</f>
        <v>#REF!</v>
      </c>
      <c r="P14" s="107" t="e">
        <f t="shared" si="0"/>
        <v>#REF!</v>
      </c>
      <c r="Q14" s="106" t="e">
        <f t="shared" si="1"/>
        <v>#REF!</v>
      </c>
      <c r="R14" s="106"/>
      <c r="S14" s="106" t="e">
        <f>SUM(#REF!)</f>
        <v>#REF!</v>
      </c>
      <c r="T14" s="106" t="e">
        <f>SUM(#REF!)</f>
        <v>#REF!</v>
      </c>
      <c r="U14" s="106">
        <v>53</v>
      </c>
      <c r="V14" s="109" t="e">
        <f t="shared" si="2"/>
        <v>#REF!</v>
      </c>
      <c r="W14" s="107" t="e">
        <f>AVERAGE(#REF!)</f>
        <v>#REF!</v>
      </c>
      <c r="X14" s="106"/>
      <c r="Y14" s="107" t="e">
        <f t="shared" si="3"/>
        <v>#REF!</v>
      </c>
      <c r="Z14" s="106"/>
      <c r="AA14" s="105" t="e">
        <f t="shared" si="7"/>
        <v>#REF!</v>
      </c>
      <c r="AB14" s="105" t="e">
        <f t="shared" si="8"/>
        <v>#REF!</v>
      </c>
      <c r="AC14" s="105" t="e">
        <f t="shared" si="9"/>
        <v>#REF!</v>
      </c>
      <c r="AD14" s="105" t="e">
        <f t="shared" si="10"/>
        <v>#REF!</v>
      </c>
      <c r="AE14" s="105" t="e">
        <f t="shared" si="11"/>
        <v>#REF!</v>
      </c>
    </row>
    <row r="15" spans="1:31" x14ac:dyDescent="0.15">
      <c r="A15" s="106">
        <v>12</v>
      </c>
      <c r="B15" s="106" t="s">
        <v>66</v>
      </c>
      <c r="C15" s="106" t="e">
        <f>COUNTIF(#REF!,"م")</f>
        <v>#REF!</v>
      </c>
      <c r="D15" s="106" t="e">
        <f>COUNTIF(#REF!,"غ")</f>
        <v>#REF!</v>
      </c>
      <c r="E15" s="106" t="e">
        <f>COUNTIF(#REF!,"&gt;0")</f>
        <v>#REF!</v>
      </c>
      <c r="F15" s="106" t="e">
        <f>COUNTIF(#REF!,"=-1")</f>
        <v>#REF!</v>
      </c>
      <c r="G15" s="106" t="e">
        <f>SUM(#REF!)</f>
        <v>#REF!</v>
      </c>
      <c r="H15" s="107" t="e">
        <f t="shared" si="4"/>
        <v>#REF!</v>
      </c>
      <c r="I15" s="108" t="e">
        <f t="shared" si="5"/>
        <v>#REF!</v>
      </c>
      <c r="J15" s="108" t="e">
        <f t="shared" si="6"/>
        <v>#REF!</v>
      </c>
      <c r="K15" s="106" t="e">
        <f>SUMIF(#REF!,"مشرف",#REF!)</f>
        <v>#REF!</v>
      </c>
      <c r="L15" s="106" t="e">
        <f>SUMIF(#REF!,"معلم",#REF!)-N15</f>
        <v>#REF!</v>
      </c>
      <c r="M15" s="106" t="e">
        <f>SUMIF(#REF!,"معلم",#REF!)-O15</f>
        <v>#REF!</v>
      </c>
      <c r="N15" s="106" t="e">
        <f>SUMIFS(#REF!,#REF!,"معلم",#REF!,"إعادة")</f>
        <v>#REF!</v>
      </c>
      <c r="O15" s="106" t="e">
        <f>SUMIFS(#REF!,#REF!,"معلم",#REF!,"إعادة")</f>
        <v>#REF!</v>
      </c>
      <c r="P15" s="107" t="e">
        <f t="shared" si="0"/>
        <v>#REF!</v>
      </c>
      <c r="Q15" s="106" t="e">
        <f t="shared" si="1"/>
        <v>#REF!</v>
      </c>
      <c r="R15" s="106"/>
      <c r="S15" s="106" t="e">
        <f>SUM(#REF!)</f>
        <v>#REF!</v>
      </c>
      <c r="T15" s="106" t="e">
        <f>SUM(#REF!)</f>
        <v>#REF!</v>
      </c>
      <c r="U15" s="106">
        <v>78</v>
      </c>
      <c r="V15" s="109" t="e">
        <f t="shared" si="2"/>
        <v>#REF!</v>
      </c>
      <c r="W15" s="107" t="e">
        <f>AVERAGE(#REF!)</f>
        <v>#REF!</v>
      </c>
      <c r="X15" s="106"/>
      <c r="Y15" s="107" t="e">
        <f t="shared" si="3"/>
        <v>#REF!</v>
      </c>
      <c r="Z15" s="106"/>
      <c r="AA15" s="105" t="e">
        <f t="shared" si="7"/>
        <v>#REF!</v>
      </c>
      <c r="AB15" s="105" t="e">
        <f t="shared" si="8"/>
        <v>#REF!</v>
      </c>
      <c r="AC15" s="105" t="e">
        <f t="shared" si="9"/>
        <v>#REF!</v>
      </c>
      <c r="AD15" s="105" t="e">
        <f t="shared" si="10"/>
        <v>#REF!</v>
      </c>
      <c r="AE15" s="105" t="e">
        <f t="shared" si="11"/>
        <v>#REF!</v>
      </c>
    </row>
    <row r="16" spans="1:31" x14ac:dyDescent="0.1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103"/>
      <c r="Q16" s="103"/>
      <c r="R16" s="100"/>
      <c r="S16" s="103"/>
      <c r="T16" s="103"/>
      <c r="U16" s="75"/>
      <c r="V16" s="75"/>
    </row>
    <row r="17" spans="1:22" x14ac:dyDescent="0.15">
      <c r="A17" s="97"/>
      <c r="B17" s="112" t="s">
        <v>84</v>
      </c>
      <c r="C17" s="112">
        <f>COUNTA(حضور!C4:C35)</f>
        <v>15</v>
      </c>
      <c r="D17" s="102"/>
      <c r="E17" s="113" t="e">
        <f>SUM(E4:E15)</f>
        <v>#REF!</v>
      </c>
      <c r="F17" s="113" t="e">
        <f>SUM(F4:F15)</f>
        <v>#REF!</v>
      </c>
      <c r="G17" s="102"/>
      <c r="H17" s="99" t="e">
        <f>AVERAGE(H4:H15)</f>
        <v>#REF!</v>
      </c>
      <c r="I17" s="98"/>
      <c r="J17" s="98"/>
      <c r="K17" s="98" t="e">
        <f>SUM(K4:K15)</f>
        <v>#REF!</v>
      </c>
      <c r="L17" s="117" t="e">
        <f>SUM(L4:L15)</f>
        <v>#REF!</v>
      </c>
      <c r="M17" s="117" t="e">
        <f>SUM(M4:M15)</f>
        <v>#REF!</v>
      </c>
      <c r="N17" s="117" t="e">
        <f>SUM(N4:N15)</f>
        <v>#REF!</v>
      </c>
      <c r="O17" s="98" t="e">
        <f>SUM(O4:O15)</f>
        <v>#REF!</v>
      </c>
      <c r="P17" s="101" t="e">
        <f>AVERAGE(P4:P15)</f>
        <v>#REF!</v>
      </c>
      <c r="Q17" s="98"/>
      <c r="R17" s="98"/>
      <c r="S17" s="98" t="e">
        <f>SUM(S4:S15)</f>
        <v>#REF!</v>
      </c>
      <c r="T17" s="98" t="e">
        <f>SUM(T4:T15)</f>
        <v>#REF!</v>
      </c>
      <c r="U17" s="98"/>
      <c r="V17" s="98"/>
    </row>
    <row r="18" spans="1:22" x14ac:dyDescent="0.15">
      <c r="A18" s="75"/>
      <c r="B18" s="112" t="s">
        <v>77</v>
      </c>
      <c r="C18" s="112" t="e">
        <f>C19*100/C17</f>
        <v>#REF!</v>
      </c>
      <c r="D18" s="102"/>
      <c r="E18" s="287" t="s">
        <v>78</v>
      </c>
      <c r="F18" s="288"/>
      <c r="G18" s="102"/>
      <c r="H18" s="99"/>
      <c r="I18" s="98"/>
      <c r="J18" s="98"/>
      <c r="K18" s="98"/>
      <c r="L18" s="104"/>
      <c r="M18" s="104"/>
      <c r="N18" s="98"/>
      <c r="O18" s="98"/>
      <c r="P18" s="98"/>
      <c r="Q18" s="98"/>
      <c r="R18" s="98"/>
      <c r="S18" s="98"/>
      <c r="T18" s="98"/>
      <c r="U18" s="98"/>
      <c r="V18" s="98"/>
    </row>
    <row r="19" spans="1:22" x14ac:dyDescent="0.15">
      <c r="A19" s="75"/>
      <c r="B19" s="112" t="s">
        <v>76</v>
      </c>
      <c r="C19" s="112" t="e">
        <f>SUM(C4:C15)/12</f>
        <v>#REF!</v>
      </c>
      <c r="D19" s="102"/>
      <c r="E19" s="289" t="e">
        <f>F17/(F17+E17)*100</f>
        <v>#REF!</v>
      </c>
      <c r="F19" s="290"/>
      <c r="G19" s="102"/>
      <c r="H19" s="99"/>
      <c r="I19" s="98"/>
      <c r="J19" s="98"/>
      <c r="K19" s="98"/>
      <c r="L19" s="104"/>
      <c r="M19" s="104"/>
      <c r="N19" s="98"/>
      <c r="O19" s="98"/>
      <c r="P19" s="98"/>
      <c r="Q19" s="98"/>
      <c r="R19" s="98"/>
      <c r="S19" s="98"/>
      <c r="T19" s="98"/>
      <c r="U19" s="98"/>
      <c r="V19" s="98"/>
    </row>
    <row r="20" spans="1:22" x14ac:dyDescent="0.15">
      <c r="A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</row>
    <row r="21" spans="1:22" x14ac:dyDescent="0.15">
      <c r="A21" s="116">
        <v>1</v>
      </c>
      <c r="B21" s="116" t="e">
        <f>INDEX(B$4:B$15,MATCH(A21,AA$4:AA$16,0),1)</f>
        <v>#N/A</v>
      </c>
      <c r="C21" s="270" t="e">
        <f>INDEX(B$4:B$15,MATCH(A21,AB$4:AB$16,0),1)</f>
        <v>#N/A</v>
      </c>
      <c r="D21" s="270"/>
      <c r="E21" s="270"/>
      <c r="F21" s="270" t="e">
        <f>INDEX(B$4:B$15,MATCH(A21,AC$4:AC$16,0),1)</f>
        <v>#N/A</v>
      </c>
      <c r="G21" s="270"/>
      <c r="H21" s="270" t="e">
        <f>INDEX(B$4:B$15,MATCH(A21,AD$4:AD$16,0),1)</f>
        <v>#N/A</v>
      </c>
      <c r="I21" s="278"/>
      <c r="J21" s="270" t="e">
        <f>INDEX(B$4:B$15,MATCH(A21,AE$4:AE$16,0),1)</f>
        <v>#N/A</v>
      </c>
      <c r="K21" s="270"/>
      <c r="L21" s="270"/>
    </row>
    <row r="22" spans="1:22" x14ac:dyDescent="0.15">
      <c r="A22" s="116">
        <v>2</v>
      </c>
      <c r="B22" s="116" t="e">
        <f>INDEX(B$4:B$15,MATCH(A22,AA$4:AA$16,0),1)</f>
        <v>#N/A</v>
      </c>
      <c r="C22" s="270" t="e">
        <f>INDEX(B$4:B$15,MATCH(A22,AB$4:AB$16,0),1)</f>
        <v>#N/A</v>
      </c>
      <c r="D22" s="270"/>
      <c r="E22" s="270"/>
      <c r="F22" s="270" t="e">
        <f>INDEX(B$4:B$15,MATCH(A22,AC$4:AC$16,0),1)</f>
        <v>#N/A</v>
      </c>
      <c r="G22" s="270"/>
      <c r="H22" s="270" t="e">
        <f>INDEX(B$4:B$15,MATCH(A22,AD$4:AD$16,0),1)</f>
        <v>#N/A</v>
      </c>
      <c r="I22" s="278"/>
      <c r="J22" s="270" t="e">
        <f>INDEX(B$4:B$15,MATCH(A22,AE$4:AE$16,0),1)</f>
        <v>#N/A</v>
      </c>
      <c r="K22" s="270"/>
      <c r="L22" s="270"/>
    </row>
    <row r="23" spans="1:22" x14ac:dyDescent="0.15">
      <c r="A23" s="116">
        <v>3</v>
      </c>
      <c r="B23" s="116" t="e">
        <f>INDEX(B$4:B$15,MATCH(A23,AA$4:AA$16,0),1)</f>
        <v>#N/A</v>
      </c>
      <c r="C23" s="270" t="e">
        <f>INDEX(B$4:B$15,MATCH(A23,AB$4:AB$16,0),1)</f>
        <v>#N/A</v>
      </c>
      <c r="D23" s="270"/>
      <c r="E23" s="270"/>
      <c r="F23" s="270" t="e">
        <f>INDEX(B$4:B$15,MATCH(A23,AC$4:AC$16,0),1)</f>
        <v>#N/A</v>
      </c>
      <c r="G23" s="270"/>
      <c r="H23" s="270" t="e">
        <f>INDEX(B$4:B$15,MATCH(A23,AD$4:AD$16,0),1)</f>
        <v>#N/A</v>
      </c>
      <c r="I23" s="278"/>
      <c r="J23" s="270" t="e">
        <f>INDEX(B$4:B$15,MATCH(A23,AE$4:AE$16,0),1)</f>
        <v>#N/A</v>
      </c>
      <c r="K23" s="270"/>
      <c r="L23" s="270"/>
    </row>
    <row r="24" spans="1:22" x14ac:dyDescent="0.15">
      <c r="A24" s="116">
        <v>4</v>
      </c>
      <c r="B24" s="116" t="e">
        <f>INDEX(B$4:B$15,MATCH(A24,AA$4:AA$16,0),1)</f>
        <v>#N/A</v>
      </c>
      <c r="C24" s="270" t="e">
        <f>INDEX(B$4:B$15,MATCH(A24,AB$4:AB$16,0),1)</f>
        <v>#N/A</v>
      </c>
      <c r="D24" s="270"/>
      <c r="E24" s="270"/>
      <c r="F24" s="270" t="e">
        <f>INDEX(B$4:B$15,MATCH(A24,AC$4:AC$16,0),1)</f>
        <v>#N/A</v>
      </c>
      <c r="G24" s="270"/>
      <c r="H24" s="270" t="e">
        <f>INDEX(B$4:B$15,MATCH(A24,AD$4:AD$16,0),1)</f>
        <v>#N/A</v>
      </c>
      <c r="I24" s="278"/>
      <c r="J24" s="270" t="e">
        <f>INDEX(B$4:B$15,MATCH(A24,AE$4:AE$16,0),1)</f>
        <v>#N/A</v>
      </c>
      <c r="K24" s="270"/>
      <c r="L24" s="270"/>
    </row>
    <row r="25" spans="1:22" x14ac:dyDescent="0.15">
      <c r="A25" s="116">
        <v>5</v>
      </c>
      <c r="B25" s="116" t="e">
        <f>INDEX(B$4:B$15,MATCH(A25,AA$4:AA$16,0),1)</f>
        <v>#N/A</v>
      </c>
      <c r="C25" s="270" t="e">
        <f>INDEX(B$4:B$15,MATCH(A25,AB$4:AB$16,0),1)</f>
        <v>#N/A</v>
      </c>
      <c r="D25" s="270"/>
      <c r="E25" s="270"/>
      <c r="F25" s="270" t="e">
        <f>INDEX(B$4:B$15,MATCH(A25,AC$4:AC$16,0),1)</f>
        <v>#N/A</v>
      </c>
      <c r="G25" s="270"/>
      <c r="H25" s="270" t="e">
        <f>INDEX(B$4:B$15,MATCH(A25,AD$4:AD$16,0),1)</f>
        <v>#N/A</v>
      </c>
      <c r="I25" s="278"/>
      <c r="J25" s="270" t="e">
        <f>INDEX(B$4:B$15,MATCH(A25,AE$4:AE$16,0),1)</f>
        <v>#N/A</v>
      </c>
      <c r="K25" s="270"/>
      <c r="L25" s="270"/>
    </row>
    <row r="26" spans="1:22" x14ac:dyDescent="0.15">
      <c r="A26" s="116">
        <v>6</v>
      </c>
      <c r="B26" s="116" t="e">
        <f>INDEX(B$4:B$15,MATCH(A26,AA$4:AA$16,0),1)</f>
        <v>#N/A</v>
      </c>
      <c r="C26" s="270" t="e">
        <f>INDEX(B$4:B$15,MATCH(A26,AB$4:AB$16,0),1)</f>
        <v>#N/A</v>
      </c>
      <c r="D26" s="270"/>
      <c r="E26" s="270"/>
      <c r="F26" s="270" t="e">
        <f>INDEX(B$4:B$15,MATCH(A26,AC$4:AC$16,0),1)</f>
        <v>#N/A</v>
      </c>
      <c r="G26" s="270"/>
      <c r="H26" s="270" t="e">
        <f>INDEX(B$4:B$15,MATCH(A26,AD$4:AD$16,0),1)</f>
        <v>#N/A</v>
      </c>
      <c r="I26" s="278"/>
      <c r="J26" s="270" t="e">
        <f>INDEX(B$4:B$15,MATCH(A26,AE$4:AE$16,0),1)</f>
        <v>#N/A</v>
      </c>
      <c r="K26" s="270"/>
      <c r="L26" s="270"/>
    </row>
    <row r="27" spans="1:22" x14ac:dyDescent="0.15">
      <c r="A27" s="116">
        <v>7</v>
      </c>
      <c r="B27" s="116" t="e">
        <f>INDEX(B$4:B$15,MATCH(A27,AA$4:AA$16,0),1)</f>
        <v>#N/A</v>
      </c>
      <c r="C27" s="270" t="e">
        <f>INDEX(B$4:B$15,MATCH(A27,AB$4:AB$16,0),1)</f>
        <v>#N/A</v>
      </c>
      <c r="D27" s="270"/>
      <c r="E27" s="270"/>
      <c r="F27" s="270" t="e">
        <f>INDEX(B$4:B$15,MATCH(A27,AC$4:AC$16,0),1)</f>
        <v>#N/A</v>
      </c>
      <c r="G27" s="270"/>
      <c r="H27" s="270" t="e">
        <f>INDEX(B$4:B$15,MATCH(A27,AD$4:AD$16,0),1)</f>
        <v>#N/A</v>
      </c>
      <c r="I27" s="278"/>
      <c r="J27" s="270" t="e">
        <f>INDEX(B$4:B$15,MATCH(A27,AE$4:AE$16,0),1)</f>
        <v>#N/A</v>
      </c>
      <c r="K27" s="270"/>
      <c r="L27" s="270"/>
    </row>
    <row r="28" spans="1:22" x14ac:dyDescent="0.15">
      <c r="A28" s="116">
        <v>8</v>
      </c>
      <c r="B28" s="116" t="e">
        <f>INDEX(B$4:B$15,MATCH(A28,AA$4:AA$16,0),1)</f>
        <v>#N/A</v>
      </c>
      <c r="C28" s="270" t="e">
        <f>INDEX(B$4:B$15,MATCH(A28,AB$4:AB$16,0),1)</f>
        <v>#N/A</v>
      </c>
      <c r="D28" s="270"/>
      <c r="E28" s="270"/>
      <c r="F28" s="270" t="e">
        <f>INDEX(B$4:B$15,MATCH(A28,AC$4:AC$16,0),1)</f>
        <v>#N/A</v>
      </c>
      <c r="G28" s="270"/>
      <c r="H28" s="270" t="e">
        <f>INDEX(B$4:B$15,MATCH(A28,AD$4:AD$16,0),1)</f>
        <v>#N/A</v>
      </c>
      <c r="I28" s="278"/>
      <c r="J28" s="270" t="e">
        <f>INDEX(B$4:B$15,MATCH(A28,AE$4:AE$16,0),1)</f>
        <v>#N/A</v>
      </c>
      <c r="K28" s="270"/>
      <c r="L28" s="270"/>
    </row>
    <row r="29" spans="1:22" x14ac:dyDescent="0.15">
      <c r="A29" s="116">
        <v>9</v>
      </c>
      <c r="B29" s="116" t="e">
        <f>INDEX(B$4:B$15,MATCH(A29,AA$4:AA$16,0),1)</f>
        <v>#N/A</v>
      </c>
      <c r="C29" s="270" t="e">
        <f>INDEX(B$4:B$15,MATCH(A29,AB$4:AB$16,0),1)</f>
        <v>#N/A</v>
      </c>
      <c r="D29" s="270"/>
      <c r="E29" s="270"/>
      <c r="F29" s="270" t="e">
        <f>INDEX(B$4:B$15,MATCH(A29,AC$4:AC$16,0),1)</f>
        <v>#N/A</v>
      </c>
      <c r="G29" s="270"/>
      <c r="H29" s="270" t="e">
        <f>INDEX(B$4:B$15,MATCH(A29,AD$4:AD$16,0),1)</f>
        <v>#N/A</v>
      </c>
      <c r="I29" s="278"/>
      <c r="J29" s="270" t="e">
        <f>INDEX(B$4:B$15,MATCH(A29,AE$4:AE$16,0),1)</f>
        <v>#N/A</v>
      </c>
      <c r="K29" s="270"/>
      <c r="L29" s="270"/>
    </row>
    <row r="30" spans="1:22" x14ac:dyDescent="0.15">
      <c r="A30" s="116">
        <v>10</v>
      </c>
      <c r="B30" s="116" t="e">
        <f>INDEX(B$4:B$15,MATCH(A30,AA$4:AA$16,0),1)</f>
        <v>#N/A</v>
      </c>
      <c r="C30" s="270" t="e">
        <f>INDEX(B$4:B$15,MATCH(A30,AB$4:AB$16,0),1)</f>
        <v>#N/A</v>
      </c>
      <c r="D30" s="270"/>
      <c r="E30" s="270"/>
      <c r="F30" s="270" t="e">
        <f>INDEX(B$4:B$15,MATCH(A30,AC$4:AC$16,0),1)</f>
        <v>#N/A</v>
      </c>
      <c r="G30" s="270"/>
      <c r="H30" s="270" t="e">
        <f>INDEX(B$4:B$15,MATCH(A30,AD$4:AD$16,0),1)</f>
        <v>#N/A</v>
      </c>
      <c r="I30" s="278"/>
      <c r="J30" s="270" t="e">
        <f>INDEX(B$4:B$15,MATCH(A30,AE$4:AE$16,0),1)</f>
        <v>#N/A</v>
      </c>
      <c r="K30" s="270"/>
      <c r="L30" s="270"/>
    </row>
    <row r="31" spans="1:22" x14ac:dyDescent="0.15">
      <c r="A31" s="116">
        <v>11</v>
      </c>
      <c r="B31" s="116" t="e">
        <f>INDEX(B$4:B$15,MATCH(A31,AA$4:AA$16,0),1)</f>
        <v>#N/A</v>
      </c>
      <c r="C31" s="270" t="e">
        <f>INDEX(B$4:B$15,MATCH(A31,AB$4:AB$16,0),1)</f>
        <v>#N/A</v>
      </c>
      <c r="D31" s="270"/>
      <c r="E31" s="270"/>
      <c r="F31" s="270" t="e">
        <f>INDEX(B$4:B$15,MATCH(A31,AC$4:AC$16,0),1)</f>
        <v>#N/A</v>
      </c>
      <c r="G31" s="270"/>
      <c r="H31" s="270" t="e">
        <f>INDEX(B$4:B$15,MATCH(A31,AD$4:AD$16,0),1)</f>
        <v>#N/A</v>
      </c>
      <c r="I31" s="278"/>
      <c r="J31" s="270" t="e">
        <f>INDEX(B$4:B$15,MATCH(A31,AE$4:AE$16,0),1)</f>
        <v>#N/A</v>
      </c>
      <c r="K31" s="270"/>
      <c r="L31" s="270"/>
    </row>
    <row r="32" spans="1:22" x14ac:dyDescent="0.15">
      <c r="A32" s="116">
        <v>12</v>
      </c>
      <c r="B32" s="116" t="e">
        <f>INDEX(B$4:B$15,MATCH(A32,AA$4:AA$16,0),1)</f>
        <v>#N/A</v>
      </c>
      <c r="C32" s="270" t="e">
        <f>INDEX(B$4:B$15,MATCH(A32,AB$4:AB$16,0),1)</f>
        <v>#N/A</v>
      </c>
      <c r="D32" s="270"/>
      <c r="E32" s="270"/>
      <c r="F32" s="270" t="e">
        <f>INDEX(B$4:B$15,MATCH(A32,AC$4:AC$16,0),1)</f>
        <v>#N/A</v>
      </c>
      <c r="G32" s="270"/>
      <c r="H32" s="270" t="e">
        <f>INDEX(B$4:B$15,MATCH(A32,AD$4:AD$16,0),1)</f>
        <v>#N/A</v>
      </c>
      <c r="I32" s="278"/>
      <c r="J32" s="270" t="e">
        <f>INDEX(B$4:B$15,MATCH(A32,AE$4:AE$16,0),1)</f>
        <v>#N/A</v>
      </c>
      <c r="K32" s="270"/>
      <c r="L32" s="270"/>
    </row>
  </sheetData>
  <sortState ref="B4:V15">
    <sortCondition ref="B4:B15"/>
  </sortState>
  <mergeCells count="71">
    <mergeCell ref="J30:L30"/>
    <mergeCell ref="J31:L31"/>
    <mergeCell ref="J32:L32"/>
    <mergeCell ref="J25:L25"/>
    <mergeCell ref="J26:L26"/>
    <mergeCell ref="J27:L27"/>
    <mergeCell ref="J28:L28"/>
    <mergeCell ref="J29:L29"/>
    <mergeCell ref="H32:I32"/>
    <mergeCell ref="H31:I31"/>
    <mergeCell ref="H30:I30"/>
    <mergeCell ref="H29:I29"/>
    <mergeCell ref="H28:I28"/>
    <mergeCell ref="C32:E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C25:E25"/>
    <mergeCell ref="C26:E26"/>
    <mergeCell ref="C27:E27"/>
    <mergeCell ref="H27:I27"/>
    <mergeCell ref="H26:I26"/>
    <mergeCell ref="H25:I25"/>
    <mergeCell ref="H24:I24"/>
    <mergeCell ref="H23:I23"/>
    <mergeCell ref="J23:L23"/>
    <mergeCell ref="J24:L24"/>
    <mergeCell ref="C22:E22"/>
    <mergeCell ref="C23:E23"/>
    <mergeCell ref="C24:E24"/>
    <mergeCell ref="C28:E28"/>
    <mergeCell ref="C29:E29"/>
    <mergeCell ref="C30:E30"/>
    <mergeCell ref="C31:E31"/>
    <mergeCell ref="AE2:AE3"/>
    <mergeCell ref="AD2:AD3"/>
    <mergeCell ref="L2:M2"/>
    <mergeCell ref="AC2:AC3"/>
    <mergeCell ref="C2:D2"/>
    <mergeCell ref="C21:E21"/>
    <mergeCell ref="H21:I21"/>
    <mergeCell ref="J21:L21"/>
    <mergeCell ref="E18:F18"/>
    <mergeCell ref="E19:F19"/>
    <mergeCell ref="H22:I22"/>
    <mergeCell ref="J22:L22"/>
    <mergeCell ref="A1:V1"/>
    <mergeCell ref="AA2:AA3"/>
    <mergeCell ref="AB2:AB3"/>
    <mergeCell ref="I2:J2"/>
    <mergeCell ref="K2:K3"/>
    <mergeCell ref="W2:X2"/>
    <mergeCell ref="Y2:Z2"/>
    <mergeCell ref="B2:B3"/>
    <mergeCell ref="A2:A3"/>
    <mergeCell ref="N2:O2"/>
    <mergeCell ref="P2:P3"/>
    <mergeCell ref="Q2:R3"/>
    <mergeCell ref="S2:T2"/>
    <mergeCell ref="U2:V2"/>
    <mergeCell ref="H2:H3"/>
    <mergeCell ref="E2:G2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حضور</vt:lpstr>
      <vt:lpstr>استماع</vt:lpstr>
      <vt:lpstr>اختبار</vt:lpstr>
      <vt:lpstr>ثنائي</vt:lpstr>
      <vt:lpstr>فردي</vt:lpstr>
      <vt:lpstr>صفحات</vt:lpstr>
      <vt:lpstr>اجزاء</vt:lpstr>
      <vt:lpstr>ك يومي</vt:lpstr>
      <vt:lpstr>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albayan</dc:creator>
  <cp:lastModifiedBy>DR.Ahmed Saker 2O14</cp:lastModifiedBy>
  <dcterms:created xsi:type="dcterms:W3CDTF">2019-06-27T21:57:52Z</dcterms:created>
  <dcterms:modified xsi:type="dcterms:W3CDTF">2019-06-27T21:57:52Z</dcterms:modified>
</cp:coreProperties>
</file>