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75" yWindow="-30" windowWidth="15600" windowHeight="10275" tabRatio="878" firstSheet="1" activeTab="1"/>
  </bookViews>
  <sheets>
    <sheet name="أدخال البيانات" sheetId="1" state="hidden" r:id="rId1"/>
    <sheet name="أدخال  البيانات" sheetId="16" r:id="rId2"/>
    <sheet name="حساب التركة والوصايا" sheetId="2" r:id="rId3"/>
    <sheet name="شرح الحالة" sheetId="3" r:id="rId4"/>
    <sheet name="الأجـــازة للوصايا" sheetId="4" r:id="rId5"/>
    <sheet name="أقرأ (2)" sheetId="5" r:id="rId6"/>
    <sheet name="Sheet5" sheetId="6" state="hidden" r:id="rId7"/>
    <sheet name="ورقة أجازة وعدم الأجازة للمختصن" sheetId="7" state="hidden" r:id="rId8"/>
    <sheet name="(2) " sheetId="8" state="hidden" r:id="rId9"/>
    <sheet name="(3) " sheetId="9" state="hidden" r:id="rId10"/>
    <sheet name="(4) " sheetId="10" state="hidden" r:id="rId11"/>
    <sheet name="(5) " sheetId="11" state="hidden" r:id="rId12"/>
    <sheet name="(6) " sheetId="12" state="hidden" r:id="rId13"/>
    <sheet name="(7) " sheetId="13" state="hidden" r:id="rId14"/>
    <sheet name="طريقة العمل" sheetId="14" r:id="rId15"/>
    <sheet name="ورقة غير محمية للسحب والطباعة " sheetId="15" r:id="rId16"/>
    <sheet name="Sheet2" sheetId="18" r:id="rId17"/>
  </sheets>
  <definedNames>
    <definedName name="_xlnm._FilterDatabase" localSheetId="8" hidden="1">'(2) '!$F$2:$AR$28</definedName>
    <definedName name="_xlnm._FilterDatabase" localSheetId="9" hidden="1">'(3) '!$F$2:$AR$28</definedName>
    <definedName name="_xlnm._FilterDatabase" localSheetId="10" hidden="1">'(4) '!$F$2:$AR$28</definedName>
    <definedName name="_xlnm._FilterDatabase" localSheetId="11" hidden="1">'(5) '!$F$2:$AR$28</definedName>
    <definedName name="_xlnm._FilterDatabase" localSheetId="12" hidden="1">'(6) '!$F$2:$AR$28</definedName>
    <definedName name="_xlnm._FilterDatabase" localSheetId="13" hidden="1">'(7) '!$F$2:$AR$28</definedName>
    <definedName name="_xlnm._FilterDatabase" localSheetId="0" hidden="1">'أدخال البيانات'!$F$8:$F$41</definedName>
    <definedName name="_xlnm._FilterDatabase" localSheetId="4" hidden="1">'الأجـــازة للوصايا'!$H$63:$N$153</definedName>
    <definedName name="_xlnm._FilterDatabase" localSheetId="3" hidden="1">'شرح الحالة'!$AO$8:$AO$141</definedName>
    <definedName name="_xlnm._FilterDatabase" localSheetId="14" hidden="1">'طريقة العمل'!$E$10:$E$1171</definedName>
    <definedName name="_xlnm._FilterDatabase" localSheetId="7" hidden="1">'ورقة أجازة وعدم الأجازة للمختصن'!$E$2:$AS$28</definedName>
    <definedName name="_xlnm.Criteria" localSheetId="8">'(2) '!$M$11:$P$27</definedName>
    <definedName name="_xlnm.Criteria" localSheetId="9">'(3) '!$M$11:$P$27</definedName>
    <definedName name="_xlnm.Criteria" localSheetId="10">'(4) '!$M$11:$P$27</definedName>
    <definedName name="_xlnm.Criteria" localSheetId="11">'(5) '!$M$11:$P$27</definedName>
    <definedName name="_xlnm.Criteria" localSheetId="12">'(6) '!$M$11:$P$27</definedName>
    <definedName name="_xlnm.Criteria" localSheetId="13">'(7) '!$M$11:$P$27</definedName>
    <definedName name="_xlnm.Criteria" localSheetId="4">'الأجـــازة للوصايا'!$H$11:$R$27</definedName>
    <definedName name="_xlnm.Criteria" localSheetId="7">'ورقة أجازة وعدم الأجازة للمختصن'!$E$11:$Q$27</definedName>
    <definedName name="_xlnm.Print_Area" localSheetId="0">'أدخال البيانات'!$D$3:$V$24</definedName>
    <definedName name="_xlnm.Print_Area" localSheetId="14">'طريقة العمل'!$A$1:$J$69</definedName>
    <definedName name="Z_257D8C62_BEC4_42F5_9011_98FE74A056C5_.wvu.Cols" localSheetId="6" hidden="1">Sheet5!$A:$AA</definedName>
    <definedName name="Z_257D8C62_BEC4_42F5_9011_98FE74A056C5_.wvu.Cols" localSheetId="0" hidden="1">'أدخال البيانات'!$A:$C,'أدخال البيانات'!$I:$I,'أدخال البيانات'!$P:$P,'أدخال البيانات'!$T:$U,'أدخال البيانات'!$W:$AL</definedName>
    <definedName name="Z_257D8C62_BEC4_42F5_9011_98FE74A056C5_.wvu.Cols" localSheetId="3" hidden="1">'شرح الحالة'!$A:$E,'شرح الحالة'!$P:$AN,'شرح الحالة'!$AP:$CA</definedName>
    <definedName name="Z_257D8C62_BEC4_42F5_9011_98FE74A056C5_.wvu.Cols" localSheetId="14" hidden="1">'طريقة العمل'!$A:$B,'طريقة العمل'!$D:$D,'طريقة العمل'!$F:$F,'طريقة العمل'!$K:$AK,'طريقة العمل'!$AM:$AO</definedName>
    <definedName name="Z_257D8C62_BEC4_42F5_9011_98FE74A056C5_.wvu.FilterData" localSheetId="3" hidden="1">'شرح الحالة'!$AO$8:$AO$141</definedName>
    <definedName name="Z_257D8C62_BEC4_42F5_9011_98FE74A056C5_.wvu.FilterData" localSheetId="14" hidden="1">'طريقة العمل'!$A$10:$J$47</definedName>
    <definedName name="Z_257D8C62_BEC4_42F5_9011_98FE74A056C5_.wvu.Rows" localSheetId="0" hidden="1">'أدخال البيانات'!$1:$1,'أدخال البيانات'!$25:$97</definedName>
    <definedName name="Z_257D8C62_BEC4_42F5_9011_98FE74A056C5_.wvu.Rows" localSheetId="3" hidden="1">'شرح الحالة'!$2:$6</definedName>
    <definedName name="Z_257D8C62_BEC4_42F5_9011_98FE74A056C5_.wvu.Rows" localSheetId="14" hidden="1">'طريقة العمل'!$1:$3,'طريقة العمل'!$6:$6,'طريقة العمل'!$8:$8</definedName>
    <definedName name="Z_998369C8_AF8D_4C69_81C1_DF462985F742_.wvu.Cols" localSheetId="6" hidden="1">Sheet5!$A:$X</definedName>
    <definedName name="Z_998369C8_AF8D_4C69_81C1_DF462985F742_.wvu.Cols" localSheetId="0" hidden="1">'أدخال البيانات'!$A:$C,'أدخال البيانات'!$I:$I,'أدخال البيانات'!$P:$P,'أدخال البيانات'!$T:$U,'أدخال البيانات'!$W:$AL</definedName>
    <definedName name="Z_998369C8_AF8D_4C69_81C1_DF462985F742_.wvu.Cols" localSheetId="3" hidden="1">'شرح الحالة'!$D:$E</definedName>
    <definedName name="Z_998369C8_AF8D_4C69_81C1_DF462985F742_.wvu.Cols" localSheetId="14" hidden="1">'طريقة العمل'!$B:$B,'طريقة العمل'!$D:$D,'طريقة العمل'!$K:$AJ</definedName>
    <definedName name="Z_998369C8_AF8D_4C69_81C1_DF462985F742_.wvu.FilterData" localSheetId="14" hidden="1">'طريقة العمل'!$E$10:$E$80</definedName>
    <definedName name="Z_998369C8_AF8D_4C69_81C1_DF462985F742_.wvu.PrintArea" localSheetId="0" hidden="1">'أدخال البيانات'!$D$3:$V$24</definedName>
    <definedName name="Z_998369C8_AF8D_4C69_81C1_DF462985F742_.wvu.PrintArea" localSheetId="14" hidden="1">'طريقة العمل'!$A$1:$J$69</definedName>
    <definedName name="Z_998369C8_AF8D_4C69_81C1_DF462985F742_.wvu.Rows" localSheetId="0" hidden="1">'أدخال البيانات'!$1:$1,'أدخال البيانات'!$25:$97</definedName>
    <definedName name="Z_998369C8_AF8D_4C69_81C1_DF462985F742_.wvu.Rows" localSheetId="3" hidden="1">'شرح الحالة'!$2:$6</definedName>
    <definedName name="Z_998369C8_AF8D_4C69_81C1_DF462985F742_.wvu.Rows" localSheetId="14" hidden="1">'طريقة العمل'!$1:$2,'طريقة العمل'!$6:$6,'طريقة العمل'!$8:$8</definedName>
    <definedName name="Z_D786A5C0_FBC0_4F24_9F75_D436CA99DC6C_.wvu.Cols" localSheetId="8" hidden="1">'(2) '!$A:$A,'(2) '!$C:$D,'(2) '!$H:$H,'(2) '!$M:$AO</definedName>
    <definedName name="Z_D786A5C0_FBC0_4F24_9F75_D436CA99DC6C_.wvu.Cols" localSheetId="9" hidden="1">'(3) '!$A:$A,'(3) '!$H:$H,'(3) '!$N:$N,'(3) '!$P:$AI,'(3) '!$AK:$AO</definedName>
    <definedName name="Z_D786A5C0_FBC0_4F24_9F75_D436CA99DC6C_.wvu.Cols" localSheetId="10" hidden="1">'(4) '!$A:$A,'(4) '!$H:$H,'(4) '!$N:$N,'(4) '!$P:$AI,'(4) '!$AK:$AO</definedName>
    <definedName name="Z_D786A5C0_FBC0_4F24_9F75_D436CA99DC6C_.wvu.Cols" localSheetId="11" hidden="1">'(5) '!$A:$A,'(5) '!$H:$H,'(5) '!$N:$N,'(5) '!$P:$AI,'(5) '!$AK:$AO</definedName>
    <definedName name="Z_D786A5C0_FBC0_4F24_9F75_D436CA99DC6C_.wvu.Cols" localSheetId="12" hidden="1">'(6) '!$A:$A,'(6) '!$H:$H,'(6) '!$N:$N,'(6) '!$P:$AI,'(6) '!$AK:$AP</definedName>
    <definedName name="Z_D786A5C0_FBC0_4F24_9F75_D436CA99DC6C_.wvu.Cols" localSheetId="13" hidden="1">'(7) '!$A:$A,'(7) '!$H:$H,'(7) '!$N:$N,'(7) '!$P:$AI,'(7) '!$AK:$AO</definedName>
    <definedName name="Z_D786A5C0_FBC0_4F24_9F75_D436CA99DC6C_.wvu.Cols" localSheetId="6" hidden="1">Sheet5!$A:$X</definedName>
    <definedName name="Z_D786A5C0_FBC0_4F24_9F75_D436CA99DC6C_.wvu.Cols" localSheetId="0" hidden="1">'أدخال البيانات'!$A:$C,'أدخال البيانات'!$I:$J,'أدخال البيانات'!$P:$P,'أدخال البيانات'!$X:$AZ</definedName>
    <definedName name="Z_D786A5C0_FBC0_4F24_9F75_D436CA99DC6C_.wvu.Cols" localSheetId="4" hidden="1">'الأجـــازة للوصايا'!$A:$E,'الأجـــازة للوصايا'!$J:$J,'الأجـــازة للوصايا'!$O:$AQ,'الأجـــازة للوصايا'!$AS:$BA,'الأجـــازة للوصايا'!$BC:$BC,'الأجـــازة للوصايا'!$BK:$BK,'الأجـــازة للوصايا'!$BS:$BS,'الأجـــازة للوصايا'!$CA:$CA,'الأجـــازة للوصايا'!$CI:$CI</definedName>
    <definedName name="Z_D786A5C0_FBC0_4F24_9F75_D436CA99DC6C_.wvu.Cols" localSheetId="2" hidden="1">'حساب التركة والوصايا'!$A:$J,'حساب التركة والوصايا'!$W:$AD</definedName>
    <definedName name="Z_D786A5C0_FBC0_4F24_9F75_D436CA99DC6C_.wvu.Cols" localSheetId="3" hidden="1">'شرح الحالة'!$A:$AS,'شرح الحالة'!$AZ:$BA</definedName>
    <definedName name="Z_D786A5C0_FBC0_4F24_9F75_D436CA99DC6C_.wvu.Cols" localSheetId="14" hidden="1">'طريقة العمل'!$A:$E,'طريقة العمل'!$M:$AI</definedName>
    <definedName name="Z_D786A5C0_FBC0_4F24_9F75_D436CA99DC6C_.wvu.Cols" localSheetId="7" hidden="1">'ورقة أجازة وعدم الأجازة للمختصن'!$I:$I,'ورقة أجازة وعدم الأجازة للمختصن'!$N:$AJ,'ورقة أجازة وعدم الأجازة للمختصن'!$AL:$BB</definedName>
    <definedName name="Z_D786A5C0_FBC0_4F24_9F75_D436CA99DC6C_.wvu.Cols" localSheetId="15" hidden="1">'ورقة غير محمية للسحب والطباعة '!$H:$H</definedName>
    <definedName name="Z_D786A5C0_FBC0_4F24_9F75_D436CA99DC6C_.wvu.FilterData" localSheetId="8" hidden="1">'(2) '!$F$2:$AR$28</definedName>
    <definedName name="Z_D786A5C0_FBC0_4F24_9F75_D436CA99DC6C_.wvu.FilterData" localSheetId="9" hidden="1">'(3) '!$F$2:$AR$28</definedName>
    <definedName name="Z_D786A5C0_FBC0_4F24_9F75_D436CA99DC6C_.wvu.FilterData" localSheetId="10" hidden="1">'(4) '!$F$2:$AR$28</definedName>
    <definedName name="Z_D786A5C0_FBC0_4F24_9F75_D436CA99DC6C_.wvu.FilterData" localSheetId="11" hidden="1">'(5) '!$F$2:$AR$28</definedName>
    <definedName name="Z_D786A5C0_FBC0_4F24_9F75_D436CA99DC6C_.wvu.FilterData" localSheetId="12" hidden="1">'(6) '!$F$2:$AR$28</definedName>
    <definedName name="Z_D786A5C0_FBC0_4F24_9F75_D436CA99DC6C_.wvu.FilterData" localSheetId="13" hidden="1">'(7) '!$F$2:$AR$28</definedName>
    <definedName name="Z_D786A5C0_FBC0_4F24_9F75_D436CA99DC6C_.wvu.FilterData" localSheetId="0" hidden="1">'أدخال البيانات'!$F$8:$F$41</definedName>
    <definedName name="Z_D786A5C0_FBC0_4F24_9F75_D436CA99DC6C_.wvu.FilterData" localSheetId="4" hidden="1">'الأجـــازة للوصايا'!$H$63:$N$153</definedName>
    <definedName name="Z_D786A5C0_FBC0_4F24_9F75_D436CA99DC6C_.wvu.FilterData" localSheetId="3" hidden="1">'شرح الحالة'!$AO$8:$AO$141</definedName>
    <definedName name="Z_D786A5C0_FBC0_4F24_9F75_D436CA99DC6C_.wvu.FilterData" localSheetId="14" hidden="1">'طريقة العمل'!$E$10:$E$1171</definedName>
    <definedName name="Z_D786A5C0_FBC0_4F24_9F75_D436CA99DC6C_.wvu.FilterData" localSheetId="7" hidden="1">'ورقة أجازة وعدم الأجازة للمختصن'!$E$2:$AS$28</definedName>
    <definedName name="Z_D786A5C0_FBC0_4F24_9F75_D436CA99DC6C_.wvu.PrintArea" localSheetId="0" hidden="1">'أدخال البيانات'!$D$3:$V$24</definedName>
    <definedName name="Z_D786A5C0_FBC0_4F24_9F75_D436CA99DC6C_.wvu.PrintArea" localSheetId="14" hidden="1">'طريقة العمل'!$A$1:$J$69</definedName>
    <definedName name="Z_D786A5C0_FBC0_4F24_9F75_D436CA99DC6C_.wvu.Rows" localSheetId="8" hidden="1">'(2) '!$1:$6,'(2) '!$30:$43,'(2) '!$47:$52</definedName>
    <definedName name="Z_D786A5C0_FBC0_4F24_9F75_D436CA99DC6C_.wvu.Rows" localSheetId="9" hidden="1">'(3) '!$1:$5,'(3) '!$30:$43,'(3) '!$50:$53</definedName>
    <definedName name="Z_D786A5C0_FBC0_4F24_9F75_D436CA99DC6C_.wvu.Rows" localSheetId="10" hidden="1">'(4) '!$1:$5,'(4) '!$30:$43,'(4) '!$50:$58</definedName>
    <definedName name="Z_D786A5C0_FBC0_4F24_9F75_D436CA99DC6C_.wvu.Rows" localSheetId="11" hidden="1">'(5) '!$1:$5,'(5) '!$30:$43,'(5) '!$49:$55</definedName>
    <definedName name="Z_D786A5C0_FBC0_4F24_9F75_D436CA99DC6C_.wvu.Rows" localSheetId="12" hidden="1">'(6) '!$1:$5,'(6) '!$30:$43,'(6) '!$48:$54</definedName>
    <definedName name="Z_D786A5C0_FBC0_4F24_9F75_D436CA99DC6C_.wvu.Rows" localSheetId="13" hidden="1">'(7) '!$1:$5,'(7) '!$30:$43,'(7) '!$47:$53</definedName>
    <definedName name="Z_D786A5C0_FBC0_4F24_9F75_D436CA99DC6C_.wvu.Rows" localSheetId="0" hidden="1">'أدخال البيانات'!$1:$1,'أدخال البيانات'!$4:$4,'أدخال البيانات'!$26:$98</definedName>
    <definedName name="Z_D786A5C0_FBC0_4F24_9F75_D436CA99DC6C_.wvu.Rows" localSheetId="5" hidden="1">'أقرأ (2)'!$27:$27,'أقرأ (2)'!$30:$30,'أقرأ (2)'!$33:$33,'أقرأ (2)'!$35:$35,'أقرأ (2)'!$38:$38,'أقرأ (2)'!$41:$42,'أقرأ (2)'!$57:$57,'أقرأ (2)'!$59:$59,'أقرأ (2)'!$62:$62,'أقرأ (2)'!$66:$66,'أقرأ (2)'!$70:$70,'أقرأ (2)'!$74:$74,'أقرأ (2)'!$77:$77,'أقرأ (2)'!$80:$80,'أقرأ (2)'!$83:$83,'أقرأ (2)'!$85:$85,'أقرأ (2)'!$87:$87,'أقرأ (2)'!$89:$89,'أقرأ (2)'!$91:$91,'أقرأ (2)'!$111:$111,'أقرأ (2)'!$114:$114</definedName>
    <definedName name="Z_D786A5C0_FBC0_4F24_9F75_D436CA99DC6C_.wvu.Rows" localSheetId="4" hidden="1">'الأجـــازة للوصايا'!$1:$58</definedName>
    <definedName name="Z_D786A5C0_FBC0_4F24_9F75_D436CA99DC6C_.wvu.Rows" localSheetId="2" hidden="1">'حساب التركة والوصايا'!$5:$15</definedName>
    <definedName name="Z_D786A5C0_FBC0_4F24_9F75_D436CA99DC6C_.wvu.Rows" localSheetId="3" hidden="1">'شرح الحالة'!$20:$155</definedName>
    <definedName name="Z_D786A5C0_FBC0_4F24_9F75_D436CA99DC6C_.wvu.Rows" localSheetId="14" hidden="1">'طريقة العمل'!$1:$37</definedName>
    <definedName name="Z_D786A5C0_FBC0_4F24_9F75_D436CA99DC6C_.wvu.Rows" localSheetId="7" hidden="1">'ورقة أجازة وعدم الأجازة للمختصن'!$1:$5,'ورقة أجازة وعدم الأجازة للمختصن'!$9:$9,'ورقة أجازة وعدم الأجازة للمختصن'!$29:$84</definedName>
    <definedName name="Z_F7D66A37_0FD5_48D1_A333_F40FA5324FBB_.wvu.FilterData" localSheetId="5" hidden="1">'أقرأ (2)'!#REF!</definedName>
    <definedName name="أدلة_الإرث_" localSheetId="5">'أقرأ (2)'!$C$122</definedName>
    <definedName name="أصحاب_الرد_" localSheetId="5">'أقرأ (2)'!$C$340</definedName>
    <definedName name="أصحاب_الفروض_" localSheetId="5">'أقرأ (2)'!#REF!</definedName>
    <definedName name="أصناف_أصحاب_الفروض_" localSheetId="5">'أقرأ (2)'!$C$180</definedName>
    <definedName name="الأبناء__ذكور" localSheetId="8">#REF!</definedName>
    <definedName name="الأبناء__ذكور" localSheetId="9">#REF!</definedName>
    <definedName name="الأبناء__ذكور" localSheetId="10">#REF!</definedName>
    <definedName name="الأبناء__ذكور" localSheetId="11">#REF!</definedName>
    <definedName name="الأبناء__ذكور" localSheetId="12">#REF!</definedName>
    <definedName name="الأبناء__ذكور" localSheetId="13">#REF!</definedName>
    <definedName name="الأبناء__ذكور" localSheetId="0">'أدخال البيانات'!$F$9</definedName>
    <definedName name="الأبناء__ذكور" localSheetId="4">#REF!</definedName>
    <definedName name="الأبناء__ذكور">#REF!</definedName>
    <definedName name="الأخت_لأب_" localSheetId="5">'أقرأ (2)'!$C$259</definedName>
    <definedName name="الأخوات_الشقيقات_" localSheetId="5">'أقرأ (2)'!$C$251</definedName>
    <definedName name="الأم_" localSheetId="5">'أقرأ (2)'!$C$217</definedName>
    <definedName name="الجد" localSheetId="5">'أقرأ (2)'!$C$202</definedName>
    <definedName name="الجدة_الصحيحة_لأب_" localSheetId="5">'أقرأ (2)'!$C$230</definedName>
    <definedName name="الجدة_الصحيحة_لأم_" localSheetId="5">'أقرأ (2)'!$C$224</definedName>
    <definedName name="الجدة_أم__الأم">'أدخال  البيانات'!$C$17</definedName>
    <definedName name="الرد_على_الزوج__" localSheetId="5">'أقرأ (2)'!$C$475</definedName>
    <definedName name="الزواج_الصحيح_" localSheetId="5">'أقرأ (2)'!#REF!</definedName>
    <definedName name="الزوج" localSheetId="5">'أقرأ (2)'!$C$182</definedName>
    <definedName name="الزوجة" localSheetId="5">'أقرأ (2)'!$C$188</definedName>
    <definedName name="العصبات_" localSheetId="5">'أقرأ (2)'!$C$274</definedName>
    <definedName name="القرابـة_" localSheetId="5">'أقرأ (2)'!#REF!</definedName>
    <definedName name="المقر_له_بالنسب_على_الغير_" localSheetId="5">'أقرأ (2)'!$C$486</definedName>
    <definedName name="المـوالاة_" localSheetId="5">'أقرأ (2)'!#REF!</definedName>
    <definedName name="الموصى_له_بما_زاد_على_الثلث_" localSheetId="5">'أقرأ (2)'!$C$502</definedName>
    <definedName name="أنواع_أصحاب_الفروض_" localSheetId="5">'أقرأ (2)'!$C$164</definedName>
    <definedName name="بنات_الابن_" localSheetId="5">'أقرأ (2)'!$C$243</definedName>
    <definedName name="بنات_الصلب_" localSheetId="5">'أقرأ (2)'!$C$236</definedName>
    <definedName name="بيت_المال_" localSheetId="5">'أقرأ (2)'!$C$508</definedName>
    <definedName name="حياة_الوارث_" localSheetId="5">'أقرأ (2)'!$C$34</definedName>
    <definedName name="ذوو_الأرحام_" localSheetId="5">'أقرأ (2)'!$C$371</definedName>
    <definedName name="موانع_أصلية_" localSheetId="5">'أقرأ (2)'!$C$90</definedName>
    <definedName name="موانع_تبعية_" localSheetId="5">'أقرأ (2)'!$C$105</definedName>
    <definedName name="موت_المورث_" localSheetId="5">'أقرأ (2)'!$C$23</definedName>
    <definedName name="ميراث_الإخوة_والأخوات_لأم_" localSheetId="5">'أقرأ (2)'!$C$211</definedName>
  </definedNames>
  <calcPr calcId="145621"/>
  <customWorkbookViews>
    <customWorkbookView name="ansam - Personal View" guid="{D786A5C0-FBC0-4F24-9F75-D436CA99DC6C}" mergeInterval="0" personalView="1" maximized="1" windowWidth="1276" windowHeight="699" tabRatio="878" activeSheetId="2" showFormulaBar="0" showComments="commIndAndComment"/>
    <customWorkbookView name="khaled1" guid="{257D8C62-BEC4-42F5-9011-98FE74A056C5}" includePrintSettings="0" maximized="1" xWindow="1" yWindow="1" windowWidth="1024" windowHeight="604" activeSheetId="14" showFormulaBar="0"/>
    <customWorkbookView name="khaled" guid="{998369C8-AF8D-4C69-81C1-DF462985F742}" maximized="1" xWindow="1" yWindow="1" windowWidth="1008" windowHeight="526" activeSheetId="1"/>
  </customWorkbookViews>
</workbook>
</file>

<file path=xl/calcChain.xml><?xml version="1.0" encoding="utf-8"?>
<calcChain xmlns="http://schemas.openxmlformats.org/spreadsheetml/2006/main">
  <c r="BB77" i="4" l="1"/>
  <c r="BC77" i="4"/>
  <c r="BE77" i="4"/>
  <c r="BB78" i="4"/>
  <c r="BC78" i="4"/>
  <c r="BE78" i="4"/>
  <c r="BB79" i="4"/>
  <c r="BC79" i="4"/>
  <c r="BE79" i="4"/>
  <c r="BB80" i="4"/>
  <c r="BC80" i="4"/>
  <c r="BE80" i="4"/>
  <c r="G26" i="16" l="1"/>
  <c r="G9" i="16" l="1"/>
  <c r="AC8" i="16" l="1"/>
  <c r="AB4" i="16"/>
  <c r="AD13" i="16"/>
  <c r="F13" i="1" s="1"/>
  <c r="I9" i="16" l="1"/>
  <c r="I1" i="13"/>
  <c r="J1" i="13"/>
  <c r="K1" i="13"/>
  <c r="L1" i="13"/>
  <c r="I4" i="13"/>
  <c r="J4" i="13"/>
  <c r="K4" i="13"/>
  <c r="L4" i="13"/>
  <c r="F23" i="1" l="1"/>
  <c r="BB66" i="4" l="1"/>
  <c r="BB88" i="4" s="1"/>
  <c r="AB6" i="16" l="1"/>
  <c r="AB9" i="16"/>
  <c r="AD9" i="16"/>
  <c r="AC10" i="16"/>
  <c r="AB10" i="16" s="1"/>
  <c r="AD10" i="16"/>
  <c r="AC11" i="16"/>
  <c r="AD11" i="16"/>
  <c r="AD12" i="16"/>
  <c r="B12" i="16"/>
  <c r="D11" i="16"/>
  <c r="B10" i="16"/>
  <c r="D8" i="16"/>
  <c r="AB11" i="16" l="1"/>
  <c r="AC12" i="16"/>
  <c r="M13" i="1"/>
  <c r="M12" i="1"/>
  <c r="F15" i="1"/>
  <c r="F14" i="1"/>
  <c r="M10" i="1"/>
  <c r="M9" i="1"/>
  <c r="M18" i="1"/>
  <c r="F9" i="1"/>
  <c r="M16" i="1"/>
  <c r="M17" i="1"/>
  <c r="M15" i="1"/>
  <c r="M11" i="1"/>
  <c r="M14" i="1"/>
  <c r="F22" i="1"/>
  <c r="F21" i="1"/>
  <c r="F20" i="1"/>
  <c r="F19" i="1"/>
  <c r="F18" i="1"/>
  <c r="F17" i="1"/>
  <c r="F16" i="1"/>
  <c r="F12" i="1"/>
  <c r="F11" i="1"/>
  <c r="F10" i="1"/>
  <c r="AB12" i="16" l="1"/>
  <c r="AC13" i="16"/>
  <c r="R17" i="2"/>
  <c r="V17" i="2"/>
  <c r="AB13" i="16" l="1"/>
  <c r="AC14" i="16"/>
  <c r="X2" i="2"/>
  <c r="AB14" i="16" l="1"/>
  <c r="AC15" i="16"/>
  <c r="AU64" i="4"/>
  <c r="AU65" i="4"/>
  <c r="AU66" i="4"/>
  <c r="AU67" i="4"/>
  <c r="AU68" i="4"/>
  <c r="AU69" i="4"/>
  <c r="AU70" i="4"/>
  <c r="AU71" i="4"/>
  <c r="AU72" i="4"/>
  <c r="AU73" i="4"/>
  <c r="AU74" i="4"/>
  <c r="AU75" i="4"/>
  <c r="AU76" i="4"/>
  <c r="AU77" i="4"/>
  <c r="AU78" i="4"/>
  <c r="AU79" i="4"/>
  <c r="AU80" i="4"/>
  <c r="AU81" i="4"/>
  <c r="AU82" i="4"/>
  <c r="AU83" i="4"/>
  <c r="AU84" i="4"/>
  <c r="AU85" i="4"/>
  <c r="AU86" i="4"/>
  <c r="AU87" i="4"/>
  <c r="AU88" i="4"/>
  <c r="AU89" i="4"/>
  <c r="AU90" i="4"/>
  <c r="AU91" i="4"/>
  <c r="AU92" i="4"/>
  <c r="AU93" i="4"/>
  <c r="AU94" i="4"/>
  <c r="AU95" i="4"/>
  <c r="AU96" i="4"/>
  <c r="AU97" i="4"/>
  <c r="AU98" i="4"/>
  <c r="AU99" i="4"/>
  <c r="AU100" i="4"/>
  <c r="AU101" i="4"/>
  <c r="AU102" i="4"/>
  <c r="AU103" i="4"/>
  <c r="AU104" i="4"/>
  <c r="AU105" i="4"/>
  <c r="AU106" i="4"/>
  <c r="AU107" i="4"/>
  <c r="AU108" i="4"/>
  <c r="AU109" i="4"/>
  <c r="AU110" i="4"/>
  <c r="AU111" i="4"/>
  <c r="AU112" i="4"/>
  <c r="AU113" i="4"/>
  <c r="AU114" i="4"/>
  <c r="AU115" i="4"/>
  <c r="AU116" i="4"/>
  <c r="AU117" i="4"/>
  <c r="AU118" i="4"/>
  <c r="AU119" i="4"/>
  <c r="AU120" i="4"/>
  <c r="AU121" i="4"/>
  <c r="AU122" i="4"/>
  <c r="AU123" i="4"/>
  <c r="AU124" i="4"/>
  <c r="AU125" i="4"/>
  <c r="AU126" i="4"/>
  <c r="AU127" i="4"/>
  <c r="AU128" i="4"/>
  <c r="AU129" i="4"/>
  <c r="AU130" i="4"/>
  <c r="AU131" i="4"/>
  <c r="AU132" i="4"/>
  <c r="AU133" i="4"/>
  <c r="AU134" i="4"/>
  <c r="AU135" i="4"/>
  <c r="AU136" i="4"/>
  <c r="AU137" i="4"/>
  <c r="AU138" i="4"/>
  <c r="AU139" i="4"/>
  <c r="AU140" i="4"/>
  <c r="AU141" i="4"/>
  <c r="AU142" i="4"/>
  <c r="AU143" i="4"/>
  <c r="AU144" i="4"/>
  <c r="AU145" i="4"/>
  <c r="AU146" i="4"/>
  <c r="AU147" i="4"/>
  <c r="D153" i="4"/>
  <c r="D152" i="4"/>
  <c r="D151" i="4"/>
  <c r="D150" i="4"/>
  <c r="D149" i="4"/>
  <c r="D148" i="4"/>
  <c r="D147" i="4"/>
  <c r="D146" i="4"/>
  <c r="D145" i="4"/>
  <c r="D144" i="4"/>
  <c r="D143" i="4"/>
  <c r="D142" i="4"/>
  <c r="D141" i="4"/>
  <c r="D140" i="4"/>
  <c r="D139" i="4"/>
  <c r="D138" i="4"/>
  <c r="D137" i="4"/>
  <c r="D136" i="4"/>
  <c r="D135" i="4"/>
  <c r="D134" i="4"/>
  <c r="D133" i="4"/>
  <c r="D132" i="4"/>
  <c r="D131" i="4"/>
  <c r="D130" i="4"/>
  <c r="D129" i="4"/>
  <c r="D128" i="4"/>
  <c r="D127" i="4"/>
  <c r="D126" i="4"/>
  <c r="D125" i="4"/>
  <c r="D124" i="4"/>
  <c r="D123" i="4"/>
  <c r="D122" i="4"/>
  <c r="D121" i="4"/>
  <c r="D120" i="4"/>
  <c r="D119" i="4"/>
  <c r="D118" i="4"/>
  <c r="D117" i="4"/>
  <c r="D116" i="4"/>
  <c r="D115" i="4"/>
  <c r="D114" i="4"/>
  <c r="D113" i="4"/>
  <c r="D112" i="4"/>
  <c r="D111" i="4"/>
  <c r="D110" i="4"/>
  <c r="D109" i="4"/>
  <c r="D108" i="4"/>
  <c r="D107" i="4"/>
  <c r="D106" i="4"/>
  <c r="D105" i="4"/>
  <c r="D104" i="4"/>
  <c r="D103" i="4"/>
  <c r="D102" i="4"/>
  <c r="D101" i="4"/>
  <c r="D100" i="4"/>
  <c r="D99" i="4"/>
  <c r="D98" i="4"/>
  <c r="D97" i="4"/>
  <c r="D96" i="4"/>
  <c r="D95" i="4"/>
  <c r="D94" i="4"/>
  <c r="D93" i="4"/>
  <c r="D92" i="4"/>
  <c r="D91" i="4"/>
  <c r="D90" i="4"/>
  <c r="D89" i="4"/>
  <c r="D88" i="4"/>
  <c r="D87" i="4"/>
  <c r="D86" i="4"/>
  <c r="D85" i="4"/>
  <c r="D84" i="4"/>
  <c r="D83" i="4"/>
  <c r="D82" i="4"/>
  <c r="D81" i="4"/>
  <c r="D80" i="4"/>
  <c r="D79" i="4"/>
  <c r="D78" i="4"/>
  <c r="D77" i="4"/>
  <c r="D76" i="4"/>
  <c r="D75" i="4"/>
  <c r="D74" i="4"/>
  <c r="D73" i="4"/>
  <c r="D72" i="4"/>
  <c r="D71" i="4"/>
  <c r="D70" i="4"/>
  <c r="D69" i="4"/>
  <c r="D68" i="4"/>
  <c r="D67" i="4"/>
  <c r="D66" i="4"/>
  <c r="D65" i="4"/>
  <c r="D64" i="4"/>
  <c r="AB15" i="16" l="1"/>
  <c r="AC16" i="16"/>
  <c r="G10" i="14"/>
  <c r="BC11" i="14" s="1"/>
  <c r="BA11" i="14" s="1"/>
  <c r="H10" i="14"/>
  <c r="M8" i="14"/>
  <c r="Q11" i="14"/>
  <c r="Q13" i="14"/>
  <c r="Q16" i="14"/>
  <c r="Q20" i="14"/>
  <c r="Q24" i="14"/>
  <c r="Q28" i="14"/>
  <c r="Q32" i="14"/>
  <c r="Q36" i="14"/>
  <c r="P50" i="14"/>
  <c r="U5" i="14"/>
  <c r="T50" i="14"/>
  <c r="Z9" i="14"/>
  <c r="AD9" i="14"/>
  <c r="Z10" i="14"/>
  <c r="Z11" i="14" s="1"/>
  <c r="Z12" i="14" s="1"/>
  <c r="Z13" i="14" s="1"/>
  <c r="Z14" i="14" s="1"/>
  <c r="Z15" i="14" s="1"/>
  <c r="Z16" i="14" s="1"/>
  <c r="Z17" i="14" s="1"/>
  <c r="Z18" i="14" s="1"/>
  <c r="Z19" i="14" s="1"/>
  <c r="Z20" i="14" s="1"/>
  <c r="Z21" i="14" s="1"/>
  <c r="Z22" i="14" s="1"/>
  <c r="Z23" i="14" s="1"/>
  <c r="Z24" i="14" s="1"/>
  <c r="Z25" i="14" s="1"/>
  <c r="Z26" i="14" s="1"/>
  <c r="Z27" i="14" s="1"/>
  <c r="Z28" i="14" s="1"/>
  <c r="Z29" i="14" s="1"/>
  <c r="Z30" i="14" s="1"/>
  <c r="Z31" i="14" s="1"/>
  <c r="Z32" i="14" s="1"/>
  <c r="Z33" i="14" s="1"/>
  <c r="Z34" i="14" s="1"/>
  <c r="Z35" i="14" s="1"/>
  <c r="Z36" i="14" s="1"/>
  <c r="Z37" i="14" s="1"/>
  <c r="Z38" i="14" s="1"/>
  <c r="Z39" i="14" s="1"/>
  <c r="Z40" i="14" s="1"/>
  <c r="Z41" i="14" s="1"/>
  <c r="Z42" i="14" s="1"/>
  <c r="Z43" i="14" s="1"/>
  <c r="Z44" i="14" s="1"/>
  <c r="Z45" i="14" s="1"/>
  <c r="Z46" i="14" s="1"/>
  <c r="AD30" i="14"/>
  <c r="Z50" i="14"/>
  <c r="Z52" i="14" s="1"/>
  <c r="Z54" i="14"/>
  <c r="Z55" i="14" s="1"/>
  <c r="Z56" i="14" s="1"/>
  <c r="Z57" i="14" s="1"/>
  <c r="Z58" i="14" s="1"/>
  <c r="Z59" i="14" s="1"/>
  <c r="Z60" i="14" s="1"/>
  <c r="Z61" i="14" s="1"/>
  <c r="Z62" i="14" s="1"/>
  <c r="Z63" i="14" s="1"/>
  <c r="Z64" i="14" s="1"/>
  <c r="Z65" i="14" s="1"/>
  <c r="Z66" i="14" s="1"/>
  <c r="Z67" i="14" s="1"/>
  <c r="Z68" i="14" s="1"/>
  <c r="Z69" i="14" s="1"/>
  <c r="Z70" i="14" s="1"/>
  <c r="Z71" i="14" s="1"/>
  <c r="Z72" i="14" s="1"/>
  <c r="Z73" i="14" s="1"/>
  <c r="Z74" i="14" s="1"/>
  <c r="Z75" i="14" s="1"/>
  <c r="Z76" i="14" s="1"/>
  <c r="Z77" i="14" s="1"/>
  <c r="Z78" i="14" s="1"/>
  <c r="Z79" i="14" s="1"/>
  <c r="Z80" i="14" s="1"/>
  <c r="Z81" i="14" s="1"/>
  <c r="Z82" i="14" s="1"/>
  <c r="Z83" i="14" s="1"/>
  <c r="Z84" i="14" s="1"/>
  <c r="Z85" i="14" s="1"/>
  <c r="Z86" i="14" s="1"/>
  <c r="Z87" i="14" s="1"/>
  <c r="Z88" i="14" s="1"/>
  <c r="Z89" i="14" s="1"/>
  <c r="Z90" i="14" s="1"/>
  <c r="Z91" i="14" s="1"/>
  <c r="Z92" i="14" s="1"/>
  <c r="Z93" i="14" s="1"/>
  <c r="Z94" i="14" s="1"/>
  <c r="Z95" i="14" s="1"/>
  <c r="Z96" i="14" s="1"/>
  <c r="Z97" i="14" s="1"/>
  <c r="Z98" i="14" s="1"/>
  <c r="Z99" i="14" s="1"/>
  <c r="Z100" i="14" s="1"/>
  <c r="Z101" i="14" s="1"/>
  <c r="Z102" i="14" s="1"/>
  <c r="Z103" i="14" s="1"/>
  <c r="Z104" i="14" s="1"/>
  <c r="Z105" i="14" s="1"/>
  <c r="Z106" i="14" s="1"/>
  <c r="Z107" i="14" s="1"/>
  <c r="Z108" i="14" s="1"/>
  <c r="Z109" i="14" s="1"/>
  <c r="Z110" i="14" s="1"/>
  <c r="Z111" i="14" s="1"/>
  <c r="Z112" i="14" s="1"/>
  <c r="Z113" i="14" s="1"/>
  <c r="Z114" i="14" s="1"/>
  <c r="Z115" i="14" s="1"/>
  <c r="Z116" i="14" s="1"/>
  <c r="Z117" i="14" s="1"/>
  <c r="Z118" i="14" s="1"/>
  <c r="Z119" i="14" s="1"/>
  <c r="Z120" i="14" s="1"/>
  <c r="Z121" i="14" s="1"/>
  <c r="Z122" i="14" s="1"/>
  <c r="Z123" i="14" s="1"/>
  <c r="Z124" i="14" s="1"/>
  <c r="Z125" i="14" s="1"/>
  <c r="Z126" i="14" s="1"/>
  <c r="Z127" i="14" s="1"/>
  <c r="Z128" i="14" s="1"/>
  <c r="Z129" i="14" s="1"/>
  <c r="Z130" i="14" s="1"/>
  <c r="Z131" i="14" s="1"/>
  <c r="Z132" i="14" s="1"/>
  <c r="Z133" i="14" s="1"/>
  <c r="Z134" i="14" s="1"/>
  <c r="Z135" i="14" s="1"/>
  <c r="Z136" i="14" s="1"/>
  <c r="Z137" i="14" s="1"/>
  <c r="Z138" i="14" s="1"/>
  <c r="Z139" i="14" s="1"/>
  <c r="Z140" i="14" s="1"/>
  <c r="Z141" i="14" s="1"/>
  <c r="Z142" i="14" s="1"/>
  <c r="Z143" i="14" s="1"/>
  <c r="Z144" i="14" s="1"/>
  <c r="Z145" i="14" s="1"/>
  <c r="Z146" i="14" s="1"/>
  <c r="Z147" i="14" s="1"/>
  <c r="Z148" i="14" s="1"/>
  <c r="Z149" i="14" s="1"/>
  <c r="Z150" i="14" s="1"/>
  <c r="Z151" i="14" s="1"/>
  <c r="Z152" i="14" s="1"/>
  <c r="Z153" i="14" s="1"/>
  <c r="Z154" i="14" s="1"/>
  <c r="Z155" i="14" s="1"/>
  <c r="Z156" i="14" s="1"/>
  <c r="Z157" i="14" s="1"/>
  <c r="Z158" i="14" s="1"/>
  <c r="Z159" i="14" s="1"/>
  <c r="Z160" i="14" s="1"/>
  <c r="Z161" i="14" s="1"/>
  <c r="Z162" i="14" s="1"/>
  <c r="Z163" i="14" s="1"/>
  <c r="Z164" i="14" s="1"/>
  <c r="Z165" i="14" s="1"/>
  <c r="Z166" i="14" s="1"/>
  <c r="Z167" i="14" s="1"/>
  <c r="Z168" i="14" s="1"/>
  <c r="Z169" i="14" s="1"/>
  <c r="Z170" i="14" s="1"/>
  <c r="Z171" i="14" s="1"/>
  <c r="Z172" i="14" s="1"/>
  <c r="Z173" i="14" s="1"/>
  <c r="Z174" i="14" s="1"/>
  <c r="Z175" i="14" s="1"/>
  <c r="Z176" i="14" s="1"/>
  <c r="Z177" i="14" s="1"/>
  <c r="Z178" i="14" s="1"/>
  <c r="Z179" i="14" s="1"/>
  <c r="Z180" i="14" s="1"/>
  <c r="Z181" i="14" s="1"/>
  <c r="Z182" i="14" s="1"/>
  <c r="Z183" i="14" s="1"/>
  <c r="Z184" i="14" s="1"/>
  <c r="Z185" i="14" s="1"/>
  <c r="Z186" i="14" s="1"/>
  <c r="Z187" i="14" s="1"/>
  <c r="Z188" i="14" s="1"/>
  <c r="Z189" i="14" s="1"/>
  <c r="Z190" i="14" s="1"/>
  <c r="Z191" i="14" s="1"/>
  <c r="Z192" i="14" s="1"/>
  <c r="Z193" i="14" s="1"/>
  <c r="Z194" i="14" s="1"/>
  <c r="Z195" i="14" s="1"/>
  <c r="Z196" i="14" s="1"/>
  <c r="Z197" i="14" s="1"/>
  <c r="Z198" i="14" s="1"/>
  <c r="Z199" i="14" s="1"/>
  <c r="Z200" i="14" s="1"/>
  <c r="Z201" i="14" s="1"/>
  <c r="Z202" i="14" s="1"/>
  <c r="Z203" i="14" s="1"/>
  <c r="Z204" i="14" s="1"/>
  <c r="Z205" i="14" s="1"/>
  <c r="Z206" i="14" s="1"/>
  <c r="Z207" i="14" s="1"/>
  <c r="Z208" i="14" s="1"/>
  <c r="Z209" i="14" s="1"/>
  <c r="Z210" i="14" s="1"/>
  <c r="Z211" i="14" s="1"/>
  <c r="Z212" i="14" s="1"/>
  <c r="Z213" i="14" s="1"/>
  <c r="Z214" i="14" s="1"/>
  <c r="Z215" i="14" s="1"/>
  <c r="Z216" i="14" s="1"/>
  <c r="Z217" i="14" s="1"/>
  <c r="Z218" i="14" s="1"/>
  <c r="Z219" i="14" s="1"/>
  <c r="Z220" i="14" s="1"/>
  <c r="Z221" i="14" s="1"/>
  <c r="Z222" i="14" s="1"/>
  <c r="Z223" i="14" s="1"/>
  <c r="Z224" i="14" s="1"/>
  <c r="Z225" i="14" s="1"/>
  <c r="Z226" i="14" s="1"/>
  <c r="Z227" i="14" s="1"/>
  <c r="Z228" i="14" s="1"/>
  <c r="Z229" i="14" s="1"/>
  <c r="Z230" i="14" s="1"/>
  <c r="Z231" i="14" s="1"/>
  <c r="Z232" i="14" s="1"/>
  <c r="Z233" i="14" s="1"/>
  <c r="Z234" i="14" s="1"/>
  <c r="Z235" i="14" s="1"/>
  <c r="Z236" i="14" s="1"/>
  <c r="Z237" i="14" s="1"/>
  <c r="Z238" i="14" s="1"/>
  <c r="Z239" i="14" s="1"/>
  <c r="Z240" i="14" s="1"/>
  <c r="Z241" i="14" s="1"/>
  <c r="Z242" i="14" s="1"/>
  <c r="Z243" i="14" s="1"/>
  <c r="Z244" i="14" s="1"/>
  <c r="Z245" i="14" s="1"/>
  <c r="Z246" i="14" s="1"/>
  <c r="Z247" i="14" s="1"/>
  <c r="Z248" i="14" s="1"/>
  <c r="Z249" i="14" s="1"/>
  <c r="Z250" i="14" s="1"/>
  <c r="Z251" i="14" s="1"/>
  <c r="Z252" i="14" s="1"/>
  <c r="Z253" i="14" s="1"/>
  <c r="Z254" i="14" s="1"/>
  <c r="Z255" i="14" s="1"/>
  <c r="Z256" i="14" s="1"/>
  <c r="Z257" i="14" s="1"/>
  <c r="Z258" i="14" s="1"/>
  <c r="Z259" i="14" s="1"/>
  <c r="Z260" i="14" s="1"/>
  <c r="Z261" i="14" s="1"/>
  <c r="Z262" i="14" s="1"/>
  <c r="Z263" i="14" s="1"/>
  <c r="Z264" i="14" s="1"/>
  <c r="Z265" i="14" s="1"/>
  <c r="Z266" i="14" s="1"/>
  <c r="Z267" i="14" s="1"/>
  <c r="Z268" i="14" s="1"/>
  <c r="Z269" i="14" s="1"/>
  <c r="Z270" i="14" s="1"/>
  <c r="Z271" i="14" s="1"/>
  <c r="Z272" i="14" s="1"/>
  <c r="Z273" i="14" s="1"/>
  <c r="Z274" i="14" s="1"/>
  <c r="Z275" i="14" s="1"/>
  <c r="Z276" i="14" s="1"/>
  <c r="Z277" i="14" s="1"/>
  <c r="Z278" i="14" s="1"/>
  <c r="Z279" i="14" s="1"/>
  <c r="Z280" i="14" s="1"/>
  <c r="Z281" i="14" s="1"/>
  <c r="Z282" i="14" s="1"/>
  <c r="Z283" i="14" s="1"/>
  <c r="Z284" i="14" s="1"/>
  <c r="Z285" i="14" s="1"/>
  <c r="Z286" i="14" s="1"/>
  <c r="Z287" i="14" s="1"/>
  <c r="Z288" i="14" s="1"/>
  <c r="Z289" i="14" s="1"/>
  <c r="Z290" i="14" s="1"/>
  <c r="Z291" i="14" s="1"/>
  <c r="Z292" i="14" s="1"/>
  <c r="Z293" i="14" s="1"/>
  <c r="Z294" i="14" s="1"/>
  <c r="Z295" i="14" s="1"/>
  <c r="Z296" i="14" s="1"/>
  <c r="Z297" i="14" s="1"/>
  <c r="Z298" i="14" s="1"/>
  <c r="Z299" i="14" s="1"/>
  <c r="Z300" i="14" s="1"/>
  <c r="Z301" i="14" s="1"/>
  <c r="Z302" i="14" s="1"/>
  <c r="Z303" i="14" s="1"/>
  <c r="Z304" i="14" s="1"/>
  <c r="Z305" i="14" s="1"/>
  <c r="Z306" i="14" s="1"/>
  <c r="Z307" i="14" s="1"/>
  <c r="Z308" i="14" s="1"/>
  <c r="Z309" i="14" s="1"/>
  <c r="Z310" i="14" s="1"/>
  <c r="Z311" i="14" s="1"/>
  <c r="Z312" i="14" s="1"/>
  <c r="Z313" i="14" s="1"/>
  <c r="Z314" i="14" s="1"/>
  <c r="Z315" i="14" s="1"/>
  <c r="Z316" i="14" s="1"/>
  <c r="Z317" i="14" s="1"/>
  <c r="Z318" i="14" s="1"/>
  <c r="Z319" i="14" s="1"/>
  <c r="Z320" i="14" s="1"/>
  <c r="Z321" i="14" s="1"/>
  <c r="Z322" i="14" s="1"/>
  <c r="Z323" i="14" s="1"/>
  <c r="Z324" i="14" s="1"/>
  <c r="Z325" i="14" s="1"/>
  <c r="Z326" i="14" s="1"/>
  <c r="Z327" i="14" s="1"/>
  <c r="Z328" i="14" s="1"/>
  <c r="Z329" i="14" s="1"/>
  <c r="Z330" i="14" s="1"/>
  <c r="Z331" i="14" s="1"/>
  <c r="Z332" i="14" s="1"/>
  <c r="Z333" i="14" s="1"/>
  <c r="Z334" i="14" s="1"/>
  <c r="Z335" i="14" s="1"/>
  <c r="Z336" i="14" s="1"/>
  <c r="Z337" i="14" s="1"/>
  <c r="Z338" i="14" s="1"/>
  <c r="Z339" i="14" s="1"/>
  <c r="Z340" i="14" s="1"/>
  <c r="Z341" i="14" s="1"/>
  <c r="Z342" i="14" s="1"/>
  <c r="Z343" i="14" s="1"/>
  <c r="Z344" i="14" s="1"/>
  <c r="Z345" i="14" s="1"/>
  <c r="Z346" i="14" s="1"/>
  <c r="Z347" i="14" s="1"/>
  <c r="Z348" i="14" s="1"/>
  <c r="Z349" i="14" s="1"/>
  <c r="Z350" i="14" s="1"/>
  <c r="Z351" i="14" s="1"/>
  <c r="Z352" i="14" s="1"/>
  <c r="Z353" i="14" s="1"/>
  <c r="Z354" i="14" s="1"/>
  <c r="Z355" i="14" s="1"/>
  <c r="Z356" i="14" s="1"/>
  <c r="Z357" i="14" s="1"/>
  <c r="Z358" i="14" s="1"/>
  <c r="Z359" i="14" s="1"/>
  <c r="Z360" i="14" s="1"/>
  <c r="Z361" i="14" s="1"/>
  <c r="Z362" i="14" s="1"/>
  <c r="Z363" i="14" s="1"/>
  <c r="Z364" i="14" s="1"/>
  <c r="Z365" i="14" s="1"/>
  <c r="Z366" i="14" s="1"/>
  <c r="Z367" i="14" s="1"/>
  <c r="Z368" i="14" s="1"/>
  <c r="Z369" i="14" s="1"/>
  <c r="Z370" i="14" s="1"/>
  <c r="Z371" i="14" s="1"/>
  <c r="Z372" i="14" s="1"/>
  <c r="Z373" i="14" s="1"/>
  <c r="Z374" i="14" s="1"/>
  <c r="Z375" i="14" s="1"/>
  <c r="Z376" i="14" s="1"/>
  <c r="Z377" i="14" s="1"/>
  <c r="Z378" i="14" s="1"/>
  <c r="Z379" i="14" s="1"/>
  <c r="Z380" i="14" s="1"/>
  <c r="Z381" i="14" s="1"/>
  <c r="Z382" i="14" s="1"/>
  <c r="Z383" i="14" s="1"/>
  <c r="Z384" i="14" s="1"/>
  <c r="Z385" i="14" s="1"/>
  <c r="Z386" i="14" s="1"/>
  <c r="Z387" i="14" s="1"/>
  <c r="Z388" i="14" s="1"/>
  <c r="Z389" i="14" s="1"/>
  <c r="Z390" i="14" s="1"/>
  <c r="Z391" i="14" s="1"/>
  <c r="Z392" i="14" s="1"/>
  <c r="Z393" i="14" s="1"/>
  <c r="Z394" i="14" s="1"/>
  <c r="Z395" i="14" s="1"/>
  <c r="Z396" i="14" s="1"/>
  <c r="Z397" i="14" s="1"/>
  <c r="Z398" i="14" s="1"/>
  <c r="Z399" i="14" s="1"/>
  <c r="Z400" i="14" s="1"/>
  <c r="Z401" i="14" s="1"/>
  <c r="Z402" i="14" s="1"/>
  <c r="Z403" i="14" s="1"/>
  <c r="Z404" i="14" s="1"/>
  <c r="Z405" i="14" s="1"/>
  <c r="Z406" i="14" s="1"/>
  <c r="Z407" i="14" s="1"/>
  <c r="Z408" i="14" s="1"/>
  <c r="Z409" i="14" s="1"/>
  <c r="Z410" i="14" s="1"/>
  <c r="Z411" i="14" s="1"/>
  <c r="Z412" i="14" s="1"/>
  <c r="Z413" i="14" s="1"/>
  <c r="Z414" i="14" s="1"/>
  <c r="Z415" i="14" s="1"/>
  <c r="Z416" i="14" s="1"/>
  <c r="Z417" i="14" s="1"/>
  <c r="Z418" i="14" s="1"/>
  <c r="Z419" i="14" s="1"/>
  <c r="Z420" i="14" s="1"/>
  <c r="Z421" i="14" s="1"/>
  <c r="Z422" i="14" s="1"/>
  <c r="Z423" i="14" s="1"/>
  <c r="Z424" i="14" s="1"/>
  <c r="Z425" i="14" s="1"/>
  <c r="Z426" i="14" s="1"/>
  <c r="Z427" i="14" s="1"/>
  <c r="Z428" i="14" s="1"/>
  <c r="Z429" i="14" s="1"/>
  <c r="Z430" i="14" s="1"/>
  <c r="Z431" i="14" s="1"/>
  <c r="Z432" i="14" s="1"/>
  <c r="Z433" i="14" s="1"/>
  <c r="Z434" i="14" s="1"/>
  <c r="Z435" i="14" s="1"/>
  <c r="Z436" i="14" s="1"/>
  <c r="Z437" i="14" s="1"/>
  <c r="Z438" i="14" s="1"/>
  <c r="Z439" i="14" s="1"/>
  <c r="Z440" i="14" s="1"/>
  <c r="Z441" i="14" s="1"/>
  <c r="Z442" i="14" s="1"/>
  <c r="Z443" i="14" s="1"/>
  <c r="Z444" i="14" s="1"/>
  <c r="Z445" i="14" s="1"/>
  <c r="Z446" i="14" s="1"/>
  <c r="Z447" i="14" s="1"/>
  <c r="Z448" i="14" s="1"/>
  <c r="Z449" i="14" s="1"/>
  <c r="Z450" i="14" s="1"/>
  <c r="Z451" i="14" s="1"/>
  <c r="Z452" i="14" s="1"/>
  <c r="Z453" i="14" s="1"/>
  <c r="Z454" i="14" s="1"/>
  <c r="Z455" i="14" s="1"/>
  <c r="Z456" i="14" s="1"/>
  <c r="Z457" i="14" s="1"/>
  <c r="Z458" i="14" s="1"/>
  <c r="Z459" i="14" s="1"/>
  <c r="Z460" i="14" s="1"/>
  <c r="Z461" i="14" s="1"/>
  <c r="Z462" i="14" s="1"/>
  <c r="Z463" i="14" s="1"/>
  <c r="Z464" i="14" s="1"/>
  <c r="Z465" i="14" s="1"/>
  <c r="Z466" i="14" s="1"/>
  <c r="Z467" i="14" s="1"/>
  <c r="Z468" i="14" s="1"/>
  <c r="Z469" i="14" s="1"/>
  <c r="Z470" i="14" s="1"/>
  <c r="Z471" i="14" s="1"/>
  <c r="Z472" i="14" s="1"/>
  <c r="Z473" i="14" s="1"/>
  <c r="Z474" i="14" s="1"/>
  <c r="Z475" i="14" s="1"/>
  <c r="Z476" i="14" s="1"/>
  <c r="Z477" i="14" s="1"/>
  <c r="Z478" i="14" s="1"/>
  <c r="Z479" i="14" s="1"/>
  <c r="Z480" i="14" s="1"/>
  <c r="Z481" i="14" s="1"/>
  <c r="Z482" i="14" s="1"/>
  <c r="Z483" i="14" s="1"/>
  <c r="Z484" i="14" s="1"/>
  <c r="Z485" i="14" s="1"/>
  <c r="Z486" i="14" s="1"/>
  <c r="Z487" i="14" s="1"/>
  <c r="Z488" i="14" s="1"/>
  <c r="Z489" i="14" s="1"/>
  <c r="Z490" i="14" s="1"/>
  <c r="Z491" i="14" s="1"/>
  <c r="Z492" i="14" s="1"/>
  <c r="Z493" i="14" s="1"/>
  <c r="Z494" i="14" s="1"/>
  <c r="Z495" i="14" s="1"/>
  <c r="Z496" i="14" s="1"/>
  <c r="Z497" i="14" s="1"/>
  <c r="Z498" i="14" s="1"/>
  <c r="Z499" i="14" s="1"/>
  <c r="Z500" i="14" s="1"/>
  <c r="Z501" i="14" s="1"/>
  <c r="Z502" i="14" s="1"/>
  <c r="Z503" i="14" s="1"/>
  <c r="Z504" i="14" s="1"/>
  <c r="Z505" i="14" s="1"/>
  <c r="Z506" i="14" s="1"/>
  <c r="Z507" i="14" s="1"/>
  <c r="Z508" i="14" s="1"/>
  <c r="Z509" i="14" s="1"/>
  <c r="Z510" i="14" s="1"/>
  <c r="Z511" i="14" s="1"/>
  <c r="Z512" i="14" s="1"/>
  <c r="Z513" i="14" s="1"/>
  <c r="Z514" i="14" s="1"/>
  <c r="Z515" i="14" s="1"/>
  <c r="Z516" i="14" s="1"/>
  <c r="Z517" i="14" s="1"/>
  <c r="Z518" i="14" s="1"/>
  <c r="Z519" i="14" s="1"/>
  <c r="Z520" i="14" s="1"/>
  <c r="Z521" i="14" s="1"/>
  <c r="Z522" i="14" s="1"/>
  <c r="Z523" i="14" s="1"/>
  <c r="Z524" i="14" s="1"/>
  <c r="Z525" i="14" s="1"/>
  <c r="Z526" i="14" s="1"/>
  <c r="Z527" i="14" s="1"/>
  <c r="Z528" i="14" s="1"/>
  <c r="Z529" i="14" s="1"/>
  <c r="Z530" i="14" s="1"/>
  <c r="Z531" i="14" s="1"/>
  <c r="Z532" i="14" s="1"/>
  <c r="Z533" i="14" s="1"/>
  <c r="Z534" i="14" s="1"/>
  <c r="Z535" i="14" s="1"/>
  <c r="Z536" i="14" s="1"/>
  <c r="Z537" i="14" s="1"/>
  <c r="Z538" i="14" s="1"/>
  <c r="Z539" i="14" s="1"/>
  <c r="Z540" i="14" s="1"/>
  <c r="Z541" i="14" s="1"/>
  <c r="Z542" i="14" s="1"/>
  <c r="Z543" i="14" s="1"/>
  <c r="Z544" i="14" s="1"/>
  <c r="Z545" i="14" s="1"/>
  <c r="Z546" i="14" s="1"/>
  <c r="Z547" i="14" s="1"/>
  <c r="Z548" i="14" s="1"/>
  <c r="Z549" i="14" s="1"/>
  <c r="Z550" i="14" s="1"/>
  <c r="Z551" i="14" s="1"/>
  <c r="Z552" i="14" s="1"/>
  <c r="Z553" i="14" s="1"/>
  <c r="Z554" i="14" s="1"/>
  <c r="Z555" i="14" s="1"/>
  <c r="Z556" i="14" s="1"/>
  <c r="Z557" i="14" s="1"/>
  <c r="Z558" i="14" s="1"/>
  <c r="Z559" i="14" s="1"/>
  <c r="Z560" i="14" s="1"/>
  <c r="Z561" i="14" s="1"/>
  <c r="Z562" i="14" s="1"/>
  <c r="Z563" i="14" s="1"/>
  <c r="Z564" i="14" s="1"/>
  <c r="Z565" i="14" s="1"/>
  <c r="Z566" i="14" s="1"/>
  <c r="Z567" i="14" s="1"/>
  <c r="Z568" i="14" s="1"/>
  <c r="Z569" i="14" s="1"/>
  <c r="Z570" i="14" s="1"/>
  <c r="Z571" i="14" s="1"/>
  <c r="Z572" i="14" s="1"/>
  <c r="Z573" i="14" s="1"/>
  <c r="Z574" i="14" s="1"/>
  <c r="Z575" i="14" s="1"/>
  <c r="Z576" i="14" s="1"/>
  <c r="Z577" i="14" s="1"/>
  <c r="Z578" i="14" s="1"/>
  <c r="Z579" i="14" s="1"/>
  <c r="Z580" i="14" s="1"/>
  <c r="Z581" i="14" s="1"/>
  <c r="Z582" i="14" s="1"/>
  <c r="Z583" i="14" s="1"/>
  <c r="Z584" i="14" s="1"/>
  <c r="Z585" i="14" s="1"/>
  <c r="Z586" i="14" s="1"/>
  <c r="Z587" i="14" s="1"/>
  <c r="Z588" i="14" s="1"/>
  <c r="Z589" i="14" s="1"/>
  <c r="Z590" i="14" s="1"/>
  <c r="Z591" i="14" s="1"/>
  <c r="Z592" i="14" s="1"/>
  <c r="Z593" i="14" s="1"/>
  <c r="Z594" i="14" s="1"/>
  <c r="Z595" i="14" s="1"/>
  <c r="Z596" i="14" s="1"/>
  <c r="Z597" i="14" s="1"/>
  <c r="Z598" i="14" s="1"/>
  <c r="Z599" i="14" s="1"/>
  <c r="Z600" i="14" s="1"/>
  <c r="Z601" i="14" s="1"/>
  <c r="Z602" i="14" s="1"/>
  <c r="Z603" i="14" s="1"/>
  <c r="Z604" i="14" s="1"/>
  <c r="Z605" i="14" s="1"/>
  <c r="Z606" i="14" s="1"/>
  <c r="Z607" i="14" s="1"/>
  <c r="Z608" i="14" s="1"/>
  <c r="Z609" i="14" s="1"/>
  <c r="Z610" i="14" s="1"/>
  <c r="Z611" i="14" s="1"/>
  <c r="Z612" i="14" s="1"/>
  <c r="Z613" i="14" s="1"/>
  <c r="Z614" i="14" s="1"/>
  <c r="Z615" i="14" s="1"/>
  <c r="Z616" i="14" s="1"/>
  <c r="Z617" i="14" s="1"/>
  <c r="Z618" i="14" s="1"/>
  <c r="Z619" i="14" s="1"/>
  <c r="Z620" i="14" s="1"/>
  <c r="Z621" i="14" s="1"/>
  <c r="Z622" i="14" s="1"/>
  <c r="Z623" i="14" s="1"/>
  <c r="Z624" i="14" s="1"/>
  <c r="Z625" i="14" s="1"/>
  <c r="Z626" i="14" s="1"/>
  <c r="Z627" i="14" s="1"/>
  <c r="Z628" i="14" s="1"/>
  <c r="Z629" i="14" s="1"/>
  <c r="Z630" i="14" s="1"/>
  <c r="Z631" i="14" s="1"/>
  <c r="Z632" i="14" s="1"/>
  <c r="Z633" i="14" s="1"/>
  <c r="Z634" i="14" s="1"/>
  <c r="Z635" i="14" s="1"/>
  <c r="Z636" i="14" s="1"/>
  <c r="Z637" i="14" s="1"/>
  <c r="Z638" i="14" s="1"/>
  <c r="Z639" i="14" s="1"/>
  <c r="Z640" i="14" s="1"/>
  <c r="Z641" i="14" s="1"/>
  <c r="Z642" i="14" s="1"/>
  <c r="Z643" i="14" s="1"/>
  <c r="Z644" i="14" s="1"/>
  <c r="Z645" i="14" s="1"/>
  <c r="Z646" i="14" s="1"/>
  <c r="Z647" i="14" s="1"/>
  <c r="Z648" i="14" s="1"/>
  <c r="Z649" i="14" s="1"/>
  <c r="Z650" i="14" s="1"/>
  <c r="Z651" i="14" s="1"/>
  <c r="Z652" i="14" s="1"/>
  <c r="Z653" i="14" s="1"/>
  <c r="Z654" i="14" s="1"/>
  <c r="Z655" i="14" s="1"/>
  <c r="Z656" i="14" s="1"/>
  <c r="Z657" i="14" s="1"/>
  <c r="Z658" i="14" s="1"/>
  <c r="Z659" i="14" s="1"/>
  <c r="Z660" i="14" s="1"/>
  <c r="Z661" i="14" s="1"/>
  <c r="Z662" i="14" s="1"/>
  <c r="Z663" i="14" s="1"/>
  <c r="Z664" i="14" s="1"/>
  <c r="Z665" i="14" s="1"/>
  <c r="Z666" i="14" s="1"/>
  <c r="Z667" i="14" s="1"/>
  <c r="Z668" i="14" s="1"/>
  <c r="Z669" i="14" s="1"/>
  <c r="Z670" i="14" s="1"/>
  <c r="Z671" i="14" s="1"/>
  <c r="Z672" i="14" s="1"/>
  <c r="Z673" i="14" s="1"/>
  <c r="Z674" i="14" s="1"/>
  <c r="Z675" i="14" s="1"/>
  <c r="Z676" i="14" s="1"/>
  <c r="Z677" i="14" s="1"/>
  <c r="Z678" i="14" s="1"/>
  <c r="Z679" i="14" s="1"/>
  <c r="Z680" i="14" s="1"/>
  <c r="Z681" i="14" s="1"/>
  <c r="Z682" i="14" s="1"/>
  <c r="Z683" i="14" s="1"/>
  <c r="Z684" i="14" s="1"/>
  <c r="Z685" i="14" s="1"/>
  <c r="Z686" i="14" s="1"/>
  <c r="Z687" i="14" s="1"/>
  <c r="Z688" i="14" s="1"/>
  <c r="Z689" i="14" s="1"/>
  <c r="Z690" i="14" s="1"/>
  <c r="Z691" i="14" s="1"/>
  <c r="Z692" i="14" s="1"/>
  <c r="Z693" i="14" s="1"/>
  <c r="Z694" i="14" s="1"/>
  <c r="Z695" i="14" s="1"/>
  <c r="Z696" i="14" s="1"/>
  <c r="Z697" i="14" s="1"/>
  <c r="Z698" i="14" s="1"/>
  <c r="Z699" i="14" s="1"/>
  <c r="Z700" i="14" s="1"/>
  <c r="Z701" i="14" s="1"/>
  <c r="Z702" i="14" s="1"/>
  <c r="Z703" i="14" s="1"/>
  <c r="Z704" i="14" s="1"/>
  <c r="Z705" i="14" s="1"/>
  <c r="Z706" i="14" s="1"/>
  <c r="Z707" i="14" s="1"/>
  <c r="Z708" i="14" s="1"/>
  <c r="Z709" i="14" s="1"/>
  <c r="Z710" i="14" s="1"/>
  <c r="Z711" i="14" s="1"/>
  <c r="Z712" i="14" s="1"/>
  <c r="Z713" i="14" s="1"/>
  <c r="Z714" i="14" s="1"/>
  <c r="Z715" i="14" s="1"/>
  <c r="Z716" i="14" s="1"/>
  <c r="Z717" i="14" s="1"/>
  <c r="Z718" i="14" s="1"/>
  <c r="Z719" i="14" s="1"/>
  <c r="Z720" i="14" s="1"/>
  <c r="Z721" i="14" s="1"/>
  <c r="Z722" i="14" s="1"/>
  <c r="Z723" i="14" s="1"/>
  <c r="Z724" i="14" s="1"/>
  <c r="Z725" i="14" s="1"/>
  <c r="Z726" i="14" s="1"/>
  <c r="Z727" i="14" s="1"/>
  <c r="Z728" i="14" s="1"/>
  <c r="Z729" i="14" s="1"/>
  <c r="Z730" i="14" s="1"/>
  <c r="Z731" i="14" s="1"/>
  <c r="Z732" i="14" s="1"/>
  <c r="Z733" i="14" s="1"/>
  <c r="Z734" i="14" s="1"/>
  <c r="Z735" i="14" s="1"/>
  <c r="Z736" i="14" s="1"/>
  <c r="Z737" i="14" s="1"/>
  <c r="Z738" i="14" s="1"/>
  <c r="Z739" i="14" s="1"/>
  <c r="Z740" i="14" s="1"/>
  <c r="Z741" i="14" s="1"/>
  <c r="Z742" i="14" s="1"/>
  <c r="Z743" i="14" s="1"/>
  <c r="Z744" i="14" s="1"/>
  <c r="Z745" i="14" s="1"/>
  <c r="Z746" i="14" s="1"/>
  <c r="Z747" i="14" s="1"/>
  <c r="Z748" i="14" s="1"/>
  <c r="Z749" i="14" s="1"/>
  <c r="Z750" i="14" s="1"/>
  <c r="Z751" i="14" s="1"/>
  <c r="Z752" i="14" s="1"/>
  <c r="Z753" i="14" s="1"/>
  <c r="Z754" i="14" s="1"/>
  <c r="Z755" i="14" s="1"/>
  <c r="Z756" i="14" s="1"/>
  <c r="Z757" i="14" s="1"/>
  <c r="Z758" i="14" s="1"/>
  <c r="Z759" i="14" s="1"/>
  <c r="Z760" i="14" s="1"/>
  <c r="Z761" i="14" s="1"/>
  <c r="Z762" i="14" s="1"/>
  <c r="Z763" i="14" s="1"/>
  <c r="Z764" i="14" s="1"/>
  <c r="Z765" i="14" s="1"/>
  <c r="Z766" i="14" s="1"/>
  <c r="Z767" i="14" s="1"/>
  <c r="Z768" i="14" s="1"/>
  <c r="Z769" i="14" s="1"/>
  <c r="Z770" i="14" s="1"/>
  <c r="Z771" i="14" s="1"/>
  <c r="Z772" i="14" s="1"/>
  <c r="Z773" i="14" s="1"/>
  <c r="Z774" i="14" s="1"/>
  <c r="Z775" i="14" s="1"/>
  <c r="Z776" i="14" s="1"/>
  <c r="Z777" i="14" s="1"/>
  <c r="Z778" i="14" s="1"/>
  <c r="Z779" i="14" s="1"/>
  <c r="Z780" i="14" s="1"/>
  <c r="Z781" i="14" s="1"/>
  <c r="Z782" i="14" s="1"/>
  <c r="Z783" i="14" s="1"/>
  <c r="Z784" i="14" s="1"/>
  <c r="Z785" i="14" s="1"/>
  <c r="Z786" i="14" s="1"/>
  <c r="Z787" i="14" s="1"/>
  <c r="Z788" i="14" s="1"/>
  <c r="Z789" i="14" s="1"/>
  <c r="Z790" i="14" s="1"/>
  <c r="Z791" i="14" s="1"/>
  <c r="Z792" i="14" s="1"/>
  <c r="Z793" i="14" s="1"/>
  <c r="Z794" i="14" s="1"/>
  <c r="Z795" i="14" s="1"/>
  <c r="Z796" i="14" s="1"/>
  <c r="Z797" i="14" s="1"/>
  <c r="Z798" i="14" s="1"/>
  <c r="Z799" i="14" s="1"/>
  <c r="Z800" i="14" s="1"/>
  <c r="Z801" i="14" s="1"/>
  <c r="Z802" i="14" s="1"/>
  <c r="Z803" i="14" s="1"/>
  <c r="Z804" i="14" s="1"/>
  <c r="Z805" i="14" s="1"/>
  <c r="Z806" i="14" s="1"/>
  <c r="Z807" i="14" s="1"/>
  <c r="Z808" i="14" s="1"/>
  <c r="Z809" i="14" s="1"/>
  <c r="Z810" i="14" s="1"/>
  <c r="Z811" i="14" s="1"/>
  <c r="Z812" i="14" s="1"/>
  <c r="Z813" i="14" s="1"/>
  <c r="Z814" i="14" s="1"/>
  <c r="Z815" i="14" s="1"/>
  <c r="Z816" i="14" s="1"/>
  <c r="Z817" i="14" s="1"/>
  <c r="Z818" i="14" s="1"/>
  <c r="Z819" i="14" s="1"/>
  <c r="Z820" i="14" s="1"/>
  <c r="Z821" i="14" s="1"/>
  <c r="Z822" i="14" s="1"/>
  <c r="Z823" i="14" s="1"/>
  <c r="Z824" i="14" s="1"/>
  <c r="Z825" i="14" s="1"/>
  <c r="Z826" i="14" s="1"/>
  <c r="Z827" i="14" s="1"/>
  <c r="Z828" i="14" s="1"/>
  <c r="Z829" i="14" s="1"/>
  <c r="Z830" i="14" s="1"/>
  <c r="Z831" i="14" s="1"/>
  <c r="Z832" i="14" s="1"/>
  <c r="Z833" i="14" s="1"/>
  <c r="Z834" i="14" s="1"/>
  <c r="Z835" i="14" s="1"/>
  <c r="Z836" i="14" s="1"/>
  <c r="Z837" i="14" s="1"/>
  <c r="Z838" i="14" s="1"/>
  <c r="Z839" i="14" s="1"/>
  <c r="Z840" i="14" s="1"/>
  <c r="Z841" i="14" s="1"/>
  <c r="Z842" i="14" s="1"/>
  <c r="Z843" i="14" s="1"/>
  <c r="Z844" i="14" s="1"/>
  <c r="Z845" i="14" s="1"/>
  <c r="Z846" i="14" s="1"/>
  <c r="Z847" i="14" s="1"/>
  <c r="Z848" i="14" s="1"/>
  <c r="Z849" i="14" s="1"/>
  <c r="Z850" i="14" s="1"/>
  <c r="Z851" i="14" s="1"/>
  <c r="Z852" i="14" s="1"/>
  <c r="Z853" i="14" s="1"/>
  <c r="Z854" i="14" s="1"/>
  <c r="Z855" i="14" s="1"/>
  <c r="Z856" i="14" s="1"/>
  <c r="Z857" i="14" s="1"/>
  <c r="Z858" i="14" s="1"/>
  <c r="Z859" i="14" s="1"/>
  <c r="Z860" i="14" s="1"/>
  <c r="Z861" i="14" s="1"/>
  <c r="Z862" i="14" s="1"/>
  <c r="Z863" i="14" s="1"/>
  <c r="Z864" i="14" s="1"/>
  <c r="Z865" i="14" s="1"/>
  <c r="Z866" i="14" s="1"/>
  <c r="Z867" i="14" s="1"/>
  <c r="Z868" i="14" s="1"/>
  <c r="Z869" i="14" s="1"/>
  <c r="Z870" i="14" s="1"/>
  <c r="Z871" i="14" s="1"/>
  <c r="Z872" i="14" s="1"/>
  <c r="Z873" i="14" s="1"/>
  <c r="Z874" i="14" s="1"/>
  <c r="Z875" i="14" s="1"/>
  <c r="Z876" i="14" s="1"/>
  <c r="Z877" i="14" s="1"/>
  <c r="Z878" i="14" s="1"/>
  <c r="Z879" i="14" s="1"/>
  <c r="Z880" i="14" s="1"/>
  <c r="Z881" i="14" s="1"/>
  <c r="Z882" i="14" s="1"/>
  <c r="Z883" i="14" s="1"/>
  <c r="Z884" i="14" s="1"/>
  <c r="Z885" i="14" s="1"/>
  <c r="Z886" i="14" s="1"/>
  <c r="Z887" i="14" s="1"/>
  <c r="Z888" i="14" s="1"/>
  <c r="Z889" i="14" s="1"/>
  <c r="Z890" i="14" s="1"/>
  <c r="Z891" i="14" s="1"/>
  <c r="Z892" i="14" s="1"/>
  <c r="Z893" i="14" s="1"/>
  <c r="Z894" i="14" s="1"/>
  <c r="Z895" i="14" s="1"/>
  <c r="Z896" i="14" s="1"/>
  <c r="Z897" i="14" s="1"/>
  <c r="Z898" i="14" s="1"/>
  <c r="Z899" i="14" s="1"/>
  <c r="Z900" i="14" s="1"/>
  <c r="Z901" i="14" s="1"/>
  <c r="Z902" i="14" s="1"/>
  <c r="Z903" i="14" s="1"/>
  <c r="Z904" i="14" s="1"/>
  <c r="Z905" i="14" s="1"/>
  <c r="Z906" i="14" s="1"/>
  <c r="Z907" i="14" s="1"/>
  <c r="Z908" i="14" s="1"/>
  <c r="Z909" i="14" s="1"/>
  <c r="Z910" i="14" s="1"/>
  <c r="Z911" i="14" s="1"/>
  <c r="Z912" i="14" s="1"/>
  <c r="Z913" i="14" s="1"/>
  <c r="Z914" i="14" s="1"/>
  <c r="Z915" i="14" s="1"/>
  <c r="Z916" i="14" s="1"/>
  <c r="Z917" i="14" s="1"/>
  <c r="Z918" i="14" s="1"/>
  <c r="Z919" i="14" s="1"/>
  <c r="Z920" i="14" s="1"/>
  <c r="Z921" i="14" s="1"/>
  <c r="Z922" i="14" s="1"/>
  <c r="Z923" i="14" s="1"/>
  <c r="Z924" i="14" s="1"/>
  <c r="Z925" i="14" s="1"/>
  <c r="Z926" i="14" s="1"/>
  <c r="Z927" i="14" s="1"/>
  <c r="Z928" i="14" s="1"/>
  <c r="Z929" i="14" s="1"/>
  <c r="Z930" i="14" s="1"/>
  <c r="Z931" i="14" s="1"/>
  <c r="Z932" i="14" s="1"/>
  <c r="Z933" i="14" s="1"/>
  <c r="Z934" i="14" s="1"/>
  <c r="Z935" i="14" s="1"/>
  <c r="Z936" i="14" s="1"/>
  <c r="Z937" i="14" s="1"/>
  <c r="Z938" i="14" s="1"/>
  <c r="Z939" i="14" s="1"/>
  <c r="Z940" i="14" s="1"/>
  <c r="Z941" i="14" s="1"/>
  <c r="Z942" i="14" s="1"/>
  <c r="Z943" i="14" s="1"/>
  <c r="Z944" i="14" s="1"/>
  <c r="Z945" i="14" s="1"/>
  <c r="Z946" i="14" s="1"/>
  <c r="Z947" i="14" s="1"/>
  <c r="Z948" i="14" s="1"/>
  <c r="Z949" i="14" s="1"/>
  <c r="Z950" i="14" s="1"/>
  <c r="Z951" i="14" s="1"/>
  <c r="Z952" i="14" s="1"/>
  <c r="Z953" i="14" s="1"/>
  <c r="Z954" i="14" s="1"/>
  <c r="Z955" i="14" s="1"/>
  <c r="Z956" i="14" s="1"/>
  <c r="Z957" i="14" s="1"/>
  <c r="Z958" i="14" s="1"/>
  <c r="Z959" i="14" s="1"/>
  <c r="Z960" i="14" s="1"/>
  <c r="Z961" i="14" s="1"/>
  <c r="Z962" i="14" s="1"/>
  <c r="Z963" i="14" s="1"/>
  <c r="Z964" i="14" s="1"/>
  <c r="Z965" i="14" s="1"/>
  <c r="Z966" i="14" s="1"/>
  <c r="Z967" i="14" s="1"/>
  <c r="Z968" i="14" s="1"/>
  <c r="Z969" i="14" s="1"/>
  <c r="Z970" i="14" s="1"/>
  <c r="Z971" i="14" s="1"/>
  <c r="Z972" i="14" s="1"/>
  <c r="Z973" i="14" s="1"/>
  <c r="Z974" i="14" s="1"/>
  <c r="Z975" i="14" s="1"/>
  <c r="Z976" i="14" s="1"/>
  <c r="Z977" i="14" s="1"/>
  <c r="Z978" i="14" s="1"/>
  <c r="Z979" i="14" s="1"/>
  <c r="Z980" i="14" s="1"/>
  <c r="Z981" i="14" s="1"/>
  <c r="Z982" i="14" s="1"/>
  <c r="Z983" i="14" s="1"/>
  <c r="Z984" i="14" s="1"/>
  <c r="Z985" i="14" s="1"/>
  <c r="Z986" i="14" s="1"/>
  <c r="Z987" i="14" s="1"/>
  <c r="Z988" i="14" s="1"/>
  <c r="Z989" i="14" s="1"/>
  <c r="Z990" i="14" s="1"/>
  <c r="Z991" i="14" s="1"/>
  <c r="Z992" i="14" s="1"/>
  <c r="Z993" i="14" s="1"/>
  <c r="Z994" i="14" s="1"/>
  <c r="Z995" i="14" s="1"/>
  <c r="Z996" i="14" s="1"/>
  <c r="Z997" i="14" s="1"/>
  <c r="Z998" i="14" s="1"/>
  <c r="Z999" i="14" s="1"/>
  <c r="Z1000" i="14" s="1"/>
  <c r="Z1001" i="14" s="1"/>
  <c r="Z1002" i="14" s="1"/>
  <c r="Z1003" i="14" s="1"/>
  <c r="Z1004" i="14" s="1"/>
  <c r="Z1005" i="14" s="1"/>
  <c r="Z1006" i="14" s="1"/>
  <c r="Z1007" i="14" s="1"/>
  <c r="Z1008" i="14" s="1"/>
  <c r="Z1009" i="14" s="1"/>
  <c r="Z1010" i="14" s="1"/>
  <c r="Z1011" i="14" s="1"/>
  <c r="Z1012" i="14" s="1"/>
  <c r="Z1013" i="14" s="1"/>
  <c r="Z1014" i="14" s="1"/>
  <c r="Z1015" i="14" s="1"/>
  <c r="Z1016" i="14" s="1"/>
  <c r="Z1017" i="14" s="1"/>
  <c r="Z1018" i="14" s="1"/>
  <c r="Z1019" i="14" s="1"/>
  <c r="Z1020" i="14" s="1"/>
  <c r="Z1021" i="14" s="1"/>
  <c r="Z1022" i="14" s="1"/>
  <c r="Z1023" i="14" s="1"/>
  <c r="Z1024" i="14" s="1"/>
  <c r="Z1025" i="14" s="1"/>
  <c r="Z1026" i="14" s="1"/>
  <c r="Z1027" i="14" s="1"/>
  <c r="Z1028" i="14" s="1"/>
  <c r="Z1029" i="14" s="1"/>
  <c r="Z1030" i="14" s="1"/>
  <c r="Z1031" i="14" s="1"/>
  <c r="Z1032" i="14" s="1"/>
  <c r="Z1033" i="14" s="1"/>
  <c r="Z1034" i="14" s="1"/>
  <c r="Z1035" i="14" s="1"/>
  <c r="Z1036" i="14" s="1"/>
  <c r="Z1037" i="14" s="1"/>
  <c r="Z1038" i="14" s="1"/>
  <c r="Z1039" i="14" s="1"/>
  <c r="Z1040" i="14" s="1"/>
  <c r="Z1041" i="14" s="1"/>
  <c r="Z1042" i="14" s="1"/>
  <c r="Z1043" i="14" s="1"/>
  <c r="Z1044" i="14" s="1"/>
  <c r="Z1045" i="14" s="1"/>
  <c r="Z1046" i="14" s="1"/>
  <c r="Z1047" i="14" s="1"/>
  <c r="Z1048" i="14" s="1"/>
  <c r="Z1049" i="14" s="1"/>
  <c r="Z1050" i="14" s="1"/>
  <c r="Z1051" i="14" s="1"/>
  <c r="Z1052" i="14" s="1"/>
  <c r="Z1053" i="14" s="1"/>
  <c r="Z1054" i="14" s="1"/>
  <c r="Z1055" i="14" s="1"/>
  <c r="Z1056" i="14" s="1"/>
  <c r="Z1057" i="14" s="1"/>
  <c r="Z1058" i="14" s="1"/>
  <c r="Z1059" i="14" s="1"/>
  <c r="Z1060" i="14" s="1"/>
  <c r="Z1061" i="14" s="1"/>
  <c r="Z1062" i="14" s="1"/>
  <c r="Z1063" i="14" s="1"/>
  <c r="Z1064" i="14" s="1"/>
  <c r="Z1065" i="14" s="1"/>
  <c r="Z1066" i="14" s="1"/>
  <c r="Z1067" i="14" s="1"/>
  <c r="Z1068" i="14" s="1"/>
  <c r="Z1069" i="14" s="1"/>
  <c r="Z1070" i="14" s="1"/>
  <c r="Z1071" i="14" s="1"/>
  <c r="Z1072" i="14" s="1"/>
  <c r="Z1073" i="14" s="1"/>
  <c r="Z1074" i="14" s="1"/>
  <c r="Z1075" i="14" s="1"/>
  <c r="Z1076" i="14" s="1"/>
  <c r="Z1077" i="14" s="1"/>
  <c r="Z1078" i="14" s="1"/>
  <c r="Z1079" i="14" s="1"/>
  <c r="Z1080" i="14" s="1"/>
  <c r="Z1081" i="14" s="1"/>
  <c r="Z1082" i="14" s="1"/>
  <c r="Z1083" i="14" s="1"/>
  <c r="Z1084" i="14" s="1"/>
  <c r="Z1085" i="14" s="1"/>
  <c r="Z1086" i="14" s="1"/>
  <c r="Z1087" i="14" s="1"/>
  <c r="Z1088" i="14" s="1"/>
  <c r="Z1089" i="14" s="1"/>
  <c r="Z1090" i="14" s="1"/>
  <c r="Z1091" i="14" s="1"/>
  <c r="Z1092" i="14" s="1"/>
  <c r="Z1093" i="14" s="1"/>
  <c r="Z1094" i="14" s="1"/>
  <c r="Z1095" i="14" s="1"/>
  <c r="Z1096" i="14" s="1"/>
  <c r="Z1097" i="14" s="1"/>
  <c r="Z1098" i="14" s="1"/>
  <c r="Z1099" i="14" s="1"/>
  <c r="Z1100" i="14" s="1"/>
  <c r="Z1101" i="14" s="1"/>
  <c r="Z1102" i="14" s="1"/>
  <c r="Z1103" i="14" s="1"/>
  <c r="Z1104" i="14" s="1"/>
  <c r="Z1105" i="14" s="1"/>
  <c r="Z1106" i="14" s="1"/>
  <c r="Z1107" i="14" s="1"/>
  <c r="Z1108" i="14" s="1"/>
  <c r="Z1109" i="14" s="1"/>
  <c r="Z1110" i="14" s="1"/>
  <c r="Z1111" i="14" s="1"/>
  <c r="Z1112" i="14" s="1"/>
  <c r="Z1113" i="14" s="1"/>
  <c r="Z1114" i="14" s="1"/>
  <c r="Z1115" i="14" s="1"/>
  <c r="Z1116" i="14" s="1"/>
  <c r="Z1117" i="14" s="1"/>
  <c r="Z1118" i="14" s="1"/>
  <c r="Z1119" i="14" s="1"/>
  <c r="Z1120" i="14" s="1"/>
  <c r="Z1121" i="14" s="1"/>
  <c r="Z1122" i="14" s="1"/>
  <c r="Z1123" i="14" s="1"/>
  <c r="Z1124" i="14" s="1"/>
  <c r="Z1125" i="14" s="1"/>
  <c r="Z1126" i="14" s="1"/>
  <c r="Z1127" i="14" s="1"/>
  <c r="Z1128" i="14" s="1"/>
  <c r="Z1129" i="14" s="1"/>
  <c r="Z1130" i="14" s="1"/>
  <c r="Z1131" i="14" s="1"/>
  <c r="Z1132" i="14" s="1"/>
  <c r="Z1133" i="14" s="1"/>
  <c r="Z1134" i="14" s="1"/>
  <c r="Z1135" i="14" s="1"/>
  <c r="Z1136" i="14" s="1"/>
  <c r="Z1137" i="14" s="1"/>
  <c r="Z1138" i="14" s="1"/>
  <c r="Z1139" i="14" s="1"/>
  <c r="Z1140" i="14" s="1"/>
  <c r="Z1141" i="14" s="1"/>
  <c r="Z1142" i="14" s="1"/>
  <c r="Z1143" i="14" s="1"/>
  <c r="Z1144" i="14" s="1"/>
  <c r="AF30" i="14"/>
  <c r="AG30" i="14"/>
  <c r="G36" i="14" s="1"/>
  <c r="BC37" i="14" s="1"/>
  <c r="BB11" i="14"/>
  <c r="AY38" i="14"/>
  <c r="AY39" i="14"/>
  <c r="AY40" i="14"/>
  <c r="AY41" i="14"/>
  <c r="AB16" i="16" l="1"/>
  <c r="AC17" i="16"/>
  <c r="AU36" i="14"/>
  <c r="O36" i="14"/>
  <c r="X36" i="14" s="1"/>
  <c r="T36" i="14" s="1"/>
  <c r="V36" i="14" s="1"/>
  <c r="D36" i="14"/>
  <c r="E36" i="14"/>
  <c r="BE37" i="14" s="1"/>
  <c r="C36" i="14"/>
  <c r="BB37" i="14" s="1"/>
  <c r="Q14" i="14"/>
  <c r="Q17" i="14"/>
  <c r="Q19" i="14"/>
  <c r="Q21" i="14"/>
  <c r="Q23" i="14"/>
  <c r="Q25" i="14"/>
  <c r="Q27" i="14"/>
  <c r="Q29" i="14"/>
  <c r="Q31" i="14"/>
  <c r="Q33" i="14"/>
  <c r="Q35" i="14"/>
  <c r="Q12" i="14"/>
  <c r="Q15" i="14"/>
  <c r="Q18" i="14"/>
  <c r="Q22" i="14"/>
  <c r="Q26" i="14"/>
  <c r="Q30" i="14"/>
  <c r="Q34" i="14"/>
  <c r="Z1145" i="14"/>
  <c r="Z1146" i="14" s="1"/>
  <c r="BF11" i="14"/>
  <c r="L9" i="1"/>
  <c r="AB17" i="16" l="1"/>
  <c r="AC18" i="16"/>
  <c r="S36" i="14"/>
  <c r="U36" i="14"/>
  <c r="W36" i="14" s="1"/>
  <c r="Z1147" i="14"/>
  <c r="AB18" i="16" l="1"/>
  <c r="AC19" i="16"/>
  <c r="Z1148" i="14"/>
  <c r="AB19" i="16" l="1"/>
  <c r="AC20" i="16"/>
  <c r="Z1149" i="14"/>
  <c r="E2" i="2"/>
  <c r="AC21" i="16" l="1"/>
  <c r="AB20" i="16"/>
  <c r="Z1150" i="14"/>
  <c r="I3" i="2"/>
  <c r="I4" i="2" s="1"/>
  <c r="H2" i="2"/>
  <c r="AB21" i="16" l="1"/>
  <c r="AC22" i="16"/>
  <c r="Z1151" i="14"/>
  <c r="AB22" i="16" l="1"/>
  <c r="AC23" i="16"/>
  <c r="Z1152" i="14"/>
  <c r="AB23" i="16" l="1"/>
  <c r="AC24" i="16"/>
  <c r="Z1153" i="14"/>
  <c r="E3" i="15"/>
  <c r="AB24" i="16" l="1"/>
  <c r="AC25" i="16"/>
  <c r="Z1154" i="14"/>
  <c r="F6" i="15"/>
  <c r="I6" i="15"/>
  <c r="J6" i="15"/>
  <c r="AB25" i="16" l="1"/>
  <c r="AC26" i="16"/>
  <c r="Z1155" i="14"/>
  <c r="AZ3" i="3"/>
  <c r="AZ4" i="3"/>
  <c r="AZ5" i="3"/>
  <c r="BA3" i="3"/>
  <c r="BC3" i="3"/>
  <c r="AB26" i="16" l="1"/>
  <c r="AC27" i="16"/>
  <c r="Z1156" i="14"/>
  <c r="E22" i="1"/>
  <c r="B8" i="16" s="1"/>
  <c r="AB27" i="16" l="1"/>
  <c r="AC28" i="16"/>
  <c r="L18" i="1"/>
  <c r="B9" i="16" s="1"/>
  <c r="BA6" i="3"/>
  <c r="U8" i="14"/>
  <c r="T5" i="14"/>
  <c r="Z1157" i="14"/>
  <c r="J21" i="1"/>
  <c r="AC29" i="16" l="1"/>
  <c r="AB28" i="16"/>
  <c r="Z1158" i="14"/>
  <c r="AE24" i="1"/>
  <c r="AB29" i="16" l="1"/>
  <c r="AC30" i="16"/>
  <c r="Z1159" i="14"/>
  <c r="AR56" i="3"/>
  <c r="AR55" i="3" s="1"/>
  <c r="AB30" i="16" l="1"/>
  <c r="AC31" i="16"/>
  <c r="Z1160" i="14"/>
  <c r="L10" i="1"/>
  <c r="B11" i="16" s="1"/>
  <c r="Q17" i="2"/>
  <c r="AB31" i="16" l="1"/>
  <c r="AC32" i="16"/>
  <c r="G63" i="4"/>
  <c r="E6" i="15"/>
  <c r="Z1161" i="14"/>
  <c r="AA20" i="1"/>
  <c r="AB32" i="16" l="1"/>
  <c r="AC33" i="16"/>
  <c r="Z1162" i="14"/>
  <c r="AB33" i="16" l="1"/>
  <c r="AC34" i="16"/>
  <c r="Z1163" i="14"/>
  <c r="AB34" i="16" l="1"/>
  <c r="AC35" i="16"/>
  <c r="Z1164" i="14"/>
  <c r="AB35" i="16" l="1"/>
  <c r="AC36" i="16"/>
  <c r="Z1165" i="14"/>
  <c r="AC37" i="16" l="1"/>
  <c r="AB36" i="16"/>
  <c r="Z1166" i="14"/>
  <c r="L17" i="1"/>
  <c r="B18" i="16" s="1"/>
  <c r="L16" i="1"/>
  <c r="B17" i="16" s="1"/>
  <c r="E13" i="1"/>
  <c r="D12" i="16" s="1"/>
  <c r="E11" i="1"/>
  <c r="D10" i="16" s="1"/>
  <c r="E10" i="1"/>
  <c r="D9" i="16" s="1"/>
  <c r="AV5" i="1"/>
  <c r="AV11" i="1"/>
  <c r="AV12" i="1" s="1"/>
  <c r="AV8" i="1"/>
  <c r="AU5" i="1"/>
  <c r="AT5" i="1"/>
  <c r="AS5" i="1"/>
  <c r="AS6" i="1" s="1"/>
  <c r="AB37" i="16" l="1"/>
  <c r="AC38" i="16"/>
  <c r="AD10" i="14"/>
  <c r="Z1167" i="14"/>
  <c r="AV6" i="1"/>
  <c r="K10" i="3"/>
  <c r="AB38" i="16" l="1"/>
  <c r="AC39" i="16"/>
  <c r="Z1168" i="14"/>
  <c r="K11" i="3"/>
  <c r="AB39" i="16" l="1"/>
  <c r="AC40" i="16"/>
  <c r="Z1169" i="14"/>
  <c r="K12" i="3"/>
  <c r="P34" i="3"/>
  <c r="P56" i="3"/>
  <c r="AB40" i="16" l="1"/>
  <c r="AC41" i="16"/>
  <c r="Z1170" i="14"/>
  <c r="K13" i="3"/>
  <c r="Z53" i="3"/>
  <c r="AB41" i="16" l="1"/>
  <c r="AC42" i="16"/>
  <c r="K14" i="3"/>
  <c r="H7" i="7"/>
  <c r="AB42" i="16" l="1"/>
  <c r="AC43" i="16"/>
  <c r="E109" i="2"/>
  <c r="AV7" i="4"/>
  <c r="BT7" i="4"/>
  <c r="CJ7" i="4"/>
  <c r="G1" i="13" s="1"/>
  <c r="CB7" i="4"/>
  <c r="BL7" i="4"/>
  <c r="BD7" i="4"/>
  <c r="K15" i="3"/>
  <c r="K7" i="4"/>
  <c r="AB43" i="16" l="1"/>
  <c r="AC44" i="16"/>
  <c r="BL9" i="4"/>
  <c r="BI24" i="4"/>
  <c r="CJ9" i="4"/>
  <c r="CG24" i="4"/>
  <c r="AV9" i="4"/>
  <c r="AS24" i="4"/>
  <c r="BA24" i="4"/>
  <c r="BD9" i="4"/>
  <c r="CB9" i="4"/>
  <c r="BY24" i="4"/>
  <c r="BT9" i="4"/>
  <c r="BQ24" i="4"/>
  <c r="K16" i="3"/>
  <c r="L7" i="7"/>
  <c r="K7" i="7"/>
  <c r="AX7" i="4" s="1"/>
  <c r="AX9" i="4" s="1"/>
  <c r="J7" i="7"/>
  <c r="AC45" i="16" l="1"/>
  <c r="AB44" i="16"/>
  <c r="AW7" i="4"/>
  <c r="CK7" i="4"/>
  <c r="G2" i="13" s="1"/>
  <c r="BU7" i="4"/>
  <c r="BE7" i="4"/>
  <c r="CC7" i="4"/>
  <c r="BM7" i="4"/>
  <c r="AY7" i="4"/>
  <c r="CM7" i="4"/>
  <c r="G4" i="13" s="1"/>
  <c r="CE7" i="4"/>
  <c r="BO7" i="4"/>
  <c r="BW7" i="4"/>
  <c r="BG7" i="4"/>
  <c r="CD7" i="4"/>
  <c r="BN7" i="4"/>
  <c r="CL7" i="4"/>
  <c r="G3" i="13" s="1"/>
  <c r="BV7" i="4"/>
  <c r="BF7" i="4"/>
  <c r="BA26" i="4" s="1"/>
  <c r="K17" i="3"/>
  <c r="C6" i="7"/>
  <c r="AB45" i="16" l="1"/>
  <c r="AC46" i="16"/>
  <c r="BM9" i="4"/>
  <c r="BI25" i="4"/>
  <c r="BA25" i="4"/>
  <c r="BE9" i="4"/>
  <c r="CK9" i="4"/>
  <c r="CG25" i="4"/>
  <c r="CC9" i="4"/>
  <c r="BY25" i="4"/>
  <c r="BU9" i="4"/>
  <c r="BQ25" i="4"/>
  <c r="AW9" i="4"/>
  <c r="AS25" i="4"/>
  <c r="BQ27" i="4"/>
  <c r="BW9" i="4"/>
  <c r="BY27" i="4"/>
  <c r="CE9" i="4"/>
  <c r="AY9" i="4"/>
  <c r="AS27" i="4"/>
  <c r="BA27" i="4"/>
  <c r="BG9" i="4"/>
  <c r="BI27" i="4"/>
  <c r="BO9" i="4"/>
  <c r="CG27" i="4"/>
  <c r="CM9" i="4"/>
  <c r="BQ26" i="4"/>
  <c r="BV9" i="4"/>
  <c r="AS26" i="4"/>
  <c r="CD9" i="4"/>
  <c r="BY26" i="4"/>
  <c r="BF9" i="4"/>
  <c r="CG26" i="4"/>
  <c r="CL9" i="4"/>
  <c r="BN9" i="4"/>
  <c r="BI26" i="4"/>
  <c r="K18" i="3"/>
  <c r="K19" i="3" s="1"/>
  <c r="K20" i="3" s="1"/>
  <c r="K21" i="3" s="1"/>
  <c r="K22" i="3" s="1"/>
  <c r="K23" i="3" s="1"/>
  <c r="K24" i="3" s="1"/>
  <c r="K25" i="3" s="1"/>
  <c r="K26" i="3" s="1"/>
  <c r="J172" i="2"/>
  <c r="J173" i="2" s="1"/>
  <c r="J174" i="2" s="1"/>
  <c r="J175" i="2" s="1"/>
  <c r="J176" i="2" s="1"/>
  <c r="J177" i="2" s="1"/>
  <c r="J178" i="2" s="1"/>
  <c r="J179" i="2" s="1"/>
  <c r="J180" i="2" s="1"/>
  <c r="J181" i="2" s="1"/>
  <c r="J182" i="2" s="1"/>
  <c r="J183" i="2" s="1"/>
  <c r="J184" i="2" s="1"/>
  <c r="J185" i="2" s="1"/>
  <c r="J186" i="2" s="1"/>
  <c r="J187" i="2" s="1"/>
  <c r="J188" i="2" s="1"/>
  <c r="J189" i="2" s="1"/>
  <c r="J190" i="2" s="1"/>
  <c r="J191" i="2" s="1"/>
  <c r="J192" i="2" s="1"/>
  <c r="J193" i="2" s="1"/>
  <c r="J194" i="2" s="1"/>
  <c r="J195" i="2" s="1"/>
  <c r="J196" i="2" s="1"/>
  <c r="J197" i="2" s="1"/>
  <c r="J198" i="2" s="1"/>
  <c r="J199" i="2" s="1"/>
  <c r="J200" i="2" s="1"/>
  <c r="J201" i="2" s="1"/>
  <c r="J202" i="2" s="1"/>
  <c r="J203" i="2" s="1"/>
  <c r="J204" i="2" s="1"/>
  <c r="J205" i="2" s="1"/>
  <c r="J206" i="2" s="1"/>
  <c r="J207" i="2" s="1"/>
  <c r="J208" i="2" s="1"/>
  <c r="J209" i="2" s="1"/>
  <c r="J210" i="2" s="1"/>
  <c r="J211" i="2" s="1"/>
  <c r="J212" i="2" s="1"/>
  <c r="J213" i="2" s="1"/>
  <c r="J214" i="2" s="1"/>
  <c r="J215" i="2" s="1"/>
  <c r="J216" i="2" s="1"/>
  <c r="J217" i="2" s="1"/>
  <c r="J218" i="2" s="1"/>
  <c r="J219" i="2" s="1"/>
  <c r="J220" i="2" s="1"/>
  <c r="J221" i="2" s="1"/>
  <c r="J222" i="2" s="1"/>
  <c r="J223" i="2" s="1"/>
  <c r="J224" i="2" s="1"/>
  <c r="J225" i="2" s="1"/>
  <c r="J226" i="2" s="1"/>
  <c r="J227" i="2" s="1"/>
  <c r="J228" i="2" s="1"/>
  <c r="AB46" i="16" l="1"/>
  <c r="AC47" i="16"/>
  <c r="K27" i="3"/>
  <c r="K28" i="3" s="1"/>
  <c r="K29" i="3" s="1"/>
  <c r="K61" i="4"/>
  <c r="J229" i="2"/>
  <c r="J230" i="2" s="1"/>
  <c r="AB47" i="16" l="1"/>
  <c r="AC48" i="16"/>
  <c r="K30" i="3"/>
  <c r="E112" i="2"/>
  <c r="E111" i="2"/>
  <c r="E110" i="2"/>
  <c r="D9" i="2"/>
  <c r="E9" i="2"/>
  <c r="F170" i="2" s="1"/>
  <c r="S17" i="2" s="1"/>
  <c r="G6" i="15" s="1"/>
  <c r="F9" i="2"/>
  <c r="G9" i="2"/>
  <c r="H108" i="2" s="1"/>
  <c r="H9" i="2"/>
  <c r="I9" i="2"/>
  <c r="H170" i="2" s="1"/>
  <c r="AK53" i="7"/>
  <c r="L7" i="4"/>
  <c r="AL80" i="7"/>
  <c r="AL79" i="7"/>
  <c r="AL78" i="7"/>
  <c r="AL77" i="7"/>
  <c r="AL76" i="7"/>
  <c r="AL75" i="7"/>
  <c r="AL74" i="7"/>
  <c r="AL73" i="7"/>
  <c r="AL72" i="7"/>
  <c r="AL71" i="7"/>
  <c r="AL70" i="7"/>
  <c r="AL69" i="7"/>
  <c r="AL68" i="7"/>
  <c r="AL67" i="7"/>
  <c r="AL66" i="7"/>
  <c r="AL65" i="7"/>
  <c r="AL64" i="7"/>
  <c r="AL63" i="7"/>
  <c r="AL62" i="7"/>
  <c r="AL61" i="7"/>
  <c r="AL60" i="7"/>
  <c r="AL59" i="7"/>
  <c r="AL58" i="7"/>
  <c r="AL57" i="7"/>
  <c r="AL56" i="7"/>
  <c r="AL55" i="7"/>
  <c r="AL54" i="7"/>
  <c r="AL53" i="7"/>
  <c r="M7" i="4"/>
  <c r="N7" i="4"/>
  <c r="D27" i="12"/>
  <c r="AO10" i="11"/>
  <c r="G1" i="10"/>
  <c r="AG9" i="8"/>
  <c r="S4" i="8" s="1"/>
  <c r="AT139" i="7"/>
  <c r="AT138" i="7"/>
  <c r="AT137" i="7"/>
  <c r="AT136" i="7"/>
  <c r="AT135" i="7"/>
  <c r="AT134" i="7"/>
  <c r="AT133" i="7"/>
  <c r="AT132" i="7"/>
  <c r="AT131" i="7"/>
  <c r="AT130" i="7"/>
  <c r="AT129" i="7"/>
  <c r="AT128" i="7"/>
  <c r="AT127" i="7"/>
  <c r="AT126" i="7"/>
  <c r="AT125" i="7"/>
  <c r="AT124" i="7"/>
  <c r="AT123" i="7"/>
  <c r="AT122" i="7"/>
  <c r="AT121" i="7"/>
  <c r="AT120" i="7"/>
  <c r="AT119" i="7"/>
  <c r="AT118" i="7"/>
  <c r="AT117" i="7"/>
  <c r="AT116" i="7"/>
  <c r="AT115" i="7"/>
  <c r="AT114" i="7"/>
  <c r="AT113" i="7"/>
  <c r="AT112" i="7"/>
  <c r="AT111" i="7"/>
  <c r="AT110" i="7"/>
  <c r="AT109" i="7"/>
  <c r="AT108" i="7"/>
  <c r="P44" i="13"/>
  <c r="P43" i="13"/>
  <c r="Y27" i="13"/>
  <c r="Y26" i="13"/>
  <c r="Y25" i="13"/>
  <c r="Y24" i="13"/>
  <c r="Z23" i="13"/>
  <c r="Y23" i="13"/>
  <c r="Z22" i="13"/>
  <c r="Y22" i="13"/>
  <c r="Z21" i="13"/>
  <c r="Y21" i="13"/>
  <c r="Z20" i="13"/>
  <c r="Y20" i="13"/>
  <c r="Z19" i="13"/>
  <c r="Y19" i="13"/>
  <c r="Z18" i="13"/>
  <c r="Y18" i="13"/>
  <c r="Z17" i="13"/>
  <c r="Y17" i="13"/>
  <c r="Z16" i="13"/>
  <c r="Y16" i="13"/>
  <c r="Z15" i="13"/>
  <c r="Y15" i="13"/>
  <c r="Z14" i="13"/>
  <c r="Y14" i="13"/>
  <c r="Z13" i="13"/>
  <c r="Y13" i="13"/>
  <c r="Z12" i="13"/>
  <c r="Y12" i="13"/>
  <c r="R10" i="13"/>
  <c r="R9" i="13"/>
  <c r="AE8" i="13"/>
  <c r="AF9" i="13" s="1"/>
  <c r="Q4" i="13" s="1"/>
  <c r="R8" i="13"/>
  <c r="AE52" i="13"/>
  <c r="P44" i="12"/>
  <c r="P43" i="12"/>
  <c r="Y27" i="12"/>
  <c r="Y26" i="12"/>
  <c r="D26" i="12"/>
  <c r="Y25" i="12"/>
  <c r="Y24" i="12"/>
  <c r="D24" i="12"/>
  <c r="Y23" i="12"/>
  <c r="Y22" i="12"/>
  <c r="Y21" i="12"/>
  <c r="Y20" i="12"/>
  <c r="Y19" i="12"/>
  <c r="Y18" i="12"/>
  <c r="Y17" i="12"/>
  <c r="Y16" i="12"/>
  <c r="Y15" i="12"/>
  <c r="Y14" i="12"/>
  <c r="Y13" i="12"/>
  <c r="Y12" i="12"/>
  <c r="R10" i="12"/>
  <c r="AI9" i="12"/>
  <c r="U4" i="12" s="1"/>
  <c r="AI7" i="12" s="1"/>
  <c r="R9" i="12"/>
  <c r="AB22" i="12"/>
  <c r="AE8" i="12"/>
  <c r="AF9" i="12" s="1"/>
  <c r="Q4" i="12" s="1"/>
  <c r="R8" i="12"/>
  <c r="AE7" i="12"/>
  <c r="L4" i="12"/>
  <c r="K4" i="12"/>
  <c r="J4" i="12"/>
  <c r="I4" i="12"/>
  <c r="P44" i="11"/>
  <c r="P43" i="11"/>
  <c r="Y27" i="11"/>
  <c r="Y26" i="11"/>
  <c r="Y25" i="11"/>
  <c r="Y24" i="11"/>
  <c r="Y23" i="11"/>
  <c r="Y22" i="11"/>
  <c r="Y21" i="11"/>
  <c r="Y20" i="11"/>
  <c r="Y19" i="11"/>
  <c r="Y18" i="11"/>
  <c r="Y17" i="11"/>
  <c r="Y16" i="11"/>
  <c r="Y15" i="11"/>
  <c r="Y14" i="11"/>
  <c r="Y13" i="11"/>
  <c r="Y12" i="11"/>
  <c r="R10" i="11"/>
  <c r="R9" i="11"/>
  <c r="AE8" i="11"/>
  <c r="AF9" i="11" s="1"/>
  <c r="Q4" i="11" s="1"/>
  <c r="R8" i="11"/>
  <c r="AE7" i="11"/>
  <c r="L4" i="11"/>
  <c r="K4" i="11"/>
  <c r="J4" i="11"/>
  <c r="I4" i="11"/>
  <c r="P44" i="10"/>
  <c r="P43" i="10"/>
  <c r="Y27" i="10"/>
  <c r="Y26" i="10"/>
  <c r="Y25" i="10"/>
  <c r="Y24" i="10"/>
  <c r="Y23" i="10"/>
  <c r="Y22" i="10"/>
  <c r="Y21" i="10"/>
  <c r="Y20" i="10"/>
  <c r="Y19" i="10"/>
  <c r="Y18" i="10"/>
  <c r="Y17" i="10"/>
  <c r="Y16" i="10"/>
  <c r="Y15" i="10"/>
  <c r="Y14" i="10"/>
  <c r="Y13" i="10"/>
  <c r="Y12" i="10"/>
  <c r="R10" i="10"/>
  <c r="R9" i="10"/>
  <c r="AE8" i="10"/>
  <c r="AF9" i="10" s="1"/>
  <c r="Q4" i="10" s="1"/>
  <c r="R8" i="10"/>
  <c r="AE7" i="10"/>
  <c r="L4" i="10"/>
  <c r="K4" i="10"/>
  <c r="J4" i="10"/>
  <c r="I4" i="10"/>
  <c r="P44" i="9"/>
  <c r="P43" i="9"/>
  <c r="Y27" i="9"/>
  <c r="Y26" i="9"/>
  <c r="D26" i="9"/>
  <c r="Y25" i="9"/>
  <c r="Y24" i="9"/>
  <c r="AA23" i="9"/>
  <c r="Y23" i="9"/>
  <c r="AA22" i="9"/>
  <c r="Y22" i="9"/>
  <c r="AA21" i="9"/>
  <c r="Y21" i="9"/>
  <c r="AA20" i="9"/>
  <c r="Y20" i="9"/>
  <c r="Y19" i="9"/>
  <c r="Y18" i="9"/>
  <c r="Y17" i="9"/>
  <c r="Y16" i="9"/>
  <c r="Y15" i="9"/>
  <c r="Y14" i="9"/>
  <c r="Y13" i="9"/>
  <c r="Y12" i="9"/>
  <c r="R10" i="9"/>
  <c r="R9" i="9"/>
  <c r="AE8" i="9"/>
  <c r="AF9" i="9" s="1"/>
  <c r="Q4" i="9" s="1"/>
  <c r="R8" i="9"/>
  <c r="AE7" i="9"/>
  <c r="L4" i="9"/>
  <c r="K4" i="9"/>
  <c r="J4" i="9"/>
  <c r="I4" i="9"/>
  <c r="P44" i="8"/>
  <c r="P43" i="8"/>
  <c r="Y27" i="8"/>
  <c r="Y26" i="8"/>
  <c r="Y25" i="8"/>
  <c r="Y24" i="8"/>
  <c r="Y23" i="8"/>
  <c r="Y22" i="8"/>
  <c r="Y21" i="8"/>
  <c r="Y20" i="8"/>
  <c r="Y19" i="8"/>
  <c r="Y18" i="8"/>
  <c r="Y17" i="8"/>
  <c r="Y16" i="8"/>
  <c r="Y15" i="8"/>
  <c r="Y14" i="8"/>
  <c r="Y13" i="8"/>
  <c r="Y12" i="8"/>
  <c r="R10" i="8"/>
  <c r="R9" i="8"/>
  <c r="AE8" i="8"/>
  <c r="AF9" i="8" s="1"/>
  <c r="Q4" i="8" s="1"/>
  <c r="R8" i="8"/>
  <c r="AE7" i="8"/>
  <c r="L4" i="8"/>
  <c r="K4" i="8"/>
  <c r="J4" i="8"/>
  <c r="I4" i="8"/>
  <c r="R44" i="4"/>
  <c r="R43" i="4"/>
  <c r="AA27" i="4"/>
  <c r="AA26" i="4"/>
  <c r="AA25" i="4"/>
  <c r="AA24" i="4"/>
  <c r="AA23" i="4"/>
  <c r="AA22" i="4"/>
  <c r="AA21" i="4"/>
  <c r="AA20" i="4"/>
  <c r="AA19" i="4"/>
  <c r="AA18" i="4"/>
  <c r="AA17" i="4"/>
  <c r="AA16" i="4"/>
  <c r="AA15" i="4"/>
  <c r="AA14" i="4"/>
  <c r="AA13" i="4"/>
  <c r="AA12" i="4"/>
  <c r="T10" i="4"/>
  <c r="T9" i="4"/>
  <c r="AG8" i="4"/>
  <c r="AH9" i="4" s="1"/>
  <c r="S4" i="4" s="1"/>
  <c r="T8" i="4"/>
  <c r="AG7" i="4"/>
  <c r="Z27" i="7"/>
  <c r="Z26" i="7"/>
  <c r="Z25" i="7"/>
  <c r="Z24" i="7"/>
  <c r="Z23" i="7"/>
  <c r="Z22" i="7"/>
  <c r="Z21" i="7"/>
  <c r="Z20" i="7"/>
  <c r="Z19" i="7"/>
  <c r="Z18" i="7"/>
  <c r="Z17" i="7"/>
  <c r="Z16" i="7"/>
  <c r="Z15" i="7"/>
  <c r="Z14" i="7"/>
  <c r="Z13" i="7"/>
  <c r="F4" i="7"/>
  <c r="F3" i="7"/>
  <c r="F2" i="7"/>
  <c r="F1" i="7"/>
  <c r="AM7" i="7"/>
  <c r="W4" i="7" s="1"/>
  <c r="W3" i="7" s="1"/>
  <c r="AP10" i="7"/>
  <c r="Q43" i="7"/>
  <c r="Q44" i="7"/>
  <c r="E27" i="7"/>
  <c r="E26" i="7"/>
  <c r="E25" i="7"/>
  <c r="L4" i="7"/>
  <c r="K4" i="7"/>
  <c r="J4" i="7"/>
  <c r="H4" i="7"/>
  <c r="N3" i="7"/>
  <c r="C27" i="7"/>
  <c r="C26" i="7"/>
  <c r="C25" i="7"/>
  <c r="C24" i="7"/>
  <c r="AD23" i="7"/>
  <c r="AC23" i="7"/>
  <c r="AB23" i="7"/>
  <c r="AA23" i="7"/>
  <c r="AD22" i="7"/>
  <c r="AC22" i="7"/>
  <c r="AB22" i="7"/>
  <c r="AA22" i="7"/>
  <c r="AD21" i="7"/>
  <c r="AC21" i="7"/>
  <c r="AB21" i="7"/>
  <c r="AA21" i="7"/>
  <c r="AD20" i="7"/>
  <c r="AC20" i="7"/>
  <c r="AB20" i="7"/>
  <c r="AA20" i="7"/>
  <c r="AD19" i="7"/>
  <c r="AC19" i="7"/>
  <c r="AB19" i="7"/>
  <c r="AA19" i="7"/>
  <c r="AD18" i="7"/>
  <c r="AB18" i="7"/>
  <c r="AD17" i="7"/>
  <c r="AC17" i="7"/>
  <c r="S10" i="7"/>
  <c r="AJ9" i="7"/>
  <c r="V4" i="7" s="1"/>
  <c r="V3" i="7" s="1"/>
  <c r="AI9" i="7"/>
  <c r="U4" i="7" s="1"/>
  <c r="AH9" i="7"/>
  <c r="T4" i="7" s="1"/>
  <c r="S5" i="7" s="1"/>
  <c r="S9" i="7"/>
  <c r="AD16" i="7"/>
  <c r="AB17" i="7"/>
  <c r="AA17" i="7"/>
  <c r="AF8" i="7"/>
  <c r="AG9" i="7" s="1"/>
  <c r="R4" i="7" s="1"/>
  <c r="S4" i="7" s="1"/>
  <c r="AG7" i="7" s="1"/>
  <c r="S8" i="7"/>
  <c r="AF7" i="7"/>
  <c r="AD15" i="7"/>
  <c r="AC18" i="7"/>
  <c r="AB15" i="7"/>
  <c r="AD12" i="7"/>
  <c r="AA15" i="7"/>
  <c r="AD14" i="7"/>
  <c r="AA18" i="7"/>
  <c r="AC16" i="7"/>
  <c r="AD13" i="7"/>
  <c r="AC13" i="7"/>
  <c r="AC15" i="7"/>
  <c r="AC12" i="7"/>
  <c r="AC14" i="7"/>
  <c r="AA16" i="7"/>
  <c r="AA12" i="7"/>
  <c r="AA13" i="7"/>
  <c r="AA14" i="7"/>
  <c r="AB13" i="7"/>
  <c r="AB16" i="7"/>
  <c r="AB12" i="7"/>
  <c r="AB14" i="7"/>
  <c r="A14" i="14"/>
  <c r="O3" i="6"/>
  <c r="O4" i="6"/>
  <c r="O6" i="6"/>
  <c r="H7" i="6"/>
  <c r="O7" i="6"/>
  <c r="O8" i="6"/>
  <c r="J9" i="6"/>
  <c r="P11" i="6"/>
  <c r="P12" i="6"/>
  <c r="P13" i="6"/>
  <c r="P14" i="6"/>
  <c r="P16" i="6"/>
  <c r="P17" i="6"/>
  <c r="A18" i="6"/>
  <c r="I18" i="6"/>
  <c r="F21" i="6"/>
  <c r="S21" i="6"/>
  <c r="F22" i="6"/>
  <c r="S22" i="6"/>
  <c r="AA33" i="6"/>
  <c r="Z35" i="6"/>
  <c r="F37" i="6"/>
  <c r="G37" i="6"/>
  <c r="E37" i="6" s="1"/>
  <c r="H37" i="6"/>
  <c r="I161" i="6"/>
  <c r="I162" i="6" s="1"/>
  <c r="I163" i="6" s="1"/>
  <c r="I164" i="6" s="1"/>
  <c r="I165" i="6" s="1"/>
  <c r="I166" i="6" s="1"/>
  <c r="I167" i="6" s="1"/>
  <c r="I168" i="6" s="1"/>
  <c r="I169" i="6" s="1"/>
  <c r="I170" i="6" s="1"/>
  <c r="I171" i="6" s="1"/>
  <c r="I172" i="6" s="1"/>
  <c r="I173" i="6" s="1"/>
  <c r="I174" i="6" s="1"/>
  <c r="I175" i="6" s="1"/>
  <c r="I176" i="6" s="1"/>
  <c r="I177" i="6" s="1"/>
  <c r="I178" i="6" s="1"/>
  <c r="I179" i="6" s="1"/>
  <c r="I180" i="6" s="1"/>
  <c r="I181" i="6" s="1"/>
  <c r="I182" i="6" s="1"/>
  <c r="I183" i="6" s="1"/>
  <c r="I184" i="6" s="1"/>
  <c r="I185" i="6" s="1"/>
  <c r="I186" i="6" s="1"/>
  <c r="I187" i="6" s="1"/>
  <c r="I188" i="6" s="1"/>
  <c r="I189" i="6" s="1"/>
  <c r="I190" i="6" s="1"/>
  <c r="I191" i="6" s="1"/>
  <c r="I192" i="6" s="1"/>
  <c r="I193" i="6" s="1"/>
  <c r="I194" i="6" s="1"/>
  <c r="I195" i="6" s="1"/>
  <c r="I196" i="6" s="1"/>
  <c r="I197" i="6" s="1"/>
  <c r="I198" i="6" s="1"/>
  <c r="I199" i="6" s="1"/>
  <c r="I200" i="6" s="1"/>
  <c r="I201" i="6" s="1"/>
  <c r="I202" i="6" s="1"/>
  <c r="I203" i="6" s="1"/>
  <c r="I204" i="6" s="1"/>
  <c r="I205" i="6" s="1"/>
  <c r="I206" i="6" s="1"/>
  <c r="I207" i="6" s="1"/>
  <c r="I208" i="6" s="1"/>
  <c r="I209" i="6" s="1"/>
  <c r="I210" i="6" s="1"/>
  <c r="I211" i="6" s="1"/>
  <c r="I212" i="6" s="1"/>
  <c r="I213" i="6" s="1"/>
  <c r="I214" i="6" s="1"/>
  <c r="I215" i="6" s="1"/>
  <c r="I216" i="6" s="1"/>
  <c r="I217" i="6" s="1"/>
  <c r="I218" i="6" s="1"/>
  <c r="I219" i="6" s="1"/>
  <c r="I220" i="6" s="1"/>
  <c r="I221" i="6" s="1"/>
  <c r="I222" i="6" s="1"/>
  <c r="I223" i="6" s="1"/>
  <c r="I224" i="6" s="1"/>
  <c r="I225" i="6" s="1"/>
  <c r="I226" i="6" s="1"/>
  <c r="I227" i="6" s="1"/>
  <c r="I228" i="6" s="1"/>
  <c r="I229" i="6" s="1"/>
  <c r="I230" i="6" s="1"/>
  <c r="I231" i="6" s="1"/>
  <c r="I232" i="6" s="1"/>
  <c r="I233" i="6" s="1"/>
  <c r="I234" i="6" s="1"/>
  <c r="I235" i="6" s="1"/>
  <c r="I236" i="6" s="1"/>
  <c r="I237" i="6" s="1"/>
  <c r="I238" i="6" s="1"/>
  <c r="I239" i="6" s="1"/>
  <c r="I240" i="6" s="1"/>
  <c r="I241" i="6" s="1"/>
  <c r="I242" i="6" s="1"/>
  <c r="I243" i="6" s="1"/>
  <c r="I244" i="6" s="1"/>
  <c r="I245" i="6" s="1"/>
  <c r="I246" i="6" s="1"/>
  <c r="I247" i="6" s="1"/>
  <c r="I248" i="6" s="1"/>
  <c r="I249" i="6" s="1"/>
  <c r="I250" i="6" s="1"/>
  <c r="I251" i="6" s="1"/>
  <c r="I252" i="6" s="1"/>
  <c r="I253" i="6" s="1"/>
  <c r="I254" i="6" s="1"/>
  <c r="I255" i="6" s="1"/>
  <c r="I256" i="6" s="1"/>
  <c r="I257" i="6" s="1"/>
  <c r="I258" i="6" s="1"/>
  <c r="I259" i="6" s="1"/>
  <c r="I260" i="6" s="1"/>
  <c r="I261" i="6" s="1"/>
  <c r="I262" i="6" s="1"/>
  <c r="I263" i="6" s="1"/>
  <c r="I264" i="6" s="1"/>
  <c r="I265" i="6" s="1"/>
  <c r="I266" i="6" s="1"/>
  <c r="I267" i="6" s="1"/>
  <c r="I268" i="6" s="1"/>
  <c r="I269" i="6" s="1"/>
  <c r="I270" i="6" s="1"/>
  <c r="I271" i="6" s="1"/>
  <c r="I272" i="6" s="1"/>
  <c r="I273" i="6" s="1"/>
  <c r="I274" i="6" s="1"/>
  <c r="I275" i="6" s="1"/>
  <c r="I276" i="6" s="1"/>
  <c r="I277" i="6" s="1"/>
  <c r="I278" i="6" s="1"/>
  <c r="I279" i="6" s="1"/>
  <c r="AP268" i="6"/>
  <c r="CB137" i="3"/>
  <c r="CB132" i="3"/>
  <c r="CB131" i="3"/>
  <c r="CB120" i="3"/>
  <c r="CB119" i="3"/>
  <c r="CB115" i="3"/>
  <c r="CB111" i="3"/>
  <c r="CB107" i="3"/>
  <c r="CB103" i="3"/>
  <c r="CB99" i="3"/>
  <c r="CB95" i="3"/>
  <c r="CB91" i="3"/>
  <c r="CB90" i="3"/>
  <c r="CB87" i="3"/>
  <c r="CB84" i="3"/>
  <c r="CB83" i="3"/>
  <c r="CB78" i="3"/>
  <c r="CB77" i="3"/>
  <c r="CB74" i="3"/>
  <c r="CB73" i="3"/>
  <c r="CB63" i="3"/>
  <c r="CB55" i="3"/>
  <c r="CB54" i="3"/>
  <c r="CB50" i="3"/>
  <c r="CB49" i="3"/>
  <c r="CB46" i="3"/>
  <c r="CB45" i="3"/>
  <c r="CB42" i="3"/>
  <c r="CB41" i="3"/>
  <c r="CB40" i="3"/>
  <c r="CB39" i="3"/>
  <c r="CB38" i="3"/>
  <c r="CB33" i="3"/>
  <c r="CB27" i="3"/>
  <c r="CB26" i="3"/>
  <c r="CB20" i="3"/>
  <c r="CB19" i="3"/>
  <c r="CB15" i="3"/>
  <c r="CB14" i="3"/>
  <c r="A5" i="1"/>
  <c r="E5" i="1"/>
  <c r="X7" i="1"/>
  <c r="D8" i="1"/>
  <c r="K8" i="1" s="1"/>
  <c r="F8" i="1"/>
  <c r="E10" i="14" s="1"/>
  <c r="BE11" i="14" s="1"/>
  <c r="BD11" i="14" s="1"/>
  <c r="L8" i="1"/>
  <c r="P8" i="1"/>
  <c r="D9" i="1"/>
  <c r="K9" i="1"/>
  <c r="R9" i="1"/>
  <c r="D10" i="1"/>
  <c r="K10" i="1"/>
  <c r="D11" i="1"/>
  <c r="K11" i="1"/>
  <c r="D12" i="1"/>
  <c r="K12" i="1"/>
  <c r="D13" i="1"/>
  <c r="K13" i="1"/>
  <c r="AE13" i="1"/>
  <c r="D14" i="1"/>
  <c r="K14" i="1"/>
  <c r="AD14" i="1"/>
  <c r="D15" i="1"/>
  <c r="K15" i="1"/>
  <c r="D16" i="1"/>
  <c r="K16" i="1"/>
  <c r="D55" i="1" s="1"/>
  <c r="D17" i="1"/>
  <c r="K17" i="1"/>
  <c r="D56" i="1" s="1"/>
  <c r="D18" i="1"/>
  <c r="K18" i="1"/>
  <c r="D57" i="1" s="1"/>
  <c r="E63" i="1"/>
  <c r="D19" i="1"/>
  <c r="AE19" i="1"/>
  <c r="D20" i="1"/>
  <c r="AE20" i="1"/>
  <c r="D21" i="1"/>
  <c r="AE21" i="1"/>
  <c r="D22" i="1"/>
  <c r="A26" i="14"/>
  <c r="D23" i="1"/>
  <c r="AA23" i="1"/>
  <c r="H27" i="1"/>
  <c r="V29" i="1"/>
  <c r="V30" i="1"/>
  <c r="AA31" i="1"/>
  <c r="M37" i="1"/>
  <c r="E55" i="1"/>
  <c r="F56" i="1"/>
  <c r="E24" i="3" s="1"/>
  <c r="R23" i="3" s="1"/>
  <c r="E57" i="1"/>
  <c r="F57" i="1"/>
  <c r="E25" i="3" s="1"/>
  <c r="R37" i="3" s="1"/>
  <c r="D58" i="1"/>
  <c r="F58" i="1"/>
  <c r="E26" i="3" s="1"/>
  <c r="F62" i="1"/>
  <c r="M62" i="1"/>
  <c r="AF17" i="1" s="1"/>
  <c r="F63" i="1"/>
  <c r="E31" i="3" s="1"/>
  <c r="F64" i="1"/>
  <c r="E32" i="3" s="1"/>
  <c r="E65" i="1"/>
  <c r="F65" i="1"/>
  <c r="E33" i="3" s="1"/>
  <c r="A11" i="14"/>
  <c r="A15" i="14"/>
  <c r="A12" i="14"/>
  <c r="A13" i="14"/>
  <c r="A28" i="14"/>
  <c r="A29" i="14"/>
  <c r="A32" i="14"/>
  <c r="A33" i="14"/>
  <c r="E8" i="3"/>
  <c r="R11" i="3" s="1"/>
  <c r="AG8" i="3"/>
  <c r="AQ8" i="3"/>
  <c r="E9" i="3"/>
  <c r="S9" i="3"/>
  <c r="AG9" i="3"/>
  <c r="E10" i="3"/>
  <c r="R30" i="3" s="1"/>
  <c r="E11" i="3"/>
  <c r="E12" i="3"/>
  <c r="E13" i="3"/>
  <c r="AP13" i="3"/>
  <c r="AP12" i="3" s="1"/>
  <c r="Q14" i="3"/>
  <c r="U14" i="3" s="1"/>
  <c r="S14" i="3"/>
  <c r="AO14" i="3"/>
  <c r="J14" i="3" s="1"/>
  <c r="AP14" i="3"/>
  <c r="E15" i="3"/>
  <c r="R96" i="3" s="1"/>
  <c r="Q15" i="3"/>
  <c r="U15" i="3" s="1"/>
  <c r="S15" i="3"/>
  <c r="E16" i="3"/>
  <c r="P16" i="3"/>
  <c r="E17" i="3"/>
  <c r="P17" i="3"/>
  <c r="E18" i="3"/>
  <c r="R110" i="3" s="1"/>
  <c r="E19" i="3"/>
  <c r="R112" i="3" s="1"/>
  <c r="U19" i="3"/>
  <c r="AO19" i="3"/>
  <c r="J19" i="3" s="1"/>
  <c r="AP19" i="3"/>
  <c r="AP21" i="3" s="1"/>
  <c r="E20" i="3"/>
  <c r="R117" i="3" s="1"/>
  <c r="U20" i="3"/>
  <c r="E21" i="3"/>
  <c r="P21" i="3"/>
  <c r="E22" i="3"/>
  <c r="R116" i="3" s="1"/>
  <c r="P22" i="3"/>
  <c r="R22" i="3"/>
  <c r="P25" i="3"/>
  <c r="R25" i="3"/>
  <c r="Y25" i="3"/>
  <c r="U26" i="3"/>
  <c r="AO26" i="3"/>
  <c r="J26" i="3" s="1"/>
  <c r="U27" i="3"/>
  <c r="R28" i="3"/>
  <c r="P29" i="3"/>
  <c r="Y29" i="3"/>
  <c r="E30" i="3"/>
  <c r="R89" i="3" s="1"/>
  <c r="P30" i="3"/>
  <c r="U33" i="3"/>
  <c r="P35" i="3"/>
  <c r="U38" i="3"/>
  <c r="AO38" i="3"/>
  <c r="J38" i="3" s="1"/>
  <c r="U39" i="3"/>
  <c r="AO39" i="3"/>
  <c r="J39" i="3" s="1"/>
  <c r="U40" i="3"/>
  <c r="AO40" i="3"/>
  <c r="J40" i="3" s="1"/>
  <c r="U41" i="3"/>
  <c r="AO41" i="3"/>
  <c r="J41" i="3" s="1"/>
  <c r="U42" i="3"/>
  <c r="AP43" i="3"/>
  <c r="P44" i="3"/>
  <c r="U45" i="3"/>
  <c r="AO45" i="3"/>
  <c r="J45" i="3" s="1"/>
  <c r="U46" i="3"/>
  <c r="P47" i="3"/>
  <c r="R47" i="3"/>
  <c r="P48" i="3"/>
  <c r="R48" i="3"/>
  <c r="U49" i="3"/>
  <c r="AO49" i="3"/>
  <c r="J49" i="3" s="1"/>
  <c r="U50" i="3"/>
  <c r="U54" i="3"/>
  <c r="AO54" i="3"/>
  <c r="J54" i="3" s="1"/>
  <c r="U55" i="3"/>
  <c r="R56" i="3"/>
  <c r="P57" i="3"/>
  <c r="R57" i="3"/>
  <c r="U63" i="3"/>
  <c r="P64" i="3"/>
  <c r="P65" i="3"/>
  <c r="P70" i="3"/>
  <c r="AO73" i="3"/>
  <c r="J73" i="3" s="1"/>
  <c r="U74" i="3"/>
  <c r="U77" i="3"/>
  <c r="AO77" i="3"/>
  <c r="J77" i="3" s="1"/>
  <c r="U78" i="3"/>
  <c r="R79" i="3"/>
  <c r="R80" i="3"/>
  <c r="R81" i="3"/>
  <c r="R82" i="3"/>
  <c r="U83" i="3"/>
  <c r="AO83" i="3"/>
  <c r="J83" i="3" s="1"/>
  <c r="U84" i="3"/>
  <c r="P85" i="3"/>
  <c r="P86" i="3"/>
  <c r="U87" i="3"/>
  <c r="AO87" i="3"/>
  <c r="J87" i="3" s="1"/>
  <c r="P88" i="3"/>
  <c r="P89" i="3"/>
  <c r="U90" i="3"/>
  <c r="AO90" i="3"/>
  <c r="J90" i="3" s="1"/>
  <c r="U91" i="3"/>
  <c r="H92" i="3"/>
  <c r="M92" i="3"/>
  <c r="M112" i="3" s="1"/>
  <c r="N92" i="3"/>
  <c r="N96" i="3" s="1"/>
  <c r="F93" i="3"/>
  <c r="H93" i="3"/>
  <c r="M93" i="3"/>
  <c r="M113" i="3" s="1"/>
  <c r="N93" i="3"/>
  <c r="N101" i="3" s="1"/>
  <c r="Y93" i="3"/>
  <c r="F94" i="3"/>
  <c r="H94" i="3"/>
  <c r="U95" i="3"/>
  <c r="F96" i="3"/>
  <c r="F97" i="3"/>
  <c r="F98" i="3"/>
  <c r="U99" i="3"/>
  <c r="F100" i="3"/>
  <c r="AR100" i="3"/>
  <c r="F101" i="3"/>
  <c r="F102" i="3"/>
  <c r="N102" i="3"/>
  <c r="N106" i="3" s="1"/>
  <c r="N110" i="3" s="1"/>
  <c r="N114" i="3" s="1"/>
  <c r="N118" i="3" s="1"/>
  <c r="U103" i="3"/>
  <c r="AA103" i="3"/>
  <c r="F104" i="3"/>
  <c r="F105" i="3"/>
  <c r="F106" i="3"/>
  <c r="U107" i="3"/>
  <c r="F108" i="3"/>
  <c r="F109" i="3"/>
  <c r="F110" i="3"/>
  <c r="U111" i="3"/>
  <c r="F112" i="3"/>
  <c r="F113" i="3"/>
  <c r="F114" i="3"/>
  <c r="U115" i="3"/>
  <c r="F116" i="3"/>
  <c r="F117" i="3"/>
  <c r="F118" i="3"/>
  <c r="E119" i="3"/>
  <c r="U119" i="3"/>
  <c r="AO119" i="3"/>
  <c r="J119" i="3" s="1"/>
  <c r="U120" i="3"/>
  <c r="Y127" i="3"/>
  <c r="AO131" i="3"/>
  <c r="J131" i="3" s="1"/>
  <c r="R133" i="3"/>
  <c r="R134" i="3"/>
  <c r="R135" i="3"/>
  <c r="M136" i="3"/>
  <c r="F138" i="3"/>
  <c r="R138" i="3"/>
  <c r="F139" i="3"/>
  <c r="R139" i="3"/>
  <c r="F140" i="3"/>
  <c r="R140" i="3"/>
  <c r="F141" i="3"/>
  <c r="R141" i="3"/>
  <c r="B126" i="5"/>
  <c r="B127" i="5" s="1"/>
  <c r="B128" i="5" s="1"/>
  <c r="B129" i="5" s="1"/>
  <c r="B132" i="5"/>
  <c r="B133" i="5" s="1"/>
  <c r="B134" i="5" s="1"/>
  <c r="B135" i="5" s="1"/>
  <c r="B136" i="5" s="1"/>
  <c r="B137" i="5" s="1"/>
  <c r="B138" i="5" s="1"/>
  <c r="B139" i="5" s="1"/>
  <c r="B140" i="5" s="1"/>
  <c r="B141" i="5" s="1"/>
  <c r="B142" i="5" s="1"/>
  <c r="B143" i="5" s="1"/>
  <c r="B144" i="5" s="1"/>
  <c r="B145" i="5" s="1"/>
  <c r="B146" i="5" s="1"/>
  <c r="B147" i="5" s="1"/>
  <c r="B148" i="5" s="1"/>
  <c r="B149" i="5" s="1"/>
  <c r="B150" i="5" s="1"/>
  <c r="B151" i="5" s="1"/>
  <c r="B152" i="5" s="1"/>
  <c r="R34" i="6"/>
  <c r="A17" i="14"/>
  <c r="A34" i="14"/>
  <c r="J1" i="7"/>
  <c r="T1" i="7" s="1"/>
  <c r="T2" i="7" s="1"/>
  <c r="H1" i="7"/>
  <c r="S1" i="7" s="1"/>
  <c r="S2" i="7" s="1"/>
  <c r="K1" i="7"/>
  <c r="U1" i="7" s="1"/>
  <c r="U2" i="7" s="1"/>
  <c r="L1" i="7"/>
  <c r="V1" i="7" s="1"/>
  <c r="V2" i="7" s="1"/>
  <c r="AF14" i="7"/>
  <c r="AG12" i="7"/>
  <c r="AF18" i="7"/>
  <c r="AE16" i="7"/>
  <c r="AG15" i="7"/>
  <c r="AG14" i="7"/>
  <c r="AF16" i="7"/>
  <c r="AF13" i="7"/>
  <c r="AE17" i="7"/>
  <c r="AE12" i="7"/>
  <c r="AE14" i="7"/>
  <c r="AG20" i="7"/>
  <c r="AG18" i="7"/>
  <c r="AG19" i="7"/>
  <c r="AG17" i="7"/>
  <c r="AF12" i="7"/>
  <c r="AF15" i="7"/>
  <c r="AF19" i="7"/>
  <c r="J3" i="7"/>
  <c r="M3" i="7"/>
  <c r="AE22" i="7"/>
  <c r="AE21" i="7"/>
  <c r="AE18" i="7"/>
  <c r="AE19" i="7"/>
  <c r="AE13" i="7"/>
  <c r="AE23" i="7"/>
  <c r="AE15" i="7"/>
  <c r="H3" i="7"/>
  <c r="AE20" i="7"/>
  <c r="AG13" i="7"/>
  <c r="AF17" i="7"/>
  <c r="AF20" i="7"/>
  <c r="AF22" i="7"/>
  <c r="AF21" i="7"/>
  <c r="AF23" i="7"/>
  <c r="AD4" i="7"/>
  <c r="K3" i="7"/>
  <c r="AG22" i="7"/>
  <c r="AG21" i="7"/>
  <c r="AG23" i="7"/>
  <c r="AG16" i="7"/>
  <c r="C11" i="7"/>
  <c r="AH15" i="7"/>
  <c r="AH18" i="7"/>
  <c r="AH16" i="7"/>
  <c r="AH22" i="7"/>
  <c r="AH23" i="7"/>
  <c r="AH12" i="7"/>
  <c r="L3" i="7"/>
  <c r="AH20" i="7"/>
  <c r="AH14" i="7"/>
  <c r="AH17" i="7"/>
  <c r="AH21" i="7"/>
  <c r="AH19" i="7"/>
  <c r="AH13" i="7"/>
  <c r="Z12" i="7"/>
  <c r="M29" i="7"/>
  <c r="O28" i="7"/>
  <c r="Q4" i="7"/>
  <c r="A35" i="14"/>
  <c r="A20" i="14"/>
  <c r="A21" i="14"/>
  <c r="A18" i="14"/>
  <c r="A30" i="14"/>
  <c r="A19" i="14"/>
  <c r="A31" i="14"/>
  <c r="D24" i="8"/>
  <c r="G1" i="8"/>
  <c r="Z16" i="9"/>
  <c r="D24" i="10"/>
  <c r="Z15" i="10"/>
  <c r="AG9" i="11"/>
  <c r="S4" i="11" s="1"/>
  <c r="G1" i="11"/>
  <c r="D24" i="9"/>
  <c r="AG9" i="13"/>
  <c r="S4" i="13" s="1"/>
  <c r="S3" i="13" s="1"/>
  <c r="H2" i="13" s="1"/>
  <c r="I1" i="4"/>
  <c r="AB48" i="16" l="1"/>
  <c r="AC49" i="16"/>
  <c r="R51" i="3"/>
  <c r="R94" i="3"/>
  <c r="B36" i="14"/>
  <c r="R128" i="3"/>
  <c r="G170" i="2"/>
  <c r="T17" i="2" s="1"/>
  <c r="H6" i="15" s="1"/>
  <c r="AP11" i="3"/>
  <c r="L61" i="4"/>
  <c r="D27" i="9"/>
  <c r="G4" i="12"/>
  <c r="AH9" i="8"/>
  <c r="T4" i="8" s="1"/>
  <c r="AH7" i="8" s="1"/>
  <c r="AA18" i="9"/>
  <c r="D25" i="4"/>
  <c r="R44" i="3"/>
  <c r="K31" i="3"/>
  <c r="K32" i="3" s="1"/>
  <c r="AN131" i="3"/>
  <c r="AN90" i="3"/>
  <c r="AN83" i="3"/>
  <c r="AN73" i="3"/>
  <c r="AN54" i="3"/>
  <c r="AN45" i="3"/>
  <c r="AN19" i="3"/>
  <c r="AN14" i="3"/>
  <c r="AN87" i="3"/>
  <c r="AN77" i="3"/>
  <c r="AN49" i="3"/>
  <c r="AN41" i="3"/>
  <c r="AN40" i="3"/>
  <c r="AN39" i="3"/>
  <c r="AN38" i="3"/>
  <c r="AN26" i="3"/>
  <c r="G2" i="12"/>
  <c r="D26" i="8"/>
  <c r="D26" i="10"/>
  <c r="AQ10" i="4"/>
  <c r="G3" i="10"/>
  <c r="H25" i="4"/>
  <c r="G3" i="8"/>
  <c r="H27" i="4"/>
  <c r="N61" i="4"/>
  <c r="R127" i="3"/>
  <c r="R93" i="3"/>
  <c r="R43" i="3"/>
  <c r="AC22" i="12"/>
  <c r="AJ9" i="4"/>
  <c r="V4" i="4" s="1"/>
  <c r="U5" i="4" s="1"/>
  <c r="AA16" i="9"/>
  <c r="AA23" i="12"/>
  <c r="D25" i="12"/>
  <c r="AH9" i="12"/>
  <c r="T4" i="12" s="1"/>
  <c r="S5" i="12" s="1"/>
  <c r="AN7" i="4"/>
  <c r="X4" i="4" s="1"/>
  <c r="X3" i="4" s="1"/>
  <c r="I4" i="4"/>
  <c r="D27" i="4"/>
  <c r="AB22" i="13"/>
  <c r="AI9" i="13"/>
  <c r="U4" i="13" s="1"/>
  <c r="AI52" i="13" s="1"/>
  <c r="D26" i="13"/>
  <c r="R88" i="3"/>
  <c r="U5" i="7"/>
  <c r="AH9" i="11"/>
  <c r="T4" i="11" s="1"/>
  <c r="T3" i="11" s="1"/>
  <c r="G2" i="9"/>
  <c r="AH9" i="9"/>
  <c r="T4" i="9" s="1"/>
  <c r="T3" i="9" s="1"/>
  <c r="AA12" i="9"/>
  <c r="AA13" i="9"/>
  <c r="AA19" i="9"/>
  <c r="AA15" i="9"/>
  <c r="AA14" i="9"/>
  <c r="AA17" i="9"/>
  <c r="I2" i="4"/>
  <c r="R34" i="3"/>
  <c r="V5" i="7"/>
  <c r="AM10" i="7" s="1"/>
  <c r="AL7" i="12"/>
  <c r="V4" i="12" s="1"/>
  <c r="U5" i="12" s="1"/>
  <c r="AL10" i="12" s="1"/>
  <c r="AC22" i="11"/>
  <c r="D27" i="13"/>
  <c r="AO10" i="13"/>
  <c r="AA17" i="11"/>
  <c r="AO10" i="9"/>
  <c r="D25" i="11"/>
  <c r="AC22" i="8"/>
  <c r="G2" i="10"/>
  <c r="R4" i="9"/>
  <c r="AF7" i="9" s="1"/>
  <c r="D25" i="8"/>
  <c r="D27" i="8"/>
  <c r="AL7" i="8"/>
  <c r="V4" i="8" s="1"/>
  <c r="AO8" i="8" s="1"/>
  <c r="AL7" i="13"/>
  <c r="V4" i="13" s="1"/>
  <c r="U5" i="13" s="1"/>
  <c r="AL10" i="13" s="1"/>
  <c r="AC22" i="13"/>
  <c r="AL7" i="9"/>
  <c r="V4" i="9" s="1"/>
  <c r="V3" i="9" s="1"/>
  <c r="AC17" i="9"/>
  <c r="G2" i="11"/>
  <c r="D25" i="10"/>
  <c r="G2" i="8"/>
  <c r="AH9" i="10"/>
  <c r="T4" i="10" s="1"/>
  <c r="AH7" i="10" s="1"/>
  <c r="D25" i="9"/>
  <c r="AA13" i="8"/>
  <c r="AA17" i="10"/>
  <c r="AH7" i="7"/>
  <c r="N3" i="9"/>
  <c r="AB12" i="10"/>
  <c r="AI9" i="8"/>
  <c r="U4" i="8" s="1"/>
  <c r="AI7" i="8" s="1"/>
  <c r="G3" i="9"/>
  <c r="AB17" i="9"/>
  <c r="AI9" i="9"/>
  <c r="U4" i="9" s="1"/>
  <c r="AI7" i="9" s="1"/>
  <c r="AI9" i="10"/>
  <c r="U4" i="10" s="1"/>
  <c r="AI7" i="10" s="1"/>
  <c r="G3" i="12"/>
  <c r="AB12" i="12"/>
  <c r="AC23" i="8"/>
  <c r="AC13" i="8"/>
  <c r="AC23" i="12"/>
  <c r="AC19" i="12"/>
  <c r="AC15" i="12"/>
  <c r="AC21" i="11"/>
  <c r="AC13" i="11"/>
  <c r="Z12" i="10"/>
  <c r="Z17" i="10"/>
  <c r="Z19" i="10"/>
  <c r="Z16" i="10"/>
  <c r="Z23" i="10"/>
  <c r="Z22" i="10"/>
  <c r="Z21" i="10"/>
  <c r="Z20" i="10"/>
  <c r="Z18" i="10"/>
  <c r="Z12" i="9"/>
  <c r="Z19" i="9"/>
  <c r="Z18" i="9"/>
  <c r="Z17" i="9"/>
  <c r="Z15" i="9"/>
  <c r="Z14" i="9"/>
  <c r="Z23" i="9"/>
  <c r="Z22" i="9"/>
  <c r="Z21" i="9"/>
  <c r="Z20" i="9"/>
  <c r="Z13" i="9"/>
  <c r="AC22" i="9"/>
  <c r="Z13" i="10"/>
  <c r="AB15" i="12"/>
  <c r="AB19" i="12"/>
  <c r="AB13" i="12"/>
  <c r="AB17" i="12"/>
  <c r="AB21" i="12"/>
  <c r="AB15" i="8"/>
  <c r="AB18" i="8"/>
  <c r="AB20" i="8"/>
  <c r="AB23" i="8"/>
  <c r="AB23" i="12"/>
  <c r="AB14" i="13"/>
  <c r="AB15" i="13"/>
  <c r="AB17" i="13"/>
  <c r="AB19" i="13"/>
  <c r="AB21" i="13"/>
  <c r="AB23" i="13"/>
  <c r="AB16" i="8"/>
  <c r="AB19" i="8"/>
  <c r="AB22" i="8"/>
  <c r="AB14" i="12"/>
  <c r="AB16" i="12"/>
  <c r="AB18" i="12"/>
  <c r="AB20" i="12"/>
  <c r="AB12" i="13"/>
  <c r="AB13" i="13"/>
  <c r="AB16" i="13"/>
  <c r="AB18" i="13"/>
  <c r="AB20" i="13"/>
  <c r="AG7" i="8"/>
  <c r="R5" i="8"/>
  <c r="S3" i="8"/>
  <c r="H2" i="8" s="1"/>
  <c r="D24" i="13"/>
  <c r="AG9" i="9"/>
  <c r="S4" i="9" s="1"/>
  <c r="S3" i="9" s="1"/>
  <c r="H2" i="9" s="1"/>
  <c r="D24" i="11"/>
  <c r="AG9" i="10"/>
  <c r="S4" i="10" s="1"/>
  <c r="AG7" i="10" s="1"/>
  <c r="T3" i="7"/>
  <c r="G2" i="7" s="1"/>
  <c r="G1" i="9"/>
  <c r="R13" i="3"/>
  <c r="AP8" i="7"/>
  <c r="AO10" i="8"/>
  <c r="G4" i="9"/>
  <c r="G4" i="8"/>
  <c r="D27" i="11"/>
  <c r="R4" i="8"/>
  <c r="S9" i="8" s="1"/>
  <c r="G4" i="11"/>
  <c r="N3" i="8"/>
  <c r="AL7" i="11"/>
  <c r="V4" i="11" s="1"/>
  <c r="M54" i="11" s="1"/>
  <c r="AO10" i="12"/>
  <c r="AJ7" i="7"/>
  <c r="S3" i="7"/>
  <c r="G1" i="7" s="1"/>
  <c r="M104" i="3"/>
  <c r="R29" i="3"/>
  <c r="R31" i="3"/>
  <c r="R92" i="3"/>
  <c r="I32" i="1"/>
  <c r="R32" i="3"/>
  <c r="R114" i="3"/>
  <c r="AP10" i="3"/>
  <c r="M96" i="3"/>
  <c r="M108" i="3"/>
  <c r="M100" i="3"/>
  <c r="M105" i="3"/>
  <c r="M97" i="3"/>
  <c r="M101" i="3"/>
  <c r="M109" i="3"/>
  <c r="M117" i="3"/>
  <c r="E61" i="1"/>
  <c r="E64" i="1"/>
  <c r="R53" i="3"/>
  <c r="R109" i="3"/>
  <c r="R113" i="3"/>
  <c r="R108" i="3"/>
  <c r="E62" i="1"/>
  <c r="E56" i="1"/>
  <c r="A16" i="14"/>
  <c r="R21" i="3"/>
  <c r="Z14" i="10"/>
  <c r="E3" i="1"/>
  <c r="Z12" i="8"/>
  <c r="R52" i="3"/>
  <c r="T9" i="7"/>
  <c r="V9" i="7"/>
  <c r="W9" i="7"/>
  <c r="R3" i="7"/>
  <c r="Q3" i="7" s="1"/>
  <c r="N3" i="11"/>
  <c r="R59" i="3"/>
  <c r="R61" i="3"/>
  <c r="R62" i="3"/>
  <c r="R60" i="3"/>
  <c r="R58" i="3"/>
  <c r="S3" i="11"/>
  <c r="H2" i="11" s="1"/>
  <c r="R5" i="11"/>
  <c r="AG7" i="11"/>
  <c r="AC34" i="6"/>
  <c r="N109" i="3"/>
  <c r="N113" i="3"/>
  <c r="N105" i="3"/>
  <c r="N97" i="3"/>
  <c r="N117" i="3"/>
  <c r="N104" i="3"/>
  <c r="N112" i="3"/>
  <c r="N100" i="3"/>
  <c r="N108" i="3"/>
  <c r="R118" i="3"/>
  <c r="AP22" i="3"/>
  <c r="AP25" i="3"/>
  <c r="AP24" i="3"/>
  <c r="AP23" i="3"/>
  <c r="R104" i="3"/>
  <c r="R106" i="3"/>
  <c r="R105" i="3"/>
  <c r="R102" i="3"/>
  <c r="R100" i="3"/>
  <c r="R101" i="3"/>
  <c r="R98" i="3"/>
  <c r="R97" i="3"/>
  <c r="R122" i="3"/>
  <c r="R124" i="3"/>
  <c r="R125" i="3"/>
  <c r="R129" i="3"/>
  <c r="O122" i="3"/>
  <c r="R121" i="3"/>
  <c r="R123" i="3"/>
  <c r="R126" i="3"/>
  <c r="T5" i="7"/>
  <c r="U9" i="7"/>
  <c r="X2" i="7"/>
  <c r="X7" i="7"/>
  <c r="U3" i="7"/>
  <c r="AI7" i="7"/>
  <c r="Y5" i="7"/>
  <c r="Y3" i="7"/>
  <c r="U3" i="12"/>
  <c r="T5" i="12"/>
  <c r="AL7" i="10"/>
  <c r="V4" i="10" s="1"/>
  <c r="R4" i="10"/>
  <c r="AO10" i="10"/>
  <c r="N3" i="10"/>
  <c r="D27" i="10"/>
  <c r="G4" i="10"/>
  <c r="D26" i="11"/>
  <c r="G3" i="11"/>
  <c r="AI9" i="11"/>
  <c r="U4" i="11" s="1"/>
  <c r="R4" i="11"/>
  <c r="D25" i="13"/>
  <c r="N3" i="13"/>
  <c r="R4" i="13"/>
  <c r="S9" i="13" s="1"/>
  <c r="AH9" i="13"/>
  <c r="T4" i="13" s="1"/>
  <c r="H26" i="4"/>
  <c r="M61" i="4"/>
  <c r="P3" i="4"/>
  <c r="D26" i="4"/>
  <c r="I3" i="4"/>
  <c r="T4" i="4"/>
  <c r="AK9" i="4"/>
  <c r="W4" i="4" s="1"/>
  <c r="G1" i="12"/>
  <c r="AG9" i="12"/>
  <c r="S4" i="12" s="1"/>
  <c r="N3" i="12"/>
  <c r="R4" i="12"/>
  <c r="U9" i="12" s="1"/>
  <c r="AG52" i="13"/>
  <c r="R5" i="13"/>
  <c r="AP16" i="3"/>
  <c r="AP17" i="3"/>
  <c r="AP18" i="3"/>
  <c r="R10" i="3"/>
  <c r="O29" i="3"/>
  <c r="AC105" i="3"/>
  <c r="R12" i="3"/>
  <c r="R35" i="3"/>
  <c r="R36" i="3"/>
  <c r="R24" i="3"/>
  <c r="M8" i="1"/>
  <c r="H24" i="4"/>
  <c r="D24" i="4"/>
  <c r="AI9" i="4"/>
  <c r="U4" i="4" s="1"/>
  <c r="AB49" i="16" l="1"/>
  <c r="AC50" i="16"/>
  <c r="H202" i="4"/>
  <c r="U3" i="9"/>
  <c r="X8" i="9" s="1"/>
  <c r="X9" i="9" s="1"/>
  <c r="U5" i="11"/>
  <c r="AL10" i="11" s="1"/>
  <c r="T3" i="12"/>
  <c r="O55" i="4"/>
  <c r="T3" i="8"/>
  <c r="S5" i="8"/>
  <c r="K33" i="3"/>
  <c r="O51" i="9"/>
  <c r="AC14" i="13"/>
  <c r="AC13" i="12"/>
  <c r="AC17" i="12"/>
  <c r="AC21" i="12"/>
  <c r="AB13" i="9"/>
  <c r="AB20" i="10"/>
  <c r="AB14" i="10"/>
  <c r="AA18" i="11"/>
  <c r="AC21" i="13"/>
  <c r="AJ52" i="13"/>
  <c r="AO8" i="12"/>
  <c r="V3" i="13"/>
  <c r="V3" i="12"/>
  <c r="AC12" i="12"/>
  <c r="AC14" i="12"/>
  <c r="AC16" i="12"/>
  <c r="AC18" i="12"/>
  <c r="AC20" i="12"/>
  <c r="AH7" i="12"/>
  <c r="AA21" i="11"/>
  <c r="V3" i="4"/>
  <c r="S5" i="11"/>
  <c r="W7" i="11"/>
  <c r="L52" i="8"/>
  <c r="U3" i="13"/>
  <c r="AJ7" i="4"/>
  <c r="AC16" i="9"/>
  <c r="AC17" i="13"/>
  <c r="AC15" i="8"/>
  <c r="AC17" i="11"/>
  <c r="AA16" i="12"/>
  <c r="AC18" i="8"/>
  <c r="V9" i="4"/>
  <c r="AA12" i="12"/>
  <c r="AA20" i="12"/>
  <c r="AA21" i="8"/>
  <c r="AA14" i="12"/>
  <c r="AA18" i="12"/>
  <c r="AA22" i="12"/>
  <c r="AQ8" i="4"/>
  <c r="W5" i="4"/>
  <c r="AN10" i="4" s="1"/>
  <c r="U3" i="8"/>
  <c r="X5" i="7"/>
  <c r="W5" i="7" s="1"/>
  <c r="H2" i="7" s="1"/>
  <c r="T5" i="13"/>
  <c r="V3" i="8"/>
  <c r="AH7" i="9"/>
  <c r="AB17" i="10"/>
  <c r="AB16" i="10"/>
  <c r="AC15" i="9"/>
  <c r="AA14" i="10"/>
  <c r="AC20" i="9"/>
  <c r="AC14" i="9"/>
  <c r="AC18" i="9"/>
  <c r="AC15" i="13"/>
  <c r="AC19" i="13"/>
  <c r="AC23" i="13"/>
  <c r="AA22" i="8"/>
  <c r="AA19" i="10"/>
  <c r="AC15" i="11"/>
  <c r="AC19" i="11"/>
  <c r="AC23" i="11"/>
  <c r="AA13" i="12"/>
  <c r="AA15" i="12"/>
  <c r="AA17" i="12"/>
  <c r="AA19" i="12"/>
  <c r="AA21" i="12"/>
  <c r="AC16" i="8"/>
  <c r="AC20" i="8"/>
  <c r="AA12" i="8"/>
  <c r="AA17" i="8"/>
  <c r="AA14" i="8"/>
  <c r="AA15" i="10"/>
  <c r="AA23" i="10"/>
  <c r="AH7" i="11"/>
  <c r="U3" i="10"/>
  <c r="X5" i="8"/>
  <c r="S5" i="9"/>
  <c r="AB19" i="10"/>
  <c r="AB19" i="9"/>
  <c r="AB20" i="9"/>
  <c r="AB22" i="10"/>
  <c r="AC12" i="9"/>
  <c r="AA16" i="8"/>
  <c r="AC19" i="9"/>
  <c r="AC21" i="9"/>
  <c r="AC23" i="9"/>
  <c r="AC13" i="9"/>
  <c r="AC12" i="13"/>
  <c r="AC13" i="13"/>
  <c r="AC16" i="13"/>
  <c r="AC18" i="13"/>
  <c r="AC20" i="13"/>
  <c r="AA12" i="10"/>
  <c r="AA23" i="8"/>
  <c r="AA19" i="8"/>
  <c r="AA18" i="8"/>
  <c r="AA20" i="8"/>
  <c r="AA15" i="8"/>
  <c r="AA16" i="10"/>
  <c r="AA18" i="10"/>
  <c r="AA21" i="10"/>
  <c r="AC12" i="11"/>
  <c r="AC14" i="11"/>
  <c r="AC16" i="11"/>
  <c r="AC18" i="11"/>
  <c r="AC20" i="11"/>
  <c r="AC12" i="8"/>
  <c r="AC14" i="8"/>
  <c r="AC17" i="8"/>
  <c r="AC19" i="8"/>
  <c r="AC21" i="8"/>
  <c r="AA13" i="10"/>
  <c r="AA20" i="10"/>
  <c r="AA22" i="10"/>
  <c r="T5" i="10"/>
  <c r="Q3" i="8"/>
  <c r="P3" i="8" s="1"/>
  <c r="T5" i="8"/>
  <c r="AB23" i="10"/>
  <c r="AB15" i="10"/>
  <c r="AB21" i="9"/>
  <c r="AB18" i="9"/>
  <c r="AB13" i="10"/>
  <c r="AB21" i="10"/>
  <c r="AB22" i="9"/>
  <c r="AB16" i="9"/>
  <c r="AB18" i="10"/>
  <c r="AA15" i="11"/>
  <c r="AA13" i="11"/>
  <c r="AA22" i="11"/>
  <c r="AA12" i="11"/>
  <c r="AA20" i="11"/>
  <c r="AA16" i="11"/>
  <c r="AA19" i="11"/>
  <c r="AA14" i="11"/>
  <c r="AA23" i="11"/>
  <c r="U5" i="9"/>
  <c r="AL10" i="9" s="1"/>
  <c r="W52" i="13"/>
  <c r="W7" i="12"/>
  <c r="Q3" i="13"/>
  <c r="P3" i="13" s="1"/>
  <c r="AO8" i="13"/>
  <c r="AO8" i="9"/>
  <c r="AO8" i="11"/>
  <c r="X3" i="13"/>
  <c r="AB23" i="9"/>
  <c r="AB14" i="9"/>
  <c r="AB12" i="9"/>
  <c r="AB15" i="9"/>
  <c r="AB13" i="8"/>
  <c r="AB17" i="8"/>
  <c r="AB12" i="8"/>
  <c r="AB21" i="8"/>
  <c r="AB14" i="8"/>
  <c r="V9" i="9"/>
  <c r="T5" i="9"/>
  <c r="R3" i="9"/>
  <c r="H1" i="9" s="1"/>
  <c r="V3" i="11"/>
  <c r="U5" i="8"/>
  <c r="S5" i="10"/>
  <c r="V9" i="11"/>
  <c r="W7" i="8"/>
  <c r="X3" i="8"/>
  <c r="AF4" i="7"/>
  <c r="U9" i="9"/>
  <c r="T9" i="9"/>
  <c r="T3" i="10"/>
  <c r="W2" i="9"/>
  <c r="R5" i="9"/>
  <c r="AG7" i="9"/>
  <c r="AF7" i="8"/>
  <c r="AE5" i="8" s="1"/>
  <c r="W7" i="9"/>
  <c r="X5" i="9"/>
  <c r="R5" i="10"/>
  <c r="Q3" i="9"/>
  <c r="P3" i="9" s="1"/>
  <c r="X3" i="9"/>
  <c r="S9" i="9"/>
  <c r="S3" i="10"/>
  <c r="H2" i="10" s="1"/>
  <c r="Q3" i="10"/>
  <c r="P3" i="10" s="1"/>
  <c r="Z23" i="12"/>
  <c r="Z22" i="12"/>
  <c r="Z21" i="12"/>
  <c r="Z20" i="12"/>
  <c r="Z19" i="12"/>
  <c r="Z18" i="12"/>
  <c r="Z17" i="12"/>
  <c r="Z16" i="12"/>
  <c r="Z15" i="12"/>
  <c r="Z13" i="12"/>
  <c r="Z14" i="12"/>
  <c r="Z12" i="12"/>
  <c r="AA14" i="13"/>
  <c r="AA13" i="13"/>
  <c r="AA23" i="13"/>
  <c r="AA22" i="13"/>
  <c r="AA21" i="13"/>
  <c r="AA20" i="13"/>
  <c r="AA19" i="13"/>
  <c r="AA18" i="13"/>
  <c r="AA17" i="13"/>
  <c r="AA16" i="13"/>
  <c r="AA15" i="13"/>
  <c r="AA12" i="13"/>
  <c r="AC18" i="10"/>
  <c r="AC16" i="10"/>
  <c r="AC15" i="10"/>
  <c r="AC14" i="10"/>
  <c r="AC13" i="10"/>
  <c r="AC12" i="10"/>
  <c r="AC23" i="10"/>
  <c r="AC22" i="10"/>
  <c r="AC21" i="10"/>
  <c r="AC20" i="10"/>
  <c r="AC19" i="10"/>
  <c r="AC17" i="10"/>
  <c r="Z14" i="8"/>
  <c r="Z15" i="8"/>
  <c r="Z16" i="8"/>
  <c r="Z22" i="8"/>
  <c r="Z18" i="8"/>
  <c r="Z20" i="8"/>
  <c r="Z23" i="8"/>
  <c r="Z21" i="8"/>
  <c r="Z19" i="8"/>
  <c r="Z17" i="8"/>
  <c r="Z12" i="11"/>
  <c r="Z14" i="11"/>
  <c r="Z15" i="11"/>
  <c r="Z17" i="11"/>
  <c r="Z19" i="11"/>
  <c r="Z21" i="11"/>
  <c r="Z16" i="11"/>
  <c r="Z23" i="11"/>
  <c r="Z18" i="11"/>
  <c r="Z20" i="11"/>
  <c r="Z13" i="11"/>
  <c r="Z22" i="11"/>
  <c r="Z13" i="8"/>
  <c r="AB12" i="11"/>
  <c r="AB22" i="11"/>
  <c r="AB20" i="11"/>
  <c r="AB18" i="11"/>
  <c r="AB16" i="11"/>
  <c r="AB23" i="11"/>
  <c r="AB21" i="11"/>
  <c r="AB19" i="11"/>
  <c r="AB17" i="11"/>
  <c r="AB15" i="11"/>
  <c r="AB14" i="11"/>
  <c r="AB13" i="11"/>
  <c r="W2" i="8"/>
  <c r="V9" i="8"/>
  <c r="T9" i="8"/>
  <c r="U9" i="8"/>
  <c r="R3" i="8"/>
  <c r="H1" i="8" s="1"/>
  <c r="AE4" i="8"/>
  <c r="AF5" i="7"/>
  <c r="T9" i="11"/>
  <c r="V9" i="12"/>
  <c r="Y8" i="7"/>
  <c r="Y9" i="7" s="1"/>
  <c r="W10" i="7"/>
  <c r="Y10" i="7" s="1"/>
  <c r="J18" i="6"/>
  <c r="AJ3" i="1"/>
  <c r="S48" i="1"/>
  <c r="F61" i="1"/>
  <c r="E29" i="3" s="1"/>
  <c r="X3" i="12"/>
  <c r="V9" i="13"/>
  <c r="AI7" i="4"/>
  <c r="U9" i="4"/>
  <c r="T5" i="4"/>
  <c r="U3" i="4"/>
  <c r="J2" i="4" s="1"/>
  <c r="S3" i="4"/>
  <c r="R3" i="4" s="1"/>
  <c r="AO29" i="3"/>
  <c r="J29" i="3" s="1"/>
  <c r="T29" i="3"/>
  <c r="CB29" i="3"/>
  <c r="Q29" i="3"/>
  <c r="Y2" i="4"/>
  <c r="R5" i="12"/>
  <c r="W5" i="12" s="1"/>
  <c r="V5" i="12" s="1"/>
  <c r="S9" i="12"/>
  <c r="S3" i="12"/>
  <c r="H2" i="12" s="1"/>
  <c r="AG7" i="12"/>
  <c r="Q3" i="12"/>
  <c r="P3" i="12" s="1"/>
  <c r="V5" i="4"/>
  <c r="Y7" i="4"/>
  <c r="Z5" i="4"/>
  <c r="W9" i="4"/>
  <c r="W3" i="4"/>
  <c r="AK7" i="4"/>
  <c r="AF7" i="10"/>
  <c r="T9" i="10"/>
  <c r="S9" i="10"/>
  <c r="R3" i="10"/>
  <c r="W2" i="12"/>
  <c r="X5" i="12"/>
  <c r="T122" i="3"/>
  <c r="Q122" i="3"/>
  <c r="AO122" i="3"/>
  <c r="J122" i="3" s="1"/>
  <c r="F5" i="6"/>
  <c r="CB122" i="3"/>
  <c r="Z3" i="4"/>
  <c r="R3" i="12"/>
  <c r="T9" i="12"/>
  <c r="AF7" i="12"/>
  <c r="T3" i="4"/>
  <c r="AH7" i="4"/>
  <c r="X9" i="4"/>
  <c r="AH52" i="13"/>
  <c r="S5" i="13"/>
  <c r="T9" i="13"/>
  <c r="W2" i="13"/>
  <c r="T3" i="13"/>
  <c r="X5" i="13"/>
  <c r="AF52" i="13"/>
  <c r="U9" i="13"/>
  <c r="R3" i="13"/>
  <c r="AF7" i="11"/>
  <c r="R3" i="11"/>
  <c r="U3" i="11"/>
  <c r="T5" i="11"/>
  <c r="U9" i="11"/>
  <c r="AI7" i="11"/>
  <c r="W2" i="11"/>
  <c r="X3" i="11"/>
  <c r="X5" i="11"/>
  <c r="Q3" i="11"/>
  <c r="P3" i="11" s="1"/>
  <c r="AO8" i="10"/>
  <c r="AE4" i="10" s="1"/>
  <c r="W7" i="10"/>
  <c r="U5" i="10"/>
  <c r="V9" i="10"/>
  <c r="X5" i="10"/>
  <c r="X3" i="10"/>
  <c r="W2" i="10"/>
  <c r="V3" i="10"/>
  <c r="M56" i="10"/>
  <c r="S9" i="11"/>
  <c r="U9" i="10"/>
  <c r="H1" i="13" l="1"/>
  <c r="AB50" i="16"/>
  <c r="AC51" i="16"/>
  <c r="W5" i="8"/>
  <c r="V5" i="8" s="1"/>
  <c r="W9" i="8" s="1"/>
  <c r="W5" i="13"/>
  <c r="V5" i="13" s="1"/>
  <c r="W8" i="13" s="1"/>
  <c r="W4" i="13" s="1"/>
  <c r="W3" i="13" s="1"/>
  <c r="W5" i="11"/>
  <c r="V5" i="11" s="1"/>
  <c r="W8" i="11" s="1"/>
  <c r="W4" i="11" s="1"/>
  <c r="W3" i="11" s="1"/>
  <c r="Y3" i="11" s="1"/>
  <c r="K34" i="3"/>
  <c r="K35" i="3" s="1"/>
  <c r="K36" i="3" s="1"/>
  <c r="K37" i="3" s="1"/>
  <c r="K38" i="3" s="1"/>
  <c r="K39" i="3" s="1"/>
  <c r="K40" i="3" s="1"/>
  <c r="K41" i="3" s="1"/>
  <c r="K42" i="3" s="1"/>
  <c r="K43" i="3" s="1"/>
  <c r="K44" i="3" s="1"/>
  <c r="K45" i="3" s="1"/>
  <c r="AG4" i="4"/>
  <c r="K2" i="7"/>
  <c r="J2" i="7"/>
  <c r="L2" i="7"/>
  <c r="X8" i="8"/>
  <c r="X9" i="8" s="1"/>
  <c r="AE4" i="12"/>
  <c r="X8" i="11"/>
  <c r="X9" i="11" s="1"/>
  <c r="X8" i="7"/>
  <c r="X4" i="7" s="1"/>
  <c r="X3" i="7" s="1"/>
  <c r="Y2" i="7" s="1"/>
  <c r="AL2" i="7" s="1"/>
  <c r="X9" i="7"/>
  <c r="AC4" i="7"/>
  <c r="AE4" i="9"/>
  <c r="AL10" i="8"/>
  <c r="AE4" i="11"/>
  <c r="AE5" i="13"/>
  <c r="AE4" i="13"/>
  <c r="AE5" i="9"/>
  <c r="X8" i="10"/>
  <c r="X9" i="10" s="1"/>
  <c r="W5" i="9"/>
  <c r="V5" i="9" s="1"/>
  <c r="K2" i="9" s="1"/>
  <c r="BF10" i="4" s="1"/>
  <c r="V10" i="9"/>
  <c r="X10" i="9" s="1"/>
  <c r="V10" i="8"/>
  <c r="X10" i="8" s="1"/>
  <c r="AG5" i="4"/>
  <c r="Y5" i="4"/>
  <c r="X5" i="4" s="1"/>
  <c r="K2" i="4" s="1"/>
  <c r="K62" i="4" s="1"/>
  <c r="AE5" i="12"/>
  <c r="V10" i="12"/>
  <c r="X10" i="12" s="1"/>
  <c r="X13" i="6"/>
  <c r="L40" i="1"/>
  <c r="Q48" i="1"/>
  <c r="H76" i="1"/>
  <c r="R65" i="3"/>
  <c r="AS100" i="3"/>
  <c r="D141" i="3"/>
  <c r="O5" i="6"/>
  <c r="M12" i="6"/>
  <c r="S36" i="1"/>
  <c r="L39" i="1"/>
  <c r="F59" i="1"/>
  <c r="E27" i="3" s="1"/>
  <c r="G74" i="1"/>
  <c r="L83" i="1"/>
  <c r="R70" i="3"/>
  <c r="E100" i="3"/>
  <c r="CD6" i="3"/>
  <c r="R136" i="3"/>
  <c r="CB6" i="3" s="1"/>
  <c r="R85" i="3"/>
  <c r="O88" i="3" s="1"/>
  <c r="E85" i="3" s="1"/>
  <c r="E88" i="3" s="1"/>
  <c r="O89" i="3" s="1"/>
  <c r="R86" i="3"/>
  <c r="E126" i="3"/>
  <c r="X10" i="4"/>
  <c r="Z10" i="4" s="1"/>
  <c r="AE5" i="11"/>
  <c r="X8" i="12"/>
  <c r="X9" i="12" s="1"/>
  <c r="V10" i="11"/>
  <c r="X10" i="11" s="1"/>
  <c r="V10" i="13"/>
  <c r="X10" i="13" s="1"/>
  <c r="Z8" i="4"/>
  <c r="Z9" i="4" s="1"/>
  <c r="AL10" i="10"/>
  <c r="W5" i="10"/>
  <c r="V5" i="10" s="1"/>
  <c r="K2" i="10" s="1"/>
  <c r="BN10" i="4" s="1"/>
  <c r="H1" i="12"/>
  <c r="I2" i="12"/>
  <c r="CB10" i="4" s="1"/>
  <c r="K2" i="12"/>
  <c r="CD10" i="4" s="1"/>
  <c r="W9" i="12"/>
  <c r="L2" i="12"/>
  <c r="CE10" i="4" s="1"/>
  <c r="H1" i="10"/>
  <c r="J2" i="12"/>
  <c r="CC10" i="4" s="1"/>
  <c r="W8" i="12"/>
  <c r="W4" i="12" s="1"/>
  <c r="W3" i="12" s="1"/>
  <c r="AB4" i="12"/>
  <c r="V10" i="10"/>
  <c r="X10" i="10" s="1"/>
  <c r="H1" i="11"/>
  <c r="X8" i="13"/>
  <c r="X9" i="13" s="1"/>
  <c r="J1" i="4"/>
  <c r="AE5" i="10"/>
  <c r="L2" i="13" l="1"/>
  <c r="K2" i="13"/>
  <c r="J2" i="13"/>
  <c r="I2" i="13"/>
  <c r="AB51" i="16"/>
  <c r="AC52" i="16"/>
  <c r="W8" i="8"/>
  <c r="W4" i="8" s="1"/>
  <c r="W3" i="8" s="1"/>
  <c r="U8" i="8" s="1"/>
  <c r="I2" i="8"/>
  <c r="AV10" i="4" s="1"/>
  <c r="AD12" i="8" s="1"/>
  <c r="J2" i="8"/>
  <c r="AW10" i="4" s="1"/>
  <c r="AE22" i="8" s="1"/>
  <c r="K2" i="8"/>
  <c r="AX10" i="4" s="1"/>
  <c r="K3" i="8" s="1"/>
  <c r="AB4" i="11"/>
  <c r="L2" i="8"/>
  <c r="AY10" i="4" s="1"/>
  <c r="AG19" i="8" s="1"/>
  <c r="AB4" i="8"/>
  <c r="AB4" i="13"/>
  <c r="W9" i="13"/>
  <c r="CL10" i="4"/>
  <c r="L2" i="11"/>
  <c r="W9" i="11"/>
  <c r="K2" i="11"/>
  <c r="J2" i="11"/>
  <c r="I2" i="11"/>
  <c r="L2" i="4"/>
  <c r="L62" i="4" s="1"/>
  <c r="K46" i="3"/>
  <c r="K47" i="3" s="1"/>
  <c r="U1" i="13"/>
  <c r="U2" i="13" s="1"/>
  <c r="J1" i="12"/>
  <c r="S1" i="12" s="1"/>
  <c r="S2" i="12" s="1"/>
  <c r="AE22" i="12"/>
  <c r="L1" i="12"/>
  <c r="U1" i="12" s="1"/>
  <c r="U2" i="12" s="1"/>
  <c r="AG22" i="12"/>
  <c r="K1" i="12"/>
  <c r="T1" i="12" s="1"/>
  <c r="T2" i="12" s="1"/>
  <c r="AF20" i="12"/>
  <c r="S1" i="13"/>
  <c r="S2" i="13" s="1"/>
  <c r="T1" i="13"/>
  <c r="T2" i="13" s="1"/>
  <c r="AF16" i="10"/>
  <c r="AF22" i="9"/>
  <c r="W8" i="7"/>
  <c r="Z3" i="7"/>
  <c r="V8" i="7"/>
  <c r="R1" i="13"/>
  <c r="R2" i="13" s="1"/>
  <c r="I2" i="9"/>
  <c r="BD10" i="4" s="1"/>
  <c r="L2" i="9"/>
  <c r="BG10" i="4" s="1"/>
  <c r="W8" i="9"/>
  <c r="W4" i="9" s="1"/>
  <c r="W3" i="9" s="1"/>
  <c r="X2" i="9" s="1"/>
  <c r="AB4" i="9"/>
  <c r="J2" i="9"/>
  <c r="BE10" i="4" s="1"/>
  <c r="W9" i="9"/>
  <c r="M2" i="4"/>
  <c r="AD4" i="4"/>
  <c r="Y9" i="4"/>
  <c r="AD20" i="12"/>
  <c r="Y8" i="4"/>
  <c r="Y4" i="4" s="1"/>
  <c r="Y3" i="4" s="1"/>
  <c r="AA3" i="4" s="1"/>
  <c r="N2" i="4"/>
  <c r="L2" i="10"/>
  <c r="BO10" i="4" s="1"/>
  <c r="Q88" i="3"/>
  <c r="T88" i="3"/>
  <c r="AO88" i="3"/>
  <c r="J88" i="3" s="1"/>
  <c r="CB88" i="3"/>
  <c r="R68" i="3"/>
  <c r="R67" i="3"/>
  <c r="R66" i="3"/>
  <c r="R64" i="3"/>
  <c r="R72" i="3"/>
  <c r="R69" i="3"/>
  <c r="R71" i="3"/>
  <c r="D136" i="3"/>
  <c r="A8" i="6"/>
  <c r="DD6" i="3"/>
  <c r="O85" i="3"/>
  <c r="I2" i="10"/>
  <c r="BL10" i="4" s="1"/>
  <c r="W9" i="10"/>
  <c r="O86" i="3"/>
  <c r="CB89" i="3"/>
  <c r="Q89" i="3"/>
  <c r="AO89" i="3"/>
  <c r="J89" i="3" s="1"/>
  <c r="T89" i="3"/>
  <c r="AM3" i="7"/>
  <c r="V8" i="13"/>
  <c r="U8" i="13"/>
  <c r="X2" i="13"/>
  <c r="Y3" i="13"/>
  <c r="U8" i="11"/>
  <c r="X2" i="11"/>
  <c r="V8" i="11"/>
  <c r="V8" i="12"/>
  <c r="X2" i="12"/>
  <c r="U8" i="12"/>
  <c r="Y3" i="12"/>
  <c r="AB4" i="10"/>
  <c r="W8" i="10"/>
  <c r="W4" i="10" s="1"/>
  <c r="W3" i="10" s="1"/>
  <c r="J2" i="10"/>
  <c r="BM10" i="4" s="1"/>
  <c r="AF22" i="13" l="1"/>
  <c r="K3" i="13"/>
  <c r="AC53" i="16"/>
  <c r="AB52" i="16"/>
  <c r="Y3" i="8"/>
  <c r="X2" i="8"/>
  <c r="V8" i="8"/>
  <c r="BW10" i="4"/>
  <c r="L1" i="11" s="1"/>
  <c r="U1" i="11" s="1"/>
  <c r="U2" i="11" s="1"/>
  <c r="CM10" i="4"/>
  <c r="BT10" i="4"/>
  <c r="AD19" i="11" s="1"/>
  <c r="BV10" i="4"/>
  <c r="K1" i="11" s="1"/>
  <c r="T1" i="11" s="1"/>
  <c r="T2" i="11" s="1"/>
  <c r="BU10" i="4"/>
  <c r="J1" i="11" s="1"/>
  <c r="S1" i="11" s="1"/>
  <c r="S2" i="11" s="1"/>
  <c r="CK10" i="4"/>
  <c r="CJ10" i="4"/>
  <c r="AF16" i="8"/>
  <c r="AF19" i="8"/>
  <c r="F6" i="12"/>
  <c r="F6" i="8"/>
  <c r="K48" i="3"/>
  <c r="K49" i="3" s="1"/>
  <c r="K50" i="3" s="1"/>
  <c r="K51" i="3" s="1"/>
  <c r="K52" i="3" s="1"/>
  <c r="K53" i="3" s="1"/>
  <c r="K54" i="3" s="1"/>
  <c r="K55" i="3" s="1"/>
  <c r="K56" i="3" s="1"/>
  <c r="K57" i="3" s="1"/>
  <c r="K58" i="3" s="1"/>
  <c r="K59" i="3" s="1"/>
  <c r="K60" i="3" s="1"/>
  <c r="K61" i="3" s="1"/>
  <c r="K62" i="3" s="1"/>
  <c r="K63" i="3" s="1"/>
  <c r="K64" i="3" s="1"/>
  <c r="K65" i="3" s="1"/>
  <c r="K66" i="3" s="1"/>
  <c r="K67" i="3" s="1"/>
  <c r="K68" i="3" s="1"/>
  <c r="K69" i="3" s="1"/>
  <c r="K70" i="3" s="1"/>
  <c r="K71" i="3" s="1"/>
  <c r="K72" i="3" s="1"/>
  <c r="K73" i="3" s="1"/>
  <c r="K74" i="3" s="1"/>
  <c r="K75" i="3" s="1"/>
  <c r="K76" i="3" s="1"/>
  <c r="K77" i="3" s="1"/>
  <c r="K78" i="3" s="1"/>
  <c r="K79" i="3" s="1"/>
  <c r="K80" i="3" s="1"/>
  <c r="K81" i="3" s="1"/>
  <c r="K82" i="3" s="1"/>
  <c r="K83" i="3" s="1"/>
  <c r="K84" i="3" s="1"/>
  <c r="K85" i="3" s="1"/>
  <c r="K86" i="3" s="1"/>
  <c r="K87" i="3" s="1"/>
  <c r="K88" i="3" s="1"/>
  <c r="K89" i="3" s="1"/>
  <c r="K90" i="3" s="1"/>
  <c r="K91" i="3" s="1"/>
  <c r="K92" i="3" s="1"/>
  <c r="K93" i="3" s="1"/>
  <c r="K94" i="3" s="1"/>
  <c r="K95" i="3" s="1"/>
  <c r="K96" i="3" s="1"/>
  <c r="K97" i="3" s="1"/>
  <c r="K98" i="3" s="1"/>
  <c r="K99" i="3" s="1"/>
  <c r="K100" i="3" s="1"/>
  <c r="K101" i="3" s="1"/>
  <c r="K102" i="3" s="1"/>
  <c r="K103" i="3" s="1"/>
  <c r="K104" i="3" s="1"/>
  <c r="K105" i="3" s="1"/>
  <c r="K106" i="3" s="1"/>
  <c r="K107" i="3" s="1"/>
  <c r="K108" i="3" s="1"/>
  <c r="K109" i="3" s="1"/>
  <c r="K110" i="3" s="1"/>
  <c r="K111" i="3" s="1"/>
  <c r="K112" i="3" s="1"/>
  <c r="K113" i="3" s="1"/>
  <c r="K114" i="3" s="1"/>
  <c r="K115" i="3" s="1"/>
  <c r="K116" i="3" s="1"/>
  <c r="K117" i="3" s="1"/>
  <c r="K118" i="3" s="1"/>
  <c r="K119" i="3" s="1"/>
  <c r="K120" i="3" s="1"/>
  <c r="K121" i="3" s="1"/>
  <c r="K122" i="3" s="1"/>
  <c r="K123" i="3" s="1"/>
  <c r="K124" i="3" s="1"/>
  <c r="K125" i="3" s="1"/>
  <c r="K126" i="3" s="1"/>
  <c r="K127" i="3" s="1"/>
  <c r="K128" i="3" s="1"/>
  <c r="K129" i="3" s="1"/>
  <c r="K130" i="3" s="1"/>
  <c r="K131" i="3" s="1"/>
  <c r="K132" i="3" s="1"/>
  <c r="K133" i="3" s="1"/>
  <c r="K134" i="3" s="1"/>
  <c r="K135" i="3" s="1"/>
  <c r="K136" i="3" s="1"/>
  <c r="K137" i="3" s="1"/>
  <c r="K138" i="3" s="1"/>
  <c r="K139" i="3" s="1"/>
  <c r="K140" i="3" s="1"/>
  <c r="K1" i="9"/>
  <c r="T1" i="9" s="1"/>
  <c r="T2" i="9" s="1"/>
  <c r="K1" i="8"/>
  <c r="T1" i="8" s="1"/>
  <c r="T2" i="8" s="1"/>
  <c r="AE23" i="12"/>
  <c r="AF12" i="13"/>
  <c r="AG15" i="8"/>
  <c r="J3" i="12"/>
  <c r="AF17" i="13"/>
  <c r="AF13" i="12"/>
  <c r="AG15" i="12"/>
  <c r="AE16" i="12"/>
  <c r="AE17" i="12"/>
  <c r="AF15" i="13"/>
  <c r="AF22" i="12"/>
  <c r="K3" i="12"/>
  <c r="AG19" i="12"/>
  <c r="AG23" i="12"/>
  <c r="AE21" i="12"/>
  <c r="AE12" i="12"/>
  <c r="AE19" i="12"/>
  <c r="AF13" i="13"/>
  <c r="AF18" i="13"/>
  <c r="AF18" i="12"/>
  <c r="AF17" i="12"/>
  <c r="AF16" i="12"/>
  <c r="AF12" i="12"/>
  <c r="AG18" i="12"/>
  <c r="AG20" i="12"/>
  <c r="AG14" i="12"/>
  <c r="AG17" i="12"/>
  <c r="AF13" i="10"/>
  <c r="AF22" i="10"/>
  <c r="AE20" i="12"/>
  <c r="AE13" i="12"/>
  <c r="AE14" i="12"/>
  <c r="AE18" i="12"/>
  <c r="AE15" i="12"/>
  <c r="AF23" i="10"/>
  <c r="AF20" i="13"/>
  <c r="AF14" i="13"/>
  <c r="AF21" i="13"/>
  <c r="AF23" i="13"/>
  <c r="AF19" i="13"/>
  <c r="AF16" i="13"/>
  <c r="AF23" i="12"/>
  <c r="AF15" i="12"/>
  <c r="AF19" i="12"/>
  <c r="AF21" i="12"/>
  <c r="AF14" i="12"/>
  <c r="AG12" i="12"/>
  <c r="AG21" i="12"/>
  <c r="L3" i="12"/>
  <c r="AG13" i="12"/>
  <c r="AG16" i="12"/>
  <c r="AG17" i="8"/>
  <c r="AG20" i="8"/>
  <c r="AE18" i="8"/>
  <c r="AE20" i="8"/>
  <c r="AF15" i="8"/>
  <c r="AF23" i="8"/>
  <c r="J1" i="8"/>
  <c r="S1" i="8" s="1"/>
  <c r="S2" i="8" s="1"/>
  <c r="L1" i="8"/>
  <c r="U1" i="8" s="1"/>
  <c r="U2" i="8" s="1"/>
  <c r="K1" i="10"/>
  <c r="T1" i="10" s="1"/>
  <c r="T2" i="10" s="1"/>
  <c r="AF14" i="9"/>
  <c r="AF12" i="10"/>
  <c r="AF21" i="10"/>
  <c r="AF18" i="10"/>
  <c r="AG22" i="8"/>
  <c r="AG13" i="8"/>
  <c r="AG23" i="8"/>
  <c r="AE12" i="8"/>
  <c r="AE23" i="8"/>
  <c r="AE21" i="8"/>
  <c r="AE19" i="8"/>
  <c r="AF21" i="8"/>
  <c r="AF22" i="8"/>
  <c r="AF13" i="8"/>
  <c r="AF20" i="9"/>
  <c r="AF18" i="9"/>
  <c r="AF23" i="9"/>
  <c r="K3" i="9"/>
  <c r="AF20" i="10"/>
  <c r="AF19" i="10"/>
  <c r="AF15" i="10"/>
  <c r="AF14" i="10"/>
  <c r="AF17" i="10"/>
  <c r="K3" i="10"/>
  <c r="AG14" i="8"/>
  <c r="AG12" i="8"/>
  <c r="AG18" i="8"/>
  <c r="AG21" i="8"/>
  <c r="AG16" i="8"/>
  <c r="L3" i="8"/>
  <c r="J3" i="8"/>
  <c r="AE16" i="8"/>
  <c r="AE13" i="8"/>
  <c r="AE15" i="8"/>
  <c r="AE17" i="8"/>
  <c r="L3" i="4"/>
  <c r="AF12" i="8"/>
  <c r="AF20" i="8"/>
  <c r="AF17" i="8"/>
  <c r="AE14" i="8"/>
  <c r="AF18" i="8"/>
  <c r="AF14" i="8"/>
  <c r="AF21" i="9"/>
  <c r="AF16" i="9"/>
  <c r="AF19" i="9"/>
  <c r="AF17" i="9"/>
  <c r="AF15" i="9"/>
  <c r="AG23" i="10"/>
  <c r="AE22" i="9"/>
  <c r="AF13" i="9"/>
  <c r="AF12" i="9"/>
  <c r="AG16" i="9"/>
  <c r="N62" i="4"/>
  <c r="M62" i="4"/>
  <c r="V8" i="9"/>
  <c r="Y3" i="9"/>
  <c r="U8" i="9"/>
  <c r="I1" i="12"/>
  <c r="R1" i="12" s="1"/>
  <c r="R2" i="12" s="1"/>
  <c r="AD22" i="12"/>
  <c r="AC4" i="8"/>
  <c r="W8" i="4"/>
  <c r="AD19" i="12"/>
  <c r="AD23" i="8"/>
  <c r="X8" i="4"/>
  <c r="M3" i="12"/>
  <c r="BY8" i="4" s="1"/>
  <c r="AD23" i="12"/>
  <c r="AD22" i="8"/>
  <c r="AD13" i="8"/>
  <c r="Z2" i="4"/>
  <c r="I3" i="12"/>
  <c r="AD12" i="12"/>
  <c r="AD16" i="12"/>
  <c r="AD15" i="12"/>
  <c r="AD14" i="8"/>
  <c r="AD19" i="8"/>
  <c r="AD21" i="8"/>
  <c r="M3" i="8"/>
  <c r="AS8" i="4" s="1"/>
  <c r="I1" i="9"/>
  <c r="R1" i="9" s="1"/>
  <c r="R2" i="9" s="1"/>
  <c r="I1" i="8"/>
  <c r="R1" i="8" s="1"/>
  <c r="R2" i="8" s="1"/>
  <c r="AD21" i="9"/>
  <c r="AC4" i="12"/>
  <c r="AD21" i="12"/>
  <c r="AD17" i="12"/>
  <c r="AD14" i="12"/>
  <c r="AD18" i="12"/>
  <c r="AD13" i="12"/>
  <c r="AD17" i="8"/>
  <c r="AD20" i="8"/>
  <c r="I1" i="10"/>
  <c r="R1" i="10" s="1"/>
  <c r="R2" i="10" s="1"/>
  <c r="AD16" i="8"/>
  <c r="I3" i="8"/>
  <c r="AD15" i="8"/>
  <c r="I3" i="10"/>
  <c r="AD18" i="8"/>
  <c r="K3" i="4"/>
  <c r="AD16" i="10"/>
  <c r="L1" i="10"/>
  <c r="U1" i="10" s="1"/>
  <c r="U2" i="10" s="1"/>
  <c r="CF87" i="3"/>
  <c r="J1" i="10"/>
  <c r="S1" i="10" s="1"/>
  <c r="S2" i="10" s="1"/>
  <c r="AO85" i="3"/>
  <c r="J85" i="3" s="1"/>
  <c r="CB85" i="3"/>
  <c r="Q85" i="3"/>
  <c r="T85" i="3"/>
  <c r="AE18" i="10"/>
  <c r="AE14" i="10"/>
  <c r="AE13" i="10"/>
  <c r="AE19" i="10"/>
  <c r="AE16" i="10"/>
  <c r="AE20" i="10"/>
  <c r="AE22" i="10"/>
  <c r="AE12" i="10"/>
  <c r="J3" i="10"/>
  <c r="AE17" i="10"/>
  <c r="AE23" i="10"/>
  <c r="AE21" i="10"/>
  <c r="AE15" i="10"/>
  <c r="I36" i="6"/>
  <c r="I37" i="6" s="1"/>
  <c r="T86" i="3"/>
  <c r="CB86" i="3"/>
  <c r="AO86" i="3"/>
  <c r="J86" i="3" s="1"/>
  <c r="Q86" i="3"/>
  <c r="AP84" i="3"/>
  <c r="X2" i="10"/>
  <c r="V8" i="10"/>
  <c r="U8" i="10"/>
  <c r="Y3" i="10"/>
  <c r="AG20" i="11" l="1"/>
  <c r="AG16" i="11"/>
  <c r="AD17" i="13"/>
  <c r="F6" i="13"/>
  <c r="I3" i="13"/>
  <c r="AE21" i="13"/>
  <c r="J3" i="13"/>
  <c r="AG23" i="13"/>
  <c r="L3" i="13"/>
  <c r="AB53" i="16"/>
  <c r="AC54" i="16"/>
  <c r="AG12" i="11"/>
  <c r="AG18" i="13"/>
  <c r="AG21" i="13"/>
  <c r="AG13" i="13"/>
  <c r="AD14" i="11"/>
  <c r="AG18" i="11"/>
  <c r="L3" i="11"/>
  <c r="D4" i="2"/>
  <c r="I3" i="11"/>
  <c r="AG16" i="13"/>
  <c r="AG20" i="13"/>
  <c r="AG14" i="13"/>
  <c r="AG22" i="13"/>
  <c r="AD13" i="11"/>
  <c r="AG19" i="11"/>
  <c r="AG21" i="11"/>
  <c r="AG23" i="11"/>
  <c r="AG22" i="11"/>
  <c r="AG13" i="11"/>
  <c r="AG17" i="11"/>
  <c r="AG14" i="11"/>
  <c r="AG15" i="13"/>
  <c r="AG17" i="13"/>
  <c r="AG19" i="13"/>
  <c r="AG12" i="13"/>
  <c r="AG15" i="11"/>
  <c r="AE19" i="11"/>
  <c r="AE15" i="11"/>
  <c r="AD12" i="11"/>
  <c r="AD15" i="11"/>
  <c r="AE16" i="11"/>
  <c r="AE12" i="11"/>
  <c r="AF12" i="11"/>
  <c r="AD18" i="13"/>
  <c r="AD22" i="13"/>
  <c r="AD16" i="11"/>
  <c r="AD18" i="11"/>
  <c r="AD23" i="11"/>
  <c r="AE23" i="11"/>
  <c r="AE17" i="11"/>
  <c r="AD21" i="13"/>
  <c r="AD15" i="13"/>
  <c r="AF16" i="11"/>
  <c r="AE16" i="13"/>
  <c r="AE22" i="13"/>
  <c r="AF19" i="11"/>
  <c r="AD19" i="13"/>
  <c r="M3" i="11"/>
  <c r="BQ8" i="4" s="1"/>
  <c r="AF23" i="11"/>
  <c r="AC4" i="13"/>
  <c r="AF14" i="11"/>
  <c r="AF22" i="11"/>
  <c r="AF15" i="11"/>
  <c r="AE17" i="13"/>
  <c r="AE14" i="13"/>
  <c r="AE23" i="13"/>
  <c r="AE18" i="13"/>
  <c r="F6" i="11"/>
  <c r="AE15" i="13"/>
  <c r="AD21" i="11"/>
  <c r="AD22" i="11"/>
  <c r="AD20" i="11"/>
  <c r="AC4" i="11"/>
  <c r="I1" i="11"/>
  <c r="R1" i="11" s="1"/>
  <c r="R2" i="11" s="1"/>
  <c r="AD17" i="11"/>
  <c r="M3" i="13"/>
  <c r="CG8" i="4" s="1"/>
  <c r="K3" i="11"/>
  <c r="AF21" i="11"/>
  <c r="AE22" i="11"/>
  <c r="AE20" i="11"/>
  <c r="AE21" i="11"/>
  <c r="AF20" i="11"/>
  <c r="AE18" i="11"/>
  <c r="J3" i="11"/>
  <c r="AF18" i="11"/>
  <c r="AE13" i="13"/>
  <c r="AE19" i="13"/>
  <c r="AE20" i="13"/>
  <c r="AE14" i="11"/>
  <c r="AF13" i="11"/>
  <c r="AE12" i="13"/>
  <c r="AD23" i="13"/>
  <c r="AD16" i="13"/>
  <c r="AD20" i="13"/>
  <c r="AD13" i="13"/>
  <c r="AD12" i="13"/>
  <c r="AD14" i="13"/>
  <c r="AE13" i="11"/>
  <c r="AF17" i="11"/>
  <c r="H6" i="4"/>
  <c r="AD18" i="9"/>
  <c r="F6" i="9"/>
  <c r="F6" i="10"/>
  <c r="K141" i="3"/>
  <c r="AE20" i="9"/>
  <c r="AG20" i="10"/>
  <c r="AG12" i="10"/>
  <c r="AG14" i="10"/>
  <c r="L3" i="10"/>
  <c r="AD17" i="9"/>
  <c r="AD16" i="9"/>
  <c r="AD15" i="9"/>
  <c r="AE14" i="9"/>
  <c r="M3" i="4"/>
  <c r="AE12" i="9"/>
  <c r="AE15" i="9"/>
  <c r="AG21" i="10"/>
  <c r="AG12" i="9"/>
  <c r="AG16" i="10"/>
  <c r="AG22" i="10"/>
  <c r="AG13" i="10"/>
  <c r="AG15" i="10"/>
  <c r="N3" i="4"/>
  <c r="O3" i="4"/>
  <c r="H60" i="4" s="1"/>
  <c r="AG18" i="10"/>
  <c r="AG17" i="10"/>
  <c r="AG19" i="10"/>
  <c r="AE17" i="9"/>
  <c r="AE21" i="9"/>
  <c r="AE13" i="9"/>
  <c r="J3" i="9"/>
  <c r="AE23" i="9"/>
  <c r="J1" i="9"/>
  <c r="S1" i="9" s="1"/>
  <c r="S2" i="9" s="1"/>
  <c r="AD22" i="9"/>
  <c r="AD20" i="9"/>
  <c r="L1" i="9"/>
  <c r="U1" i="9" s="1"/>
  <c r="U2" i="9" s="1"/>
  <c r="AE4" i="4"/>
  <c r="AD19" i="9"/>
  <c r="AD14" i="9"/>
  <c r="I3" i="9"/>
  <c r="M3" i="9"/>
  <c r="BA8" i="4" s="1"/>
  <c r="AD13" i="9"/>
  <c r="AC4" i="9"/>
  <c r="AD23" i="9"/>
  <c r="AG21" i="9"/>
  <c r="AG22" i="9"/>
  <c r="AG17" i="9"/>
  <c r="AG19" i="9"/>
  <c r="AG14" i="9"/>
  <c r="AG15" i="9"/>
  <c r="AG13" i="9"/>
  <c r="AD12" i="9"/>
  <c r="L3" i="9"/>
  <c r="AG18" i="9"/>
  <c r="AG20" i="9"/>
  <c r="AG23" i="9"/>
  <c r="AE18" i="9"/>
  <c r="AE19" i="9"/>
  <c r="AE16" i="9"/>
  <c r="AD15" i="10"/>
  <c r="AC4" i="10"/>
  <c r="AD12" i="10"/>
  <c r="AD19" i="10"/>
  <c r="AD21" i="10"/>
  <c r="AD17" i="10"/>
  <c r="M3" i="10"/>
  <c r="BI8" i="4" s="1"/>
  <c r="AD13" i="10"/>
  <c r="AD20" i="10"/>
  <c r="AD14" i="10"/>
  <c r="AD18" i="10"/>
  <c r="AD22" i="10"/>
  <c r="AD23" i="10"/>
  <c r="CF84" i="3"/>
  <c r="AP88" i="3"/>
  <c r="AN88" i="3" s="1"/>
  <c r="AO84" i="3"/>
  <c r="J84" i="3" s="1"/>
  <c r="AP85" i="3"/>
  <c r="AN85" i="3" s="1"/>
  <c r="AP89" i="3"/>
  <c r="AN89" i="3" s="1"/>
  <c r="AP86" i="3"/>
  <c r="AN86" i="3" s="1"/>
  <c r="AP87" i="3"/>
  <c r="AB54" i="16" l="1"/>
  <c r="AC55" i="16"/>
  <c r="AN84" i="3"/>
  <c r="E14" i="3"/>
  <c r="AC107" i="3" s="1"/>
  <c r="F60" i="1"/>
  <c r="E28" i="3" s="1"/>
  <c r="R75" i="3"/>
  <c r="R76" i="3"/>
  <c r="V26" i="1"/>
  <c r="I38" i="6"/>
  <c r="I39" i="6" s="1"/>
  <c r="AB55" i="16" l="1"/>
  <c r="AC56" i="16"/>
  <c r="C114" i="2"/>
  <c r="AB56" i="16" l="1"/>
  <c r="AC57" i="16"/>
  <c r="X16" i="1"/>
  <c r="AB57" i="16" l="1"/>
  <c r="AC58" i="16"/>
  <c r="X23" i="1"/>
  <c r="AB58" i="16" l="1"/>
  <c r="AC59" i="16"/>
  <c r="Z36" i="6"/>
  <c r="AB59" i="16" l="1"/>
  <c r="AC60" i="16"/>
  <c r="AD12" i="4"/>
  <c r="AH12" i="4"/>
  <c r="AC12" i="4"/>
  <c r="AG12" i="4"/>
  <c r="AB12" i="4"/>
  <c r="AF12" i="4"/>
  <c r="AC61" i="16" l="1"/>
  <c r="AB60" i="16"/>
  <c r="AB13" i="4"/>
  <c r="AF13" i="4"/>
  <c r="AE13" i="4"/>
  <c r="AI13" i="4"/>
  <c r="AC13" i="4"/>
  <c r="AG13" i="4"/>
  <c r="AD13" i="4"/>
  <c r="AH13" i="4"/>
  <c r="AE12" i="4"/>
  <c r="AI12" i="4"/>
  <c r="AB61" i="16" l="1"/>
  <c r="AC62" i="16"/>
  <c r="AB14" i="4"/>
  <c r="AF14" i="4"/>
  <c r="AD14" i="4"/>
  <c r="AH14" i="4"/>
  <c r="AC14" i="4"/>
  <c r="AG14" i="4"/>
  <c r="AE14" i="4"/>
  <c r="AI14" i="4"/>
  <c r="AB62" i="16" l="1"/>
  <c r="AC63" i="16"/>
  <c r="AE15" i="4"/>
  <c r="AI15" i="4"/>
  <c r="AB15" i="4"/>
  <c r="AF15" i="4"/>
  <c r="AD15" i="4"/>
  <c r="AH15" i="4"/>
  <c r="AC15" i="4"/>
  <c r="AG15" i="4"/>
  <c r="AB63" i="16" l="1"/>
  <c r="AC64" i="16"/>
  <c r="AE16" i="4"/>
  <c r="AI16" i="4"/>
  <c r="AB16" i="4"/>
  <c r="AF16" i="4"/>
  <c r="AD16" i="4"/>
  <c r="AH16" i="4"/>
  <c r="AC16" i="4"/>
  <c r="AG16" i="4"/>
  <c r="N1" i="4"/>
  <c r="W1" i="4" s="1"/>
  <c r="W2" i="4" s="1"/>
  <c r="M4" i="4"/>
  <c r="AB64" i="16" l="1"/>
  <c r="AC65" i="16"/>
  <c r="M1" i="4"/>
  <c r="V1" i="4" s="1"/>
  <c r="V2" i="4" s="1"/>
  <c r="K1" i="4"/>
  <c r="T1" i="4" s="1"/>
  <c r="T2" i="4" s="1"/>
  <c r="F8" i="7"/>
  <c r="L1" i="4"/>
  <c r="U1" i="4" s="1"/>
  <c r="U2" i="4" s="1"/>
  <c r="K4" i="4"/>
  <c r="J4" i="2"/>
  <c r="L4" i="4"/>
  <c r="N4" i="4"/>
  <c r="AB17" i="4"/>
  <c r="AF17" i="4"/>
  <c r="AE17" i="4"/>
  <c r="AI17" i="4"/>
  <c r="AD23" i="4"/>
  <c r="AH23" i="4"/>
  <c r="AB22" i="4"/>
  <c r="AF22" i="4"/>
  <c r="AC22" i="4"/>
  <c r="AG22" i="4"/>
  <c r="AC21" i="4"/>
  <c r="AG21" i="4"/>
  <c r="AB21" i="4"/>
  <c r="AF21" i="4"/>
  <c r="AB20" i="4"/>
  <c r="AF20" i="4"/>
  <c r="AB19" i="4"/>
  <c r="AF19" i="4"/>
  <c r="AC19" i="4"/>
  <c r="AG19" i="4"/>
  <c r="AC18" i="4"/>
  <c r="AG18" i="4"/>
  <c r="AD18" i="4"/>
  <c r="AH18" i="4"/>
  <c r="AC17" i="4"/>
  <c r="AG17" i="4"/>
  <c r="AD17" i="4"/>
  <c r="AH17" i="4"/>
  <c r="AB23" i="4"/>
  <c r="AF23" i="4"/>
  <c r="AE23" i="4"/>
  <c r="AI23" i="4"/>
  <c r="AC23" i="4"/>
  <c r="AG23" i="4"/>
  <c r="AD21" i="4"/>
  <c r="AH21" i="4"/>
  <c r="AE22" i="4"/>
  <c r="AI22" i="4"/>
  <c r="AD22" i="4"/>
  <c r="AH22" i="4"/>
  <c r="AE21" i="4"/>
  <c r="AI21" i="4"/>
  <c r="AD20" i="4"/>
  <c r="AH20" i="4"/>
  <c r="AC20" i="4"/>
  <c r="AG20" i="4"/>
  <c r="AE20" i="4"/>
  <c r="AI20" i="4"/>
  <c r="AD19" i="4"/>
  <c r="AH19" i="4"/>
  <c r="AE19" i="4"/>
  <c r="AI19" i="4"/>
  <c r="AB18" i="4"/>
  <c r="AF18" i="4"/>
  <c r="AE18" i="4"/>
  <c r="AI18" i="4"/>
  <c r="B12" i="7" l="1"/>
  <c r="AB65" i="16"/>
  <c r="AC66" i="16"/>
  <c r="F1" i="2"/>
  <c r="G2" i="2"/>
  <c r="G4" i="2"/>
  <c r="F3" i="2"/>
  <c r="E1" i="2" s="1"/>
  <c r="E3" i="2" s="1"/>
  <c r="D3" i="2"/>
  <c r="AK11" i="7"/>
  <c r="AB66" i="16" l="1"/>
  <c r="AC67" i="16"/>
  <c r="D2" i="2"/>
  <c r="F2" i="2" s="1"/>
  <c r="I2" i="2" s="1"/>
  <c r="H3" i="2" s="1"/>
  <c r="AL11" i="7" s="1"/>
  <c r="AB67" i="16" l="1"/>
  <c r="AC68" i="16"/>
  <c r="J3" i="2"/>
  <c r="I1" i="2" s="1"/>
  <c r="E4" i="2" s="1"/>
  <c r="N7" i="16" s="1"/>
  <c r="AM24" i="7"/>
  <c r="AM27" i="7"/>
  <c r="AM12" i="7"/>
  <c r="AM18" i="7"/>
  <c r="AM13" i="7"/>
  <c r="AM16" i="7"/>
  <c r="AM26" i="7"/>
  <c r="AM15" i="7"/>
  <c r="AM17" i="7"/>
  <c r="AM23" i="7"/>
  <c r="AM19" i="7"/>
  <c r="AM20" i="7"/>
  <c r="AM21" i="7"/>
  <c r="AM22" i="7"/>
  <c r="AM25" i="7"/>
  <c r="AM14" i="7"/>
  <c r="AJ10" i="11"/>
  <c r="AJ10" i="8"/>
  <c r="AJ10" i="10"/>
  <c r="AJ10" i="12"/>
  <c r="AJ10" i="9"/>
  <c r="AJ10" i="13"/>
  <c r="AL10" i="4"/>
  <c r="J113" i="2"/>
  <c r="H6" i="7"/>
  <c r="E24" i="7" s="1"/>
  <c r="G113" i="2"/>
  <c r="H113" i="2" s="1"/>
  <c r="E113" i="2"/>
  <c r="AB68" i="16" l="1"/>
  <c r="AC69" i="16"/>
  <c r="AN24" i="4"/>
  <c r="AN27" i="4"/>
  <c r="AN21" i="4"/>
  <c r="AN23" i="4"/>
  <c r="AN25" i="4"/>
  <c r="AN18" i="4"/>
  <c r="AN16" i="4"/>
  <c r="AN15" i="4"/>
  <c r="AN19" i="4"/>
  <c r="AN26" i="4"/>
  <c r="AN17" i="4"/>
  <c r="AN14" i="4"/>
  <c r="AN13" i="4"/>
  <c r="AN22" i="4"/>
  <c r="AN20" i="4"/>
  <c r="AN12" i="4"/>
  <c r="AL24" i="9"/>
  <c r="AL27" i="9"/>
  <c r="AL26" i="9"/>
  <c r="AL12" i="9"/>
  <c r="AL25" i="9"/>
  <c r="AL23" i="9"/>
  <c r="AL22" i="9"/>
  <c r="AL20" i="9"/>
  <c r="AL18" i="9"/>
  <c r="AL17" i="9"/>
  <c r="AL13" i="9"/>
  <c r="AL21" i="9"/>
  <c r="AL19" i="9"/>
  <c r="AL16" i="9"/>
  <c r="AL15" i="9"/>
  <c r="AL14" i="9"/>
  <c r="AL12" i="10"/>
  <c r="AL27" i="10"/>
  <c r="AL25" i="10"/>
  <c r="AL26" i="10"/>
  <c r="AL24" i="10"/>
  <c r="AL20" i="10"/>
  <c r="AL16" i="10"/>
  <c r="AL15" i="10"/>
  <c r="AL14" i="10"/>
  <c r="AL13" i="10"/>
  <c r="AL23" i="10"/>
  <c r="AL22" i="10"/>
  <c r="AL21" i="10"/>
  <c r="AL19" i="10"/>
  <c r="AL18" i="10"/>
  <c r="AL17" i="10"/>
  <c r="AL26" i="11"/>
  <c r="AL25" i="11"/>
  <c r="AL24" i="11"/>
  <c r="AL27" i="11"/>
  <c r="AL23" i="11"/>
  <c r="AL22" i="11"/>
  <c r="AL20" i="11"/>
  <c r="AL15" i="11"/>
  <c r="AL14" i="11"/>
  <c r="AL21" i="11"/>
  <c r="AL19" i="11"/>
  <c r="AL18" i="11"/>
  <c r="AL17" i="11"/>
  <c r="AL16" i="11"/>
  <c r="AL13" i="11"/>
  <c r="AL12" i="11"/>
  <c r="AL24" i="13"/>
  <c r="AL27" i="13"/>
  <c r="AL25" i="13"/>
  <c r="AL26" i="13"/>
  <c r="AL23" i="13"/>
  <c r="AL22" i="13"/>
  <c r="AL20" i="13"/>
  <c r="AL19" i="13"/>
  <c r="AL18" i="13"/>
  <c r="AL16" i="13"/>
  <c r="AL14" i="13"/>
  <c r="AL13" i="13"/>
  <c r="AL12" i="13"/>
  <c r="AL21" i="13"/>
  <c r="AL17" i="13"/>
  <c r="AL15" i="13"/>
  <c r="AL24" i="12"/>
  <c r="AL26" i="12"/>
  <c r="AL25" i="12"/>
  <c r="AL23" i="12"/>
  <c r="AL21" i="12"/>
  <c r="AL20" i="12"/>
  <c r="AL19" i="12"/>
  <c r="AL18" i="12"/>
  <c r="AL17" i="12"/>
  <c r="AL15" i="12"/>
  <c r="AL13" i="12"/>
  <c r="AL12" i="12"/>
  <c r="AL27" i="12"/>
  <c r="AL22" i="12"/>
  <c r="AL16" i="12"/>
  <c r="AL14" i="12"/>
  <c r="AL26" i="8"/>
  <c r="AL24" i="8"/>
  <c r="AL27" i="8"/>
  <c r="AL25" i="8"/>
  <c r="AL23" i="8"/>
  <c r="AL22" i="8"/>
  <c r="AL21" i="8"/>
  <c r="AL17" i="8"/>
  <c r="AL16" i="8"/>
  <c r="AL13" i="8"/>
  <c r="AL12" i="8"/>
  <c r="AL20" i="8"/>
  <c r="AL19" i="8"/>
  <c r="AL18" i="8"/>
  <c r="AL15" i="8"/>
  <c r="AL14" i="8"/>
  <c r="Z33" i="1"/>
  <c r="Y100" i="1"/>
  <c r="AD13" i="1"/>
  <c r="AB105" i="3"/>
  <c r="L28" i="1"/>
  <c r="E140" i="3"/>
  <c r="E67" i="3"/>
  <c r="A18" i="3"/>
  <c r="AT6" i="1"/>
  <c r="Y60" i="3"/>
  <c r="Z112" i="3"/>
  <c r="AU6" i="1"/>
  <c r="AA102" i="3"/>
  <c r="X126" i="3"/>
  <c r="CG6" i="3"/>
  <c r="Z127" i="3"/>
  <c r="Y62" i="3"/>
  <c r="AR5" i="1"/>
  <c r="AQ15" i="1"/>
  <c r="N2" i="6"/>
  <c r="Z32" i="1"/>
  <c r="J22" i="1"/>
  <c r="M28" i="1"/>
  <c r="X127" i="3"/>
  <c r="X128" i="3" s="1"/>
  <c r="R17" i="3"/>
  <c r="E99" i="3"/>
  <c r="E101" i="3" s="1"/>
  <c r="O121" i="3"/>
  <c r="S121" i="3" s="1"/>
  <c r="AQ55" i="3"/>
  <c r="J20" i="1"/>
  <c r="O76" i="3"/>
  <c r="O75" i="3"/>
  <c r="P48" i="1"/>
  <c r="AR101" i="3"/>
  <c r="AS101" i="3" s="1"/>
  <c r="AS99" i="3" s="1"/>
  <c r="CG29" i="3"/>
  <c r="AA51" i="3" s="1"/>
  <c r="J19" i="1"/>
  <c r="H4" i="2" s="1"/>
  <c r="X13" i="1"/>
  <c r="AH24" i="1" s="1"/>
  <c r="Y98" i="3"/>
  <c r="Y99" i="3" s="1"/>
  <c r="Y92" i="3"/>
  <c r="Y94" i="3" s="1"/>
  <c r="X20" i="1"/>
  <c r="R11" i="1" s="1"/>
  <c r="BA7" i="3" s="1"/>
  <c r="Z94" i="3"/>
  <c r="Y100" i="3" s="1"/>
  <c r="O125" i="3"/>
  <c r="AR6" i="1"/>
  <c r="V43" i="1"/>
  <c r="L52" i="1" s="1"/>
  <c r="AF16" i="1"/>
  <c r="AC19" i="1"/>
  <c r="AC20" i="1" s="1"/>
  <c r="AE15" i="1"/>
  <c r="AD15" i="1" s="1"/>
  <c r="AQ13" i="1"/>
  <c r="AQ14" i="1" s="1"/>
  <c r="O2" i="6"/>
  <c r="O9" i="6" s="1"/>
  <c r="Y27" i="6" s="1"/>
  <c r="X12" i="6"/>
  <c r="X14" i="6" s="1"/>
  <c r="X15" i="6" s="1"/>
  <c r="AA90" i="3"/>
  <c r="AA91" i="3" s="1"/>
  <c r="AA92" i="3" s="1"/>
  <c r="F55" i="1"/>
  <c r="E23" i="3" s="1"/>
  <c r="AE2" i="2" l="1"/>
  <c r="N6" i="16" s="1"/>
  <c r="AB69" i="16"/>
  <c r="AC70" i="16"/>
  <c r="P2" i="6"/>
  <c r="AC21" i="1"/>
  <c r="AC22" i="1" s="1"/>
  <c r="AC23" i="1" s="1"/>
  <c r="E23" i="1" s="1"/>
  <c r="B19" i="16" s="1"/>
  <c r="Z128" i="3"/>
  <c r="L50" i="1"/>
  <c r="L51" i="1" s="1"/>
  <c r="AV9" i="1"/>
  <c r="AV10" i="1" s="1"/>
  <c r="AV16" i="1" s="1"/>
  <c r="AV14" i="1"/>
  <c r="AF15" i="1"/>
  <c r="AF14" i="1"/>
  <c r="E15" i="1" s="1"/>
  <c r="D14" i="16" s="1"/>
  <c r="AF13" i="1"/>
  <c r="R18" i="3"/>
  <c r="E35" i="3"/>
  <c r="R16" i="3"/>
  <c r="O44" i="3"/>
  <c r="O48" i="3"/>
  <c r="O79" i="3"/>
  <c r="O138" i="3" s="1"/>
  <c r="O21" i="3"/>
  <c r="O16" i="3"/>
  <c r="O18" i="3"/>
  <c r="G6" i="6"/>
  <c r="AO125" i="3"/>
  <c r="M76" i="3"/>
  <c r="M59" i="3"/>
  <c r="N59" i="3"/>
  <c r="M53" i="3"/>
  <c r="M94" i="3" s="1"/>
  <c r="N53" i="3"/>
  <c r="N94" i="3" s="1"/>
  <c r="A22" i="3"/>
  <c r="A24" i="3" s="1"/>
  <c r="O10" i="3"/>
  <c r="O11" i="3" s="1"/>
  <c r="O43" i="3"/>
  <c r="O47" i="3"/>
  <c r="O123" i="3"/>
  <c r="Q125" i="3"/>
  <c r="AC106" i="3"/>
  <c r="E14" i="1"/>
  <c r="D13" i="16" s="1"/>
  <c r="Q2" i="14"/>
  <c r="R2" i="14" s="1"/>
  <c r="O17" i="3"/>
  <c r="O12" i="3"/>
  <c r="O22" i="3"/>
  <c r="O25" i="3"/>
  <c r="AR99" i="3"/>
  <c r="O34" i="3"/>
  <c r="O32" i="3"/>
  <c r="T75" i="3"/>
  <c r="AO75" i="3"/>
  <c r="Q76" i="3"/>
  <c r="T76" i="3"/>
  <c r="CB76" i="3"/>
  <c r="O30" i="3"/>
  <c r="P43" i="3"/>
  <c r="S2" i="14"/>
  <c r="T2" i="14" s="1"/>
  <c r="H39" i="6"/>
  <c r="AO76" i="3"/>
  <c r="AP74" i="3"/>
  <c r="AA74" i="3"/>
  <c r="CB121" i="3"/>
  <c r="Q121" i="3"/>
  <c r="G4" i="6"/>
  <c r="AO121" i="3"/>
  <c r="O80" i="3"/>
  <c r="CB75" i="3"/>
  <c r="P36" i="3"/>
  <c r="Q75" i="3"/>
  <c r="CF74" i="3" l="1"/>
  <c r="AB70" i="16"/>
  <c r="AC71" i="16"/>
  <c r="AE14" i="1"/>
  <c r="E16" i="1" s="1"/>
  <c r="D15" i="16" s="1"/>
  <c r="AW15" i="1"/>
  <c r="AX15" i="1" s="1"/>
  <c r="AV15" i="1" s="1"/>
  <c r="AV18" i="1" s="1"/>
  <c r="AR19" i="1" s="1"/>
  <c r="AR16" i="1" s="1"/>
  <c r="AP16" i="1" s="1"/>
  <c r="X21" i="1"/>
  <c r="Q11" i="3"/>
  <c r="AO11" i="3"/>
  <c r="O13" i="3"/>
  <c r="AP9" i="3" s="1"/>
  <c r="AO9" i="3" s="1"/>
  <c r="J9" i="3" s="1"/>
  <c r="Q138" i="3"/>
  <c r="AO138" i="3"/>
  <c r="AO80" i="3"/>
  <c r="Q80" i="3"/>
  <c r="J76" i="3"/>
  <c r="E76" i="3"/>
  <c r="O82" i="3"/>
  <c r="T22" i="3"/>
  <c r="Q22" i="3"/>
  <c r="CB22" i="3"/>
  <c r="AO22" i="3"/>
  <c r="Q17" i="3"/>
  <c r="T17" i="3"/>
  <c r="CB17" i="3"/>
  <c r="AO17" i="3"/>
  <c r="L12" i="1"/>
  <c r="B13" i="16" s="1"/>
  <c r="F4" i="6"/>
  <c r="AO123" i="3"/>
  <c r="Q123" i="3"/>
  <c r="Q43" i="3"/>
  <c r="V7" i="3"/>
  <c r="AP42" i="3"/>
  <c r="AO43" i="3"/>
  <c r="CB43" i="3"/>
  <c r="T43" i="3"/>
  <c r="M118" i="3"/>
  <c r="M102" i="3"/>
  <c r="M98" i="3"/>
  <c r="M106" i="3"/>
  <c r="M110" i="3"/>
  <c r="M114" i="3"/>
  <c r="J125" i="3"/>
  <c r="AO18" i="3"/>
  <c r="Q18" i="3"/>
  <c r="CB21" i="3"/>
  <c r="Q21" i="3"/>
  <c r="T21" i="3"/>
  <c r="O23" i="3"/>
  <c r="AO21" i="3"/>
  <c r="A17" i="3"/>
  <c r="O139" i="3" s="1"/>
  <c r="Q48" i="3"/>
  <c r="T48" i="3"/>
  <c r="CB48" i="3"/>
  <c r="AO48" i="3"/>
  <c r="O124" i="3"/>
  <c r="E17" i="1"/>
  <c r="D16" i="16" s="1"/>
  <c r="E20" i="1"/>
  <c r="D19" i="16" s="1"/>
  <c r="E21" i="1"/>
  <c r="D20" i="16" s="1"/>
  <c r="E18" i="1"/>
  <c r="D17" i="16" s="1"/>
  <c r="E19" i="1"/>
  <c r="D18" i="16" s="1"/>
  <c r="AD21" i="14"/>
  <c r="A27" i="14" s="1"/>
  <c r="J121" i="3"/>
  <c r="N76" i="3"/>
  <c r="AP75" i="3"/>
  <c r="AN75" i="3" s="1"/>
  <c r="AP76" i="3"/>
  <c r="AN76" i="3" s="1"/>
  <c r="AO74" i="3"/>
  <c r="H38" i="6"/>
  <c r="J39" i="6"/>
  <c r="Q30" i="3"/>
  <c r="T30" i="3"/>
  <c r="CB30" i="3"/>
  <c r="H26" i="1"/>
  <c r="AO30" i="3"/>
  <c r="J75" i="3"/>
  <c r="H10" i="6"/>
  <c r="Q32" i="3"/>
  <c r="O37" i="3"/>
  <c r="AO32" i="3"/>
  <c r="O28" i="3"/>
  <c r="T34" i="3"/>
  <c r="Q34" i="3"/>
  <c r="AO34" i="3"/>
  <c r="CB34" i="3"/>
  <c r="T25" i="3"/>
  <c r="AO25" i="3"/>
  <c r="Q25" i="3"/>
  <c r="CB25" i="3"/>
  <c r="Q12" i="3"/>
  <c r="AO12" i="3"/>
  <c r="Q47" i="3"/>
  <c r="AP46" i="3"/>
  <c r="T47" i="3"/>
  <c r="CB47" i="3"/>
  <c r="AO47" i="3"/>
  <c r="S10" i="3"/>
  <c r="AO10" i="3"/>
  <c r="CB10" i="3"/>
  <c r="Q10" i="3"/>
  <c r="L13" i="1"/>
  <c r="B14" i="16" s="1"/>
  <c r="CB16" i="3"/>
  <c r="AO16" i="3"/>
  <c r="Q16" i="3"/>
  <c r="T16" i="3"/>
  <c r="AP15" i="3"/>
  <c r="AO15" i="3" s="1"/>
  <c r="J15" i="3" s="1"/>
  <c r="S79" i="3"/>
  <c r="CB79" i="3"/>
  <c r="Q79" i="3"/>
  <c r="U79" i="3" s="1"/>
  <c r="AO79" i="3"/>
  <c r="O81" i="3"/>
  <c r="CB44" i="3"/>
  <c r="Q44" i="3"/>
  <c r="T44" i="3"/>
  <c r="AO44" i="3"/>
  <c r="Y34" i="3"/>
  <c r="AB71" i="16" l="1"/>
  <c r="AC72" i="16"/>
  <c r="CF21" i="3"/>
  <c r="CF47" i="3"/>
  <c r="AP78" i="3"/>
  <c r="AO78" i="3" s="1"/>
  <c r="AR12" i="1"/>
  <c r="AS12" i="1" s="1"/>
  <c r="AR13" i="1" s="1"/>
  <c r="J44" i="3"/>
  <c r="Q81" i="3"/>
  <c r="AO81" i="3"/>
  <c r="AN79" i="3"/>
  <c r="J79" i="3"/>
  <c r="AN10" i="3"/>
  <c r="J10" i="3"/>
  <c r="J47" i="3"/>
  <c r="Z47" i="3"/>
  <c r="Y48" i="3"/>
  <c r="AN12" i="3"/>
  <c r="J12" i="3"/>
  <c r="AN25" i="3"/>
  <c r="J25" i="3"/>
  <c r="J34" i="3"/>
  <c r="Q37" i="3"/>
  <c r="AO37" i="3"/>
  <c r="O35" i="3"/>
  <c r="J30" i="3"/>
  <c r="AD17" i="14"/>
  <c r="A23" i="14" s="1"/>
  <c r="AD19" i="14"/>
  <c r="A25" i="14" s="1"/>
  <c r="J48" i="3"/>
  <c r="Q23" i="3"/>
  <c r="AO23" i="3"/>
  <c r="AN18" i="3"/>
  <c r="J18" i="3"/>
  <c r="Z43" i="3"/>
  <c r="J43" i="3"/>
  <c r="AN43" i="3"/>
  <c r="E58" i="1"/>
  <c r="J17" i="3"/>
  <c r="AN17" i="3"/>
  <c r="J22" i="3"/>
  <c r="AN22" i="3"/>
  <c r="J138" i="3"/>
  <c r="AN138" i="3"/>
  <c r="J11" i="3"/>
  <c r="AN11" i="3"/>
  <c r="AN16" i="3"/>
  <c r="J16" i="3"/>
  <c r="E59" i="1"/>
  <c r="L9" i="3"/>
  <c r="AO46" i="3"/>
  <c r="AP48" i="3"/>
  <c r="AN48" i="3" s="1"/>
  <c r="AP47" i="3"/>
  <c r="AN47" i="3" s="1"/>
  <c r="AO28" i="3"/>
  <c r="F9" i="6"/>
  <c r="O31" i="3"/>
  <c r="AP27" i="3" s="1"/>
  <c r="Q28" i="3"/>
  <c r="J32" i="3"/>
  <c r="AN74" i="3"/>
  <c r="J74" i="3"/>
  <c r="AR18" i="1"/>
  <c r="AR15" i="1" s="1"/>
  <c r="AD16" i="14"/>
  <c r="A22" i="14" s="1"/>
  <c r="AD18" i="14"/>
  <c r="A24" i="14" s="1"/>
  <c r="CB124" i="3"/>
  <c r="T124" i="3"/>
  <c r="Q124" i="3"/>
  <c r="AO124" i="3"/>
  <c r="Q139" i="3"/>
  <c r="U139" i="3" s="1"/>
  <c r="S139" i="3"/>
  <c r="CB139" i="3"/>
  <c r="O140" i="3"/>
  <c r="AO139" i="3"/>
  <c r="AN21" i="3"/>
  <c r="J21" i="3"/>
  <c r="CF43" i="3"/>
  <c r="AP44" i="3"/>
  <c r="AN44" i="3" s="1"/>
  <c r="AO42" i="3"/>
  <c r="J123" i="3"/>
  <c r="CF16" i="3"/>
  <c r="O24" i="3"/>
  <c r="AO82" i="3"/>
  <c r="S82" i="3"/>
  <c r="CB82" i="3"/>
  <c r="Q82" i="3"/>
  <c r="U82" i="3" s="1"/>
  <c r="J80" i="3"/>
  <c r="Q13" i="3"/>
  <c r="AO13" i="3"/>
  <c r="AB72" i="16" l="1"/>
  <c r="AC73" i="16"/>
  <c r="AP82" i="3"/>
  <c r="AP80" i="3"/>
  <c r="AN80" i="3" s="1"/>
  <c r="AP79" i="3"/>
  <c r="AP81" i="3"/>
  <c r="AN81" i="3" s="1"/>
  <c r="L11" i="3"/>
  <c r="AR17" i="1"/>
  <c r="AR14" i="1" s="1"/>
  <c r="AP14" i="1" s="1"/>
  <c r="L10" i="3"/>
  <c r="L12" i="3"/>
  <c r="AN82" i="3"/>
  <c r="J82" i="3"/>
  <c r="J139" i="3"/>
  <c r="AN139" i="3"/>
  <c r="J124" i="3"/>
  <c r="AN46" i="3"/>
  <c r="J46" i="3"/>
  <c r="J23" i="3"/>
  <c r="AN23" i="3"/>
  <c r="CB35" i="3"/>
  <c r="T35" i="3"/>
  <c r="AO35" i="3"/>
  <c r="Q35" i="3"/>
  <c r="O36" i="3"/>
  <c r="J37" i="3"/>
  <c r="J81" i="3"/>
  <c r="AN13" i="3"/>
  <c r="J13" i="3"/>
  <c r="S24" i="3"/>
  <c r="Q24" i="3"/>
  <c r="AO24" i="3"/>
  <c r="CB24" i="3"/>
  <c r="AP20" i="3"/>
  <c r="AO20" i="3" s="1"/>
  <c r="J20" i="3" s="1"/>
  <c r="J42" i="3"/>
  <c r="AN42" i="3"/>
  <c r="Q140" i="3"/>
  <c r="O141" i="3"/>
  <c r="AO140" i="3"/>
  <c r="AR11" i="1"/>
  <c r="AP15" i="1"/>
  <c r="AP28" i="3"/>
  <c r="AN28" i="3" s="1"/>
  <c r="AP31" i="3"/>
  <c r="AO27" i="3"/>
  <c r="AP29" i="3"/>
  <c r="AN29" i="3" s="1"/>
  <c r="AP32" i="3"/>
  <c r="AN32" i="3" s="1"/>
  <c r="AP30" i="3"/>
  <c r="AN30" i="3" s="1"/>
  <c r="E9" i="6"/>
  <c r="Q31" i="3"/>
  <c r="AO31" i="3"/>
  <c r="J28" i="3"/>
  <c r="AN78" i="3"/>
  <c r="J78" i="3"/>
  <c r="AB73" i="16" l="1"/>
  <c r="AC74" i="16"/>
  <c r="AT15" i="1"/>
  <c r="AT16" i="1" s="1"/>
  <c r="AC7" i="1" s="1"/>
  <c r="AS9" i="1"/>
  <c r="D139" i="3" s="1"/>
  <c r="AN140" i="3"/>
  <c r="J140" i="3"/>
  <c r="U24" i="3"/>
  <c r="L20" i="3"/>
  <c r="L13" i="3"/>
  <c r="L17" i="3"/>
  <c r="L15" i="3"/>
  <c r="L16" i="3"/>
  <c r="L23" i="3"/>
  <c r="L19" i="3"/>
  <c r="L21" i="3"/>
  <c r="L14" i="3"/>
  <c r="L22" i="3"/>
  <c r="L18" i="3"/>
  <c r="CB36" i="3"/>
  <c r="Q36" i="3"/>
  <c r="T36" i="3"/>
  <c r="D137" i="3"/>
  <c r="AO36" i="3"/>
  <c r="J35" i="3"/>
  <c r="J31" i="3"/>
  <c r="AN31" i="3"/>
  <c r="J27" i="3"/>
  <c r="AN27" i="3"/>
  <c r="CB141" i="3"/>
  <c r="Q141" i="3"/>
  <c r="U141" i="3" s="1"/>
  <c r="S141" i="3"/>
  <c r="AO141" i="3"/>
  <c r="AP137" i="3"/>
  <c r="AO137" i="3" s="1"/>
  <c r="AN24" i="3"/>
  <c r="J24" i="3"/>
  <c r="AP33" i="3"/>
  <c r="H4" i="6"/>
  <c r="AB74" i="16" l="1"/>
  <c r="AC75" i="16"/>
  <c r="D138" i="3"/>
  <c r="AS11" i="1"/>
  <c r="E60" i="3" s="1"/>
  <c r="AS10" i="1"/>
  <c r="H8" i="6" s="1"/>
  <c r="H9" i="6" s="1"/>
  <c r="N11" i="6"/>
  <c r="J141" i="3"/>
  <c r="AN141" i="3"/>
  <c r="L26" i="3"/>
  <c r="L24" i="3"/>
  <c r="L31" i="3"/>
  <c r="L30" i="3"/>
  <c r="L25" i="3"/>
  <c r="AP34" i="3"/>
  <c r="AN34" i="3" s="1"/>
  <c r="AP37" i="3"/>
  <c r="AN37" i="3" s="1"/>
  <c r="AO33" i="3"/>
  <c r="AP36" i="3"/>
  <c r="AN36" i="3" s="1"/>
  <c r="AP35" i="3"/>
  <c r="AN35" i="3" s="1"/>
  <c r="AP38" i="3"/>
  <c r="J137" i="3"/>
  <c r="AN137" i="3"/>
  <c r="J36" i="3"/>
  <c r="L29" i="3"/>
  <c r="L27" i="3"/>
  <c r="L32" i="3"/>
  <c r="L28" i="3"/>
  <c r="AB75" i="16" l="1"/>
  <c r="AC76" i="16"/>
  <c r="AC17" i="1"/>
  <c r="X99" i="1"/>
  <c r="AC16" i="1"/>
  <c r="D8" i="6"/>
  <c r="CC6" i="3"/>
  <c r="D59" i="3"/>
  <c r="AB44" i="1"/>
  <c r="AI10" i="1"/>
  <c r="W3" i="14"/>
  <c r="W4" i="14" s="1"/>
  <c r="O40" i="6"/>
  <c r="AB7" i="1"/>
  <c r="AB6" i="1" s="1"/>
  <c r="L3" i="1"/>
  <c r="Z5" i="1" s="1"/>
  <c r="Z31" i="1"/>
  <c r="AB31" i="1" s="1"/>
  <c r="N40" i="6"/>
  <c r="M9" i="6"/>
  <c r="M11" i="6" s="1"/>
  <c r="AB126" i="3" s="1"/>
  <c r="N12" i="6"/>
  <c r="V8" i="14"/>
  <c r="W8" i="14" s="1"/>
  <c r="J33" i="3"/>
  <c r="AN33" i="3"/>
  <c r="AB76" i="16" l="1"/>
  <c r="AC77" i="16"/>
  <c r="AB11" i="1"/>
  <c r="AB12" i="1"/>
  <c r="AQ129" i="3"/>
  <c r="O129" i="3"/>
  <c r="L37" i="3"/>
  <c r="L44" i="3"/>
  <c r="L41" i="3"/>
  <c r="L49" i="3"/>
  <c r="L33" i="3"/>
  <c r="L47" i="3"/>
  <c r="L34" i="3"/>
  <c r="L43" i="3"/>
  <c r="L36" i="3"/>
  <c r="L39" i="3"/>
  <c r="L48" i="3"/>
  <c r="L42" i="3"/>
  <c r="L40" i="3"/>
  <c r="L45" i="3"/>
  <c r="L35" i="3"/>
  <c r="L46" i="3"/>
  <c r="L38" i="3"/>
  <c r="AB77" i="16" l="1"/>
  <c r="AC78" i="16"/>
  <c r="F7" i="6"/>
  <c r="AD22" i="1"/>
  <c r="Q129" i="3"/>
  <c r="AO129" i="3"/>
  <c r="A4" i="6"/>
  <c r="P137" i="3"/>
  <c r="N54" i="3" s="1"/>
  <c r="CB129" i="3"/>
  <c r="O128" i="3"/>
  <c r="AQ127" i="3"/>
  <c r="O127" i="3" s="1"/>
  <c r="T129" i="3"/>
  <c r="W7" i="3"/>
  <c r="AB78" i="16" l="1"/>
  <c r="AC79" i="16"/>
  <c r="F8" i="6"/>
  <c r="O126" i="3"/>
  <c r="AO128" i="3"/>
  <c r="Q128" i="3"/>
  <c r="AA36" i="6"/>
  <c r="P41" i="6"/>
  <c r="P42" i="6" s="1"/>
  <c r="O59" i="3"/>
  <c r="O134" i="3"/>
  <c r="O133" i="3"/>
  <c r="J129" i="3"/>
  <c r="Q127" i="3"/>
  <c r="AO127" i="3"/>
  <c r="F6" i="6"/>
  <c r="AB79" i="16" l="1"/>
  <c r="AC80" i="16"/>
  <c r="R43" i="6"/>
  <c r="Q134" i="3"/>
  <c r="AO134" i="3"/>
  <c r="Q126" i="3"/>
  <c r="CB126" i="3"/>
  <c r="S126" i="3"/>
  <c r="AO126" i="3"/>
  <c r="E125" i="3"/>
  <c r="AP120" i="3"/>
  <c r="J127" i="3"/>
  <c r="R132" i="3"/>
  <c r="N135" i="3"/>
  <c r="N136" i="3"/>
  <c r="AO133" i="3"/>
  <c r="P3" i="14"/>
  <c r="Q133" i="3"/>
  <c r="Y36" i="6"/>
  <c r="R42" i="6"/>
  <c r="S43" i="6" s="1"/>
  <c r="Q59" i="3"/>
  <c r="AO59" i="3"/>
  <c r="O60" i="3"/>
  <c r="J128" i="3"/>
  <c r="Y37" i="6" l="1"/>
  <c r="AB80" i="16"/>
  <c r="AC81" i="16"/>
  <c r="O135" i="3"/>
  <c r="O136" i="3"/>
  <c r="AP127" i="3"/>
  <c r="AN127" i="3" s="1"/>
  <c r="AP123" i="3"/>
  <c r="AN123" i="3" s="1"/>
  <c r="AO120" i="3"/>
  <c r="AP125" i="3"/>
  <c r="AN125" i="3" s="1"/>
  <c r="AP130" i="3"/>
  <c r="AP124" i="3"/>
  <c r="AN124" i="3" s="1"/>
  <c r="AP122" i="3"/>
  <c r="AN122" i="3" s="1"/>
  <c r="AP126" i="3"/>
  <c r="AP128" i="3"/>
  <c r="AN128" i="3" s="1"/>
  <c r="AP121" i="3"/>
  <c r="AN121" i="3" s="1"/>
  <c r="AP131" i="3"/>
  <c r="AP129" i="3"/>
  <c r="AN129" i="3" s="1"/>
  <c r="AN126" i="3"/>
  <c r="J126" i="3"/>
  <c r="J134" i="3"/>
  <c r="AN134" i="3"/>
  <c r="Q60" i="3"/>
  <c r="S60" i="3"/>
  <c r="CB60" i="3"/>
  <c r="AO60" i="3"/>
  <c r="J59" i="3"/>
  <c r="AE135" i="3"/>
  <c r="AG127" i="3"/>
  <c r="AN133" i="3"/>
  <c r="J133" i="3"/>
  <c r="U126" i="3"/>
  <c r="H5" i="6"/>
  <c r="E8" i="6" s="1"/>
  <c r="C15" i="6" s="1"/>
  <c r="P15" i="6" s="1"/>
  <c r="G8" i="6"/>
  <c r="G7" i="6" s="1"/>
  <c r="CS6" i="3"/>
  <c r="AE136" i="3"/>
  <c r="AB81" i="16" l="1"/>
  <c r="AC82" i="16"/>
  <c r="U60" i="3"/>
  <c r="J120" i="3"/>
  <c r="AN120" i="3"/>
  <c r="Q135" i="3"/>
  <c r="P4" i="14"/>
  <c r="Q4" i="14" s="1"/>
  <c r="R4" i="14" s="1"/>
  <c r="AO135" i="3"/>
  <c r="N39" i="6"/>
  <c r="AP132" i="3"/>
  <c r="AO132" i="3" s="1"/>
  <c r="J132" i="3" s="1"/>
  <c r="AA133" i="3"/>
  <c r="A2" i="6"/>
  <c r="A5" i="6" s="1"/>
  <c r="O52" i="3"/>
  <c r="O51" i="3" s="1"/>
  <c r="AG128" i="3"/>
  <c r="AG129" i="3"/>
  <c r="AG130" i="3"/>
  <c r="J60" i="3"/>
  <c r="AN60" i="3"/>
  <c r="AO136" i="3"/>
  <c r="Q136" i="3"/>
  <c r="V1" i="14"/>
  <c r="U9" i="14" s="1"/>
  <c r="V9" i="14" s="1"/>
  <c r="AB82" i="16" l="1"/>
  <c r="AC83" i="16"/>
  <c r="S51" i="3"/>
  <c r="AP51" i="3"/>
  <c r="CB51" i="3"/>
  <c r="Q51" i="3"/>
  <c r="AO51" i="3"/>
  <c r="O92" i="3"/>
  <c r="O53" i="3"/>
  <c r="J136" i="3"/>
  <c r="AN136" i="3"/>
  <c r="AE134" i="3"/>
  <c r="M39" i="6"/>
  <c r="Q52" i="3"/>
  <c r="AO52" i="3"/>
  <c r="J135" i="3"/>
  <c r="AN135" i="3"/>
  <c r="AD134" i="3"/>
  <c r="AB83" i="16" l="1"/>
  <c r="AC84" i="16"/>
  <c r="AO53" i="3"/>
  <c r="Q53" i="3"/>
  <c r="AN50" i="3"/>
  <c r="J51" i="3"/>
  <c r="AP50" i="3"/>
  <c r="J52" i="3"/>
  <c r="S92" i="3"/>
  <c r="O96" i="3"/>
  <c r="AO92" i="3"/>
  <c r="CB92" i="3"/>
  <c r="Q92" i="3"/>
  <c r="O94" i="3"/>
  <c r="U51" i="3"/>
  <c r="AB84" i="16" l="1"/>
  <c r="AC85" i="16"/>
  <c r="S96" i="3"/>
  <c r="Q96" i="3"/>
  <c r="CB96" i="3"/>
  <c r="AO96" i="3"/>
  <c r="O100" i="3"/>
  <c r="AO50" i="3"/>
  <c r="J50" i="3" s="1"/>
  <c r="AP52" i="3"/>
  <c r="AN52" i="3" s="1"/>
  <c r="AP53" i="3"/>
  <c r="AN53" i="3" s="1"/>
  <c r="Q94" i="3"/>
  <c r="AO94" i="3"/>
  <c r="O93" i="3"/>
  <c r="AN92" i="3"/>
  <c r="J92" i="3"/>
  <c r="E4" i="6"/>
  <c r="J53" i="3"/>
  <c r="AB85" i="16" l="1"/>
  <c r="AC86" i="16"/>
  <c r="J94" i="3"/>
  <c r="AN94" i="3"/>
  <c r="L52" i="3"/>
  <c r="L54" i="3"/>
  <c r="L53" i="3"/>
  <c r="L50" i="3"/>
  <c r="L51" i="3"/>
  <c r="S100" i="3"/>
  <c r="Q100" i="3"/>
  <c r="U100" i="3" s="1"/>
  <c r="O104" i="3"/>
  <c r="CB100" i="3"/>
  <c r="AO100" i="3"/>
  <c r="U96" i="3"/>
  <c r="S93" i="3"/>
  <c r="O97" i="3"/>
  <c r="AO93" i="3"/>
  <c r="CB93" i="3"/>
  <c r="Q93" i="3"/>
  <c r="U93" i="3" s="1"/>
  <c r="AP91" i="3"/>
  <c r="AO91" i="3" s="1"/>
  <c r="AN96" i="3"/>
  <c r="J96" i="3"/>
  <c r="AB86" i="16" l="1"/>
  <c r="AC87" i="16"/>
  <c r="E7" i="6"/>
  <c r="J91" i="3"/>
  <c r="AN91" i="3"/>
  <c r="AN93" i="3"/>
  <c r="J93" i="3"/>
  <c r="J100" i="3"/>
  <c r="AN100" i="3"/>
  <c r="CB97" i="3"/>
  <c r="Q97" i="3"/>
  <c r="AO97" i="3"/>
  <c r="S97" i="3"/>
  <c r="O98" i="3"/>
  <c r="O101" i="3"/>
  <c r="S104" i="3"/>
  <c r="Q104" i="3"/>
  <c r="U104" i="3" s="1"/>
  <c r="CB104" i="3"/>
  <c r="AO104" i="3"/>
  <c r="AB87" i="16" l="1"/>
  <c r="AC88" i="16"/>
  <c r="Q98" i="3"/>
  <c r="AO98" i="3"/>
  <c r="J97" i="3"/>
  <c r="AN97" i="3"/>
  <c r="AN104" i="3"/>
  <c r="J104" i="3"/>
  <c r="AP95" i="3"/>
  <c r="AO95" i="3" s="1"/>
  <c r="AO101" i="3"/>
  <c r="CB101" i="3"/>
  <c r="Q101" i="3"/>
  <c r="U101" i="3" s="1"/>
  <c r="S101" i="3"/>
  <c r="O102" i="3"/>
  <c r="U97" i="3"/>
  <c r="AB88" i="16" l="1"/>
  <c r="AC89" i="16"/>
  <c r="AO102" i="3"/>
  <c r="Q102" i="3"/>
  <c r="O106" i="3"/>
  <c r="AP99" i="3"/>
  <c r="AO99" i="3" s="1"/>
  <c r="J101" i="3"/>
  <c r="AN101" i="3"/>
  <c r="J95" i="3"/>
  <c r="AN95" i="3"/>
  <c r="J98" i="3"/>
  <c r="AN98" i="3"/>
  <c r="AB89" i="16" l="1"/>
  <c r="AC90" i="16"/>
  <c r="AN99" i="3"/>
  <c r="J99" i="3"/>
  <c r="Q106" i="3"/>
  <c r="AO106" i="3"/>
  <c r="O105" i="3"/>
  <c r="AN102" i="3"/>
  <c r="J102" i="3"/>
  <c r="AB90" i="16" l="1"/>
  <c r="AC91" i="16"/>
  <c r="S105" i="3"/>
  <c r="AO105" i="3"/>
  <c r="Q105" i="3"/>
  <c r="CB105" i="3"/>
  <c r="O109" i="3"/>
  <c r="AP103" i="3"/>
  <c r="AO103" i="3" s="1"/>
  <c r="J106" i="3"/>
  <c r="AN106" i="3"/>
  <c r="AB91" i="16" l="1"/>
  <c r="AC92" i="16"/>
  <c r="Q109" i="3"/>
  <c r="U109" i="3" s="1"/>
  <c r="AO109" i="3"/>
  <c r="S109" i="3"/>
  <c r="CB109" i="3"/>
  <c r="O108" i="3"/>
  <c r="O110" i="3" s="1"/>
  <c r="U105" i="3"/>
  <c r="J103" i="3"/>
  <c r="AN103" i="3"/>
  <c r="AN105" i="3"/>
  <c r="J105" i="3"/>
  <c r="AB92" i="16" l="1"/>
  <c r="AC93" i="16"/>
  <c r="Q110" i="3"/>
  <c r="AO110" i="3"/>
  <c r="S108" i="3"/>
  <c r="Q108" i="3"/>
  <c r="CB108" i="3"/>
  <c r="AO108" i="3"/>
  <c r="AP107" i="3"/>
  <c r="AO107" i="3" s="1"/>
  <c r="O112" i="3"/>
  <c r="AN109" i="3"/>
  <c r="J109" i="3"/>
  <c r="AB93" i="16" l="1"/>
  <c r="AC94" i="16"/>
  <c r="S112" i="3"/>
  <c r="Q112" i="3"/>
  <c r="U112" i="3" s="1"/>
  <c r="CB112" i="3"/>
  <c r="AO112" i="3"/>
  <c r="O116" i="3"/>
  <c r="O113" i="3"/>
  <c r="J108" i="3"/>
  <c r="AN108" i="3"/>
  <c r="U108" i="3"/>
  <c r="AN107" i="3"/>
  <c r="J107" i="3"/>
  <c r="J110" i="3"/>
  <c r="AN110" i="3"/>
  <c r="AB94" i="16" l="1"/>
  <c r="AC95" i="16"/>
  <c r="S113" i="3"/>
  <c r="Q113" i="3"/>
  <c r="AO113" i="3"/>
  <c r="CB113" i="3"/>
  <c r="O117" i="3"/>
  <c r="O114" i="3"/>
  <c r="AP111" i="3" s="1"/>
  <c r="AO111" i="3" s="1"/>
  <c r="AO116" i="3"/>
  <c r="Q116" i="3"/>
  <c r="J112" i="3"/>
  <c r="AN112" i="3"/>
  <c r="AB95" i="16" l="1"/>
  <c r="AC96" i="16"/>
  <c r="J116" i="3"/>
  <c r="AN116" i="3"/>
  <c r="S117" i="3"/>
  <c r="CB117" i="3"/>
  <c r="AO117" i="3"/>
  <c r="Q117" i="3"/>
  <c r="U117" i="3" s="1"/>
  <c r="J113" i="3"/>
  <c r="AN113" i="3"/>
  <c r="AN111" i="3"/>
  <c r="J111" i="3"/>
  <c r="Q114" i="3"/>
  <c r="O118" i="3"/>
  <c r="AP115" i="3" s="1"/>
  <c r="AO115" i="3" s="1"/>
  <c r="AO114" i="3"/>
  <c r="U113" i="3"/>
  <c r="AB96" i="16" l="1"/>
  <c r="AC97" i="16"/>
  <c r="AN115" i="3"/>
  <c r="J115" i="3"/>
  <c r="Q118" i="3"/>
  <c r="AO118" i="3"/>
  <c r="AN114" i="3"/>
  <c r="J114" i="3"/>
  <c r="AN117" i="3"/>
  <c r="J117" i="3"/>
  <c r="AB97" i="16" l="1"/>
  <c r="AC98" i="16"/>
  <c r="AN118" i="3"/>
  <c r="J118" i="3"/>
  <c r="E3" i="6"/>
  <c r="AB98" i="16" l="1"/>
  <c r="AC99" i="16"/>
  <c r="A3" i="6"/>
  <c r="F3" i="6"/>
  <c r="AB99" i="16" l="1"/>
  <c r="AC100" i="16"/>
  <c r="H3" i="6"/>
  <c r="A9" i="6"/>
  <c r="D60" i="3" s="1"/>
  <c r="D55" i="3" s="1"/>
  <c r="AB100" i="16" l="1"/>
  <c r="AC101" i="16"/>
  <c r="O56" i="3"/>
  <c r="O57" i="3"/>
  <c r="O65" i="3"/>
  <c r="O58" i="3" l="1"/>
  <c r="AB101" i="16"/>
  <c r="AC102" i="16"/>
  <c r="T65" i="3"/>
  <c r="E58" i="3"/>
  <c r="O70" i="3"/>
  <c r="Q65" i="3"/>
  <c r="AO65" i="3"/>
  <c r="CB65" i="3"/>
  <c r="E56" i="3"/>
  <c r="AO57" i="3"/>
  <c r="Q57" i="3"/>
  <c r="CB57" i="3"/>
  <c r="T57" i="3"/>
  <c r="AF19" i="1"/>
  <c r="AD19" i="1" s="1"/>
  <c r="AQ62" i="3"/>
  <c r="O62" i="3" s="1"/>
  <c r="T56" i="3"/>
  <c r="Q56" i="3"/>
  <c r="CB56" i="3"/>
  <c r="E55" i="3"/>
  <c r="AO56" i="3"/>
  <c r="O68" i="3" l="1"/>
  <c r="Q68" i="3" s="1"/>
  <c r="AB102" i="16"/>
  <c r="AC103" i="16"/>
  <c r="CQ6" i="3"/>
  <c r="CR6" i="3" s="1"/>
  <c r="J57" i="3"/>
  <c r="CF55" i="3"/>
  <c r="Q62" i="3"/>
  <c r="AO62" i="3"/>
  <c r="J56" i="3"/>
  <c r="Y58" i="3"/>
  <c r="Q58" i="3"/>
  <c r="AO58" i="3"/>
  <c r="O61" i="3"/>
  <c r="J65" i="3"/>
  <c r="T70" i="3"/>
  <c r="AO70" i="3"/>
  <c r="CB70" i="3"/>
  <c r="Q70" i="3"/>
  <c r="AF21" i="1"/>
  <c r="AD21" i="1" s="1"/>
  <c r="O69" i="3" l="1"/>
  <c r="AO69" i="3" s="1"/>
  <c r="AO68" i="3"/>
  <c r="J68" i="3" s="1"/>
  <c r="AB103" i="16"/>
  <c r="AC104" i="16"/>
  <c r="J70" i="3"/>
  <c r="Q61" i="3"/>
  <c r="AO61" i="3"/>
  <c r="J58" i="3"/>
  <c r="J62" i="3"/>
  <c r="AP55" i="3"/>
  <c r="O64" i="3" l="1"/>
  <c r="CB64" i="3" s="1"/>
  <c r="CF63" i="3" s="1"/>
  <c r="Q69" i="3"/>
  <c r="O66" i="3"/>
  <c r="Q66" i="3" s="1"/>
  <c r="AB104" i="16"/>
  <c r="AC105" i="16"/>
  <c r="E5" i="6"/>
  <c r="J69" i="3"/>
  <c r="J61" i="3"/>
  <c r="AP62" i="3"/>
  <c r="AN62" i="3" s="1"/>
  <c r="AP59" i="3"/>
  <c r="AN59" i="3" s="1"/>
  <c r="AO55" i="3"/>
  <c r="AP58" i="3"/>
  <c r="AN58" i="3" s="1"/>
  <c r="AP61" i="3"/>
  <c r="AN61" i="3" s="1"/>
  <c r="AP57" i="3"/>
  <c r="AN57" i="3" s="1"/>
  <c r="AP60" i="3"/>
  <c r="AP56" i="3"/>
  <c r="AN56" i="3" s="1"/>
  <c r="E57" i="3"/>
  <c r="E59" i="3" s="1"/>
  <c r="E61" i="3" s="1"/>
  <c r="AF20" i="1" l="1"/>
  <c r="AD20" i="1" s="1"/>
  <c r="AD23" i="1" s="1"/>
  <c r="AO66" i="3"/>
  <c r="Q64" i="3"/>
  <c r="T64" i="3"/>
  <c r="L32" i="1" s="1"/>
  <c r="AO64" i="3"/>
  <c r="J64" i="3" s="1"/>
  <c r="AB105" i="16"/>
  <c r="AC106" i="16"/>
  <c r="AN55" i="3"/>
  <c r="J55" i="3"/>
  <c r="L61" i="3" s="1"/>
  <c r="J66" i="3"/>
  <c r="AA10" i="3" l="1"/>
  <c r="AB10" i="3" s="1"/>
  <c r="F11" i="6" s="1"/>
  <c r="AA12" i="3"/>
  <c r="Z12" i="3" s="1"/>
  <c r="D13" i="6" s="1"/>
  <c r="Q13" i="6" s="1"/>
  <c r="AA16" i="3"/>
  <c r="Z16" i="3" s="1"/>
  <c r="D17" i="6" s="1"/>
  <c r="Q17" i="6" s="1"/>
  <c r="T130" i="3"/>
  <c r="Y130" i="3" s="1"/>
  <c r="AA130" i="3" s="1"/>
  <c r="AB130" i="3" s="1"/>
  <c r="AA15" i="3"/>
  <c r="AC15" i="3" s="1"/>
  <c r="G20" i="6" s="1"/>
  <c r="AA13" i="3"/>
  <c r="AC13" i="3" s="1"/>
  <c r="G14" i="6" s="1"/>
  <c r="AA14" i="3"/>
  <c r="AC14" i="3" s="1"/>
  <c r="G15" i="6" s="1"/>
  <c r="AA11" i="3"/>
  <c r="AB11" i="3" s="1"/>
  <c r="F12" i="6" s="1"/>
  <c r="AB106" i="16"/>
  <c r="AC107" i="16"/>
  <c r="L55" i="3"/>
  <c r="L57" i="3"/>
  <c r="L56" i="3"/>
  <c r="L58" i="3"/>
  <c r="L60" i="3"/>
  <c r="L59" i="3"/>
  <c r="L62" i="3"/>
  <c r="E11" i="6" l="1"/>
  <c r="A11" i="6" s="1"/>
  <c r="AB12" i="3"/>
  <c r="F13" i="6" s="1"/>
  <c r="S13" i="6" s="1"/>
  <c r="T13" i="6" s="1"/>
  <c r="U13" i="6" s="1"/>
  <c r="E17" i="6"/>
  <c r="A17" i="6" s="1"/>
  <c r="E21" i="6"/>
  <c r="AB16" i="3"/>
  <c r="F17" i="6" s="1"/>
  <c r="Z10" i="3"/>
  <c r="D11" i="6" s="1"/>
  <c r="Q11" i="6" s="1"/>
  <c r="AC12" i="3"/>
  <c r="G13" i="6" s="1"/>
  <c r="H13" i="6" s="1"/>
  <c r="E13" i="6"/>
  <c r="A13" i="6" s="1"/>
  <c r="Z14" i="3"/>
  <c r="D15" i="6" s="1"/>
  <c r="Q15" i="6" s="1"/>
  <c r="AB14" i="3"/>
  <c r="F15" i="6" s="1"/>
  <c r="S15" i="6" s="1"/>
  <c r="T15" i="6" s="1"/>
  <c r="Q20" i="6" s="1"/>
  <c r="Z15" i="3"/>
  <c r="D16" i="6" s="1"/>
  <c r="F19" i="6" s="1"/>
  <c r="H6" i="3"/>
  <c r="Z13" i="3"/>
  <c r="D14" i="6" s="1"/>
  <c r="Q14" i="6" s="1"/>
  <c r="E14" i="6"/>
  <c r="R14" i="6" s="1"/>
  <c r="W26" i="6" s="1"/>
  <c r="AB13" i="3"/>
  <c r="F14" i="6" s="1"/>
  <c r="S14" i="6" s="1"/>
  <c r="AC11" i="3"/>
  <c r="G12" i="6" s="1"/>
  <c r="H12" i="6" s="1"/>
  <c r="Z11" i="3"/>
  <c r="D12" i="6" s="1"/>
  <c r="Q12" i="6" s="1"/>
  <c r="E12" i="6"/>
  <c r="R12" i="6" s="1"/>
  <c r="W24" i="6" s="1"/>
  <c r="E15" i="6"/>
  <c r="A15" i="6" s="1"/>
  <c r="AB15" i="3"/>
  <c r="F16" i="6" s="1"/>
  <c r="S16" i="6" s="1"/>
  <c r="T20" i="6" s="1"/>
  <c r="T16" i="6" s="1"/>
  <c r="T28" i="6" s="1"/>
  <c r="AC108" i="16"/>
  <c r="AB107" i="16"/>
  <c r="D20" i="6"/>
  <c r="H15" i="6"/>
  <c r="G16" i="6"/>
  <c r="G26" i="6" s="1"/>
  <c r="E16" i="6"/>
  <c r="E24" i="6"/>
  <c r="AC16" i="3"/>
  <c r="G17" i="6" s="1"/>
  <c r="R17" i="6"/>
  <c r="H14" i="6"/>
  <c r="F24" i="6"/>
  <c r="F20" i="6"/>
  <c r="W11" i="6" l="1"/>
  <c r="X11" i="6" s="1"/>
  <c r="R11" i="6" s="1"/>
  <c r="S11" i="6" s="1"/>
  <c r="AC10" i="3"/>
  <c r="G11" i="6" s="1"/>
  <c r="D28" i="6" s="1"/>
  <c r="T24" i="6"/>
  <c r="A12" i="6"/>
  <c r="R13" i="6"/>
  <c r="W25" i="6" s="1"/>
  <c r="Q16" i="6"/>
  <c r="G24" i="6"/>
  <c r="C24" i="6" s="1"/>
  <c r="B24" i="6" s="1"/>
  <c r="I24" i="6" s="1"/>
  <c r="F26" i="6"/>
  <c r="R15" i="6"/>
  <c r="W27" i="6" s="1"/>
  <c r="E26" i="6"/>
  <c r="T26" i="6"/>
  <c r="A14" i="6"/>
  <c r="U15" i="6"/>
  <c r="E20" i="6"/>
  <c r="D26" i="6"/>
  <c r="G23" i="6"/>
  <c r="C23" i="6" s="1"/>
  <c r="B23" i="6" s="1"/>
  <c r="I23" i="6" s="1"/>
  <c r="U16" i="6"/>
  <c r="E18" i="6"/>
  <c r="K17" i="6"/>
  <c r="L18" i="6" s="1"/>
  <c r="F18" i="6"/>
  <c r="I15" i="6" s="1"/>
  <c r="AC109" i="16"/>
  <c r="AB108" i="16"/>
  <c r="J24" i="6"/>
  <c r="J25" i="6" s="1"/>
  <c r="R20" i="6"/>
  <c r="T14" i="6"/>
  <c r="H11" i="6"/>
  <c r="W29" i="6"/>
  <c r="S17" i="6"/>
  <c r="T17" i="6" s="1"/>
  <c r="F29" i="6"/>
  <c r="E29" i="6"/>
  <c r="D29" i="6"/>
  <c r="H17" i="6"/>
  <c r="G29" i="6"/>
  <c r="G27" i="6"/>
  <c r="C27" i="6" s="1"/>
  <c r="B27" i="6" s="1"/>
  <c r="I27" i="6" s="1"/>
  <c r="H16" i="6"/>
  <c r="G28" i="6"/>
  <c r="R16" i="6"/>
  <c r="W28" i="6" s="1"/>
  <c r="A16" i="6"/>
  <c r="S12" i="6"/>
  <c r="T12" i="6" s="1"/>
  <c r="E28" i="6" l="1"/>
  <c r="W23" i="6"/>
  <c r="F28" i="6"/>
  <c r="C28" i="6" s="1"/>
  <c r="B28" i="6" s="1"/>
  <c r="I28" i="6" s="1"/>
  <c r="F25" i="6"/>
  <c r="G25" i="6"/>
  <c r="G18" i="6"/>
  <c r="C26" i="6"/>
  <c r="B26" i="6" s="1"/>
  <c r="I26" i="6" s="1"/>
  <c r="O72" i="3"/>
  <c r="Q72" i="3" s="1"/>
  <c r="U72" i="3" s="1"/>
  <c r="K18" i="6"/>
  <c r="Y126" i="3" s="1"/>
  <c r="Z126" i="3" s="1"/>
  <c r="P128" i="3" s="1"/>
  <c r="H34" i="6"/>
  <c r="AQ7" i="3"/>
  <c r="O71" i="3"/>
  <c r="O67" i="3" s="1"/>
  <c r="J15" i="6"/>
  <c r="K15" i="6" s="1"/>
  <c r="P33" i="1"/>
  <c r="AC110" i="16"/>
  <c r="AB109" i="16"/>
  <c r="S29" i="6"/>
  <c r="U17" i="6"/>
  <c r="R29" i="6"/>
  <c r="T29" i="6"/>
  <c r="Q29" i="6"/>
  <c r="T27" i="6"/>
  <c r="P27" i="6" s="1"/>
  <c r="O27" i="6" s="1"/>
  <c r="V27" i="6" s="1"/>
  <c r="S20" i="6"/>
  <c r="S26" i="6"/>
  <c r="U14" i="6"/>
  <c r="S24" i="6"/>
  <c r="R24" i="6"/>
  <c r="S18" i="6"/>
  <c r="T11" i="6"/>
  <c r="U12" i="6"/>
  <c r="Q26" i="6"/>
  <c r="R26" i="6"/>
  <c r="T23" i="6"/>
  <c r="P23" i="6" s="1"/>
  <c r="O23" i="6" s="1"/>
  <c r="V23" i="6" s="1"/>
  <c r="R18" i="6"/>
  <c r="C29" i="6"/>
  <c r="B29" i="6" s="1"/>
  <c r="I29" i="6" s="1"/>
  <c r="CB72" i="3" l="1"/>
  <c r="P81" i="3"/>
  <c r="C25" i="6"/>
  <c r="B25" i="6" s="1"/>
  <c r="I25" i="6" s="1"/>
  <c r="H30" i="6" s="1"/>
  <c r="P140" i="3"/>
  <c r="K21" i="6"/>
  <c r="J21" i="6" s="1"/>
  <c r="I21" i="6" s="1"/>
  <c r="I22" i="6" s="1"/>
  <c r="Y13" i="1"/>
  <c r="S72" i="3"/>
  <c r="AO72" i="3"/>
  <c r="AN72" i="3" s="1"/>
  <c r="AO71" i="3"/>
  <c r="J71" i="3" s="1"/>
  <c r="Q71" i="3"/>
  <c r="Y15" i="1"/>
  <c r="AC111" i="16"/>
  <c r="AB110" i="16"/>
  <c r="S81" i="3"/>
  <c r="CB81" i="3"/>
  <c r="S140" i="3"/>
  <c r="CB140" i="3"/>
  <c r="S128" i="3"/>
  <c r="I1" i="6"/>
  <c r="J1" i="6" s="1"/>
  <c r="CB128" i="3"/>
  <c r="N130" i="3"/>
  <c r="H35" i="6"/>
  <c r="H33" i="6" s="1"/>
  <c r="P43" i="6" s="1"/>
  <c r="P29" i="6"/>
  <c r="O29" i="6" s="1"/>
  <c r="V29" i="6" s="1"/>
  <c r="AO67" i="3"/>
  <c r="Q67" i="3"/>
  <c r="AP63" i="3"/>
  <c r="P26" i="6"/>
  <c r="O26" i="6" s="1"/>
  <c r="V26" i="6" s="1"/>
  <c r="S25" i="6"/>
  <c r="U11" i="6"/>
  <c r="T18" i="6"/>
  <c r="T25" i="6"/>
  <c r="S28" i="6"/>
  <c r="R28" i="6"/>
  <c r="P24" i="6"/>
  <c r="O24" i="6" s="1"/>
  <c r="V24" i="6" s="1"/>
  <c r="Q28" i="6"/>
  <c r="J30" i="6" l="1"/>
  <c r="I30" i="6" s="1"/>
  <c r="K25" i="6" s="1"/>
  <c r="J72" i="3"/>
  <c r="Y32" i="6"/>
  <c r="AC112" i="16"/>
  <c r="AB111" i="16"/>
  <c r="Y33" i="6"/>
  <c r="Y35" i="6" s="1"/>
  <c r="P58" i="3"/>
  <c r="S58" i="3" s="1"/>
  <c r="AQ49" i="3"/>
  <c r="P66" i="3"/>
  <c r="P28" i="6"/>
  <c r="O28" i="6" s="1"/>
  <c r="V28" i="6" s="1"/>
  <c r="J67" i="3"/>
  <c r="P25" i="6"/>
  <c r="O25" i="6" s="1"/>
  <c r="V25" i="6" s="1"/>
  <c r="AP66" i="3"/>
  <c r="AN66" i="3" s="1"/>
  <c r="AP70" i="3"/>
  <c r="AN70" i="3" s="1"/>
  <c r="AP64" i="3"/>
  <c r="AN64" i="3" s="1"/>
  <c r="AP69" i="3"/>
  <c r="AN69" i="3" s="1"/>
  <c r="AP65" i="3"/>
  <c r="AN65" i="3" s="1"/>
  <c r="AP72" i="3"/>
  <c r="AO63" i="3"/>
  <c r="AP68" i="3"/>
  <c r="AN68" i="3" s="1"/>
  <c r="AP67" i="3"/>
  <c r="AN67" i="3" s="1"/>
  <c r="AP71" i="3"/>
  <c r="AN71" i="3" s="1"/>
  <c r="E6" i="6"/>
  <c r="E2" i="6" s="1"/>
  <c r="K24" i="6" l="1"/>
  <c r="K23" i="6"/>
  <c r="K26" i="6"/>
  <c r="K27" i="6"/>
  <c r="Q39" i="6"/>
  <c r="I40" i="6"/>
  <c r="K29" i="6"/>
  <c r="Y43" i="3"/>
  <c r="K28" i="6"/>
  <c r="CB66" i="3"/>
  <c r="S66" i="3"/>
  <c r="CB58" i="3"/>
  <c r="AC113" i="16"/>
  <c r="AB112" i="16"/>
  <c r="U30" i="6"/>
  <c r="L37" i="6"/>
  <c r="L6" i="6"/>
  <c r="O36" i="6"/>
  <c r="P36" i="6" s="1"/>
  <c r="L42" i="6"/>
  <c r="L43" i="6" s="1"/>
  <c r="M4" i="6"/>
  <c r="F2" i="6"/>
  <c r="G2" i="6"/>
  <c r="Q37" i="6"/>
  <c r="S35" i="6" s="1"/>
  <c r="H1" i="6"/>
  <c r="J6" i="6"/>
  <c r="M17" i="6"/>
  <c r="AN63" i="3"/>
  <c r="J63" i="3"/>
  <c r="L67" i="3" s="1"/>
  <c r="W30" i="6"/>
  <c r="V30" i="6" s="1"/>
  <c r="H40" i="6" l="1"/>
  <c r="G40" i="6" s="1"/>
  <c r="K30" i="6"/>
  <c r="K32" i="6" s="1"/>
  <c r="AC114" i="16"/>
  <c r="AB113" i="16"/>
  <c r="X27" i="6"/>
  <c r="X25" i="6"/>
  <c r="X24" i="6"/>
  <c r="X26" i="6"/>
  <c r="P39" i="6"/>
  <c r="X28" i="6"/>
  <c r="X29" i="6"/>
  <c r="X23" i="6"/>
  <c r="AA34" i="6"/>
  <c r="AA35" i="6" s="1"/>
  <c r="L63" i="3"/>
  <c r="L69" i="3"/>
  <c r="L96" i="3"/>
  <c r="L92" i="3"/>
  <c r="L94" i="3"/>
  <c r="L104" i="3"/>
  <c r="L95" i="3"/>
  <c r="L101" i="3"/>
  <c r="L99" i="3"/>
  <c r="L103" i="3"/>
  <c r="L109" i="3"/>
  <c r="L110" i="3"/>
  <c r="L112" i="3"/>
  <c r="L116" i="3"/>
  <c r="L117" i="3"/>
  <c r="L114" i="3"/>
  <c r="L122" i="3"/>
  <c r="L119" i="3"/>
  <c r="L126" i="3"/>
  <c r="L118" i="3"/>
  <c r="L125" i="3"/>
  <c r="L121" i="3"/>
  <c r="L66" i="3"/>
  <c r="L93" i="3"/>
  <c r="L100" i="3"/>
  <c r="L91" i="3"/>
  <c r="L97" i="3"/>
  <c r="L98" i="3"/>
  <c r="L102" i="3"/>
  <c r="L106" i="3"/>
  <c r="L105" i="3"/>
  <c r="L107" i="3"/>
  <c r="L108" i="3"/>
  <c r="L111" i="3"/>
  <c r="L113" i="3"/>
  <c r="L115" i="3"/>
  <c r="L127" i="3"/>
  <c r="L120" i="3"/>
  <c r="L129" i="3"/>
  <c r="L124" i="3"/>
  <c r="L128" i="3"/>
  <c r="L123" i="3"/>
  <c r="L65" i="3"/>
  <c r="L70" i="3"/>
  <c r="L64" i="3"/>
  <c r="L73" i="3"/>
  <c r="L76" i="3"/>
  <c r="L88" i="3"/>
  <c r="L79" i="3"/>
  <c r="L75" i="3"/>
  <c r="L85" i="3"/>
  <c r="L84" i="3"/>
  <c r="L77" i="3"/>
  <c r="L74" i="3"/>
  <c r="L80" i="3"/>
  <c r="L71" i="3"/>
  <c r="L82" i="3"/>
  <c r="L89" i="3"/>
  <c r="L78" i="3"/>
  <c r="L87" i="3"/>
  <c r="L81" i="3"/>
  <c r="L90" i="3"/>
  <c r="L86" i="3"/>
  <c r="L72" i="3"/>
  <c r="L83" i="3"/>
  <c r="I3" i="6"/>
  <c r="L68" i="3"/>
  <c r="I14" i="6"/>
  <c r="Y23" i="1" l="1"/>
  <c r="C20" i="6"/>
  <c r="L32" i="6"/>
  <c r="M32" i="6" s="1"/>
  <c r="N34" i="6" s="1"/>
  <c r="J11" i="6"/>
  <c r="K12" i="6" s="1"/>
  <c r="J10" i="6" s="1"/>
  <c r="J12" i="6" s="1"/>
  <c r="J14" i="6" s="1"/>
  <c r="E6" i="1" s="1"/>
  <c r="O35" i="6"/>
  <c r="K35" i="6"/>
  <c r="X38" i="3" s="1"/>
  <c r="AC115" i="16"/>
  <c r="AB114" i="16"/>
  <c r="X34" i="6"/>
  <c r="A33" i="6"/>
  <c r="J3" i="6"/>
  <c r="K33" i="6" l="1"/>
  <c r="M33" i="6" s="1"/>
  <c r="I41" i="6" s="1"/>
  <c r="X87" i="3"/>
  <c r="X33" i="3"/>
  <c r="X73" i="3"/>
  <c r="X19" i="3"/>
  <c r="K41" i="6"/>
  <c r="H41" i="6" s="1"/>
  <c r="H106" i="6" s="1"/>
  <c r="X26" i="3"/>
  <c r="X129" i="3"/>
  <c r="X90" i="3"/>
  <c r="X63" i="3"/>
  <c r="AC116" i="16"/>
  <c r="AB115" i="16"/>
  <c r="AU2" i="3"/>
  <c r="K13" i="6"/>
  <c r="Z23" i="6" s="1"/>
  <c r="Y25" i="6"/>
  <c r="Y24" i="6" s="1"/>
  <c r="O4" i="14"/>
  <c r="AC32" i="6"/>
  <c r="L29" i="1"/>
  <c r="Z3" i="1" s="1"/>
  <c r="X30" i="6"/>
  <c r="G27" i="1"/>
  <c r="AC3" i="1"/>
  <c r="AD3" i="1" s="1"/>
  <c r="R64" i="1"/>
  <c r="E41" i="1" s="1"/>
  <c r="T4" i="14"/>
  <c r="V32" i="6"/>
  <c r="L4" i="6"/>
  <c r="K3" i="6"/>
  <c r="J2" i="6"/>
  <c r="P38" i="6"/>
  <c r="N33" i="6" s="1"/>
  <c r="N36" i="6" s="1"/>
  <c r="R41" i="6" s="1"/>
  <c r="K1" i="6"/>
  <c r="L1" i="6" s="1"/>
  <c r="M37" i="6" s="1"/>
  <c r="M40" i="6" s="1"/>
  <c r="M38" i="6" s="1"/>
  <c r="J7" i="6"/>
  <c r="I2" i="6"/>
  <c r="H100" i="6" l="1"/>
  <c r="H58" i="6"/>
  <c r="H60" i="6"/>
  <c r="H43" i="6"/>
  <c r="H95" i="6"/>
  <c r="H75" i="6"/>
  <c r="H67" i="6"/>
  <c r="H118" i="6"/>
  <c r="H155" i="6"/>
  <c r="H62" i="6"/>
  <c r="H158" i="6"/>
  <c r="H50" i="6"/>
  <c r="H91" i="6"/>
  <c r="H136" i="6"/>
  <c r="H54" i="6"/>
  <c r="H64" i="6"/>
  <c r="H85" i="6"/>
  <c r="H69" i="6"/>
  <c r="H63" i="6"/>
  <c r="H142" i="6"/>
  <c r="H103" i="6"/>
  <c r="H157" i="6"/>
  <c r="J41" i="6"/>
  <c r="J134" i="6" s="1"/>
  <c r="H79" i="6"/>
  <c r="H145" i="6"/>
  <c r="H74" i="6"/>
  <c r="H44" i="6"/>
  <c r="H148" i="6"/>
  <c r="H143" i="6"/>
  <c r="H159" i="6"/>
  <c r="H133" i="6"/>
  <c r="H151" i="6"/>
  <c r="H61" i="6"/>
  <c r="H124" i="6"/>
  <c r="H152" i="6"/>
  <c r="H49" i="6"/>
  <c r="H140" i="6"/>
  <c r="H125" i="6"/>
  <c r="H77" i="6"/>
  <c r="H114" i="6"/>
  <c r="H120" i="6"/>
  <c r="H110" i="6"/>
  <c r="H45" i="6"/>
  <c r="H141" i="6"/>
  <c r="H72" i="6"/>
  <c r="H46" i="6"/>
  <c r="H128" i="6"/>
  <c r="H104" i="6"/>
  <c r="H130" i="6"/>
  <c r="H80" i="6"/>
  <c r="H53" i="6"/>
  <c r="H126" i="6"/>
  <c r="H87" i="6"/>
  <c r="H51" i="6"/>
  <c r="H116" i="6"/>
  <c r="H97" i="6"/>
  <c r="H94" i="6"/>
  <c r="H99" i="6"/>
  <c r="H70" i="6"/>
  <c r="H81" i="6"/>
  <c r="H88" i="6"/>
  <c r="H98" i="6"/>
  <c r="H129" i="6"/>
  <c r="H42" i="6"/>
  <c r="H66" i="6"/>
  <c r="H68" i="6"/>
  <c r="H71" i="6"/>
  <c r="H89" i="6"/>
  <c r="H56" i="6"/>
  <c r="H149" i="6"/>
  <c r="H115" i="6"/>
  <c r="H134" i="6"/>
  <c r="H153" i="6"/>
  <c r="H84" i="6"/>
  <c r="H109" i="6"/>
  <c r="H82" i="6"/>
  <c r="H108" i="6"/>
  <c r="H160" i="6"/>
  <c r="H161" i="6" s="1"/>
  <c r="H162" i="6" s="1"/>
  <c r="H163" i="6" s="1"/>
  <c r="H164" i="6" s="1"/>
  <c r="H165" i="6" s="1"/>
  <c r="H166" i="6" s="1"/>
  <c r="H167" i="6" s="1"/>
  <c r="H168" i="6" s="1"/>
  <c r="H169" i="6" s="1"/>
  <c r="H170" i="6" s="1"/>
  <c r="H171" i="6" s="1"/>
  <c r="H172" i="6" s="1"/>
  <c r="H173" i="6" s="1"/>
  <c r="H174" i="6" s="1"/>
  <c r="H175" i="6" s="1"/>
  <c r="H176" i="6" s="1"/>
  <c r="H177" i="6" s="1"/>
  <c r="H178" i="6" s="1"/>
  <c r="H179" i="6" s="1"/>
  <c r="H180" i="6" s="1"/>
  <c r="H181" i="6" s="1"/>
  <c r="H182" i="6" s="1"/>
  <c r="H183" i="6" s="1"/>
  <c r="H184" i="6" s="1"/>
  <c r="H185" i="6" s="1"/>
  <c r="H186" i="6" s="1"/>
  <c r="H187" i="6" s="1"/>
  <c r="H188" i="6" s="1"/>
  <c r="H189" i="6" s="1"/>
  <c r="H190" i="6" s="1"/>
  <c r="H191" i="6" s="1"/>
  <c r="H192" i="6" s="1"/>
  <c r="H193" i="6" s="1"/>
  <c r="H194" i="6" s="1"/>
  <c r="H195" i="6" s="1"/>
  <c r="H196" i="6" s="1"/>
  <c r="H197" i="6" s="1"/>
  <c r="H198" i="6" s="1"/>
  <c r="H199" i="6" s="1"/>
  <c r="H200" i="6" s="1"/>
  <c r="H201" i="6" s="1"/>
  <c r="H202" i="6" s="1"/>
  <c r="H203" i="6" s="1"/>
  <c r="H204" i="6" s="1"/>
  <c r="H205" i="6" s="1"/>
  <c r="H206" i="6" s="1"/>
  <c r="H207" i="6" s="1"/>
  <c r="H208" i="6" s="1"/>
  <c r="H209" i="6" s="1"/>
  <c r="H210" i="6" s="1"/>
  <c r="H211" i="6" s="1"/>
  <c r="H212" i="6" s="1"/>
  <c r="H213" i="6" s="1"/>
  <c r="H214" i="6" s="1"/>
  <c r="H215" i="6" s="1"/>
  <c r="H216" i="6" s="1"/>
  <c r="H217" i="6" s="1"/>
  <c r="H218" i="6" s="1"/>
  <c r="H219" i="6" s="1"/>
  <c r="H220" i="6" s="1"/>
  <c r="H221" i="6" s="1"/>
  <c r="H222" i="6" s="1"/>
  <c r="H223" i="6" s="1"/>
  <c r="H224" i="6" s="1"/>
  <c r="H225" i="6" s="1"/>
  <c r="H226" i="6" s="1"/>
  <c r="H227" i="6" s="1"/>
  <c r="H228" i="6" s="1"/>
  <c r="H229" i="6" s="1"/>
  <c r="H230" i="6" s="1"/>
  <c r="H231" i="6" s="1"/>
  <c r="H232" i="6" s="1"/>
  <c r="H233" i="6" s="1"/>
  <c r="H234" i="6" s="1"/>
  <c r="H235" i="6" s="1"/>
  <c r="H236" i="6" s="1"/>
  <c r="H237" i="6" s="1"/>
  <c r="H238" i="6" s="1"/>
  <c r="H239" i="6" s="1"/>
  <c r="H240" i="6" s="1"/>
  <c r="H241" i="6" s="1"/>
  <c r="H242" i="6" s="1"/>
  <c r="H243" i="6" s="1"/>
  <c r="H244" i="6" s="1"/>
  <c r="H245" i="6" s="1"/>
  <c r="H246" i="6" s="1"/>
  <c r="H247" i="6" s="1"/>
  <c r="H248" i="6" s="1"/>
  <c r="H249" i="6" s="1"/>
  <c r="H250" i="6" s="1"/>
  <c r="H251" i="6" s="1"/>
  <c r="H252" i="6" s="1"/>
  <c r="H253" i="6" s="1"/>
  <c r="H254" i="6" s="1"/>
  <c r="H255" i="6" s="1"/>
  <c r="H256" i="6" s="1"/>
  <c r="H257" i="6" s="1"/>
  <c r="H258" i="6" s="1"/>
  <c r="H259" i="6" s="1"/>
  <c r="H260" i="6" s="1"/>
  <c r="H261" i="6" s="1"/>
  <c r="H262" i="6" s="1"/>
  <c r="H263" i="6" s="1"/>
  <c r="H264" i="6" s="1"/>
  <c r="H265" i="6" s="1"/>
  <c r="H266" i="6" s="1"/>
  <c r="H267" i="6" s="1"/>
  <c r="H268" i="6" s="1"/>
  <c r="H269" i="6" s="1"/>
  <c r="H270" i="6" s="1"/>
  <c r="H271" i="6" s="1"/>
  <c r="H272" i="6" s="1"/>
  <c r="H273" i="6" s="1"/>
  <c r="H274" i="6" s="1"/>
  <c r="H275" i="6" s="1"/>
  <c r="H276" i="6" s="1"/>
  <c r="H277" i="6" s="1"/>
  <c r="H278" i="6" s="1"/>
  <c r="H279" i="6" s="1"/>
  <c r="H83" i="6"/>
  <c r="H48" i="6"/>
  <c r="H147" i="6"/>
  <c r="H93" i="6"/>
  <c r="H92" i="6"/>
  <c r="H146" i="6"/>
  <c r="H122" i="6"/>
  <c r="H57" i="6"/>
  <c r="H65" i="6"/>
  <c r="H76" i="6"/>
  <c r="H59" i="6"/>
  <c r="H113" i="6"/>
  <c r="H137" i="6"/>
  <c r="H52" i="6"/>
  <c r="H131" i="6"/>
  <c r="H127" i="6"/>
  <c r="H138" i="6"/>
  <c r="N35" i="6"/>
  <c r="H139" i="6"/>
  <c r="H123" i="6"/>
  <c r="H112" i="6"/>
  <c r="H78" i="6"/>
  <c r="H156" i="6"/>
  <c r="H86" i="6"/>
  <c r="H101" i="6"/>
  <c r="H150" i="6"/>
  <c r="H73" i="6"/>
  <c r="H135" i="6"/>
  <c r="H132" i="6"/>
  <c r="H55" i="6"/>
  <c r="H47" i="6"/>
  <c r="H119" i="6"/>
  <c r="H121" i="6"/>
  <c r="H105" i="6"/>
  <c r="H154" i="6"/>
  <c r="H90" i="6"/>
  <c r="H102" i="6"/>
  <c r="H111" i="6"/>
  <c r="H117" i="6"/>
  <c r="H144" i="6"/>
  <c r="H96" i="6"/>
  <c r="H107" i="6"/>
  <c r="G24" i="16"/>
  <c r="I7" i="16"/>
  <c r="Z24" i="6"/>
  <c r="P20" i="6"/>
  <c r="AC117" i="16"/>
  <c r="AB116" i="16"/>
  <c r="K47" i="6"/>
  <c r="O38" i="6"/>
  <c r="O39" i="6" s="1"/>
  <c r="J114" i="6"/>
  <c r="J151" i="6"/>
  <c r="P37" i="6"/>
  <c r="M29" i="6"/>
  <c r="X32" i="6"/>
  <c r="M28" i="6"/>
  <c r="O37" i="6"/>
  <c r="I33" i="6" s="1"/>
  <c r="I31" i="6" s="1"/>
  <c r="K4" i="6"/>
  <c r="K7" i="6" s="1"/>
  <c r="U3" i="14"/>
  <c r="L38" i="6"/>
  <c r="K38" i="6" s="1"/>
  <c r="N38" i="6"/>
  <c r="J4" i="6"/>
  <c r="C34" i="6"/>
  <c r="C33" i="6" s="1"/>
  <c r="D34" i="6"/>
  <c r="J62" i="6" l="1"/>
  <c r="J54" i="6"/>
  <c r="J149" i="6"/>
  <c r="J53" i="6"/>
  <c r="J43" i="6"/>
  <c r="J44" i="6"/>
  <c r="J133" i="6"/>
  <c r="J160" i="6"/>
  <c r="J161" i="6" s="1"/>
  <c r="J162" i="6" s="1"/>
  <c r="J163" i="6" s="1"/>
  <c r="J164" i="6" s="1"/>
  <c r="J165" i="6" s="1"/>
  <c r="J166" i="6" s="1"/>
  <c r="J167" i="6" s="1"/>
  <c r="J168" i="6" s="1"/>
  <c r="J169" i="6" s="1"/>
  <c r="J170" i="6" s="1"/>
  <c r="J171" i="6" s="1"/>
  <c r="J172" i="6" s="1"/>
  <c r="J173" i="6" s="1"/>
  <c r="J174" i="6" s="1"/>
  <c r="J175" i="6" s="1"/>
  <c r="J176" i="6" s="1"/>
  <c r="J177" i="6" s="1"/>
  <c r="J178" i="6" s="1"/>
  <c r="J179" i="6" s="1"/>
  <c r="J180" i="6" s="1"/>
  <c r="J181" i="6" s="1"/>
  <c r="J182" i="6" s="1"/>
  <c r="J183" i="6" s="1"/>
  <c r="J184" i="6" s="1"/>
  <c r="J185" i="6" s="1"/>
  <c r="J186" i="6" s="1"/>
  <c r="J187" i="6" s="1"/>
  <c r="J188" i="6" s="1"/>
  <c r="J189" i="6" s="1"/>
  <c r="J190" i="6" s="1"/>
  <c r="J191" i="6" s="1"/>
  <c r="J192" i="6" s="1"/>
  <c r="J193" i="6" s="1"/>
  <c r="J194" i="6" s="1"/>
  <c r="J195" i="6" s="1"/>
  <c r="J196" i="6" s="1"/>
  <c r="J197" i="6" s="1"/>
  <c r="J198" i="6" s="1"/>
  <c r="J199" i="6" s="1"/>
  <c r="J200" i="6" s="1"/>
  <c r="J201" i="6" s="1"/>
  <c r="J202" i="6" s="1"/>
  <c r="J203" i="6" s="1"/>
  <c r="J204" i="6" s="1"/>
  <c r="J205" i="6" s="1"/>
  <c r="J206" i="6" s="1"/>
  <c r="J207" i="6" s="1"/>
  <c r="J208" i="6" s="1"/>
  <c r="J209" i="6" s="1"/>
  <c r="J210" i="6" s="1"/>
  <c r="J211" i="6" s="1"/>
  <c r="J212" i="6" s="1"/>
  <c r="J213" i="6" s="1"/>
  <c r="J214" i="6" s="1"/>
  <c r="J215" i="6" s="1"/>
  <c r="J216" i="6" s="1"/>
  <c r="J217" i="6" s="1"/>
  <c r="J218" i="6" s="1"/>
  <c r="J219" i="6" s="1"/>
  <c r="J220" i="6" s="1"/>
  <c r="J221" i="6" s="1"/>
  <c r="J222" i="6" s="1"/>
  <c r="J223" i="6" s="1"/>
  <c r="J224" i="6" s="1"/>
  <c r="J225" i="6" s="1"/>
  <c r="J226" i="6" s="1"/>
  <c r="J227" i="6" s="1"/>
  <c r="J228" i="6" s="1"/>
  <c r="J229" i="6" s="1"/>
  <c r="J230" i="6" s="1"/>
  <c r="J231" i="6" s="1"/>
  <c r="J232" i="6" s="1"/>
  <c r="J233" i="6" s="1"/>
  <c r="J234" i="6" s="1"/>
  <c r="J235" i="6" s="1"/>
  <c r="J236" i="6" s="1"/>
  <c r="J237" i="6" s="1"/>
  <c r="J238" i="6" s="1"/>
  <c r="J239" i="6" s="1"/>
  <c r="J240" i="6" s="1"/>
  <c r="J241" i="6" s="1"/>
  <c r="J242" i="6" s="1"/>
  <c r="J243" i="6" s="1"/>
  <c r="J244" i="6" s="1"/>
  <c r="J245" i="6" s="1"/>
  <c r="J246" i="6" s="1"/>
  <c r="J247" i="6" s="1"/>
  <c r="J248" i="6" s="1"/>
  <c r="J249" i="6" s="1"/>
  <c r="J250" i="6" s="1"/>
  <c r="J251" i="6" s="1"/>
  <c r="J252" i="6" s="1"/>
  <c r="J253" i="6" s="1"/>
  <c r="J254" i="6" s="1"/>
  <c r="J255" i="6" s="1"/>
  <c r="J256" i="6" s="1"/>
  <c r="J257" i="6" s="1"/>
  <c r="J258" i="6" s="1"/>
  <c r="J259" i="6" s="1"/>
  <c r="J260" i="6" s="1"/>
  <c r="J261" i="6" s="1"/>
  <c r="J262" i="6" s="1"/>
  <c r="J263" i="6" s="1"/>
  <c r="J264" i="6" s="1"/>
  <c r="J265" i="6" s="1"/>
  <c r="J266" i="6" s="1"/>
  <c r="J267" i="6" s="1"/>
  <c r="J268" i="6" s="1"/>
  <c r="J269" i="6" s="1"/>
  <c r="J270" i="6" s="1"/>
  <c r="J271" i="6" s="1"/>
  <c r="J272" i="6" s="1"/>
  <c r="J273" i="6" s="1"/>
  <c r="J274" i="6" s="1"/>
  <c r="J275" i="6" s="1"/>
  <c r="J276" i="6" s="1"/>
  <c r="J277" i="6" s="1"/>
  <c r="J278" i="6" s="1"/>
  <c r="J279" i="6" s="1"/>
  <c r="J79" i="6"/>
  <c r="J132" i="6"/>
  <c r="J48" i="6"/>
  <c r="J144" i="6"/>
  <c r="J73" i="6"/>
  <c r="J78" i="6"/>
  <c r="J57" i="6"/>
  <c r="J72" i="6"/>
  <c r="J142" i="6"/>
  <c r="J80" i="6"/>
  <c r="J68" i="6"/>
  <c r="J86" i="6"/>
  <c r="J155" i="6"/>
  <c r="J61" i="6"/>
  <c r="J50" i="6"/>
  <c r="J119" i="6"/>
  <c r="G41" i="6"/>
  <c r="W10" i="3" s="1"/>
  <c r="J138" i="6"/>
  <c r="J101" i="6"/>
  <c r="J148" i="6"/>
  <c r="J75" i="6"/>
  <c r="J65" i="6"/>
  <c r="J120" i="6"/>
  <c r="J130" i="6"/>
  <c r="J153" i="6"/>
  <c r="J140" i="6"/>
  <c r="J45" i="6"/>
  <c r="J152" i="6"/>
  <c r="J105" i="6"/>
  <c r="J106" i="6"/>
  <c r="J113" i="6"/>
  <c r="J94" i="6"/>
  <c r="J93" i="6"/>
  <c r="J92" i="6"/>
  <c r="J100" i="6"/>
  <c r="J60" i="6"/>
  <c r="J109" i="6"/>
  <c r="J77" i="6"/>
  <c r="J55" i="6"/>
  <c r="J121" i="6"/>
  <c r="J103" i="6"/>
  <c r="J97" i="6"/>
  <c r="J146" i="6"/>
  <c r="J141" i="6"/>
  <c r="J125" i="6"/>
  <c r="J118" i="6"/>
  <c r="J42" i="6"/>
  <c r="J49" i="6"/>
  <c r="J110" i="6"/>
  <c r="J145" i="6"/>
  <c r="J84" i="6"/>
  <c r="J83" i="6"/>
  <c r="J150" i="6"/>
  <c r="J76" i="6"/>
  <c r="J111" i="6"/>
  <c r="J56" i="6"/>
  <c r="J122" i="6"/>
  <c r="J116" i="6"/>
  <c r="J156" i="6"/>
  <c r="J88" i="6"/>
  <c r="J66" i="6"/>
  <c r="J89" i="6"/>
  <c r="J64" i="6"/>
  <c r="J69" i="6"/>
  <c r="J128" i="6"/>
  <c r="J139" i="6"/>
  <c r="J52" i="6"/>
  <c r="J107" i="6"/>
  <c r="J131" i="6"/>
  <c r="J126" i="6"/>
  <c r="J82" i="6"/>
  <c r="J154" i="6"/>
  <c r="J129" i="6"/>
  <c r="J70" i="6"/>
  <c r="J135" i="6"/>
  <c r="J81" i="6"/>
  <c r="J59" i="6"/>
  <c r="J108" i="6"/>
  <c r="J127" i="6"/>
  <c r="J147" i="6"/>
  <c r="J99" i="6"/>
  <c r="J58" i="6"/>
  <c r="J159" i="6"/>
  <c r="J90" i="6"/>
  <c r="J91" i="6"/>
  <c r="J104" i="6"/>
  <c r="J112" i="6"/>
  <c r="J136" i="6"/>
  <c r="J85" i="6"/>
  <c r="J71" i="6"/>
  <c r="J123" i="6"/>
  <c r="J115" i="6"/>
  <c r="J51" i="6"/>
  <c r="J63" i="6"/>
  <c r="J102" i="6"/>
  <c r="J96" i="6"/>
  <c r="J87" i="6"/>
  <c r="J124" i="6"/>
  <c r="J47" i="6"/>
  <c r="J46" i="6"/>
  <c r="J67" i="6"/>
  <c r="J137" i="6"/>
  <c r="J98" i="6"/>
  <c r="J95" i="6"/>
  <c r="J143" i="6"/>
  <c r="J158" i="6"/>
  <c r="J157" i="6"/>
  <c r="J117" i="6"/>
  <c r="J74" i="6"/>
  <c r="AC118" i="16"/>
  <c r="AB117" i="16"/>
  <c r="R37" i="6"/>
  <c r="R36" i="6"/>
  <c r="O41" i="6"/>
  <c r="L39" i="6"/>
  <c r="G53" i="6"/>
  <c r="W22" i="3" s="1"/>
  <c r="G129" i="6"/>
  <c r="G122" i="6"/>
  <c r="W91" i="3" s="1"/>
  <c r="D44" i="6"/>
  <c r="AA31" i="6"/>
  <c r="X9" i="1"/>
  <c r="X8" i="1" s="1"/>
  <c r="Y8" i="1" s="1"/>
  <c r="Z8" i="1" s="1"/>
  <c r="D41" i="6" s="1"/>
  <c r="Y10" i="1"/>
  <c r="D42" i="6"/>
  <c r="K6" i="6"/>
  <c r="J5" i="6"/>
  <c r="C32" i="6"/>
  <c r="A34" i="6"/>
  <c r="A35" i="6" s="1"/>
  <c r="D47" i="6" s="1"/>
  <c r="F33" i="6"/>
  <c r="F36" i="6" s="1"/>
  <c r="N41" i="6"/>
  <c r="D37" i="6"/>
  <c r="A36" i="6"/>
  <c r="D33" i="6"/>
  <c r="G98" i="6" l="1"/>
  <c r="G45" i="6"/>
  <c r="W14" i="3" s="1"/>
  <c r="G123" i="6"/>
  <c r="W92" i="3" s="1"/>
  <c r="G145" i="6"/>
  <c r="G59" i="6"/>
  <c r="G104" i="6"/>
  <c r="G148" i="6"/>
  <c r="W117" i="3" s="1"/>
  <c r="G102" i="6"/>
  <c r="G72" i="6"/>
  <c r="W41" i="3" s="1"/>
  <c r="G134" i="6"/>
  <c r="W103" i="3" s="1"/>
  <c r="G144" i="6"/>
  <c r="W113" i="3" s="1"/>
  <c r="G103" i="6"/>
  <c r="W72" i="3" s="1"/>
  <c r="G114" i="6"/>
  <c r="W83" i="3" s="1"/>
  <c r="G135" i="6"/>
  <c r="W104" i="3" s="1"/>
  <c r="G80" i="6"/>
  <c r="W49" i="3" s="1"/>
  <c r="G96" i="6"/>
  <c r="W65" i="3" s="1"/>
  <c r="G140" i="6"/>
  <c r="W109" i="3" s="1"/>
  <c r="G62" i="6"/>
  <c r="G52" i="6"/>
  <c r="W21" i="3" s="1"/>
  <c r="G86" i="6"/>
  <c r="W55" i="3" s="1"/>
  <c r="G130" i="6"/>
  <c r="W99" i="3" s="1"/>
  <c r="G121" i="6"/>
  <c r="W90" i="3" s="1"/>
  <c r="G108" i="6"/>
  <c r="W77" i="3" s="1"/>
  <c r="G74" i="6"/>
  <c r="G132" i="6"/>
  <c r="W101" i="3" s="1"/>
  <c r="G85" i="6"/>
  <c r="W54" i="3" s="1"/>
  <c r="G84" i="6"/>
  <c r="G99" i="6"/>
  <c r="G128" i="6"/>
  <c r="W97" i="3" s="1"/>
  <c r="G131" i="6"/>
  <c r="W100" i="3" s="1"/>
  <c r="G154" i="6"/>
  <c r="G117" i="6"/>
  <c r="W86" i="3" s="1"/>
  <c r="G73" i="6"/>
  <c r="W42" i="3" s="1"/>
  <c r="G69" i="6"/>
  <c r="W38" i="3" s="1"/>
  <c r="G138" i="6"/>
  <c r="W107" i="3" s="1"/>
  <c r="G47" i="6"/>
  <c r="W16" i="3" s="1"/>
  <c r="G137" i="6"/>
  <c r="G50" i="6"/>
  <c r="W19" i="3" s="1"/>
  <c r="G105" i="6"/>
  <c r="G48" i="6"/>
  <c r="W17" i="3" s="1"/>
  <c r="G55" i="6"/>
  <c r="W24" i="3" s="1"/>
  <c r="G142" i="6"/>
  <c r="W111" i="3" s="1"/>
  <c r="G44" i="6"/>
  <c r="G88" i="6"/>
  <c r="W57" i="3" s="1"/>
  <c r="G136" i="6"/>
  <c r="W105" i="3" s="1"/>
  <c r="G61" i="6"/>
  <c r="W30" i="3" s="1"/>
  <c r="G133" i="6"/>
  <c r="G110" i="6"/>
  <c r="W79" i="3" s="1"/>
  <c r="G95" i="6"/>
  <c r="W64" i="3" s="1"/>
  <c r="G92" i="6"/>
  <c r="G94" i="6"/>
  <c r="G58" i="6"/>
  <c r="W27" i="3" s="1"/>
  <c r="G70" i="6"/>
  <c r="W39" i="3" s="1"/>
  <c r="G152" i="6"/>
  <c r="W121" i="3" s="1"/>
  <c r="G54" i="6"/>
  <c r="G75" i="6"/>
  <c r="G79" i="6"/>
  <c r="G83" i="6"/>
  <c r="G143" i="6"/>
  <c r="W112" i="3" s="1"/>
  <c r="G118" i="6"/>
  <c r="W87" i="3" s="1"/>
  <c r="G65" i="6"/>
  <c r="W34" i="3" s="1"/>
  <c r="G78" i="6"/>
  <c r="G46" i="6"/>
  <c r="W15" i="3" s="1"/>
  <c r="G71" i="6"/>
  <c r="W40" i="3" s="1"/>
  <c r="G100" i="6"/>
  <c r="G67" i="6"/>
  <c r="W36" i="3" s="1"/>
  <c r="G126" i="6"/>
  <c r="W95" i="3" s="1"/>
  <c r="G60" i="6"/>
  <c r="W29" i="3" s="1"/>
  <c r="G116" i="6"/>
  <c r="W85" i="3" s="1"/>
  <c r="G115" i="6"/>
  <c r="W84" i="3" s="1"/>
  <c r="G151" i="6"/>
  <c r="W120" i="3" s="1"/>
  <c r="G82" i="6"/>
  <c r="W51" i="3" s="1"/>
  <c r="G139" i="6"/>
  <c r="W108" i="3" s="1"/>
  <c r="G76" i="6"/>
  <c r="W45" i="3" s="1"/>
  <c r="G155" i="6"/>
  <c r="W124" i="3" s="1"/>
  <c r="G97" i="6"/>
  <c r="W66" i="3" s="1"/>
  <c r="G119" i="6"/>
  <c r="W88" i="3" s="1"/>
  <c r="G159" i="6"/>
  <c r="W128" i="3" s="1"/>
  <c r="G43" i="6"/>
  <c r="G149" i="6"/>
  <c r="G158" i="6"/>
  <c r="G160" i="6"/>
  <c r="W129" i="3" s="1"/>
  <c r="G56" i="6"/>
  <c r="W25" i="3" s="1"/>
  <c r="G87" i="6"/>
  <c r="W56" i="3" s="1"/>
  <c r="G93" i="6"/>
  <c r="G113" i="6"/>
  <c r="W82" i="3" s="1"/>
  <c r="G81" i="6"/>
  <c r="W50" i="3" s="1"/>
  <c r="G111" i="6"/>
  <c r="G63" i="6"/>
  <c r="G106" i="6"/>
  <c r="W75" i="3" s="1"/>
  <c r="G109" i="6"/>
  <c r="W78" i="3" s="1"/>
  <c r="G150" i="6"/>
  <c r="W119" i="3" s="1"/>
  <c r="G66" i="6"/>
  <c r="W35" i="3" s="1"/>
  <c r="G141" i="6"/>
  <c r="G77" i="6"/>
  <c r="W46" i="3" s="1"/>
  <c r="G57" i="6"/>
  <c r="W26" i="3" s="1"/>
  <c r="G89" i="6"/>
  <c r="W58" i="3" s="1"/>
  <c r="G157" i="6"/>
  <c r="W126" i="3" s="1"/>
  <c r="G153" i="6"/>
  <c r="W122" i="3" s="1"/>
  <c r="G156" i="6"/>
  <c r="G124" i="6"/>
  <c r="W93" i="3" s="1"/>
  <c r="G127" i="6"/>
  <c r="W96" i="3" s="1"/>
  <c r="G125" i="6"/>
  <c r="G90" i="6"/>
  <c r="G112" i="6"/>
  <c r="W81" i="3" s="1"/>
  <c r="G51" i="6"/>
  <c r="W20" i="3" s="1"/>
  <c r="G107" i="6"/>
  <c r="W76" i="3" s="1"/>
  <c r="G91" i="6"/>
  <c r="W60" i="3" s="1"/>
  <c r="G146" i="6"/>
  <c r="W115" i="3" s="1"/>
  <c r="G101" i="6"/>
  <c r="W70" i="3" s="1"/>
  <c r="G64" i="6"/>
  <c r="W33" i="3" s="1"/>
  <c r="G120" i="6"/>
  <c r="W89" i="3" s="1"/>
  <c r="G49" i="6"/>
  <c r="G68" i="6"/>
  <c r="G42" i="6"/>
  <c r="G147" i="6"/>
  <c r="AC119" i="16"/>
  <c r="AB118" i="16"/>
  <c r="S37" i="6"/>
  <c r="S36" i="6" s="1"/>
  <c r="R33" i="6" s="1"/>
  <c r="R35" i="6" s="1"/>
  <c r="R39" i="6" s="1"/>
  <c r="Q41" i="6" s="1"/>
  <c r="O42" i="6"/>
  <c r="D43" i="6"/>
  <c r="A43" i="6"/>
  <c r="A38" i="6"/>
  <c r="P7" i="3" s="1"/>
  <c r="G33" i="6"/>
  <c r="G36" i="6" s="1"/>
  <c r="A42" i="6"/>
  <c r="A39" i="6"/>
  <c r="A37" i="6"/>
  <c r="P8" i="3" s="1"/>
  <c r="G161" i="6" l="1"/>
  <c r="G162" i="6" s="1"/>
  <c r="G163" i="6" s="1"/>
  <c r="G164" i="6" s="1"/>
  <c r="G165" i="6" s="1"/>
  <c r="G166" i="6" s="1"/>
  <c r="AC120" i="16"/>
  <c r="AB119" i="16"/>
  <c r="N37" i="6"/>
  <c r="Q43" i="6"/>
  <c r="C45" i="6"/>
  <c r="D45" i="6" s="1"/>
  <c r="F41" i="6" s="1"/>
  <c r="AK5" i="1"/>
  <c r="P52" i="3"/>
  <c r="R131" i="3"/>
  <c r="P80" i="3"/>
  <c r="P131" i="3"/>
  <c r="P126" i="3"/>
  <c r="P138" i="3"/>
  <c r="P82" i="3"/>
  <c r="AR50" i="3"/>
  <c r="P32" i="3"/>
  <c r="P12" i="3"/>
  <c r="P28" i="3"/>
  <c r="P31" i="3"/>
  <c r="P13" i="3"/>
  <c r="P125" i="3"/>
  <c r="P139" i="3"/>
  <c r="P141" i="3" s="1"/>
  <c r="P11" i="3"/>
  <c r="P93" i="3"/>
  <c r="P94" i="3"/>
  <c r="P123" i="3"/>
  <c r="P127" i="3"/>
  <c r="P61" i="3"/>
  <c r="AQ50" i="3"/>
  <c r="P23" i="3"/>
  <c r="P18" i="3"/>
  <c r="P60" i="3"/>
  <c r="P37" i="3"/>
  <c r="P67" i="3"/>
  <c r="Q131" i="3"/>
  <c r="P68" i="3"/>
  <c r="S131" i="3"/>
  <c r="P71" i="3"/>
  <c r="P24" i="3"/>
  <c r="Q73" i="3"/>
  <c r="P69" i="3"/>
  <c r="P62" i="3"/>
  <c r="S69" i="3" l="1"/>
  <c r="W69" i="3" s="1"/>
  <c r="CB69" i="3"/>
  <c r="S67" i="3"/>
  <c r="W67" i="3" s="1"/>
  <c r="CB67" i="3"/>
  <c r="CB71" i="3"/>
  <c r="S71" i="3"/>
  <c r="W71" i="3" s="1"/>
  <c r="S136" i="3"/>
  <c r="W136" i="3" s="1"/>
  <c r="CB136" i="3"/>
  <c r="CB61" i="3"/>
  <c r="S61" i="3"/>
  <c r="W61" i="3" s="1"/>
  <c r="S138" i="3"/>
  <c r="CB138" i="3"/>
  <c r="S68" i="3"/>
  <c r="W68" i="3" s="1"/>
  <c r="CB68" i="3"/>
  <c r="CB94" i="3"/>
  <c r="S94" i="3"/>
  <c r="W94" i="3" s="1"/>
  <c r="CB125" i="3"/>
  <c r="S125" i="3"/>
  <c r="W125" i="3" s="1"/>
  <c r="AC121" i="16"/>
  <c r="AB120" i="16"/>
  <c r="M130" i="3"/>
  <c r="CB127" i="3"/>
  <c r="AQ126" i="3"/>
  <c r="S127" i="3" s="1"/>
  <c r="W127" i="3" s="1"/>
  <c r="S11" i="3"/>
  <c r="W11" i="3" s="1"/>
  <c r="CB11" i="3"/>
  <c r="AI6" i="1"/>
  <c r="AI5" i="1" s="1"/>
  <c r="Y30" i="6"/>
  <c r="Y29" i="6" s="1"/>
  <c r="O34" i="6"/>
  <c r="F193" i="6"/>
  <c r="F195" i="6"/>
  <c r="F242" i="6"/>
  <c r="F247" i="6"/>
  <c r="F226" i="6"/>
  <c r="F254" i="6"/>
  <c r="F175" i="6"/>
  <c r="F165" i="6"/>
  <c r="F208" i="6"/>
  <c r="F173" i="6"/>
  <c r="F198" i="6"/>
  <c r="F203" i="6"/>
  <c r="F278" i="6"/>
  <c r="F241" i="6"/>
  <c r="F192" i="6"/>
  <c r="F268" i="6"/>
  <c r="F227" i="6"/>
  <c r="F185" i="6"/>
  <c r="F212" i="6"/>
  <c r="F234" i="6"/>
  <c r="F240" i="6"/>
  <c r="F210" i="6"/>
  <c r="F188" i="6"/>
  <c r="F270" i="6"/>
  <c r="F274" i="6"/>
  <c r="F230" i="6"/>
  <c r="F209" i="6"/>
  <c r="F232" i="6"/>
  <c r="F200" i="6"/>
  <c r="F219" i="6"/>
  <c r="F73" i="6"/>
  <c r="V43" i="3" s="1"/>
  <c r="U43" i="3" s="1"/>
  <c r="F135" i="6"/>
  <c r="V105" i="3" s="1"/>
  <c r="F162" i="6"/>
  <c r="CK6" i="3" s="1"/>
  <c r="F140" i="6"/>
  <c r="F112" i="6"/>
  <c r="V82" i="3" s="1"/>
  <c r="F81" i="6"/>
  <c r="V51" i="3" s="1"/>
  <c r="F75" i="6"/>
  <c r="V45" i="3" s="1"/>
  <c r="F161" i="6"/>
  <c r="F83" i="6"/>
  <c r="F146" i="6"/>
  <c r="F128" i="6"/>
  <c r="F99" i="6"/>
  <c r="F97" i="6"/>
  <c r="V67" i="3" s="1"/>
  <c r="U67" i="3" s="1"/>
  <c r="F43" i="6"/>
  <c r="F92" i="6"/>
  <c r="F58" i="6"/>
  <c r="F157" i="6"/>
  <c r="F130" i="6"/>
  <c r="V100" i="3" s="1"/>
  <c r="F109" i="6"/>
  <c r="V79" i="3" s="1"/>
  <c r="F126" i="6"/>
  <c r="V96" i="3" s="1"/>
  <c r="F145" i="6"/>
  <c r="V115" i="3" s="1"/>
  <c r="F131" i="6"/>
  <c r="V101" i="3" s="1"/>
  <c r="F64" i="6"/>
  <c r="V34" i="3" s="1"/>
  <c r="U34" i="3" s="1"/>
  <c r="F147" i="6"/>
  <c r="V117" i="3" s="1"/>
  <c r="F123" i="6"/>
  <c r="V93" i="3" s="1"/>
  <c r="F59" i="6"/>
  <c r="V29" i="3" s="1"/>
  <c r="U29" i="3" s="1"/>
  <c r="F127" i="6"/>
  <c r="V97" i="3" s="1"/>
  <c r="F46" i="6"/>
  <c r="V16" i="3" s="1"/>
  <c r="U16" i="3" s="1"/>
  <c r="F138" i="6"/>
  <c r="V108" i="3" s="1"/>
  <c r="F100" i="6"/>
  <c r="V70" i="3" s="1"/>
  <c r="U70" i="3" s="1"/>
  <c r="F191" i="6"/>
  <c r="F181" i="6"/>
  <c r="F179" i="6"/>
  <c r="F158" i="6"/>
  <c r="F74" i="6"/>
  <c r="F172" i="6"/>
  <c r="F190" i="6"/>
  <c r="F189" i="6"/>
  <c r="F217" i="6"/>
  <c r="F197" i="6"/>
  <c r="F251" i="6"/>
  <c r="F262" i="6"/>
  <c r="F187" i="6"/>
  <c r="F186" i="6"/>
  <c r="F272" i="6"/>
  <c r="F82" i="6"/>
  <c r="F151" i="6"/>
  <c r="V121" i="3" s="1"/>
  <c r="U121" i="3" s="1"/>
  <c r="F154" i="6"/>
  <c r="V124" i="3" s="1"/>
  <c r="U124" i="3" s="1"/>
  <c r="X124" i="3" s="1"/>
  <c r="F143" i="6"/>
  <c r="V113" i="3" s="1"/>
  <c r="F61" i="6"/>
  <c r="F91" i="6"/>
  <c r="F65" i="6"/>
  <c r="V35" i="3" s="1"/>
  <c r="U35" i="3" s="1"/>
  <c r="F170" i="6"/>
  <c r="V140" i="3" s="1"/>
  <c r="F142" i="6"/>
  <c r="V112" i="3" s="1"/>
  <c r="F264" i="6"/>
  <c r="F265" i="6"/>
  <c r="F279" i="6"/>
  <c r="F211" i="6"/>
  <c r="F245" i="6"/>
  <c r="F178" i="6"/>
  <c r="F166" i="6"/>
  <c r="F199" i="6"/>
  <c r="F207" i="6"/>
  <c r="F216" i="6"/>
  <c r="F277" i="6"/>
  <c r="F220" i="6"/>
  <c r="F239" i="6"/>
  <c r="F266" i="6"/>
  <c r="M18" i="6"/>
  <c r="F201" i="6"/>
  <c r="F105" i="6"/>
  <c r="V75" i="3" s="1"/>
  <c r="U75" i="3" s="1"/>
  <c r="F85" i="6"/>
  <c r="V55" i="3" s="1"/>
  <c r="F141" i="6"/>
  <c r="V111" i="3" s="1"/>
  <c r="F160" i="6"/>
  <c r="V136" i="3"/>
  <c r="F102" i="6"/>
  <c r="V72" i="3" s="1"/>
  <c r="F48" i="6"/>
  <c r="F155" i="6"/>
  <c r="V125" i="3" s="1"/>
  <c r="U125" i="3" s="1"/>
  <c r="F137" i="6"/>
  <c r="V107" i="3" s="1"/>
  <c r="F132" i="6"/>
  <c r="F72" i="6"/>
  <c r="V42" i="3" s="1"/>
  <c r="F60" i="6"/>
  <c r="V30" i="3" s="1"/>
  <c r="U30" i="3" s="1"/>
  <c r="F66" i="6"/>
  <c r="V36" i="3" s="1"/>
  <c r="U36" i="3" s="1"/>
  <c r="F44" i="6"/>
  <c r="V14" i="3" s="1"/>
  <c r="F246" i="6"/>
  <c r="F176" i="6"/>
  <c r="F236" i="6"/>
  <c r="F275" i="6"/>
  <c r="F164" i="6"/>
  <c r="F213" i="6"/>
  <c r="F228" i="6"/>
  <c r="F218" i="6"/>
  <c r="F106" i="6"/>
  <c r="V76" i="3" s="1"/>
  <c r="F52" i="6"/>
  <c r="V22" i="3" s="1"/>
  <c r="U22" i="3" s="1"/>
  <c r="F67" i="6"/>
  <c r="F107" i="6"/>
  <c r="V77" i="3" s="1"/>
  <c r="F150" i="6"/>
  <c r="V120" i="3" s="1"/>
  <c r="F56" i="6"/>
  <c r="V26" i="3" s="1"/>
  <c r="F94" i="6"/>
  <c r="V64" i="3" s="1"/>
  <c r="U64" i="3" s="1"/>
  <c r="F116" i="6"/>
  <c r="V86" i="3" s="1"/>
  <c r="U86" i="3" s="1"/>
  <c r="F95" i="6"/>
  <c r="V65" i="3" s="1"/>
  <c r="U65" i="3" s="1"/>
  <c r="F149" i="6"/>
  <c r="V119" i="3" s="1"/>
  <c r="F167" i="6"/>
  <c r="F249" i="6"/>
  <c r="F221" i="6"/>
  <c r="F248" i="6"/>
  <c r="F253" i="6"/>
  <c r="F229" i="6"/>
  <c r="F244" i="6"/>
  <c r="F205" i="6"/>
  <c r="F152" i="6"/>
  <c r="V122" i="3" s="1"/>
  <c r="U122" i="3" s="1"/>
  <c r="F62" i="6"/>
  <c r="F144" i="6"/>
  <c r="F70" i="6"/>
  <c r="V40" i="3" s="1"/>
  <c r="F86" i="6"/>
  <c r="V56" i="3" s="1"/>
  <c r="U56" i="3" s="1"/>
  <c r="F119" i="6"/>
  <c r="V89" i="3" s="1"/>
  <c r="U89" i="3" s="1"/>
  <c r="F87" i="6"/>
  <c r="V57" i="3" s="1"/>
  <c r="U57" i="3" s="1"/>
  <c r="F108" i="6"/>
  <c r="V78" i="3" s="1"/>
  <c r="F255" i="6"/>
  <c r="F177" i="6"/>
  <c r="F258" i="6"/>
  <c r="F78" i="6"/>
  <c r="F235" i="6"/>
  <c r="F180" i="6"/>
  <c r="F184" i="6"/>
  <c r="F98" i="6"/>
  <c r="F114" i="6"/>
  <c r="V84" i="3" s="1"/>
  <c r="F153" i="6"/>
  <c r="F51" i="6"/>
  <c r="V21" i="3" s="1"/>
  <c r="U21" i="3" s="1"/>
  <c r="F139" i="6"/>
  <c r="V109" i="3" s="1"/>
  <c r="F104" i="6"/>
  <c r="V74" i="3" s="1"/>
  <c r="F63" i="6"/>
  <c r="V33" i="3" s="1"/>
  <c r="F125" i="6"/>
  <c r="V95" i="3" s="1"/>
  <c r="F168" i="6"/>
  <c r="E41" i="6"/>
  <c r="K19" i="6"/>
  <c r="F238" i="6"/>
  <c r="F259" i="6"/>
  <c r="F269" i="6"/>
  <c r="F174" i="6"/>
  <c r="F196" i="6"/>
  <c r="F257" i="6"/>
  <c r="F261" i="6"/>
  <c r="F224" i="6"/>
  <c r="F225" i="6"/>
  <c r="F233" i="6"/>
  <c r="V128" i="3"/>
  <c r="U128" i="3" s="1"/>
  <c r="F214" i="6"/>
  <c r="F202" i="6"/>
  <c r="F250" i="6"/>
  <c r="F57" i="6"/>
  <c r="V27" i="3" s="1"/>
  <c r="F129" i="6"/>
  <c r="V99" i="3" s="1"/>
  <c r="F71" i="6"/>
  <c r="V41" i="3" s="1"/>
  <c r="F88" i="6"/>
  <c r="V58" i="3" s="1"/>
  <c r="U58" i="3" s="1"/>
  <c r="F89" i="6"/>
  <c r="F124" i="6"/>
  <c r="V94" i="3" s="1"/>
  <c r="U94" i="3" s="1"/>
  <c r="F42" i="6"/>
  <c r="F101" i="6"/>
  <c r="V71" i="3" s="1"/>
  <c r="U71" i="3" s="1"/>
  <c r="F113" i="6"/>
  <c r="V83" i="3" s="1"/>
  <c r="F159" i="6"/>
  <c r="V129" i="3" s="1"/>
  <c r="U129" i="3" s="1"/>
  <c r="Z121" i="3" s="1"/>
  <c r="F121" i="6"/>
  <c r="V91" i="3" s="1"/>
  <c r="F134" i="6"/>
  <c r="V104" i="3" s="1"/>
  <c r="F171" i="6"/>
  <c r="V141" i="3" s="1"/>
  <c r="F45" i="6"/>
  <c r="V15" i="3" s="1"/>
  <c r="F120" i="6"/>
  <c r="V90" i="3" s="1"/>
  <c r="F256" i="6"/>
  <c r="F77" i="6"/>
  <c r="F276" i="6"/>
  <c r="F237" i="6"/>
  <c r="F182" i="6"/>
  <c r="F206" i="6"/>
  <c r="F263" i="6"/>
  <c r="F90" i="6"/>
  <c r="V60" i="3" s="1"/>
  <c r="F49" i="6"/>
  <c r="V19" i="3" s="1"/>
  <c r="F69" i="6"/>
  <c r="V39" i="3" s="1"/>
  <c r="F53" i="6"/>
  <c r="F68" i="6"/>
  <c r="V38" i="3" s="1"/>
  <c r="F80" i="6"/>
  <c r="V50" i="3" s="1"/>
  <c r="F96" i="6"/>
  <c r="V66" i="3" s="1"/>
  <c r="U66" i="3" s="1"/>
  <c r="F55" i="6"/>
  <c r="V25" i="3" s="1"/>
  <c r="U25" i="3" s="1"/>
  <c r="F103" i="6"/>
  <c r="V73" i="3" s="1"/>
  <c r="F136" i="6"/>
  <c r="F84" i="6"/>
  <c r="V54" i="3" s="1"/>
  <c r="F267" i="6"/>
  <c r="F273" i="6"/>
  <c r="F252" i="6"/>
  <c r="F243" i="6"/>
  <c r="F215" i="6"/>
  <c r="F204" i="6"/>
  <c r="F194" i="6"/>
  <c r="F148" i="6"/>
  <c r="F117" i="6"/>
  <c r="V87" i="3" s="1"/>
  <c r="F54" i="6"/>
  <c r="V24" i="3" s="1"/>
  <c r="AC138" i="3"/>
  <c r="Y134" i="3" s="1"/>
  <c r="F76" i="6"/>
  <c r="V46" i="3" s="1"/>
  <c r="F79" i="6"/>
  <c r="V49" i="3" s="1"/>
  <c r="F118" i="6"/>
  <c r="V88" i="3" s="1"/>
  <c r="U88" i="3" s="1"/>
  <c r="F122" i="6"/>
  <c r="V92" i="3" s="1"/>
  <c r="U92" i="3" s="1"/>
  <c r="F222" i="6"/>
  <c r="F271" i="6"/>
  <c r="F260" i="6"/>
  <c r="F223" i="6"/>
  <c r="F231" i="6"/>
  <c r="F163" i="6"/>
  <c r="F183" i="6"/>
  <c r="V10" i="3"/>
  <c r="U10" i="3" s="1"/>
  <c r="F115" i="6"/>
  <c r="V85" i="3" s="1"/>
  <c r="U85" i="3" s="1"/>
  <c r="F93" i="6"/>
  <c r="V63" i="3" s="1"/>
  <c r="F110" i="6"/>
  <c r="F50" i="6"/>
  <c r="V20" i="3" s="1"/>
  <c r="F133" i="6"/>
  <c r="V103" i="3" s="1"/>
  <c r="F111" i="6"/>
  <c r="V81" i="3" s="1"/>
  <c r="U81" i="3" s="1"/>
  <c r="F47" i="6"/>
  <c r="V17" i="3" s="1"/>
  <c r="U17" i="3" s="1"/>
  <c r="F156" i="6"/>
  <c r="V126" i="3" s="1"/>
  <c r="F169" i="6"/>
  <c r="V139" i="3" s="1"/>
  <c r="J17" i="6"/>
  <c r="Y44" i="3"/>
  <c r="R7" i="14"/>
  <c r="CB37" i="3"/>
  <c r="CF34" i="3" s="1"/>
  <c r="S37" i="3"/>
  <c r="CB32" i="3"/>
  <c r="S32" i="3"/>
  <c r="S123" i="3"/>
  <c r="CB123" i="3"/>
  <c r="CC123" i="3" s="1"/>
  <c r="CF120" i="3" s="1"/>
  <c r="CE120" i="3" s="1"/>
  <c r="AB29" i="6" s="1"/>
  <c r="AB27" i="6" s="1"/>
  <c r="AB28" i="6" s="1"/>
  <c r="AQ61" i="3"/>
  <c r="S62" i="3" s="1"/>
  <c r="CB62" i="3"/>
  <c r="CB133" i="3"/>
  <c r="S133" i="3"/>
  <c r="S135" i="3"/>
  <c r="CB135" i="3"/>
  <c r="S134" i="3"/>
  <c r="CB134" i="3"/>
  <c r="S52" i="3"/>
  <c r="CB52" i="3"/>
  <c r="S18" i="3"/>
  <c r="CB18" i="3"/>
  <c r="S13" i="3"/>
  <c r="CB13" i="3"/>
  <c r="S12" i="3"/>
  <c r="CB12" i="3"/>
  <c r="S28" i="3"/>
  <c r="CB28" i="3"/>
  <c r="S31" i="3"/>
  <c r="CB31" i="3"/>
  <c r="CC31" i="3" s="1"/>
  <c r="G167" i="6"/>
  <c r="G168" i="6" s="1"/>
  <c r="G169" i="6" s="1"/>
  <c r="P106" i="3"/>
  <c r="P101" i="3"/>
  <c r="P110" i="3"/>
  <c r="P105" i="3"/>
  <c r="P117" i="3"/>
  <c r="P114" i="3"/>
  <c r="P97" i="3"/>
  <c r="P96" i="3" s="1"/>
  <c r="P109" i="3"/>
  <c r="P98" i="3"/>
  <c r="P102" i="3"/>
  <c r="P113" i="3"/>
  <c r="P118" i="3"/>
  <c r="S80" i="3"/>
  <c r="CB80" i="3"/>
  <c r="P72" i="3"/>
  <c r="U73" i="3"/>
  <c r="Q130" i="3"/>
  <c r="S23" i="3"/>
  <c r="CB23" i="3"/>
  <c r="P130" i="3"/>
  <c r="O130" i="3"/>
  <c r="V69" i="3" l="1"/>
  <c r="U69" i="3" s="1"/>
  <c r="CB110" i="3"/>
  <c r="S110" i="3"/>
  <c r="W110" i="3" s="1"/>
  <c r="CB102" i="3"/>
  <c r="S102" i="3"/>
  <c r="W102" i="3" s="1"/>
  <c r="S98" i="3"/>
  <c r="W98" i="3" s="1"/>
  <c r="CB98" i="3"/>
  <c r="V98" i="3"/>
  <c r="U98" i="3" s="1"/>
  <c r="X96" i="3" s="1"/>
  <c r="I16" i="1" s="1"/>
  <c r="G16" i="1" s="1"/>
  <c r="AF14" i="14" s="1"/>
  <c r="X88" i="3"/>
  <c r="P17" i="1" s="1"/>
  <c r="N17" i="1" s="1"/>
  <c r="AF27" i="14" s="1"/>
  <c r="V127" i="3"/>
  <c r="U127" i="3" s="1"/>
  <c r="X122" i="3" s="1"/>
  <c r="Y28" i="6"/>
  <c r="Z32" i="6" s="1"/>
  <c r="CB114" i="3"/>
  <c r="S114" i="3"/>
  <c r="W114" i="3" s="1"/>
  <c r="CB118" i="3"/>
  <c r="S118" i="3"/>
  <c r="W118" i="3" s="1"/>
  <c r="X92" i="3"/>
  <c r="U136" i="3"/>
  <c r="Y136" i="3" s="1"/>
  <c r="Z136" i="3" s="1"/>
  <c r="V61" i="3"/>
  <c r="U61" i="3" s="1"/>
  <c r="V138" i="3"/>
  <c r="AC76" i="3"/>
  <c r="AD76" i="3"/>
  <c r="V68" i="3"/>
  <c r="U68" i="3" s="1"/>
  <c r="AC122" i="16"/>
  <c r="AB121" i="16"/>
  <c r="CB106" i="3"/>
  <c r="S106" i="3"/>
  <c r="W106" i="3" s="1"/>
  <c r="X85" i="3"/>
  <c r="P16" i="1" s="1"/>
  <c r="N16" i="1" s="1"/>
  <c r="AF26" i="14" s="1"/>
  <c r="V11" i="3"/>
  <c r="U11" i="3" s="1"/>
  <c r="CF10" i="3"/>
  <c r="X29" i="3"/>
  <c r="L5" i="1"/>
  <c r="S4" i="14" s="1"/>
  <c r="Y34" i="6"/>
  <c r="S39" i="6"/>
  <c r="AG14" i="14"/>
  <c r="G20" i="14" s="1"/>
  <c r="BC21" i="14" s="1"/>
  <c r="BF21" i="14" s="1"/>
  <c r="V48" i="3"/>
  <c r="U48" i="3" s="1"/>
  <c r="V47" i="3"/>
  <c r="U47" i="3" s="1"/>
  <c r="V44" i="3"/>
  <c r="U44" i="3" s="1"/>
  <c r="X43" i="3" s="1"/>
  <c r="I22" i="1" s="1"/>
  <c r="G22" i="1" s="1"/>
  <c r="R10" i="14"/>
  <c r="X121" i="3"/>
  <c r="X123" i="3" s="1"/>
  <c r="CF27" i="3"/>
  <c r="V32" i="3"/>
  <c r="W32" i="3"/>
  <c r="V37" i="3"/>
  <c r="W37" i="3"/>
  <c r="Y36" i="3" s="1"/>
  <c r="Y35" i="3" s="1"/>
  <c r="W123" i="3"/>
  <c r="V123" i="3"/>
  <c r="W62" i="3"/>
  <c r="V62" i="3"/>
  <c r="V133" i="3"/>
  <c r="W133" i="3"/>
  <c r="V134" i="3"/>
  <c r="W134" i="3"/>
  <c r="V135" i="3"/>
  <c r="W135" i="3"/>
  <c r="W52" i="3"/>
  <c r="V52" i="3"/>
  <c r="W13" i="3"/>
  <c r="V13" i="3"/>
  <c r="W18" i="3"/>
  <c r="V18" i="3"/>
  <c r="W12" i="3"/>
  <c r="V12" i="3"/>
  <c r="W28" i="3"/>
  <c r="V28" i="3"/>
  <c r="W31" i="3"/>
  <c r="V31" i="3"/>
  <c r="P116" i="3"/>
  <c r="P108" i="3"/>
  <c r="P112" i="3"/>
  <c r="P104" i="3"/>
  <c r="G170" i="6"/>
  <c r="W138" i="3"/>
  <c r="U138" i="3" s="1"/>
  <c r="CB130" i="3"/>
  <c r="AO130" i="3"/>
  <c r="W23" i="3"/>
  <c r="V23" i="3"/>
  <c r="W80" i="3"/>
  <c r="V80" i="3"/>
  <c r="Z67" i="3" l="1"/>
  <c r="AG27" i="14"/>
  <c r="G33" i="14" s="1"/>
  <c r="BC34" i="14" s="1"/>
  <c r="BF34" i="14" s="1"/>
  <c r="V110" i="3"/>
  <c r="U110" i="3" s="1"/>
  <c r="X108" i="3" s="1"/>
  <c r="I19" i="1" s="1"/>
  <c r="G19" i="1" s="1"/>
  <c r="V102" i="3"/>
  <c r="U102" i="3" s="1"/>
  <c r="X100" i="3" s="1"/>
  <c r="I17" i="1" s="1"/>
  <c r="G17" i="1" s="1"/>
  <c r="Y31" i="6"/>
  <c r="Z30" i="6" s="1"/>
  <c r="Z31" i="6" s="1"/>
  <c r="H27" i="16" s="1"/>
  <c r="H26" i="16" s="1"/>
  <c r="H24" i="16" s="1"/>
  <c r="V114" i="3"/>
  <c r="V118" i="3"/>
  <c r="U118" i="3" s="1"/>
  <c r="U114" i="3"/>
  <c r="X112" i="3" s="1"/>
  <c r="I20" i="1" s="1"/>
  <c r="G20" i="1" s="1"/>
  <c r="CB116" i="3"/>
  <c r="S116" i="3"/>
  <c r="U76" i="3"/>
  <c r="X75" i="3" s="1"/>
  <c r="X64" i="3"/>
  <c r="AC123" i="16"/>
  <c r="AB122" i="16"/>
  <c r="AG26" i="14"/>
  <c r="G32" i="14" s="1"/>
  <c r="BC33" i="14" s="1"/>
  <c r="BF33" i="14" s="1"/>
  <c r="V106" i="3"/>
  <c r="U106" i="3" s="1"/>
  <c r="X104" i="3" s="1"/>
  <c r="I18" i="1" s="1"/>
  <c r="G18" i="1" s="1"/>
  <c r="U62" i="3"/>
  <c r="U52" i="3"/>
  <c r="AN7" i="14"/>
  <c r="S8" i="14" s="1"/>
  <c r="T8" i="14" s="1"/>
  <c r="Y125" i="3"/>
  <c r="Z125" i="3" s="1"/>
  <c r="E33" i="14"/>
  <c r="C33" i="14"/>
  <c r="BB34" i="14" s="1"/>
  <c r="D33" i="14"/>
  <c r="D32" i="14"/>
  <c r="E32" i="14"/>
  <c r="C32" i="14"/>
  <c r="BB33" i="14" s="1"/>
  <c r="X47" i="3"/>
  <c r="P18" i="1" s="1"/>
  <c r="N18" i="1" s="1"/>
  <c r="E20" i="14"/>
  <c r="C20" i="14"/>
  <c r="BB21" i="14" s="1"/>
  <c r="D20" i="14"/>
  <c r="AG20" i="14"/>
  <c r="G26" i="14" s="1"/>
  <c r="BC27" i="14" s="1"/>
  <c r="BF27" i="14" s="1"/>
  <c r="AF20" i="14"/>
  <c r="U37" i="3"/>
  <c r="X34" i="3" s="1"/>
  <c r="P11" i="1" s="1"/>
  <c r="N11" i="1" s="1"/>
  <c r="U32" i="3"/>
  <c r="U123" i="3"/>
  <c r="Y124" i="3" s="1"/>
  <c r="Z122" i="3" s="1"/>
  <c r="Y121" i="3" s="1"/>
  <c r="I13" i="1" s="1"/>
  <c r="G13" i="1" s="1"/>
  <c r="U135" i="3"/>
  <c r="U134" i="3"/>
  <c r="AA134" i="3" s="1"/>
  <c r="U133" i="3"/>
  <c r="AD135" i="3" s="1"/>
  <c r="U18" i="3"/>
  <c r="X16" i="3" s="1"/>
  <c r="P9" i="1" s="1"/>
  <c r="N9" i="1" s="1"/>
  <c r="L81" i="1" s="1"/>
  <c r="U13" i="3"/>
  <c r="U12" i="3"/>
  <c r="U28" i="3"/>
  <c r="X27" i="3" s="1"/>
  <c r="U31" i="3"/>
  <c r="U80" i="3"/>
  <c r="X79" i="3" s="1"/>
  <c r="I10" i="1" s="1"/>
  <c r="G10" i="1" s="1"/>
  <c r="U23" i="3"/>
  <c r="AN130" i="3"/>
  <c r="J130" i="3"/>
  <c r="W139" i="3"/>
  <c r="G171" i="6"/>
  <c r="AA30" i="6" l="1"/>
  <c r="AB32" i="6" s="1"/>
  <c r="AB33" i="6" s="1"/>
  <c r="AB36" i="6" s="1"/>
  <c r="AF17" i="14"/>
  <c r="AG17" i="14"/>
  <c r="G23" i="14" s="1"/>
  <c r="BC24" i="14" s="1"/>
  <c r="BF24" i="14" s="1"/>
  <c r="AG15" i="14"/>
  <c r="G21" i="14" s="1"/>
  <c r="BC22" i="14" s="1"/>
  <c r="BF22" i="14" s="1"/>
  <c r="AF15" i="14"/>
  <c r="AA24" i="6"/>
  <c r="N6" i="1" s="1"/>
  <c r="AF18" i="14"/>
  <c r="AG18" i="14"/>
  <c r="G24" i="14" s="1"/>
  <c r="BC25" i="14" s="1"/>
  <c r="BF25" i="14" s="1"/>
  <c r="W116" i="3"/>
  <c r="V116" i="3"/>
  <c r="AB76" i="3"/>
  <c r="AB75" i="3"/>
  <c r="AA76" i="3"/>
  <c r="Y76" i="3" s="1"/>
  <c r="Z76" i="3" s="1"/>
  <c r="P14" i="1" s="1"/>
  <c r="AA75" i="3"/>
  <c r="AC124" i="16"/>
  <c r="AB123" i="16"/>
  <c r="AG16" i="14"/>
  <c r="G22" i="14" s="1"/>
  <c r="BC23" i="14" s="1"/>
  <c r="BF23" i="14" s="1"/>
  <c r="AF16" i="14"/>
  <c r="D26" i="14"/>
  <c r="E26" i="14"/>
  <c r="C26" i="14"/>
  <c r="BB27" i="14" s="1"/>
  <c r="B20" i="14"/>
  <c r="BE21" i="14"/>
  <c r="BD21" i="14" s="1"/>
  <c r="AG28" i="14"/>
  <c r="G34" i="14" s="1"/>
  <c r="BC35" i="14" s="1"/>
  <c r="BF35" i="14" s="1"/>
  <c r="AF28" i="14"/>
  <c r="B32" i="14"/>
  <c r="BE33" i="14"/>
  <c r="BD33" i="14" s="1"/>
  <c r="B33" i="14"/>
  <c r="BE34" i="14"/>
  <c r="BD34" i="14" s="1"/>
  <c r="X10" i="3"/>
  <c r="I9" i="1" s="1"/>
  <c r="G9" i="1" s="1"/>
  <c r="AG5" i="14" s="1"/>
  <c r="G11" i="14" s="1"/>
  <c r="BC12" i="14" s="1"/>
  <c r="BA12" i="14" s="1"/>
  <c r="AL15" i="1"/>
  <c r="AK15" i="1" s="1"/>
  <c r="AM8" i="1"/>
  <c r="AF6" i="14"/>
  <c r="D12" i="14" s="1"/>
  <c r="L58" i="1"/>
  <c r="AG7" i="14"/>
  <c r="G13" i="14" s="1"/>
  <c r="BC14" i="14" s="1"/>
  <c r="BF14" i="14" s="1"/>
  <c r="AL16" i="1"/>
  <c r="AK16" i="1" s="1"/>
  <c r="L15" i="1" s="1"/>
  <c r="B16" i="16" s="1"/>
  <c r="AF7" i="14"/>
  <c r="D13" i="14" s="1"/>
  <c r="P34" i="1"/>
  <c r="Q34" i="1" s="1"/>
  <c r="AD8" i="1"/>
  <c r="A10" i="6"/>
  <c r="A7" i="6" s="1"/>
  <c r="A6" i="6" s="1"/>
  <c r="V10" i="1" s="1"/>
  <c r="L49" i="1"/>
  <c r="AC24" i="1"/>
  <c r="Y20" i="1" s="1"/>
  <c r="AG10" i="14"/>
  <c r="G16" i="14" s="1"/>
  <c r="BC17" i="14" s="1"/>
  <c r="BF17" i="14" s="1"/>
  <c r="AF10" i="14"/>
  <c r="X5" i="1"/>
  <c r="Q33" i="1"/>
  <c r="H40" i="1"/>
  <c r="N10" i="6"/>
  <c r="N8" i="6" s="1"/>
  <c r="P8" i="6" s="1"/>
  <c r="F29" i="1"/>
  <c r="AK13" i="1"/>
  <c r="AK14" i="1" s="1"/>
  <c r="CN6" i="3"/>
  <c r="CO6" i="3"/>
  <c r="Y135" i="3"/>
  <c r="AG6" i="14"/>
  <c r="G12" i="14" s="1"/>
  <c r="BC13" i="14" s="1"/>
  <c r="BF13" i="14" s="1"/>
  <c r="X28" i="3"/>
  <c r="Y28" i="3" s="1"/>
  <c r="I12" i="1" s="1"/>
  <c r="G12" i="1" s="1"/>
  <c r="X21" i="3"/>
  <c r="P10" i="1" s="1"/>
  <c r="AG8" i="14"/>
  <c r="G14" i="14" s="1"/>
  <c r="AF8" i="14"/>
  <c r="G172" i="6"/>
  <c r="W140" i="3"/>
  <c r="U140" i="3" s="1"/>
  <c r="X138" i="3" s="1"/>
  <c r="I11" i="1" s="1"/>
  <c r="G11" i="1" s="1"/>
  <c r="L141" i="3"/>
  <c r="L135" i="3"/>
  <c r="L139" i="3"/>
  <c r="L133" i="3"/>
  <c r="L138" i="3"/>
  <c r="L131" i="3"/>
  <c r="L134" i="3"/>
  <c r="L140" i="3"/>
  <c r="L136" i="3"/>
  <c r="L137" i="3"/>
  <c r="L130" i="3"/>
  <c r="L132" i="3"/>
  <c r="AB31" i="6" l="1"/>
  <c r="L14" i="1"/>
  <c r="B15" i="16" s="1"/>
  <c r="C23" i="14"/>
  <c r="BB24" i="14" s="1"/>
  <c r="E23" i="14"/>
  <c r="D23" i="14"/>
  <c r="D21" i="14"/>
  <c r="E21" i="14"/>
  <c r="C21" i="14"/>
  <c r="BB22" i="14" s="1"/>
  <c r="E24" i="14"/>
  <c r="D24" i="14"/>
  <c r="C24" i="14"/>
  <c r="BB25" i="14" s="1"/>
  <c r="U116" i="3"/>
  <c r="X116" i="3" s="1"/>
  <c r="I23" i="1" s="1"/>
  <c r="G23" i="1" s="1"/>
  <c r="N14" i="1"/>
  <c r="AB124" i="3"/>
  <c r="Y75" i="3"/>
  <c r="Z75" i="3" s="1"/>
  <c r="I15" i="1" s="1"/>
  <c r="N15" i="1" s="1"/>
  <c r="P76" i="3"/>
  <c r="AC125" i="16"/>
  <c r="AB124" i="16"/>
  <c r="AF5" i="14"/>
  <c r="C11" i="14" s="1"/>
  <c r="BB12" i="14" s="1"/>
  <c r="D22" i="14"/>
  <c r="E22" i="14"/>
  <c r="C22" i="14"/>
  <c r="BB23" i="14" s="1"/>
  <c r="BF12" i="14"/>
  <c r="BE27" i="14"/>
  <c r="BD27" i="14" s="1"/>
  <c r="B26" i="14"/>
  <c r="D34" i="14"/>
  <c r="C34" i="14"/>
  <c r="BB35" i="14" s="1"/>
  <c r="E34" i="14"/>
  <c r="C12" i="14"/>
  <c r="BB13" i="14" s="1"/>
  <c r="E12" i="14"/>
  <c r="C13" i="14"/>
  <c r="E13" i="14"/>
  <c r="BE14" i="14" s="1"/>
  <c r="BD14" i="14" s="1"/>
  <c r="C16" i="14"/>
  <c r="BB17" i="14" s="1"/>
  <c r="D16" i="14"/>
  <c r="E16" i="14"/>
  <c r="AG29" i="14"/>
  <c r="G35" i="14" s="1"/>
  <c r="BC36" i="14" s="1"/>
  <c r="BF36" i="14" s="1"/>
  <c r="AF29" i="14"/>
  <c r="AA138" i="3"/>
  <c r="AF135" i="3" s="1"/>
  <c r="Z133" i="3" s="1"/>
  <c r="X133" i="3" s="1"/>
  <c r="Z135" i="3"/>
  <c r="BA13" i="14"/>
  <c r="BA14" i="14" s="1"/>
  <c r="AW4" i="3"/>
  <c r="BA9" i="3"/>
  <c r="AX4" i="3" s="1"/>
  <c r="AV5" i="3"/>
  <c r="AW5" i="3"/>
  <c r="AV4" i="3"/>
  <c r="BA11" i="3"/>
  <c r="AX6" i="3" s="1"/>
  <c r="AW6" i="3"/>
  <c r="AV7" i="3"/>
  <c r="AV6" i="3"/>
  <c r="AV8" i="3"/>
  <c r="AF9" i="14"/>
  <c r="AG9" i="14"/>
  <c r="G15" i="14" s="1"/>
  <c r="BC16" i="14" s="1"/>
  <c r="BF16" i="14" s="1"/>
  <c r="N7" i="6"/>
  <c r="P7" i="6" s="1"/>
  <c r="G26" i="1"/>
  <c r="G28" i="1" s="1"/>
  <c r="AV132" i="3"/>
  <c r="AW132" i="3"/>
  <c r="AX132" i="3"/>
  <c r="AZ132" i="3"/>
  <c r="AW137" i="3"/>
  <c r="AV137" i="3"/>
  <c r="AZ137" i="3"/>
  <c r="AX137" i="3"/>
  <c r="AV140" i="3"/>
  <c r="AZ140" i="3"/>
  <c r="AX140" i="3"/>
  <c r="AW140" i="3"/>
  <c r="AZ131" i="3"/>
  <c r="AV131" i="3"/>
  <c r="AW131" i="3"/>
  <c r="AX131" i="3"/>
  <c r="AV133" i="3"/>
  <c r="AZ133" i="3"/>
  <c r="AX133" i="3"/>
  <c r="AW133" i="3"/>
  <c r="AX135" i="3"/>
  <c r="AW135" i="3"/>
  <c r="AV135" i="3"/>
  <c r="AZ135" i="3"/>
  <c r="D14" i="14"/>
  <c r="C14" i="14"/>
  <c r="BB15" i="14" s="1"/>
  <c r="E14" i="14"/>
  <c r="AZ130" i="3"/>
  <c r="AV130" i="3"/>
  <c r="AX130" i="3"/>
  <c r="AW130" i="3"/>
  <c r="AZ68" i="3"/>
  <c r="AX68" i="3"/>
  <c r="AZ72" i="3"/>
  <c r="AX72" i="3"/>
  <c r="AV90" i="3"/>
  <c r="AX90" i="3"/>
  <c r="AZ87" i="3"/>
  <c r="AV87" i="3"/>
  <c r="AV89" i="3"/>
  <c r="AX89" i="3"/>
  <c r="AV71" i="3"/>
  <c r="AZ71" i="3"/>
  <c r="AV74" i="3"/>
  <c r="AW74" i="3"/>
  <c r="AZ84" i="3"/>
  <c r="AW84" i="3"/>
  <c r="AX75" i="3"/>
  <c r="AW75" i="3"/>
  <c r="AW88" i="3"/>
  <c r="AZ88" i="3"/>
  <c r="AX73" i="3"/>
  <c r="AV73" i="3"/>
  <c r="AV70" i="3"/>
  <c r="AZ70" i="3"/>
  <c r="AV123" i="3"/>
  <c r="AW123" i="3"/>
  <c r="AZ124" i="3"/>
  <c r="AV124" i="3"/>
  <c r="AZ120" i="3"/>
  <c r="AW120" i="3"/>
  <c r="AV115" i="3"/>
  <c r="AX115" i="3"/>
  <c r="AW111" i="3"/>
  <c r="AV111" i="3"/>
  <c r="AW107" i="3"/>
  <c r="AX107" i="3"/>
  <c r="AZ106" i="3"/>
  <c r="AW106" i="3"/>
  <c r="AX98" i="3"/>
  <c r="AW98" i="3"/>
  <c r="AW91" i="3"/>
  <c r="AX91" i="3"/>
  <c r="AX93" i="3"/>
  <c r="AV93" i="3"/>
  <c r="AX66" i="3"/>
  <c r="AW66" i="3"/>
  <c r="AV125" i="3"/>
  <c r="AW125" i="3"/>
  <c r="AV126" i="3"/>
  <c r="AW126" i="3"/>
  <c r="AV122" i="3"/>
  <c r="AZ122" i="3"/>
  <c r="AV117" i="3"/>
  <c r="AX117" i="3"/>
  <c r="AZ112" i="3"/>
  <c r="AX112" i="3"/>
  <c r="AW109" i="3"/>
  <c r="AV109" i="3"/>
  <c r="AW99" i="3"/>
  <c r="AV99" i="3"/>
  <c r="AW95" i="3"/>
  <c r="AX95" i="3"/>
  <c r="AV94" i="3"/>
  <c r="AX94" i="3"/>
  <c r="AZ96" i="3"/>
  <c r="AW96" i="3"/>
  <c r="AV63" i="3"/>
  <c r="AW63" i="3"/>
  <c r="AZ61" i="3"/>
  <c r="AX61" i="3"/>
  <c r="AX59" i="3"/>
  <c r="AZ57" i="3"/>
  <c r="AX62" i="3"/>
  <c r="AW60" i="3"/>
  <c r="AV58" i="3"/>
  <c r="AZ56" i="3"/>
  <c r="AX55" i="3"/>
  <c r="AW50" i="3"/>
  <c r="AW42" i="3"/>
  <c r="AV35" i="3"/>
  <c r="AZ43" i="3"/>
  <c r="AZ37" i="3"/>
  <c r="AV36" i="3"/>
  <c r="AZ40" i="3"/>
  <c r="AX47" i="3"/>
  <c r="AX54" i="3"/>
  <c r="AZ51" i="3"/>
  <c r="AV51" i="3"/>
  <c r="AV46" i="3"/>
  <c r="AV34" i="3"/>
  <c r="AX38" i="3"/>
  <c r="AV39" i="3"/>
  <c r="AX41" i="3"/>
  <c r="AV42" i="3"/>
  <c r="AX44" i="3"/>
  <c r="AZ48" i="3"/>
  <c r="AW49" i="3"/>
  <c r="AV54" i="3"/>
  <c r="AX53" i="3"/>
  <c r="AZ59" i="3"/>
  <c r="AX57" i="3"/>
  <c r="AV62" i="3"/>
  <c r="AZ60" i="3"/>
  <c r="AX58" i="3"/>
  <c r="AX56" i="3"/>
  <c r="AV55" i="3"/>
  <c r="AZ45" i="3"/>
  <c r="AW33" i="3"/>
  <c r="AV40" i="3"/>
  <c r="AZ47" i="3"/>
  <c r="AZ46" i="3"/>
  <c r="AZ34" i="3"/>
  <c r="AZ44" i="3"/>
  <c r="AW48" i="3"/>
  <c r="AZ49" i="3"/>
  <c r="AW54" i="3"/>
  <c r="AW51" i="3"/>
  <c r="AW53" i="3"/>
  <c r="AV45" i="3"/>
  <c r="AZ33" i="3"/>
  <c r="AW35" i="3"/>
  <c r="AX43" i="3"/>
  <c r="AW37" i="3"/>
  <c r="AX36" i="3"/>
  <c r="AW38" i="3"/>
  <c r="AZ39" i="3"/>
  <c r="AV41" i="3"/>
  <c r="AV52" i="3"/>
  <c r="AZ67" i="3"/>
  <c r="AV83" i="3"/>
  <c r="AZ83" i="3"/>
  <c r="AZ86" i="3"/>
  <c r="AW86" i="3"/>
  <c r="AZ81" i="3"/>
  <c r="AW81" i="3"/>
  <c r="AV78" i="3"/>
  <c r="AX78" i="3"/>
  <c r="AV82" i="3"/>
  <c r="AX82" i="3"/>
  <c r="AW80" i="3"/>
  <c r="AV80" i="3"/>
  <c r="AZ77" i="3"/>
  <c r="AV77" i="3"/>
  <c r="AZ85" i="3"/>
  <c r="AV85" i="3"/>
  <c r="AX79" i="3"/>
  <c r="AV79" i="3"/>
  <c r="AW76" i="3"/>
  <c r="AX76" i="3"/>
  <c r="AV64" i="3"/>
  <c r="AW64" i="3"/>
  <c r="AW65" i="3"/>
  <c r="AZ65" i="3"/>
  <c r="AW128" i="3"/>
  <c r="AV128" i="3"/>
  <c r="AW129" i="3"/>
  <c r="AX129" i="3"/>
  <c r="AZ127" i="3"/>
  <c r="AW127" i="3"/>
  <c r="AZ113" i="3"/>
  <c r="AX113" i="3"/>
  <c r="AW108" i="3"/>
  <c r="AX108" i="3"/>
  <c r="AW105" i="3"/>
  <c r="AX105" i="3"/>
  <c r="AX102" i="3"/>
  <c r="AW102" i="3"/>
  <c r="AW97" i="3"/>
  <c r="AV97" i="3"/>
  <c r="AV100" i="3"/>
  <c r="AX100" i="3"/>
  <c r="AV121" i="3"/>
  <c r="AW121" i="3"/>
  <c r="AZ118" i="3"/>
  <c r="AX118" i="3"/>
  <c r="AX119" i="3"/>
  <c r="AW119" i="3"/>
  <c r="AW114" i="3"/>
  <c r="AX114" i="3"/>
  <c r="AZ116" i="3"/>
  <c r="AX116" i="3"/>
  <c r="AZ110" i="3"/>
  <c r="AV110" i="3"/>
  <c r="AX103" i="3"/>
  <c r="AV103" i="3"/>
  <c r="AV101" i="3"/>
  <c r="AX101" i="3"/>
  <c r="AV104" i="3"/>
  <c r="AW104" i="3"/>
  <c r="AX92" i="3"/>
  <c r="AV92" i="3"/>
  <c r="AX69" i="3"/>
  <c r="AW69" i="3"/>
  <c r="AV67" i="3"/>
  <c r="AW82" i="3"/>
  <c r="AZ80" i="3"/>
  <c r="AX77" i="3"/>
  <c r="AW85" i="3"/>
  <c r="AW79" i="3"/>
  <c r="AV76" i="3"/>
  <c r="AX64" i="3"/>
  <c r="AV65" i="3"/>
  <c r="AZ128" i="3"/>
  <c r="AZ129" i="3"/>
  <c r="AX127" i="3"/>
  <c r="AV113" i="3"/>
  <c r="AZ108" i="3"/>
  <c r="AZ105" i="3"/>
  <c r="AZ102" i="3"/>
  <c r="AX97" i="3"/>
  <c r="AW100" i="3"/>
  <c r="AZ121" i="3"/>
  <c r="AV118" i="3"/>
  <c r="AV119" i="3"/>
  <c r="AZ114" i="3"/>
  <c r="AV116" i="3"/>
  <c r="AX110" i="3"/>
  <c r="AW103" i="3"/>
  <c r="AZ101" i="3"/>
  <c r="AZ104" i="3"/>
  <c r="AZ92" i="3"/>
  <c r="AZ69" i="3"/>
  <c r="AW67" i="3"/>
  <c r="AV68" i="3"/>
  <c r="AW68" i="3"/>
  <c r="AW72" i="3"/>
  <c r="AV72" i="3"/>
  <c r="AZ90" i="3"/>
  <c r="AW90" i="3"/>
  <c r="AX87" i="3"/>
  <c r="AW87" i="3"/>
  <c r="AW89" i="3"/>
  <c r="AZ89" i="3"/>
  <c r="AX71" i="3"/>
  <c r="AW71" i="3"/>
  <c r="AX74" i="3"/>
  <c r="AZ74" i="3"/>
  <c r="AV84" i="3"/>
  <c r="AX84" i="3"/>
  <c r="AZ75" i="3"/>
  <c r="AV75" i="3"/>
  <c r="AX88" i="3"/>
  <c r="AV88" i="3"/>
  <c r="AW73" i="3"/>
  <c r="AZ73" i="3"/>
  <c r="AW70" i="3"/>
  <c r="AX70" i="3"/>
  <c r="AZ123" i="3"/>
  <c r="AX123" i="3"/>
  <c r="AX124" i="3"/>
  <c r="AW124" i="3"/>
  <c r="AV120" i="3"/>
  <c r="AX120" i="3"/>
  <c r="AZ115" i="3"/>
  <c r="AW115" i="3"/>
  <c r="AZ111" i="3"/>
  <c r="AX111" i="3"/>
  <c r="AV107" i="3"/>
  <c r="AZ107" i="3"/>
  <c r="AV106" i="3"/>
  <c r="AX106" i="3"/>
  <c r="AZ98" i="3"/>
  <c r="AV98" i="3"/>
  <c r="AZ91" i="3"/>
  <c r="AV91" i="3"/>
  <c r="AW93" i="3"/>
  <c r="AZ93" i="3"/>
  <c r="AV66" i="3"/>
  <c r="AZ66" i="3"/>
  <c r="AX125" i="3"/>
  <c r="AZ125" i="3"/>
  <c r="AZ126" i="3"/>
  <c r="AX126" i="3"/>
  <c r="AX122" i="3"/>
  <c r="AW122" i="3"/>
  <c r="AZ117" i="3"/>
  <c r="AW117" i="3"/>
  <c r="AW112" i="3"/>
  <c r="AV112" i="3"/>
  <c r="AZ109" i="3"/>
  <c r="AX109" i="3"/>
  <c r="AZ99" i="3"/>
  <c r="AX99" i="3"/>
  <c r="AZ95" i="3"/>
  <c r="AV95" i="3"/>
  <c r="AZ94" i="3"/>
  <c r="AW94" i="3"/>
  <c r="AV96" i="3"/>
  <c r="AX96" i="3"/>
  <c r="AZ63" i="3"/>
  <c r="AX63" i="3"/>
  <c r="AV61" i="3"/>
  <c r="AW61" i="3"/>
  <c r="AW59" i="3"/>
  <c r="AW57" i="3"/>
  <c r="AZ62" i="3"/>
  <c r="AX60" i="3"/>
  <c r="AW58" i="3"/>
  <c r="AV56" i="3"/>
  <c r="AW55" i="3"/>
  <c r="AX46" i="3"/>
  <c r="AW34" i="3"/>
  <c r="AW44" i="3"/>
  <c r="AX48" i="3"/>
  <c r="AV49" i="3"/>
  <c r="AW45" i="3"/>
  <c r="AX33" i="3"/>
  <c r="AV38" i="3"/>
  <c r="AW39" i="3"/>
  <c r="AW41" i="3"/>
  <c r="AX52" i="3"/>
  <c r="AV53" i="3"/>
  <c r="AX50" i="3"/>
  <c r="AZ42" i="3"/>
  <c r="AX40" i="3"/>
  <c r="AW47" i="3"/>
  <c r="AW46" i="3"/>
  <c r="AX34" i="3"/>
  <c r="AX35" i="3"/>
  <c r="AW43" i="3"/>
  <c r="AX37" i="3"/>
  <c r="AZ52" i="3"/>
  <c r="AV59" i="3"/>
  <c r="AV57" i="3"/>
  <c r="AW62" i="3"/>
  <c r="AV60" i="3"/>
  <c r="AZ58" i="3"/>
  <c r="AW56" i="3"/>
  <c r="AZ55" i="3"/>
  <c r="AZ50" i="3"/>
  <c r="AW36" i="3"/>
  <c r="AZ38" i="3"/>
  <c r="AX39" i="3"/>
  <c r="AZ41" i="3"/>
  <c r="AX42" i="3"/>
  <c r="AZ35" i="3"/>
  <c r="AV43" i="3"/>
  <c r="AV37" i="3"/>
  <c r="AW52" i="3"/>
  <c r="AZ53" i="3"/>
  <c r="AV50" i="3"/>
  <c r="AZ36" i="3"/>
  <c r="AV44" i="3"/>
  <c r="AV48" i="3"/>
  <c r="AX49" i="3"/>
  <c r="AX45" i="3"/>
  <c r="AV33" i="3"/>
  <c r="AW40" i="3"/>
  <c r="AV47" i="3"/>
  <c r="AZ54" i="3"/>
  <c r="AX51" i="3"/>
  <c r="AX67" i="3"/>
  <c r="AW83" i="3"/>
  <c r="AX83" i="3"/>
  <c r="AX86" i="3"/>
  <c r="AV86" i="3"/>
  <c r="AV81" i="3"/>
  <c r="AX81" i="3"/>
  <c r="AZ78" i="3"/>
  <c r="AW78" i="3"/>
  <c r="AZ82" i="3"/>
  <c r="AX80" i="3"/>
  <c r="AW77" i="3"/>
  <c r="AX85" i="3"/>
  <c r="AZ79" i="3"/>
  <c r="AZ76" i="3"/>
  <c r="AZ64" i="3"/>
  <c r="AX65" i="3"/>
  <c r="AX128" i="3"/>
  <c r="AV129" i="3"/>
  <c r="AV127" i="3"/>
  <c r="AW113" i="3"/>
  <c r="AV108" i="3"/>
  <c r="AV105" i="3"/>
  <c r="AV102" i="3"/>
  <c r="AZ97" i="3"/>
  <c r="AZ100" i="3"/>
  <c r="AX121" i="3"/>
  <c r="AW118" i="3"/>
  <c r="AZ119" i="3"/>
  <c r="AV114" i="3"/>
  <c r="AW116" i="3"/>
  <c r="AW110" i="3"/>
  <c r="AZ103" i="3"/>
  <c r="AW101" i="3"/>
  <c r="AX104" i="3"/>
  <c r="AW92" i="3"/>
  <c r="AV69" i="3"/>
  <c r="AZ136" i="3"/>
  <c r="AV136" i="3"/>
  <c r="AX136" i="3"/>
  <c r="AW136" i="3"/>
  <c r="AV134" i="3"/>
  <c r="AW134" i="3"/>
  <c r="AX134" i="3"/>
  <c r="AZ134" i="3"/>
  <c r="AW138" i="3"/>
  <c r="AV138" i="3"/>
  <c r="AX138" i="3"/>
  <c r="AZ138" i="3"/>
  <c r="AV139" i="3"/>
  <c r="AX139" i="3"/>
  <c r="AW139" i="3"/>
  <c r="AZ139" i="3"/>
  <c r="AX141" i="3"/>
  <c r="AW141" i="3"/>
  <c r="AZ141" i="3"/>
  <c r="AV141" i="3"/>
  <c r="W141" i="3"/>
  <c r="G173" i="6"/>
  <c r="G174" i="6" s="1"/>
  <c r="G175" i="6" s="1"/>
  <c r="G176" i="6" s="1"/>
  <c r="G177" i="6" s="1"/>
  <c r="G178" i="6" s="1"/>
  <c r="G179" i="6" s="1"/>
  <c r="G180" i="6" s="1"/>
  <c r="G181" i="6" s="1"/>
  <c r="G182" i="6" s="1"/>
  <c r="G183" i="6" s="1"/>
  <c r="G184" i="6" s="1"/>
  <c r="G185" i="6" s="1"/>
  <c r="G186" i="6" s="1"/>
  <c r="G187" i="6" s="1"/>
  <c r="G188" i="6" s="1"/>
  <c r="G189" i="6" s="1"/>
  <c r="G190" i="6" s="1"/>
  <c r="G191" i="6" s="1"/>
  <c r="G192" i="6" s="1"/>
  <c r="G193" i="6" s="1"/>
  <c r="G194" i="6" s="1"/>
  <c r="G195" i="6" s="1"/>
  <c r="G196" i="6" s="1"/>
  <c r="G197" i="6" s="1"/>
  <c r="G198" i="6" s="1"/>
  <c r="G199" i="6" s="1"/>
  <c r="G200" i="6" s="1"/>
  <c r="G201" i="6" s="1"/>
  <c r="G202" i="6" s="1"/>
  <c r="G203" i="6" s="1"/>
  <c r="G204" i="6" s="1"/>
  <c r="G205" i="6" s="1"/>
  <c r="G206" i="6" s="1"/>
  <c r="G207" i="6" s="1"/>
  <c r="G208" i="6" s="1"/>
  <c r="G209" i="6" s="1"/>
  <c r="G210" i="6" s="1"/>
  <c r="G211" i="6" s="1"/>
  <c r="G212" i="6" s="1"/>
  <c r="G213" i="6" s="1"/>
  <c r="G214" i="6" s="1"/>
  <c r="G215" i="6" s="1"/>
  <c r="G216" i="6" s="1"/>
  <c r="G217" i="6" s="1"/>
  <c r="G218" i="6" s="1"/>
  <c r="G219" i="6" s="1"/>
  <c r="G220" i="6" s="1"/>
  <c r="G221" i="6" s="1"/>
  <c r="G222" i="6" s="1"/>
  <c r="G223" i="6" s="1"/>
  <c r="G224" i="6" s="1"/>
  <c r="G225" i="6" s="1"/>
  <c r="G226" i="6" s="1"/>
  <c r="G227" i="6" s="1"/>
  <c r="G228" i="6" s="1"/>
  <c r="G229" i="6" s="1"/>
  <c r="G230" i="6" s="1"/>
  <c r="G231" i="6" s="1"/>
  <c r="G232" i="6" s="1"/>
  <c r="G233" i="6" s="1"/>
  <c r="G234" i="6" s="1"/>
  <c r="G235" i="6" s="1"/>
  <c r="G236" i="6" s="1"/>
  <c r="G237" i="6" s="1"/>
  <c r="G238" i="6" s="1"/>
  <c r="G239" i="6" s="1"/>
  <c r="G240" i="6" s="1"/>
  <c r="G241" i="6" s="1"/>
  <c r="G242" i="6" s="1"/>
  <c r="G243" i="6" s="1"/>
  <c r="G244" i="6" s="1"/>
  <c r="G245" i="6" s="1"/>
  <c r="G246" i="6" s="1"/>
  <c r="G247" i="6" s="1"/>
  <c r="G248" i="6" s="1"/>
  <c r="G249" i="6" s="1"/>
  <c r="G250" i="6" s="1"/>
  <c r="G251" i="6" s="1"/>
  <c r="G252" i="6" s="1"/>
  <c r="G253" i="6" s="1"/>
  <c r="G254" i="6" s="1"/>
  <c r="G255" i="6" s="1"/>
  <c r="G256" i="6" s="1"/>
  <c r="G257" i="6" s="1"/>
  <c r="G258" i="6" s="1"/>
  <c r="G259" i="6" s="1"/>
  <c r="G260" i="6" s="1"/>
  <c r="G261" i="6" s="1"/>
  <c r="G262" i="6" s="1"/>
  <c r="G263" i="6" s="1"/>
  <c r="G264" i="6" s="1"/>
  <c r="G265" i="6" s="1"/>
  <c r="G266" i="6" s="1"/>
  <c r="G267" i="6" s="1"/>
  <c r="G268" i="6" s="1"/>
  <c r="G269" i="6" s="1"/>
  <c r="G270" i="6" s="1"/>
  <c r="G271" i="6" s="1"/>
  <c r="G272" i="6" s="1"/>
  <c r="G273" i="6" s="1"/>
  <c r="G274" i="6" s="1"/>
  <c r="G275" i="6" s="1"/>
  <c r="G276" i="6" s="1"/>
  <c r="G277" i="6" s="1"/>
  <c r="G278" i="6" s="1"/>
  <c r="G279" i="6" s="1"/>
  <c r="N10" i="1"/>
  <c r="BC15" i="14"/>
  <c r="B23" i="14" l="1"/>
  <c r="BE24" i="14"/>
  <c r="BD24" i="14" s="1"/>
  <c r="B12" i="14"/>
  <c r="E60" i="1"/>
  <c r="BE22" i="14"/>
  <c r="BD22" i="14" s="1"/>
  <c r="B21" i="14"/>
  <c r="AZ13" i="3"/>
  <c r="B24" i="14"/>
  <c r="BE25" i="14"/>
  <c r="BD25" i="14" s="1"/>
  <c r="I21" i="1"/>
  <c r="G21" i="1" s="1"/>
  <c r="L62" i="1" s="1"/>
  <c r="AG21" i="14"/>
  <c r="G27" i="14" s="1"/>
  <c r="BC28" i="14" s="1"/>
  <c r="BF28" i="14" s="1"/>
  <c r="AK3" i="1"/>
  <c r="AF21" i="14"/>
  <c r="AF13" i="14"/>
  <c r="AG13" i="14"/>
  <c r="G19" i="14" s="1"/>
  <c r="BC20" i="14" s="1"/>
  <c r="BF20" i="14" s="1"/>
  <c r="L90" i="1"/>
  <c r="AF25" i="14"/>
  <c r="H71" i="1"/>
  <c r="AG25" i="14"/>
  <c r="G31" i="14" s="1"/>
  <c r="BC32" i="14" s="1"/>
  <c r="BF32" i="14" s="1"/>
  <c r="R48" i="1"/>
  <c r="BE13" i="14"/>
  <c r="BD13" i="14" s="1"/>
  <c r="E11" i="14"/>
  <c r="BE12" i="14" s="1"/>
  <c r="BD12" i="14" s="1"/>
  <c r="AC126" i="16"/>
  <c r="AB125" i="16"/>
  <c r="D11" i="14"/>
  <c r="B22" i="14"/>
  <c r="BE23" i="14"/>
  <c r="BD23" i="14" s="1"/>
  <c r="B34" i="14"/>
  <c r="BE35" i="14"/>
  <c r="BD35" i="14" s="1"/>
  <c r="B13" i="14"/>
  <c r="B16" i="14"/>
  <c r="BE17" i="14"/>
  <c r="BD17" i="14" s="1"/>
  <c r="D35" i="14"/>
  <c r="C35" i="14"/>
  <c r="BB36" i="14" s="1"/>
  <c r="E35" i="14"/>
  <c r="Z134" i="3"/>
  <c r="D15" i="14"/>
  <c r="C15" i="14"/>
  <c r="BB16" i="14" s="1"/>
  <c r="E15" i="14"/>
  <c r="AF22" i="14"/>
  <c r="N3" i="6"/>
  <c r="AG22" i="14"/>
  <c r="G28" i="14" s="1"/>
  <c r="N4" i="6"/>
  <c r="Q4" i="6" s="1"/>
  <c r="M32" i="1"/>
  <c r="M33" i="1" s="1"/>
  <c r="M36" i="1" s="1"/>
  <c r="P32" i="1" s="1"/>
  <c r="L71" i="1"/>
  <c r="L70" i="1"/>
  <c r="BF15" i="14"/>
  <c r="BA15" i="14"/>
  <c r="AV13" i="3"/>
  <c r="BA8" i="3" s="1"/>
  <c r="BB6" i="3" s="1"/>
  <c r="AW17" i="3"/>
  <c r="BA23" i="3"/>
  <c r="AX18" i="3" s="1"/>
  <c r="AV17" i="3"/>
  <c r="BA22" i="3"/>
  <c r="AX17" i="3" s="1"/>
  <c r="AV18" i="3"/>
  <c r="AV9" i="3"/>
  <c r="AV16" i="3"/>
  <c r="AV10" i="3"/>
  <c r="AZ22" i="3"/>
  <c r="AW16" i="3"/>
  <c r="AZ21" i="3"/>
  <c r="AV11" i="3"/>
  <c r="AW14" i="3"/>
  <c r="AW13" i="3"/>
  <c r="AZ23" i="3"/>
  <c r="AV14" i="3"/>
  <c r="AZ18" i="3"/>
  <c r="AW18" i="3"/>
  <c r="BA21" i="3"/>
  <c r="AX16" i="3" s="1"/>
  <c r="AV12" i="3"/>
  <c r="AV15" i="3"/>
  <c r="AV28" i="3"/>
  <c r="BA26" i="3"/>
  <c r="AX26" i="3" s="1"/>
  <c r="BA24" i="3"/>
  <c r="AX24" i="3" s="1"/>
  <c r="BA20" i="3"/>
  <c r="AX15" i="3" s="1"/>
  <c r="AW27" i="3"/>
  <c r="AV26" i="3"/>
  <c r="AZ27" i="3"/>
  <c r="AV31" i="3"/>
  <c r="AX28" i="3"/>
  <c r="AW25" i="3"/>
  <c r="AZ25" i="3"/>
  <c r="AW28" i="3"/>
  <c r="AZ26" i="3"/>
  <c r="AV27" i="3"/>
  <c r="AW26" i="3"/>
  <c r="AZ31" i="3"/>
  <c r="AX27" i="3"/>
  <c r="AZ24" i="3"/>
  <c r="AZ28" i="3"/>
  <c r="AX32" i="3"/>
  <c r="AX30" i="3"/>
  <c r="BA25" i="3"/>
  <c r="AX25" i="3" s="1"/>
  <c r="AX31" i="3"/>
  <c r="AW30" i="3"/>
  <c r="AW32" i="3"/>
  <c r="AX29" i="3"/>
  <c r="AV32" i="3"/>
  <c r="AW29" i="3"/>
  <c r="AV24" i="3"/>
  <c r="AW15" i="3"/>
  <c r="AW24" i="3"/>
  <c r="AZ30" i="3"/>
  <c r="AZ20" i="3"/>
  <c r="AV30" i="3"/>
  <c r="AW31" i="3"/>
  <c r="AZ29" i="3"/>
  <c r="AV25" i="3"/>
  <c r="AZ32" i="3"/>
  <c r="AV29" i="3"/>
  <c r="B14" i="14"/>
  <c r="BE15" i="14"/>
  <c r="BD15" i="14" s="1"/>
  <c r="AF19" i="14" l="1"/>
  <c r="C25" i="14" s="1"/>
  <c r="BB26" i="14" s="1"/>
  <c r="AG19" i="14"/>
  <c r="G25" i="14" s="1"/>
  <c r="BC26" i="14" s="1"/>
  <c r="BF26" i="14" s="1"/>
  <c r="D25" i="14"/>
  <c r="D27" i="14"/>
  <c r="E27" i="14"/>
  <c r="C27" i="14"/>
  <c r="BB28" i="14" s="1"/>
  <c r="E19" i="14"/>
  <c r="C19" i="14"/>
  <c r="D19" i="14"/>
  <c r="D31" i="14"/>
  <c r="T9" i="14" s="1"/>
  <c r="E31" i="14"/>
  <c r="C31" i="14"/>
  <c r="B11" i="14"/>
  <c r="AC127" i="16"/>
  <c r="AB126" i="16"/>
  <c r="BE36" i="14"/>
  <c r="BD36" i="14" s="1"/>
  <c r="B35" i="14"/>
  <c r="K71" i="1"/>
  <c r="AB134" i="3"/>
  <c r="AC134" i="3" s="1"/>
  <c r="AD136" i="3"/>
  <c r="AF136" i="3" s="1"/>
  <c r="F36" i="1"/>
  <c r="G36" i="1" s="1"/>
  <c r="F37" i="1"/>
  <c r="G37" i="1" s="1"/>
  <c r="S28" i="1"/>
  <c r="F35" i="1"/>
  <c r="G35" i="1" s="1"/>
  <c r="O36" i="1"/>
  <c r="P36" i="1" s="1"/>
  <c r="F34" i="1"/>
  <c r="Q32" i="1"/>
  <c r="BE16" i="14"/>
  <c r="BD16" i="14" s="1"/>
  <c r="B15" i="14"/>
  <c r="P3" i="6"/>
  <c r="Q3" i="6"/>
  <c r="BA16" i="14"/>
  <c r="BA17" i="14" s="1"/>
  <c r="BC29" i="14"/>
  <c r="E28" i="14"/>
  <c r="C28" i="14"/>
  <c r="BB29" i="14" s="1"/>
  <c r="D28" i="14"/>
  <c r="E25" i="14" l="1"/>
  <c r="B25" i="14" s="1"/>
  <c r="BE28" i="14"/>
  <c r="BD28" i="14" s="1"/>
  <c r="B27" i="14"/>
  <c r="BE20" i="14"/>
  <c r="BD20" i="14" s="1"/>
  <c r="B19" i="14"/>
  <c r="BE32" i="14"/>
  <c r="BD32" i="14" s="1"/>
  <c r="B31" i="14"/>
  <c r="AC128" i="16"/>
  <c r="AB127" i="16"/>
  <c r="CU6" i="3"/>
  <c r="Y131" i="3"/>
  <c r="AB133" i="3"/>
  <c r="Y133" i="3" s="1"/>
  <c r="X134" i="3" s="1"/>
  <c r="AB136" i="3"/>
  <c r="AC136" i="3" s="1"/>
  <c r="AB135" i="3"/>
  <c r="AC135" i="3" s="1"/>
  <c r="AG135" i="3" s="1"/>
  <c r="X135" i="3" s="1"/>
  <c r="V33" i="1"/>
  <c r="S29" i="1"/>
  <c r="F38" i="1"/>
  <c r="G34" i="1"/>
  <c r="L33" i="1" s="1"/>
  <c r="O34" i="1"/>
  <c r="O33" i="1"/>
  <c r="V32" i="1"/>
  <c r="P40" i="1"/>
  <c r="F31" i="1"/>
  <c r="V34" i="1"/>
  <c r="B28" i="14"/>
  <c r="BE29" i="14"/>
  <c r="BD29" i="14" s="1"/>
  <c r="BF29" i="14"/>
  <c r="P15" i="1" l="1"/>
  <c r="G15" i="1" s="1"/>
  <c r="AG136" i="3"/>
  <c r="X136" i="3" s="1"/>
  <c r="P13" i="1" s="1"/>
  <c r="N13" i="1" s="1"/>
  <c r="Y138" i="3"/>
  <c r="BE26" i="14"/>
  <c r="BD26" i="14" s="1"/>
  <c r="AZ19" i="3"/>
  <c r="AC129" i="16"/>
  <c r="AB128" i="16"/>
  <c r="V40" i="1"/>
  <c r="N40" i="1"/>
  <c r="P29" i="1" s="1"/>
  <c r="P30" i="1" s="1"/>
  <c r="H39" i="1" s="1"/>
  <c r="I37" i="1" s="1"/>
  <c r="H33" i="1"/>
  <c r="AA16" i="1" s="1"/>
  <c r="AT17" i="1" s="1"/>
  <c r="AT18" i="1" s="1"/>
  <c r="AT19" i="1" s="1"/>
  <c r="L78" i="1" l="1"/>
  <c r="N5" i="6"/>
  <c r="P5" i="6" s="1"/>
  <c r="AG12" i="14"/>
  <c r="G18" i="14" s="1"/>
  <c r="AH130" i="3" s="1"/>
  <c r="AF12" i="14"/>
  <c r="D18" i="14" s="1"/>
  <c r="AF24" i="14"/>
  <c r="AG24" i="14"/>
  <c r="G30" i="14" s="1"/>
  <c r="U137" i="3"/>
  <c r="AZ15" i="3" s="1"/>
  <c r="AZ10" i="3"/>
  <c r="AC130" i="16"/>
  <c r="AB129" i="16"/>
  <c r="Y26" i="1"/>
  <c r="Z30" i="1" s="1"/>
  <c r="Y11" i="1" s="1"/>
  <c r="V38" i="1"/>
  <c r="E18" i="14" l="1"/>
  <c r="BE19" i="14" s="1"/>
  <c r="BD19" i="14" s="1"/>
  <c r="AZ17" i="3"/>
  <c r="AZ11" i="3"/>
  <c r="BC19" i="14"/>
  <c r="BF19" i="14" s="1"/>
  <c r="C18" i="14"/>
  <c r="BB19" i="14" s="1"/>
  <c r="BC31" i="14"/>
  <c r="BF31" i="14" s="1"/>
  <c r="AH129" i="3"/>
  <c r="AZ9" i="3"/>
  <c r="O46" i="6"/>
  <c r="K46" i="6" s="1"/>
  <c r="K45" i="6" s="1"/>
  <c r="K43" i="6" s="1"/>
  <c r="D30" i="14"/>
  <c r="C30" i="14"/>
  <c r="BB31" i="14" s="1"/>
  <c r="E30" i="14"/>
  <c r="AC131" i="16"/>
  <c r="AB130" i="16"/>
  <c r="P135" i="3"/>
  <c r="AF130" i="3"/>
  <c r="BA10" i="3" l="1"/>
  <c r="AX5" i="3" s="1"/>
  <c r="B18" i="14"/>
  <c r="K44" i="6"/>
  <c r="S42" i="6"/>
  <c r="S41" i="6" s="1"/>
  <c r="S40" i="6" s="1"/>
  <c r="L6" i="1" s="1"/>
  <c r="AV2" i="3" s="1"/>
  <c r="J7" i="16" s="1"/>
  <c r="H7" i="16" s="1"/>
  <c r="B42" i="6"/>
  <c r="AC31" i="6"/>
  <c r="AC33" i="6" s="1"/>
  <c r="O6" i="1" s="1"/>
  <c r="CE8" i="3" s="1"/>
  <c r="CE9" i="3" s="1"/>
  <c r="B44" i="6"/>
  <c r="B45" i="6" s="1"/>
  <c r="AF129" i="3"/>
  <c r="P136" i="3"/>
  <c r="BE31" i="14"/>
  <c r="BD31" i="14" s="1"/>
  <c r="B30" i="14"/>
  <c r="AC132" i="16"/>
  <c r="AB131" i="16"/>
  <c r="BA18" i="3" l="1"/>
  <c r="AX13" i="3" s="1"/>
  <c r="BA19" i="3"/>
  <c r="AX14" i="3" s="1"/>
  <c r="S132" i="3"/>
  <c r="N134" i="3" s="1"/>
  <c r="AW10" i="3" s="1"/>
  <c r="AC133" i="16"/>
  <c r="AB132" i="16"/>
  <c r="AW7" i="3" l="1"/>
  <c r="AW12" i="3"/>
  <c r="AW9" i="3"/>
  <c r="AW11" i="3"/>
  <c r="AW8" i="3"/>
  <c r="AC134" i="16"/>
  <c r="AB133" i="16"/>
  <c r="BA15" i="3" l="1"/>
  <c r="AX10" i="3" s="1"/>
  <c r="BA13" i="3"/>
  <c r="AX8" i="3" s="1"/>
  <c r="AC135" i="16"/>
  <c r="AB134" i="16"/>
  <c r="AC136" i="16" l="1"/>
  <c r="AB135" i="16"/>
  <c r="AC137" i="16" l="1"/>
  <c r="AB136" i="16"/>
  <c r="T6" i="14" l="1"/>
  <c r="T3" i="14" s="1"/>
  <c r="AC138" i="16"/>
  <c r="AB137" i="16"/>
  <c r="AC139" i="16" l="1"/>
  <c r="AB138" i="16"/>
  <c r="AC140" i="16" l="1"/>
  <c r="AB139" i="16"/>
  <c r="AZ12" i="3" l="1"/>
  <c r="AC141" i="16"/>
  <c r="AB140" i="16"/>
  <c r="AC142" i="16" l="1"/>
  <c r="AB141" i="16"/>
  <c r="AC143" i="16" l="1"/>
  <c r="AB142" i="16"/>
  <c r="Y21" i="1" l="1"/>
  <c r="AC144" i="16"/>
  <c r="AB143" i="16"/>
  <c r="BA17" i="3" l="1"/>
  <c r="AX12" i="3" s="1"/>
  <c r="BA12" i="3"/>
  <c r="AX7" i="3" s="1"/>
  <c r="AC145" i="16"/>
  <c r="AB144" i="16"/>
  <c r="AC146" i="16" l="1"/>
  <c r="AB145" i="16"/>
  <c r="AC147" i="16" l="1"/>
  <c r="AB146" i="16"/>
  <c r="AC148" i="16" l="1"/>
  <c r="AB147" i="16"/>
  <c r="AC149" i="16" l="1"/>
  <c r="AB148" i="16"/>
  <c r="AC150" i="16" l="1"/>
  <c r="AB149" i="16"/>
  <c r="AC151" i="16" l="1"/>
  <c r="AB150" i="16"/>
  <c r="AC152" i="16" l="1"/>
  <c r="AB151" i="16"/>
  <c r="AC153" i="16" l="1"/>
  <c r="AB152" i="16"/>
  <c r="Y53" i="3" l="1"/>
  <c r="P59" i="3"/>
  <c r="P53" i="3"/>
  <c r="Y52" i="3"/>
  <c r="AC154" i="16"/>
  <c r="AB153" i="16"/>
  <c r="S59" i="3" l="1"/>
  <c r="BA16" i="3"/>
  <c r="AX11" i="3" s="1"/>
  <c r="CB59" i="3"/>
  <c r="AZ14" i="3"/>
  <c r="S53" i="3"/>
  <c r="CB53" i="3"/>
  <c r="AC155" i="16"/>
  <c r="AB154" i="16"/>
  <c r="V53" i="3" l="1"/>
  <c r="S130" i="3"/>
  <c r="W53" i="3"/>
  <c r="W59" i="3"/>
  <c r="V59" i="3"/>
  <c r="AC156" i="16"/>
  <c r="AB155" i="16"/>
  <c r="T131" i="3" l="1"/>
  <c r="Z130" i="3"/>
  <c r="V130" i="3"/>
  <c r="Z59" i="3"/>
  <c r="U59" i="3" s="1"/>
  <c r="AC53" i="3"/>
  <c r="AC157" i="16"/>
  <c r="AB156" i="16"/>
  <c r="X52" i="3" l="1"/>
  <c r="U53" i="3"/>
  <c r="AC51" i="3" s="1"/>
  <c r="I14" i="1" s="1"/>
  <c r="G14" i="1" s="1"/>
  <c r="AZ16" i="3"/>
  <c r="X56" i="3"/>
  <c r="X6" i="1"/>
  <c r="V131" i="3"/>
  <c r="AC158" i="16"/>
  <c r="AB157" i="16"/>
  <c r="AF11" i="14" l="1"/>
  <c r="AG11" i="14"/>
  <c r="G17" i="14" s="1"/>
  <c r="AG3" i="1"/>
  <c r="AO3" i="1" s="1"/>
  <c r="U130" i="3"/>
  <c r="AB53" i="3"/>
  <c r="AB52" i="3"/>
  <c r="Z52" i="3"/>
  <c r="Y59" i="3"/>
  <c r="P12" i="1"/>
  <c r="X130" i="3"/>
  <c r="AC159" i="16"/>
  <c r="AB158" i="16"/>
  <c r="AH128" i="3" l="1"/>
  <c r="BC18" i="14"/>
  <c r="E17" i="14"/>
  <c r="D17" i="14"/>
  <c r="C17" i="14"/>
  <c r="BB18" i="14" s="1"/>
  <c r="N12" i="1"/>
  <c r="X4" i="1"/>
  <c r="AC160" i="16"/>
  <c r="AB159" i="16"/>
  <c r="BA18" i="14" l="1"/>
  <c r="BF18" i="14"/>
  <c r="BE18" i="14"/>
  <c r="BD18" i="14" s="1"/>
  <c r="B17" i="14"/>
  <c r="P133" i="3"/>
  <c r="AF128" i="3"/>
  <c r="M63" i="1"/>
  <c r="N42" i="6" s="1"/>
  <c r="Q7" i="14" s="1"/>
  <c r="Y101" i="1"/>
  <c r="AH20" i="1" s="1"/>
  <c r="L76" i="1"/>
  <c r="I50" i="1"/>
  <c r="E40" i="1" s="1"/>
  <c r="E38" i="1" s="1"/>
  <c r="E39" i="1" s="1"/>
  <c r="K26" i="1"/>
  <c r="R39" i="1"/>
  <c r="M58" i="1"/>
  <c r="M60" i="1" s="1"/>
  <c r="AH22" i="1" s="1"/>
  <c r="R19" i="1" s="1"/>
  <c r="AC10" i="1"/>
  <c r="AB10" i="1"/>
  <c r="Y22" i="1"/>
  <c r="E26" i="1" s="1"/>
  <c r="E27" i="1" s="1"/>
  <c r="AG23" i="14"/>
  <c r="G29" i="14" s="1"/>
  <c r="M48" i="1"/>
  <c r="N48" i="1" s="1"/>
  <c r="AB19" i="1"/>
  <c r="V31" i="1"/>
  <c r="R31" i="1"/>
  <c r="R26" i="1" s="1"/>
  <c r="V28" i="1"/>
  <c r="V27" i="1" s="1"/>
  <c r="L67" i="1"/>
  <c r="AH18" i="1"/>
  <c r="AI3" i="1" s="1"/>
  <c r="AH13" i="1"/>
  <c r="AG13" i="1" s="1"/>
  <c r="AF23" i="14"/>
  <c r="AF10" i="1"/>
  <c r="Q5" i="1"/>
  <c r="AA3" i="1"/>
  <c r="N6" i="6"/>
  <c r="P6" i="6" s="1"/>
  <c r="P9" i="6" s="1"/>
  <c r="P6" i="14"/>
  <c r="P5" i="14" s="1"/>
  <c r="L88" i="1"/>
  <c r="V17" i="1"/>
  <c r="G71" i="1"/>
  <c r="H72" i="1" s="1"/>
  <c r="AC161" i="16"/>
  <c r="AB160" i="16"/>
  <c r="E35" i="1" l="1"/>
  <c r="AB13" i="1"/>
  <c r="E37" i="1"/>
  <c r="BA19" i="14"/>
  <c r="BA20" i="14" s="1"/>
  <c r="BA21" i="14" s="1"/>
  <c r="BA22" i="14" s="1"/>
  <c r="BA23" i="14" s="1"/>
  <c r="BA24" i="14" s="1"/>
  <c r="BA25" i="14" s="1"/>
  <c r="BA26" i="14" s="1"/>
  <c r="X20" i="6"/>
  <c r="V9" i="1"/>
  <c r="X3" i="1"/>
  <c r="AB4" i="1"/>
  <c r="D29" i="14"/>
  <c r="C29" i="14"/>
  <c r="BB30" i="14" s="1"/>
  <c r="E29" i="14"/>
  <c r="N42" i="14"/>
  <c r="X18" i="1"/>
  <c r="AA18" i="1" s="1"/>
  <c r="X17" i="1"/>
  <c r="AA17" i="1" s="1"/>
  <c r="X19" i="1"/>
  <c r="AE3" i="1"/>
  <c r="AL3" i="1"/>
  <c r="AH127" i="3"/>
  <c r="P134" i="3" s="1"/>
  <c r="BA14" i="3" s="1"/>
  <c r="AX9" i="3" s="1"/>
  <c r="BC30" i="14"/>
  <c r="BF30" i="14" s="1"/>
  <c r="AU17" i="14"/>
  <c r="AV17" i="14" s="1"/>
  <c r="AW17" i="14" s="1"/>
  <c r="AU12" i="14"/>
  <c r="AV12" i="14" s="1"/>
  <c r="AW12" i="14" s="1"/>
  <c r="AU15" i="14"/>
  <c r="AV15" i="14" s="1"/>
  <c r="AW15" i="14" s="1"/>
  <c r="AU22" i="14"/>
  <c r="AV22" i="14" s="1"/>
  <c r="AW22" i="14" s="1"/>
  <c r="AU11" i="14"/>
  <c r="AV11" i="14" s="1"/>
  <c r="AW11" i="14" s="1"/>
  <c r="AU18" i="14"/>
  <c r="AV18" i="14" s="1"/>
  <c r="AW18" i="14" s="1"/>
  <c r="AU13" i="14"/>
  <c r="AV13" i="14" s="1"/>
  <c r="AW13" i="14" s="1"/>
  <c r="AU20" i="14"/>
  <c r="AV20" i="14" s="1"/>
  <c r="AW20" i="14" s="1"/>
  <c r="AU16" i="14"/>
  <c r="AV16" i="14" s="1"/>
  <c r="AW16" i="14" s="1"/>
  <c r="AU14" i="14"/>
  <c r="AV14" i="14" s="1"/>
  <c r="AW14" i="14" s="1"/>
  <c r="AU21" i="14"/>
  <c r="AV21" i="14" s="1"/>
  <c r="AW21" i="14" s="1"/>
  <c r="AU19" i="14"/>
  <c r="AV19" i="14" s="1"/>
  <c r="AW19" i="14" s="1"/>
  <c r="N56" i="14"/>
  <c r="O6" i="14"/>
  <c r="AK9" i="1" s="1"/>
  <c r="BA27" i="14"/>
  <c r="BA28" i="14" s="1"/>
  <c r="BA29" i="14" s="1"/>
  <c r="AC162" i="16"/>
  <c r="AB161" i="16"/>
  <c r="BA30" i="14" l="1"/>
  <c r="AB3" i="1"/>
  <c r="AB5" i="1"/>
  <c r="Y3" i="1" s="1"/>
  <c r="Y6" i="1" s="1"/>
  <c r="AM9" i="1"/>
  <c r="AD24" i="1"/>
  <c r="Y16" i="1" s="1"/>
  <c r="AT20" i="1"/>
  <c r="AT21" i="1" s="1"/>
  <c r="L21" i="1" s="1"/>
  <c r="AA19" i="1"/>
  <c r="B29" i="14"/>
  <c r="BE30" i="14"/>
  <c r="BD30" i="14" s="1"/>
  <c r="T10" i="14"/>
  <c r="U10" i="14" s="1"/>
  <c r="AD34" i="14"/>
  <c r="W42" i="14"/>
  <c r="U7" i="14" s="1"/>
  <c r="S5" i="14" s="1"/>
  <c r="Y4" i="1"/>
  <c r="Y7" i="1" s="1"/>
  <c r="Y5" i="1" s="1"/>
  <c r="BA31" i="14"/>
  <c r="BA32" i="14" s="1"/>
  <c r="BA33" i="14" s="1"/>
  <c r="BA34" i="14" s="1"/>
  <c r="BA35" i="14" s="1"/>
  <c r="BA36" i="14" s="1"/>
  <c r="AC163" i="16"/>
  <c r="AB162" i="16"/>
  <c r="AY11" i="14" l="1"/>
  <c r="AW25" i="14" s="1"/>
  <c r="F12" i="7" s="1"/>
  <c r="AZ13" i="14"/>
  <c r="AY27" i="14" s="1"/>
  <c r="E14" i="7" s="1"/>
  <c r="H12" i="16" s="1"/>
  <c r="AZ11" i="14"/>
  <c r="AY25" i="14" s="1"/>
  <c r="E12" i="7" s="1"/>
  <c r="AX11" i="14"/>
  <c r="AV25" i="14" s="1"/>
  <c r="G12" i="7" s="1"/>
  <c r="Y14" i="1"/>
  <c r="AF18" i="1"/>
  <c r="I26" i="1" s="1"/>
  <c r="AY12" i="14"/>
  <c r="AW26" i="14" s="1"/>
  <c r="F13" i="7" s="1"/>
  <c r="AZ12" i="14"/>
  <c r="AY26" i="14" s="1"/>
  <c r="E13" i="7" s="1"/>
  <c r="AX12" i="14"/>
  <c r="AV26" i="14" s="1"/>
  <c r="G13" i="7" s="1"/>
  <c r="Y25" i="1"/>
  <c r="Y27" i="1" s="1"/>
  <c r="Y24" i="1" s="1"/>
  <c r="Y28" i="1"/>
  <c r="AB14" i="1" s="1"/>
  <c r="AA10" i="1" s="1"/>
  <c r="P11" i="14"/>
  <c r="AK6" i="1"/>
  <c r="N4" i="14"/>
  <c r="Z34" i="1"/>
  <c r="Z35" i="1" s="1"/>
  <c r="AA24" i="1" s="1"/>
  <c r="X24" i="1" s="1"/>
  <c r="AB22" i="1"/>
  <c r="X11" i="1" s="1"/>
  <c r="AB17" i="1"/>
  <c r="X100" i="1"/>
  <c r="AB16" i="1"/>
  <c r="BB9" i="3"/>
  <c r="AX13" i="14"/>
  <c r="AV27" i="14" s="1"/>
  <c r="G14" i="7" s="1"/>
  <c r="AY13" i="14"/>
  <c r="AW27" i="14" s="1"/>
  <c r="F14" i="7" s="1"/>
  <c r="F33" i="7"/>
  <c r="AY22" i="14"/>
  <c r="AW36" i="14" s="1"/>
  <c r="F23" i="7" s="1"/>
  <c r="AY23" i="14"/>
  <c r="AW37" i="14" s="1"/>
  <c r="AZ19" i="14"/>
  <c r="AY33" i="14" s="1"/>
  <c r="E20" i="7" s="1"/>
  <c r="F39" i="7" s="1"/>
  <c r="AX23" i="14"/>
  <c r="AV37" i="14" s="1"/>
  <c r="AZ21" i="14"/>
  <c r="AY35" i="14" s="1"/>
  <c r="E22" i="7" s="1"/>
  <c r="F41" i="7" s="1"/>
  <c r="AY14" i="14"/>
  <c r="AW28" i="14" s="1"/>
  <c r="F15" i="7" s="1"/>
  <c r="AZ18" i="14"/>
  <c r="AY32" i="14" s="1"/>
  <c r="E19" i="7" s="1"/>
  <c r="F38" i="7" s="1"/>
  <c r="AX16" i="14"/>
  <c r="AV30" i="14" s="1"/>
  <c r="G17" i="7" s="1"/>
  <c r="AY19" i="14"/>
  <c r="AW33" i="14" s="1"/>
  <c r="F20" i="7" s="1"/>
  <c r="AX18" i="14"/>
  <c r="AV32" i="14" s="1"/>
  <c r="G19" i="7" s="1"/>
  <c r="AZ23" i="14"/>
  <c r="AY37" i="14" s="1"/>
  <c r="AY15" i="14"/>
  <c r="AW29" i="14" s="1"/>
  <c r="F16" i="7" s="1"/>
  <c r="AY17" i="14"/>
  <c r="AW31" i="14" s="1"/>
  <c r="F18" i="7" s="1"/>
  <c r="AX15" i="14"/>
  <c r="AV29" i="14" s="1"/>
  <c r="G16" i="7" s="1"/>
  <c r="AX22" i="14"/>
  <c r="AV36" i="14" s="1"/>
  <c r="G23" i="7" s="1"/>
  <c r="AX17" i="14"/>
  <c r="AV31" i="14" s="1"/>
  <c r="G18" i="7" s="1"/>
  <c r="AZ14" i="14"/>
  <c r="AY28" i="14" s="1"/>
  <c r="E15" i="7" s="1"/>
  <c r="AZ20" i="14"/>
  <c r="AY34" i="14" s="1"/>
  <c r="E21" i="7" s="1"/>
  <c r="F40" i="7" s="1"/>
  <c r="AY21" i="14"/>
  <c r="AW35" i="14" s="1"/>
  <c r="F22" i="7" s="1"/>
  <c r="AY16" i="14"/>
  <c r="AW30" i="14" s="1"/>
  <c r="F17" i="7" s="1"/>
  <c r="AZ15" i="14"/>
  <c r="AY29" i="14" s="1"/>
  <c r="E16" i="7" s="1"/>
  <c r="AX21" i="14"/>
  <c r="AV35" i="14" s="1"/>
  <c r="G22" i="7" s="1"/>
  <c r="AX19" i="14"/>
  <c r="AV33" i="14" s="1"/>
  <c r="G20" i="7" s="1"/>
  <c r="AX14" i="14"/>
  <c r="AV28" i="14" s="1"/>
  <c r="G15" i="7" s="1"/>
  <c r="AX20" i="14"/>
  <c r="AV34" i="14" s="1"/>
  <c r="G21" i="7" s="1"/>
  <c r="AZ16" i="14"/>
  <c r="AY30" i="14" s="1"/>
  <c r="E17" i="7" s="1"/>
  <c r="AY20" i="14"/>
  <c r="AW34" i="14" s="1"/>
  <c r="F21" i="7" s="1"/>
  <c r="AZ22" i="14"/>
  <c r="AY36" i="14" s="1"/>
  <c r="E23" i="7" s="1"/>
  <c r="F42" i="7" s="1"/>
  <c r="AY18" i="14"/>
  <c r="AW32" i="14" s="1"/>
  <c r="F19" i="7" s="1"/>
  <c r="AZ17" i="14"/>
  <c r="AY31" i="14" s="1"/>
  <c r="E18" i="7" s="1"/>
  <c r="AC164" i="16"/>
  <c r="AB163" i="16"/>
  <c r="I10" i="16" l="1"/>
  <c r="H31" i="7"/>
  <c r="L31" i="7" s="1"/>
  <c r="E31" i="7"/>
  <c r="F10" i="2"/>
  <c r="D12" i="2"/>
  <c r="H10" i="16"/>
  <c r="F31" i="7"/>
  <c r="H64" i="4" s="1"/>
  <c r="D10" i="2"/>
  <c r="AK31" i="7"/>
  <c r="R12" i="7"/>
  <c r="G10" i="16"/>
  <c r="Y12" i="7"/>
  <c r="E10" i="2"/>
  <c r="E11" i="2"/>
  <c r="Y13" i="7"/>
  <c r="P13" i="7" s="1"/>
  <c r="G11" i="16"/>
  <c r="R13" i="7"/>
  <c r="AK32" i="7"/>
  <c r="F11" i="2"/>
  <c r="E32" i="7"/>
  <c r="I11" i="16"/>
  <c r="H32" i="7"/>
  <c r="L32" i="7" s="1"/>
  <c r="H11" i="16"/>
  <c r="F32" i="7"/>
  <c r="H76" i="4" s="1"/>
  <c r="D11" i="2"/>
  <c r="P27" i="14"/>
  <c r="L27" i="14" s="1"/>
  <c r="O27" i="14" s="1"/>
  <c r="P19" i="14"/>
  <c r="L19" i="14" s="1"/>
  <c r="O19" i="14" s="1"/>
  <c r="P18" i="14"/>
  <c r="L18" i="14" s="1"/>
  <c r="O18" i="14" s="1"/>
  <c r="P36" i="14"/>
  <c r="P21" i="14"/>
  <c r="P35" i="14"/>
  <c r="L35" i="14" s="1"/>
  <c r="O35" i="14" s="1"/>
  <c r="P17" i="14"/>
  <c r="L17" i="14" s="1"/>
  <c r="O17" i="14" s="1"/>
  <c r="P26" i="14"/>
  <c r="L26" i="14" s="1"/>
  <c r="O26" i="14" s="1"/>
  <c r="P24" i="14"/>
  <c r="L24" i="14" s="1"/>
  <c r="O24" i="14" s="1"/>
  <c r="P32" i="14"/>
  <c r="L32" i="14" s="1"/>
  <c r="O32" i="14" s="1"/>
  <c r="P13" i="14"/>
  <c r="L13" i="14" s="1"/>
  <c r="O13" i="14" s="1"/>
  <c r="P23" i="14"/>
  <c r="L23" i="14" s="1"/>
  <c r="O23" i="14" s="1"/>
  <c r="P25" i="14"/>
  <c r="L25" i="14" s="1"/>
  <c r="O25" i="14" s="1"/>
  <c r="P16" i="14"/>
  <c r="P30" i="14"/>
  <c r="L30" i="14" s="1"/>
  <c r="O30" i="14" s="1"/>
  <c r="P28" i="14"/>
  <c r="P15" i="14"/>
  <c r="L15" i="14" s="1"/>
  <c r="O15" i="14" s="1"/>
  <c r="L11" i="14"/>
  <c r="O11" i="14" s="1"/>
  <c r="AJ5" i="14" s="1"/>
  <c r="J11" i="14" s="1"/>
  <c r="P12" i="14"/>
  <c r="L12" i="14" s="1"/>
  <c r="O12" i="14" s="1"/>
  <c r="P20" i="14"/>
  <c r="L20" i="14" s="1"/>
  <c r="O20" i="14" s="1"/>
  <c r="P14" i="14"/>
  <c r="L14" i="14" s="1"/>
  <c r="O14" i="14" s="1"/>
  <c r="P29" i="14"/>
  <c r="L29" i="14" s="1"/>
  <c r="O29" i="14" s="1"/>
  <c r="P31" i="14"/>
  <c r="L31" i="14" s="1"/>
  <c r="O31" i="14" s="1"/>
  <c r="P33" i="14"/>
  <c r="L33" i="14" s="1"/>
  <c r="O33" i="14" s="1"/>
  <c r="P34" i="14"/>
  <c r="L34" i="14" s="1"/>
  <c r="O34" i="14" s="1"/>
  <c r="P22" i="14"/>
  <c r="L22" i="14" s="1"/>
  <c r="O22" i="14" s="1"/>
  <c r="I12" i="16"/>
  <c r="H33" i="7"/>
  <c r="L33" i="7" s="1"/>
  <c r="F12" i="2"/>
  <c r="E33" i="7"/>
  <c r="M33" i="7" s="1"/>
  <c r="J33" i="7" s="1"/>
  <c r="AK33" i="7"/>
  <c r="R14" i="7"/>
  <c r="E12" i="2"/>
  <c r="G12" i="16"/>
  <c r="Y14" i="7"/>
  <c r="P14" i="7" s="1"/>
  <c r="R19" i="7"/>
  <c r="Y19" i="7"/>
  <c r="AK38" i="7"/>
  <c r="Y21" i="7"/>
  <c r="AK40" i="7"/>
  <c r="R21" i="7"/>
  <c r="E40" i="7"/>
  <c r="H40" i="7"/>
  <c r="L40" i="7" s="1"/>
  <c r="H39" i="7"/>
  <c r="L39" i="7" s="1"/>
  <c r="E39" i="7"/>
  <c r="J39" i="7" s="1"/>
  <c r="H14" i="16"/>
  <c r="F35" i="7"/>
  <c r="H112" i="4" s="1"/>
  <c r="D14" i="2"/>
  <c r="Y22" i="7"/>
  <c r="AK41" i="7"/>
  <c r="R22" i="7"/>
  <c r="H13" i="16"/>
  <c r="D13" i="2"/>
  <c r="F34" i="7"/>
  <c r="H100" i="4" s="1"/>
  <c r="E42" i="7"/>
  <c r="H42" i="7"/>
  <c r="L42" i="7" s="1"/>
  <c r="Y18" i="7"/>
  <c r="P18" i="7" s="1"/>
  <c r="AK37" i="7"/>
  <c r="G16" i="16"/>
  <c r="E16" i="2"/>
  <c r="R18" i="7"/>
  <c r="AK39" i="7"/>
  <c r="Y20" i="7"/>
  <c r="R20" i="7"/>
  <c r="Y23" i="7"/>
  <c r="AK42" i="7"/>
  <c r="R23" i="7"/>
  <c r="H88" i="4"/>
  <c r="H16" i="16"/>
  <c r="F37" i="7"/>
  <c r="H136" i="4" s="1"/>
  <c r="D16" i="2"/>
  <c r="H15" i="16"/>
  <c r="F36" i="7"/>
  <c r="H124" i="4" s="1"/>
  <c r="D15" i="2"/>
  <c r="I13" i="16"/>
  <c r="F13" i="2"/>
  <c r="E34" i="7"/>
  <c r="M34" i="7" s="1"/>
  <c r="J34" i="7" s="1"/>
  <c r="H34" i="7"/>
  <c r="L34" i="7" s="1"/>
  <c r="H41" i="7"/>
  <c r="L41" i="7" s="1"/>
  <c r="E41" i="7"/>
  <c r="G15" i="16"/>
  <c r="R17" i="7"/>
  <c r="AK36" i="7"/>
  <c r="E15" i="2"/>
  <c r="Y17" i="7"/>
  <c r="P17" i="7" s="1"/>
  <c r="I16" i="16"/>
  <c r="H37" i="7"/>
  <c r="L37" i="7" s="1"/>
  <c r="E37" i="7"/>
  <c r="J37" i="7" s="1"/>
  <c r="F16" i="2"/>
  <c r="I14" i="16"/>
  <c r="H35" i="7"/>
  <c r="L35" i="7" s="1"/>
  <c r="E35" i="7"/>
  <c r="F14" i="2"/>
  <c r="E14" i="2"/>
  <c r="AK35" i="7"/>
  <c r="G14" i="16"/>
  <c r="Y16" i="7"/>
  <c r="P16" i="7" s="1"/>
  <c r="R16" i="7"/>
  <c r="E38" i="7"/>
  <c r="J38" i="7" s="1"/>
  <c r="H38" i="7"/>
  <c r="L38" i="7" s="1"/>
  <c r="I15" i="16"/>
  <c r="F15" i="2"/>
  <c r="H36" i="7"/>
  <c r="L36" i="7" s="1"/>
  <c r="E36" i="7"/>
  <c r="J36" i="7" s="1"/>
  <c r="G13" i="16"/>
  <c r="E13" i="2"/>
  <c r="R15" i="7"/>
  <c r="Y15" i="7"/>
  <c r="P15" i="7" s="1"/>
  <c r="AK34" i="7"/>
  <c r="E45" i="7"/>
  <c r="O9" i="14"/>
  <c r="AC165" i="16"/>
  <c r="AB164" i="16"/>
  <c r="D18" i="2" l="1"/>
  <c r="I31" i="4"/>
  <c r="C11" i="4"/>
  <c r="D10" i="4"/>
  <c r="J64" i="4" s="1"/>
  <c r="M31" i="7"/>
  <c r="J31" i="7" s="1"/>
  <c r="P12" i="7"/>
  <c r="AC7" i="7"/>
  <c r="D31" i="7"/>
  <c r="Q31" i="7"/>
  <c r="C11" i="8"/>
  <c r="D10" i="8"/>
  <c r="G31" i="8"/>
  <c r="D31" i="2"/>
  <c r="D32" i="7"/>
  <c r="Q32" i="7"/>
  <c r="M32" i="7"/>
  <c r="J32" i="7" s="1"/>
  <c r="AJ28" i="14"/>
  <c r="J34" i="14" s="1"/>
  <c r="S34" i="14"/>
  <c r="X34" i="14"/>
  <c r="T34" i="14" s="1"/>
  <c r="V34" i="14" s="1"/>
  <c r="W34" i="14" s="1"/>
  <c r="U34" i="14"/>
  <c r="AJ25" i="14"/>
  <c r="J31" i="14" s="1"/>
  <c r="S31" i="14"/>
  <c r="X31" i="14"/>
  <c r="T31" i="14" s="1"/>
  <c r="V31" i="14" s="1"/>
  <c r="W31" i="14" s="1"/>
  <c r="U31" i="14"/>
  <c r="AJ8" i="14"/>
  <c r="J14" i="14" s="1"/>
  <c r="U14" i="14"/>
  <c r="X14" i="14"/>
  <c r="T14" i="14" s="1"/>
  <c r="V14" i="14" s="1"/>
  <c r="W14" i="14" s="1"/>
  <c r="S14" i="14"/>
  <c r="AJ6" i="14"/>
  <c r="J12" i="14" s="1"/>
  <c r="S12" i="14"/>
  <c r="X12" i="14"/>
  <c r="T12" i="14" s="1"/>
  <c r="V12" i="14" s="1"/>
  <c r="U12" i="14"/>
  <c r="AJ9" i="14"/>
  <c r="J15" i="14" s="1"/>
  <c r="S15" i="14"/>
  <c r="U15" i="14"/>
  <c r="X15" i="14"/>
  <c r="T15" i="14" s="1"/>
  <c r="V15" i="14" s="1"/>
  <c r="AJ24" i="14"/>
  <c r="J30" i="14" s="1"/>
  <c r="X30" i="14"/>
  <c r="T30" i="14" s="1"/>
  <c r="V30" i="14" s="1"/>
  <c r="S30" i="14"/>
  <c r="U30" i="14"/>
  <c r="AJ19" i="14"/>
  <c r="J25" i="14" s="1"/>
  <c r="S25" i="14"/>
  <c r="X25" i="14"/>
  <c r="T25" i="14" s="1"/>
  <c r="V25" i="14" s="1"/>
  <c r="U25" i="14"/>
  <c r="AJ7" i="14"/>
  <c r="J13" i="14" s="1"/>
  <c r="X13" i="14"/>
  <c r="T13" i="14" s="1"/>
  <c r="V13" i="14" s="1"/>
  <c r="U13" i="14"/>
  <c r="S13" i="14"/>
  <c r="AJ18" i="14"/>
  <c r="J24" i="14" s="1"/>
  <c r="X24" i="14"/>
  <c r="T24" i="14" s="1"/>
  <c r="V24" i="14" s="1"/>
  <c r="U24" i="14"/>
  <c r="S24" i="14"/>
  <c r="AJ11" i="14"/>
  <c r="J17" i="14" s="1"/>
  <c r="X17" i="14"/>
  <c r="T17" i="14" s="1"/>
  <c r="V17" i="14" s="1"/>
  <c r="U17" i="14"/>
  <c r="S17" i="14"/>
  <c r="AJ30" i="14"/>
  <c r="J36" i="14" s="1"/>
  <c r="L36" i="14"/>
  <c r="AJ13" i="14"/>
  <c r="J19" i="14" s="1"/>
  <c r="S19" i="14"/>
  <c r="U19" i="14"/>
  <c r="X19" i="14"/>
  <c r="T19" i="14" s="1"/>
  <c r="V19" i="14" s="1"/>
  <c r="AJ16" i="14"/>
  <c r="J22" i="14" s="1"/>
  <c r="S22" i="14"/>
  <c r="X22" i="14"/>
  <c r="T22" i="14" s="1"/>
  <c r="V22" i="14" s="1"/>
  <c r="U22" i="14"/>
  <c r="AJ27" i="14"/>
  <c r="J33" i="14" s="1"/>
  <c r="S33" i="14"/>
  <c r="X33" i="14"/>
  <c r="T33" i="14" s="1"/>
  <c r="V33" i="14" s="1"/>
  <c r="U33" i="14"/>
  <c r="AJ23" i="14"/>
  <c r="J29" i="14" s="1"/>
  <c r="S29" i="14"/>
  <c r="X29" i="14"/>
  <c r="T29" i="14" s="1"/>
  <c r="V29" i="14" s="1"/>
  <c r="W29" i="14" s="1"/>
  <c r="U29" i="14"/>
  <c r="AJ14" i="14"/>
  <c r="J20" i="14" s="1"/>
  <c r="U20" i="14"/>
  <c r="S20" i="14"/>
  <c r="X20" i="14"/>
  <c r="T20" i="14" s="1"/>
  <c r="V20" i="14" s="1"/>
  <c r="W20" i="14" s="1"/>
  <c r="X11" i="14"/>
  <c r="T11" i="14" s="1"/>
  <c r="S11" i="14"/>
  <c r="U11" i="14"/>
  <c r="L28" i="14"/>
  <c r="O28" i="14" s="1"/>
  <c r="AJ22" i="14"/>
  <c r="J28" i="14" s="1"/>
  <c r="L16" i="14"/>
  <c r="O16" i="14" s="1"/>
  <c r="AJ10" i="14"/>
  <c r="J16" i="14" s="1"/>
  <c r="AJ17" i="14"/>
  <c r="J23" i="14" s="1"/>
  <c r="S23" i="14"/>
  <c r="X23" i="14"/>
  <c r="T23" i="14" s="1"/>
  <c r="V23" i="14" s="1"/>
  <c r="U23" i="14"/>
  <c r="AJ26" i="14"/>
  <c r="J32" i="14" s="1"/>
  <c r="S32" i="14"/>
  <c r="X32" i="14"/>
  <c r="T32" i="14" s="1"/>
  <c r="V32" i="14" s="1"/>
  <c r="U32" i="14"/>
  <c r="AJ20" i="14"/>
  <c r="J26" i="14" s="1"/>
  <c r="U26" i="14"/>
  <c r="X26" i="14"/>
  <c r="T26" i="14" s="1"/>
  <c r="V26" i="14" s="1"/>
  <c r="S26" i="14"/>
  <c r="AJ29" i="14"/>
  <c r="J35" i="14" s="1"/>
  <c r="X35" i="14"/>
  <c r="T35" i="14" s="1"/>
  <c r="V35" i="14" s="1"/>
  <c r="W35" i="14" s="1"/>
  <c r="U35" i="14"/>
  <c r="S35" i="14"/>
  <c r="L21" i="14"/>
  <c r="O21" i="14" s="1"/>
  <c r="AJ15" i="14"/>
  <c r="J21" i="14" s="1"/>
  <c r="AJ12" i="14"/>
  <c r="J18" i="14" s="1"/>
  <c r="X18" i="14"/>
  <c r="T18" i="14" s="1"/>
  <c r="V18" i="14" s="1"/>
  <c r="W18" i="14" s="1"/>
  <c r="U18" i="14"/>
  <c r="S18" i="14"/>
  <c r="AJ21" i="14"/>
  <c r="J27" i="14" s="1"/>
  <c r="S27" i="14"/>
  <c r="X27" i="14"/>
  <c r="T27" i="14" s="1"/>
  <c r="V27" i="14" s="1"/>
  <c r="U27" i="14"/>
  <c r="D33" i="7"/>
  <c r="Q33" i="7"/>
  <c r="D38" i="7"/>
  <c r="Q38" i="7"/>
  <c r="J35" i="7"/>
  <c r="M35" i="7"/>
  <c r="D34" i="7"/>
  <c r="Q34" i="7"/>
  <c r="G31" i="13"/>
  <c r="D96" i="2"/>
  <c r="D10" i="13"/>
  <c r="C11" i="13"/>
  <c r="P23" i="7"/>
  <c r="H23" i="7"/>
  <c r="P20" i="7"/>
  <c r="H20" i="7"/>
  <c r="P22" i="7"/>
  <c r="H22" i="7"/>
  <c r="G31" i="11"/>
  <c r="C11" i="11"/>
  <c r="D70" i="2"/>
  <c r="D10" i="11"/>
  <c r="Q40" i="7"/>
  <c r="D40" i="7"/>
  <c r="K40" i="7" s="1"/>
  <c r="P21" i="7"/>
  <c r="H21" i="7"/>
  <c r="P19" i="7"/>
  <c r="H19" i="7"/>
  <c r="Q36" i="7"/>
  <c r="D36" i="7"/>
  <c r="D35" i="7"/>
  <c r="Q35" i="7"/>
  <c r="Q37" i="7"/>
  <c r="D37" i="7"/>
  <c r="Q41" i="7"/>
  <c r="D41" i="7"/>
  <c r="K41" i="7" s="1"/>
  <c r="G31" i="12"/>
  <c r="C11" i="12"/>
  <c r="D10" i="12"/>
  <c r="D83" i="2"/>
  <c r="G31" i="9"/>
  <c r="D44" i="2"/>
  <c r="D10" i="9"/>
  <c r="C11" i="9"/>
  <c r="Q42" i="7"/>
  <c r="D43" i="7"/>
  <c r="D42" i="7"/>
  <c r="K42" i="7" s="1"/>
  <c r="D10" i="10"/>
  <c r="C11" i="10"/>
  <c r="G31" i="10"/>
  <c r="D57" i="2"/>
  <c r="D39" i="7"/>
  <c r="Q39" i="7"/>
  <c r="AC166" i="16"/>
  <c r="AB165" i="16"/>
  <c r="H31" i="4" l="1"/>
  <c r="O31" i="4" s="1"/>
  <c r="L31" i="4" s="1"/>
  <c r="J65" i="4"/>
  <c r="K31" i="4"/>
  <c r="N31" i="4" s="1"/>
  <c r="W17" i="14"/>
  <c r="I64" i="4"/>
  <c r="W26" i="14"/>
  <c r="W19" i="14"/>
  <c r="W24" i="14"/>
  <c r="W13" i="14"/>
  <c r="W15" i="14"/>
  <c r="K31" i="7"/>
  <c r="J76" i="4"/>
  <c r="W27" i="14"/>
  <c r="S21" i="14"/>
  <c r="U21" i="14"/>
  <c r="X21" i="14"/>
  <c r="T21" i="14" s="1"/>
  <c r="V21" i="14" s="1"/>
  <c r="W21" i="14" s="1"/>
  <c r="W32" i="14"/>
  <c r="W23" i="14"/>
  <c r="S16" i="14"/>
  <c r="U16" i="14"/>
  <c r="X16" i="14"/>
  <c r="T16" i="14" s="1"/>
  <c r="V16" i="14" s="1"/>
  <c r="U28" i="14"/>
  <c r="S28" i="14"/>
  <c r="X28" i="14"/>
  <c r="T28" i="14" s="1"/>
  <c r="V28" i="14" s="1"/>
  <c r="W28" i="14" s="1"/>
  <c r="U38" i="14"/>
  <c r="V11" i="14"/>
  <c r="W11" i="14" s="1"/>
  <c r="T55" i="14"/>
  <c r="T56" i="14" s="1"/>
  <c r="T57" i="14" s="1"/>
  <c r="T38" i="14"/>
  <c r="S7" i="14" s="1"/>
  <c r="W33" i="14"/>
  <c r="W22" i="14"/>
  <c r="W25" i="14"/>
  <c r="W12" i="14"/>
  <c r="R8" i="14"/>
  <c r="S38" i="14"/>
  <c r="R9" i="14"/>
  <c r="W30" i="14"/>
  <c r="T7" i="14"/>
  <c r="J100" i="4"/>
  <c r="J88" i="4"/>
  <c r="I88" i="4" s="1"/>
  <c r="J124" i="4"/>
  <c r="I124" i="4" s="1"/>
  <c r="AK19" i="7"/>
  <c r="AX19" i="7"/>
  <c r="AX21" i="7"/>
  <c r="AK21" i="7"/>
  <c r="J112" i="4"/>
  <c r="I112" i="4" s="1"/>
  <c r="AK22" i="7"/>
  <c r="AX22" i="7"/>
  <c r="AK20" i="7"/>
  <c r="AX20" i="7"/>
  <c r="AX23" i="7"/>
  <c r="AK23" i="7"/>
  <c r="K37" i="7"/>
  <c r="K36" i="7"/>
  <c r="K34" i="7"/>
  <c r="K32" i="7"/>
  <c r="K33" i="7"/>
  <c r="K39" i="7"/>
  <c r="K35" i="7"/>
  <c r="K38" i="7"/>
  <c r="I100" i="4"/>
  <c r="F31" i="10"/>
  <c r="M31" i="10" s="1"/>
  <c r="J31" i="10" s="1"/>
  <c r="J101" i="4"/>
  <c r="I31" i="10"/>
  <c r="L31" i="10" s="1"/>
  <c r="J136" i="4"/>
  <c r="I136" i="4" s="1"/>
  <c r="AC167" i="16"/>
  <c r="AB166" i="16"/>
  <c r="H65" i="4" l="1"/>
  <c r="K32" i="4"/>
  <c r="N32" i="4" s="1"/>
  <c r="H32" i="4"/>
  <c r="J66" i="4"/>
  <c r="Z12" i="4"/>
  <c r="AL31" i="4"/>
  <c r="S12" i="4"/>
  <c r="C64" i="4"/>
  <c r="E64" i="4" s="1"/>
  <c r="E18" i="2"/>
  <c r="A18" i="2" s="1"/>
  <c r="C18" i="2" s="1"/>
  <c r="E31" i="4"/>
  <c r="R31" i="4"/>
  <c r="I31" i="8"/>
  <c r="L31" i="8" s="1"/>
  <c r="F31" i="8"/>
  <c r="M31" i="8" s="1"/>
  <c r="J31" i="8" s="1"/>
  <c r="J77" i="4"/>
  <c r="W16" i="14"/>
  <c r="W38" i="14" s="1"/>
  <c r="I76" i="4"/>
  <c r="S9" i="14"/>
  <c r="S6" i="14" s="1"/>
  <c r="S10" i="14" s="1"/>
  <c r="Q9" i="14"/>
  <c r="Q10" i="14"/>
  <c r="Q12" i="13"/>
  <c r="AJ31" i="13"/>
  <c r="E96" i="2"/>
  <c r="X12" i="13"/>
  <c r="M12" i="13" s="1"/>
  <c r="AJ31" i="11"/>
  <c r="E70" i="2"/>
  <c r="X12" i="11"/>
  <c r="M12" i="11" s="1"/>
  <c r="Q12" i="11"/>
  <c r="AJ31" i="12"/>
  <c r="E83" i="2"/>
  <c r="Q12" i="12"/>
  <c r="X12" i="12"/>
  <c r="M12" i="12" s="1"/>
  <c r="E31" i="10"/>
  <c r="P31" i="10"/>
  <c r="I31" i="9"/>
  <c r="L31" i="9" s="1"/>
  <c r="J89" i="4"/>
  <c r="F31" i="9"/>
  <c r="M31" i="9" s="1"/>
  <c r="J31" i="9" s="1"/>
  <c r="J137" i="4"/>
  <c r="F31" i="13"/>
  <c r="M31" i="13" s="1"/>
  <c r="J31" i="13" s="1"/>
  <c r="I31" i="13"/>
  <c r="L31" i="13" s="1"/>
  <c r="I32" i="10"/>
  <c r="L32" i="10" s="1"/>
  <c r="J102" i="4"/>
  <c r="H101" i="4"/>
  <c r="F32" i="10"/>
  <c r="X12" i="10"/>
  <c r="AJ31" i="10"/>
  <c r="Q12" i="10"/>
  <c r="E57" i="2"/>
  <c r="F31" i="11"/>
  <c r="M31" i="11" s="1"/>
  <c r="J31" i="11" s="1"/>
  <c r="I31" i="11"/>
  <c r="L31" i="11" s="1"/>
  <c r="J113" i="4"/>
  <c r="AB7" i="11"/>
  <c r="I31" i="12"/>
  <c r="L31" i="12" s="1"/>
  <c r="F31" i="12"/>
  <c r="M31" i="12" s="1"/>
  <c r="J31" i="12" s="1"/>
  <c r="J125" i="4"/>
  <c r="X12" i="9"/>
  <c r="M12" i="9" s="1"/>
  <c r="Q12" i="9"/>
  <c r="E44" i="2"/>
  <c r="AJ31" i="9"/>
  <c r="AC168" i="16"/>
  <c r="AB167" i="16"/>
  <c r="AD7" i="4" l="1"/>
  <c r="O12" i="4"/>
  <c r="I65" i="4"/>
  <c r="I32" i="4"/>
  <c r="O32" i="4" s="1"/>
  <c r="L32" i="4" s="1"/>
  <c r="D19" i="2"/>
  <c r="AB7" i="12"/>
  <c r="AB52" i="13"/>
  <c r="H66" i="4"/>
  <c r="J67" i="4"/>
  <c r="H33" i="4"/>
  <c r="K33" i="4"/>
  <c r="N33" i="4" s="1"/>
  <c r="E32" i="4"/>
  <c r="R32" i="4"/>
  <c r="AJ31" i="8"/>
  <c r="Q12" i="8"/>
  <c r="E31" i="2"/>
  <c r="X12" i="8"/>
  <c r="I32" i="8"/>
  <c r="L32" i="8" s="1"/>
  <c r="F32" i="8"/>
  <c r="H77" i="4"/>
  <c r="J78" i="4"/>
  <c r="P31" i="8"/>
  <c r="E31" i="8"/>
  <c r="P9" i="14"/>
  <c r="P10" i="14" s="1"/>
  <c r="R6" i="14"/>
  <c r="AJ12" i="9"/>
  <c r="J44" i="2" s="1"/>
  <c r="G44" i="2"/>
  <c r="AX60" i="7"/>
  <c r="I32" i="12"/>
  <c r="L32" i="12" s="1"/>
  <c r="F32" i="12"/>
  <c r="J126" i="4"/>
  <c r="H125" i="4"/>
  <c r="P31" i="12"/>
  <c r="E31" i="12"/>
  <c r="H113" i="4"/>
  <c r="J114" i="4"/>
  <c r="I32" i="11"/>
  <c r="L32" i="11" s="1"/>
  <c r="F32" i="11"/>
  <c r="M12" i="10"/>
  <c r="AB7" i="10"/>
  <c r="D58" i="2"/>
  <c r="I101" i="4"/>
  <c r="G32" i="10"/>
  <c r="M32" i="10" s="1"/>
  <c r="J32" i="10" s="1"/>
  <c r="P32" i="10"/>
  <c r="E32" i="10"/>
  <c r="AB7" i="9"/>
  <c r="G83" i="2"/>
  <c r="AX108" i="7"/>
  <c r="AJ12" i="12"/>
  <c r="J83" i="2" s="1"/>
  <c r="G96" i="2"/>
  <c r="AJ12" i="13"/>
  <c r="J96" i="2" s="1"/>
  <c r="AX124" i="7"/>
  <c r="E31" i="11"/>
  <c r="P31" i="11"/>
  <c r="H102" i="4"/>
  <c r="J103" i="4"/>
  <c r="F33" i="10"/>
  <c r="I33" i="10"/>
  <c r="L33" i="10" s="1"/>
  <c r="P31" i="13"/>
  <c r="E31" i="13"/>
  <c r="H137" i="4"/>
  <c r="J138" i="4"/>
  <c r="F32" i="13"/>
  <c r="I32" i="13"/>
  <c r="L32" i="13" s="1"/>
  <c r="I32" i="9"/>
  <c r="L32" i="9" s="1"/>
  <c r="F32" i="9"/>
  <c r="J90" i="4"/>
  <c r="H89" i="4"/>
  <c r="E31" i="9"/>
  <c r="P31" i="9"/>
  <c r="AX92" i="7"/>
  <c r="AJ12" i="11"/>
  <c r="J70" i="2" s="1"/>
  <c r="G70" i="2"/>
  <c r="AC169" i="16"/>
  <c r="AB168" i="16"/>
  <c r="E33" i="4" l="1"/>
  <c r="R33" i="4"/>
  <c r="J68" i="4"/>
  <c r="K34" i="4"/>
  <c r="N34" i="4" s="1"/>
  <c r="H34" i="4"/>
  <c r="H67" i="4"/>
  <c r="C65" i="4"/>
  <c r="E65" i="4" s="1"/>
  <c r="AL32" i="4"/>
  <c r="Z13" i="4"/>
  <c r="O13" i="4" s="1"/>
  <c r="E19" i="2"/>
  <c r="A19" i="2" s="1"/>
  <c r="C19" i="2" s="1"/>
  <c r="S13" i="4"/>
  <c r="I66" i="4"/>
  <c r="D20" i="2"/>
  <c r="I33" i="4"/>
  <c r="O33" i="4" s="1"/>
  <c r="L33" i="4" s="1"/>
  <c r="G18" i="2"/>
  <c r="AL12" i="4"/>
  <c r="J18" i="2" s="1"/>
  <c r="AX28" i="7"/>
  <c r="G32" i="8"/>
  <c r="M32" i="8" s="1"/>
  <c r="J32" i="8" s="1"/>
  <c r="D32" i="2"/>
  <c r="I77" i="4"/>
  <c r="P32" i="8"/>
  <c r="E32" i="8"/>
  <c r="H78" i="4"/>
  <c r="J79" i="4"/>
  <c r="F33" i="8"/>
  <c r="I33" i="8"/>
  <c r="L33" i="8" s="1"/>
  <c r="M12" i="8"/>
  <c r="AB7" i="8"/>
  <c r="N10" i="14"/>
  <c r="R38" i="14"/>
  <c r="Q8" i="14"/>
  <c r="R11" i="14" s="1"/>
  <c r="V6" i="14"/>
  <c r="U6" i="14"/>
  <c r="N9" i="14"/>
  <c r="I89" i="4"/>
  <c r="D45" i="2"/>
  <c r="G32" i="9"/>
  <c r="M32" i="9" s="1"/>
  <c r="J32" i="9" s="1"/>
  <c r="P32" i="13"/>
  <c r="E32" i="13"/>
  <c r="J139" i="4"/>
  <c r="H138" i="4"/>
  <c r="I33" i="13"/>
  <c r="L33" i="13" s="1"/>
  <c r="F33" i="13"/>
  <c r="E33" i="10"/>
  <c r="P33" i="10"/>
  <c r="J104" i="4"/>
  <c r="F34" i="10"/>
  <c r="I34" i="10"/>
  <c r="L34" i="10" s="1"/>
  <c r="H103" i="4"/>
  <c r="AJ32" i="10"/>
  <c r="X13" i="10"/>
  <c r="M13" i="10" s="1"/>
  <c r="Q13" i="10"/>
  <c r="E58" i="2"/>
  <c r="E32" i="11"/>
  <c r="P32" i="11"/>
  <c r="D71" i="2"/>
  <c r="I113" i="4"/>
  <c r="G32" i="11"/>
  <c r="M32" i="11" s="1"/>
  <c r="J32" i="11" s="1"/>
  <c r="J127" i="4"/>
  <c r="H126" i="4"/>
  <c r="F33" i="12"/>
  <c r="I33" i="12"/>
  <c r="L33" i="12" s="1"/>
  <c r="E32" i="12"/>
  <c r="P32" i="12"/>
  <c r="F33" i="9"/>
  <c r="J91" i="4"/>
  <c r="H90" i="4"/>
  <c r="I33" i="9"/>
  <c r="L33" i="9" s="1"/>
  <c r="E32" i="9"/>
  <c r="P32" i="9"/>
  <c r="I137" i="4"/>
  <c r="G32" i="13"/>
  <c r="M32" i="13" s="1"/>
  <c r="J32" i="13" s="1"/>
  <c r="D97" i="2"/>
  <c r="D59" i="2"/>
  <c r="I102" i="4"/>
  <c r="G33" i="10"/>
  <c r="M33" i="10" s="1"/>
  <c r="J33" i="10" s="1"/>
  <c r="AX76" i="7"/>
  <c r="G57" i="2"/>
  <c r="AJ12" i="10"/>
  <c r="J57" i="2" s="1"/>
  <c r="H114" i="4"/>
  <c r="F33" i="11"/>
  <c r="I33" i="11"/>
  <c r="L33" i="11" s="1"/>
  <c r="J115" i="4"/>
  <c r="D84" i="2"/>
  <c r="G32" i="12"/>
  <c r="M32" i="12" s="1"/>
  <c r="J32" i="12" s="1"/>
  <c r="I125" i="4"/>
  <c r="AC170" i="16"/>
  <c r="AB169" i="16"/>
  <c r="Z14" i="4" l="1"/>
  <c r="O14" i="4" s="1"/>
  <c r="C66" i="4"/>
  <c r="E66" i="4" s="1"/>
  <c r="AL33" i="4"/>
  <c r="E20" i="2"/>
  <c r="A20" i="2" s="1"/>
  <c r="C20" i="2" s="1"/>
  <c r="S14" i="4"/>
  <c r="D21" i="2"/>
  <c r="I34" i="4"/>
  <c r="O34" i="4" s="1"/>
  <c r="L34" i="4" s="1"/>
  <c r="I67" i="4"/>
  <c r="E34" i="4"/>
  <c r="R34" i="4"/>
  <c r="AL13" i="4"/>
  <c r="J19" i="2" s="1"/>
  <c r="AX29" i="7"/>
  <c r="G19" i="2"/>
  <c r="H35" i="4"/>
  <c r="L35" i="4" s="1"/>
  <c r="J69" i="4"/>
  <c r="K35" i="4"/>
  <c r="N35" i="4" s="1"/>
  <c r="H68" i="4"/>
  <c r="G31" i="2"/>
  <c r="AX44" i="7"/>
  <c r="AJ12" i="8"/>
  <c r="J31" i="2" s="1"/>
  <c r="E33" i="8"/>
  <c r="P33" i="8"/>
  <c r="I34" i="8"/>
  <c r="L34" i="8" s="1"/>
  <c r="H79" i="4"/>
  <c r="F34" i="8"/>
  <c r="J80" i="4"/>
  <c r="X13" i="8"/>
  <c r="M13" i="8" s="1"/>
  <c r="Q13" i="8"/>
  <c r="AJ32" i="8"/>
  <c r="E32" i="2"/>
  <c r="G33" i="8"/>
  <c r="M33" i="8" s="1"/>
  <c r="J33" i="8" s="1"/>
  <c r="D33" i="2"/>
  <c r="I78" i="4"/>
  <c r="R12" i="14"/>
  <c r="R15" i="14"/>
  <c r="N11" i="14"/>
  <c r="M11" i="14"/>
  <c r="AJ32" i="12"/>
  <c r="X13" i="12"/>
  <c r="M13" i="12" s="1"/>
  <c r="Q13" i="12"/>
  <c r="E84" i="2"/>
  <c r="E33" i="11"/>
  <c r="P33" i="11"/>
  <c r="G33" i="11"/>
  <c r="M33" i="11" s="1"/>
  <c r="J33" i="11" s="1"/>
  <c r="D72" i="2"/>
  <c r="I114" i="4"/>
  <c r="Q14" i="10"/>
  <c r="X14" i="10"/>
  <c r="M14" i="10" s="1"/>
  <c r="E59" i="2"/>
  <c r="AJ33" i="10"/>
  <c r="Q13" i="13"/>
  <c r="AJ32" i="13"/>
  <c r="E97" i="2"/>
  <c r="X13" i="13"/>
  <c r="M13" i="13" s="1"/>
  <c r="G33" i="9"/>
  <c r="M33" i="9" s="1"/>
  <c r="J33" i="9" s="1"/>
  <c r="D46" i="2"/>
  <c r="I90" i="4"/>
  <c r="P33" i="12"/>
  <c r="E33" i="12"/>
  <c r="I126" i="4"/>
  <c r="D85" i="2"/>
  <c r="G33" i="12"/>
  <c r="M33" i="12" s="1"/>
  <c r="J33" i="12" s="1"/>
  <c r="E34" i="10"/>
  <c r="P34" i="10"/>
  <c r="H104" i="4"/>
  <c r="F35" i="10"/>
  <c r="J35" i="10" s="1"/>
  <c r="I35" i="10"/>
  <c r="L35" i="10" s="1"/>
  <c r="J105" i="4"/>
  <c r="P33" i="13"/>
  <c r="E33" i="13"/>
  <c r="F34" i="13"/>
  <c r="J34" i="13" s="1"/>
  <c r="H139" i="4"/>
  <c r="J140" i="4"/>
  <c r="I34" i="13"/>
  <c r="L34" i="13" s="1"/>
  <c r="AJ32" i="9"/>
  <c r="X13" i="9"/>
  <c r="M13" i="9" s="1"/>
  <c r="Q13" i="9"/>
  <c r="E45" i="2"/>
  <c r="H115" i="4"/>
  <c r="I34" i="11"/>
  <c r="L34" i="11" s="1"/>
  <c r="J116" i="4"/>
  <c r="F34" i="11"/>
  <c r="E33" i="9"/>
  <c r="P33" i="9"/>
  <c r="H91" i="4"/>
  <c r="F34" i="9"/>
  <c r="J92" i="4"/>
  <c r="I34" i="9"/>
  <c r="L34" i="9" s="1"/>
  <c r="J128" i="4"/>
  <c r="I34" i="12"/>
  <c r="L34" i="12" s="1"/>
  <c r="F34" i="12"/>
  <c r="J34" i="12" s="1"/>
  <c r="H127" i="4"/>
  <c r="X13" i="11"/>
  <c r="M13" i="11" s="1"/>
  <c r="AJ32" i="11"/>
  <c r="Q13" i="11"/>
  <c r="E71" i="2"/>
  <c r="G58" i="2"/>
  <c r="AX77" i="7"/>
  <c r="AJ13" i="10"/>
  <c r="J58" i="2" s="1"/>
  <c r="D60" i="2"/>
  <c r="I103" i="4"/>
  <c r="G34" i="10"/>
  <c r="M34" i="10" s="1"/>
  <c r="J34" i="10" s="1"/>
  <c r="G33" i="13"/>
  <c r="M33" i="13" s="1"/>
  <c r="J33" i="13" s="1"/>
  <c r="D98" i="2"/>
  <c r="I138" i="4"/>
  <c r="AC171" i="16"/>
  <c r="AB170" i="16"/>
  <c r="E35" i="4" l="1"/>
  <c r="R35" i="4"/>
  <c r="E21" i="2"/>
  <c r="A21" i="2" s="1"/>
  <c r="C21" i="2" s="1"/>
  <c r="Z15" i="4"/>
  <c r="O15" i="4" s="1"/>
  <c r="S15" i="4"/>
  <c r="AL34" i="4"/>
  <c r="C67" i="4"/>
  <c r="E67" i="4" s="1"/>
  <c r="I35" i="4"/>
  <c r="O35" i="4" s="1"/>
  <c r="I68" i="4"/>
  <c r="D22" i="2"/>
  <c r="H69" i="4"/>
  <c r="J70" i="4"/>
  <c r="K36" i="4"/>
  <c r="N36" i="4" s="1"/>
  <c r="H36" i="4"/>
  <c r="G20" i="2"/>
  <c r="AL14" i="4"/>
  <c r="J20" i="2" s="1"/>
  <c r="AX30" i="7"/>
  <c r="F35" i="8"/>
  <c r="J35" i="8" s="1"/>
  <c r="H80" i="4"/>
  <c r="J81" i="4"/>
  <c r="I35" i="8"/>
  <c r="L35" i="8" s="1"/>
  <c r="I79" i="4"/>
  <c r="G34" i="8"/>
  <c r="M34" i="8" s="1"/>
  <c r="J34" i="8" s="1"/>
  <c r="D34" i="2"/>
  <c r="X14" i="8"/>
  <c r="M14" i="8" s="1"/>
  <c r="AJ33" i="8"/>
  <c r="Q14" i="8"/>
  <c r="E33" i="2"/>
  <c r="AX45" i="7"/>
  <c r="AJ13" i="8"/>
  <c r="J32" i="2" s="1"/>
  <c r="G32" i="2"/>
  <c r="P34" i="8"/>
  <c r="E34" i="8"/>
  <c r="N27" i="14"/>
  <c r="N36" i="14"/>
  <c r="AI30" i="14" s="1"/>
  <c r="N18" i="14"/>
  <c r="N13" i="14"/>
  <c r="N26" i="14"/>
  <c r="AI5" i="14"/>
  <c r="N31" i="14"/>
  <c r="N24" i="14"/>
  <c r="N20" i="14"/>
  <c r="N22" i="14"/>
  <c r="N21" i="14"/>
  <c r="M12" i="14"/>
  <c r="N35" i="14"/>
  <c r="N16" i="14"/>
  <c r="N28" i="14"/>
  <c r="N25" i="14"/>
  <c r="N15" i="14"/>
  <c r="N14" i="14"/>
  <c r="N33" i="14"/>
  <c r="N23" i="14"/>
  <c r="N19" i="14"/>
  <c r="N34" i="14"/>
  <c r="N17" i="14"/>
  <c r="N32" i="14"/>
  <c r="N30" i="14"/>
  <c r="N29" i="14"/>
  <c r="N12" i="14"/>
  <c r="H128" i="4"/>
  <c r="I35" i="12"/>
  <c r="L35" i="12" s="1"/>
  <c r="J129" i="4"/>
  <c r="F35" i="12"/>
  <c r="J35" i="12" s="1"/>
  <c r="F35" i="9"/>
  <c r="J35" i="9" s="1"/>
  <c r="H92" i="4"/>
  <c r="J93" i="4"/>
  <c r="I35" i="9"/>
  <c r="L35" i="9" s="1"/>
  <c r="I91" i="4"/>
  <c r="D47" i="2"/>
  <c r="G34" i="9"/>
  <c r="M34" i="9" s="1"/>
  <c r="J34" i="9" s="1"/>
  <c r="J117" i="4"/>
  <c r="H116" i="4"/>
  <c r="I35" i="11"/>
  <c r="L35" i="11" s="1"/>
  <c r="F35" i="11"/>
  <c r="J35" i="11" s="1"/>
  <c r="G34" i="11"/>
  <c r="M34" i="11" s="1"/>
  <c r="J34" i="11" s="1"/>
  <c r="D73" i="2"/>
  <c r="I115" i="4"/>
  <c r="P34" i="13"/>
  <c r="E34" i="13"/>
  <c r="G34" i="13"/>
  <c r="M34" i="13" s="1"/>
  <c r="I139" i="4"/>
  <c r="D99" i="2"/>
  <c r="P35" i="10"/>
  <c r="E35" i="10"/>
  <c r="I104" i="4"/>
  <c r="D61" i="2"/>
  <c r="G35" i="10"/>
  <c r="M35" i="10" s="1"/>
  <c r="Q14" i="9"/>
  <c r="E46" i="2"/>
  <c r="X14" i="9"/>
  <c r="M14" i="9" s="1"/>
  <c r="AJ33" i="9"/>
  <c r="G59" i="2"/>
  <c r="AX78" i="7"/>
  <c r="AJ14" i="10"/>
  <c r="J59" i="2" s="1"/>
  <c r="AJ33" i="11"/>
  <c r="Q14" i="11"/>
  <c r="X14" i="11"/>
  <c r="M14" i="11" s="1"/>
  <c r="E72" i="2"/>
  <c r="G84" i="2"/>
  <c r="AX109" i="7"/>
  <c r="AJ13" i="12"/>
  <c r="J84" i="2" s="1"/>
  <c r="G71" i="2"/>
  <c r="AX93" i="7"/>
  <c r="AJ13" i="11"/>
  <c r="J71" i="2" s="1"/>
  <c r="E98" i="2"/>
  <c r="X14" i="13"/>
  <c r="M14" i="13" s="1"/>
  <c r="AJ33" i="13"/>
  <c r="Q14" i="13"/>
  <c r="X15" i="10"/>
  <c r="M15" i="10" s="1"/>
  <c r="Q15" i="10"/>
  <c r="AJ34" i="10"/>
  <c r="E60" i="2"/>
  <c r="D86" i="2"/>
  <c r="I127" i="4"/>
  <c r="G34" i="12"/>
  <c r="M34" i="12" s="1"/>
  <c r="P34" i="12"/>
  <c r="E34" i="12"/>
  <c r="P34" i="9"/>
  <c r="E34" i="9"/>
  <c r="P34" i="11"/>
  <c r="E34" i="11"/>
  <c r="AX61" i="7"/>
  <c r="G45" i="2"/>
  <c r="AJ13" i="9"/>
  <c r="J45" i="2" s="1"/>
  <c r="H140" i="4"/>
  <c r="F35" i="13"/>
  <c r="J35" i="13" s="1"/>
  <c r="J141" i="4"/>
  <c r="I35" i="13"/>
  <c r="L35" i="13" s="1"/>
  <c r="I36" i="10"/>
  <c r="L36" i="10" s="1"/>
  <c r="H105" i="4"/>
  <c r="F36" i="10"/>
  <c r="J106" i="4"/>
  <c r="X14" i="12"/>
  <c r="M14" i="12" s="1"/>
  <c r="AJ33" i="12"/>
  <c r="Q14" i="12"/>
  <c r="E85" i="2"/>
  <c r="AX125" i="7"/>
  <c r="G97" i="2"/>
  <c r="AJ13" i="13"/>
  <c r="J97" i="2" s="1"/>
  <c r="AC172" i="16"/>
  <c r="AB171" i="16"/>
  <c r="H70" i="4" l="1"/>
  <c r="J71" i="4"/>
  <c r="H37" i="4"/>
  <c r="L37" i="4" s="1"/>
  <c r="K37" i="4"/>
  <c r="N37" i="4" s="1"/>
  <c r="AX31" i="7"/>
  <c r="G21" i="2"/>
  <c r="AL15" i="4"/>
  <c r="J21" i="2" s="1"/>
  <c r="R36" i="4"/>
  <c r="E36" i="4"/>
  <c r="I36" i="4"/>
  <c r="L36" i="4" s="1"/>
  <c r="D23" i="2"/>
  <c r="I69" i="4"/>
  <c r="E22" i="2"/>
  <c r="A22" i="2" s="1"/>
  <c r="C22" i="2" s="1"/>
  <c r="AL35" i="4"/>
  <c r="Z16" i="4"/>
  <c r="O16" i="4" s="1"/>
  <c r="C68" i="4"/>
  <c r="E68" i="4" s="1"/>
  <c r="S16" i="4"/>
  <c r="G33" i="2"/>
  <c r="AX46" i="7"/>
  <c r="AJ14" i="8"/>
  <c r="J33" i="2" s="1"/>
  <c r="P35" i="8"/>
  <c r="E35" i="8"/>
  <c r="D35" i="2"/>
  <c r="I80" i="4"/>
  <c r="G35" i="8"/>
  <c r="M35" i="8" s="1"/>
  <c r="X15" i="8"/>
  <c r="M15" i="8" s="1"/>
  <c r="Q15" i="8"/>
  <c r="E34" i="2"/>
  <c r="AJ34" i="8"/>
  <c r="I36" i="8"/>
  <c r="L36" i="8" s="1"/>
  <c r="F36" i="8"/>
  <c r="H81" i="4"/>
  <c r="J82" i="4"/>
  <c r="AI6" i="14"/>
  <c r="M13" i="14"/>
  <c r="M31" i="14"/>
  <c r="AI24" i="14"/>
  <c r="AI11" i="14"/>
  <c r="M18" i="14"/>
  <c r="M20" i="14"/>
  <c r="AI13" i="14"/>
  <c r="AI27" i="14"/>
  <c r="M34" i="14"/>
  <c r="M16" i="14"/>
  <c r="AI9" i="14"/>
  <c r="M29" i="14"/>
  <c r="AI22" i="14"/>
  <c r="AI29" i="14"/>
  <c r="M36" i="14"/>
  <c r="M22" i="14"/>
  <c r="AI15" i="14"/>
  <c r="AI14" i="14"/>
  <c r="M21" i="14"/>
  <c r="M32" i="14"/>
  <c r="AI25" i="14"/>
  <c r="AI20" i="14"/>
  <c r="M27" i="14"/>
  <c r="M19" i="14"/>
  <c r="AI12" i="14"/>
  <c r="M28" i="14"/>
  <c r="AI21" i="14"/>
  <c r="M30" i="14"/>
  <c r="AI23" i="14"/>
  <c r="AI26" i="14"/>
  <c r="M33" i="14"/>
  <c r="AI28" i="14"/>
  <c r="M35" i="14"/>
  <c r="M24" i="14"/>
  <c r="AI17" i="14"/>
  <c r="M15" i="14"/>
  <c r="AI8" i="14"/>
  <c r="M26" i="14"/>
  <c r="AI19" i="14"/>
  <c r="M17" i="14"/>
  <c r="AI10" i="14"/>
  <c r="AI16" i="14"/>
  <c r="M23" i="14"/>
  <c r="AI18" i="14"/>
  <c r="M25" i="14"/>
  <c r="AH5" i="14"/>
  <c r="I11" i="14"/>
  <c r="AI7" i="14"/>
  <c r="O40" i="14" s="1"/>
  <c r="O45" i="14" s="1"/>
  <c r="P45" i="14" s="1"/>
  <c r="Q45" i="14" s="1"/>
  <c r="M14" i="14"/>
  <c r="I36" i="14"/>
  <c r="AH30" i="14"/>
  <c r="H36" i="14" s="1"/>
  <c r="E36" i="10"/>
  <c r="P36" i="10"/>
  <c r="J142" i="4"/>
  <c r="H141" i="4"/>
  <c r="I36" i="13"/>
  <c r="L36" i="13" s="1"/>
  <c r="F36" i="13"/>
  <c r="J36" i="13" s="1"/>
  <c r="I140" i="4"/>
  <c r="G35" i="13"/>
  <c r="M35" i="13" s="1"/>
  <c r="D100" i="2"/>
  <c r="AX79" i="7"/>
  <c r="AJ15" i="10"/>
  <c r="J60" i="2" s="1"/>
  <c r="G60" i="2"/>
  <c r="AX94" i="7"/>
  <c r="G72" i="2"/>
  <c r="AJ14" i="11"/>
  <c r="J72" i="2" s="1"/>
  <c r="E99" i="2"/>
  <c r="AJ34" i="13"/>
  <c r="Q15" i="13"/>
  <c r="X15" i="13"/>
  <c r="M15" i="13" s="1"/>
  <c r="X15" i="11"/>
  <c r="M15" i="11" s="1"/>
  <c r="AJ34" i="11"/>
  <c r="Q15" i="11"/>
  <c r="E73" i="2"/>
  <c r="P35" i="11"/>
  <c r="E35" i="11"/>
  <c r="F36" i="11"/>
  <c r="H117" i="4"/>
  <c r="I36" i="11"/>
  <c r="L36" i="11" s="1"/>
  <c r="J118" i="4"/>
  <c r="P35" i="9"/>
  <c r="E35" i="9"/>
  <c r="D48" i="2"/>
  <c r="I92" i="4"/>
  <c r="G35" i="9"/>
  <c r="M35" i="9" s="1"/>
  <c r="E35" i="12"/>
  <c r="P35" i="12"/>
  <c r="G85" i="2"/>
  <c r="AX110" i="7"/>
  <c r="AJ14" i="12"/>
  <c r="J85" i="2" s="1"/>
  <c r="F37" i="10"/>
  <c r="J37" i="10" s="1"/>
  <c r="J107" i="4"/>
  <c r="H106" i="4"/>
  <c r="I37" i="10"/>
  <c r="L37" i="10" s="1"/>
  <c r="D62" i="2"/>
  <c r="G36" i="10"/>
  <c r="J36" i="10" s="1"/>
  <c r="I105" i="4"/>
  <c r="E35" i="13"/>
  <c r="P35" i="13"/>
  <c r="AJ34" i="12"/>
  <c r="E86" i="2"/>
  <c r="Q15" i="12"/>
  <c r="X15" i="12"/>
  <c r="M15" i="12" s="1"/>
  <c r="G98" i="2"/>
  <c r="AJ14" i="13"/>
  <c r="J98" i="2" s="1"/>
  <c r="AX126" i="7"/>
  <c r="AX62" i="7"/>
  <c r="G46" i="2"/>
  <c r="AJ14" i="9"/>
  <c r="J46" i="2" s="1"/>
  <c r="AJ35" i="10"/>
  <c r="E61" i="2"/>
  <c r="X16" i="10"/>
  <c r="M16" i="10" s="1"/>
  <c r="Q16" i="10"/>
  <c r="G35" i="11"/>
  <c r="M35" i="11" s="1"/>
  <c r="D74" i="2"/>
  <c r="I116" i="4"/>
  <c r="AJ34" i="9"/>
  <c r="E47" i="2"/>
  <c r="Q15" i="9"/>
  <c r="X15" i="9"/>
  <c r="M15" i="9" s="1"/>
  <c r="H93" i="4"/>
  <c r="J94" i="4"/>
  <c r="F36" i="9"/>
  <c r="I36" i="9"/>
  <c r="L36" i="9" s="1"/>
  <c r="I36" i="12"/>
  <c r="L36" i="12" s="1"/>
  <c r="J130" i="4"/>
  <c r="H129" i="4"/>
  <c r="F36" i="12"/>
  <c r="J36" i="12" s="1"/>
  <c r="D87" i="2"/>
  <c r="I128" i="4"/>
  <c r="G35" i="12"/>
  <c r="M35" i="12" s="1"/>
  <c r="AC173" i="16"/>
  <c r="AB172" i="16"/>
  <c r="Z17" i="4" l="1"/>
  <c r="O17" i="4" s="1"/>
  <c r="S17" i="4"/>
  <c r="AL36" i="4"/>
  <c r="E23" i="2"/>
  <c r="A23" i="2" s="1"/>
  <c r="C23" i="2" s="1"/>
  <c r="C69" i="4"/>
  <c r="E69" i="4" s="1"/>
  <c r="E37" i="4"/>
  <c r="R37" i="4"/>
  <c r="K38" i="4"/>
  <c r="N38" i="4" s="1"/>
  <c r="J72" i="4"/>
  <c r="H38" i="4"/>
  <c r="L38" i="4" s="1"/>
  <c r="H71" i="4"/>
  <c r="AX32" i="7"/>
  <c r="G22" i="2"/>
  <c r="AL16" i="4"/>
  <c r="J22" i="2" s="1"/>
  <c r="I70" i="4"/>
  <c r="D24" i="2"/>
  <c r="I37" i="4"/>
  <c r="H82" i="4"/>
  <c r="J83" i="4"/>
  <c r="F37" i="8"/>
  <c r="J37" i="8" s="1"/>
  <c r="I37" i="8"/>
  <c r="L37" i="8" s="1"/>
  <c r="AJ15" i="8"/>
  <c r="J34" i="2" s="1"/>
  <c r="AX47" i="7"/>
  <c r="G34" i="2"/>
  <c r="E35" i="2"/>
  <c r="Q16" i="8"/>
  <c r="X16" i="8"/>
  <c r="M16" i="8" s="1"/>
  <c r="AJ35" i="8"/>
  <c r="I81" i="4"/>
  <c r="G36" i="8"/>
  <c r="J36" i="8" s="1"/>
  <c r="D36" i="2"/>
  <c r="E36" i="8"/>
  <c r="P36" i="8"/>
  <c r="AH7" i="14"/>
  <c r="I13" i="14"/>
  <c r="AH10" i="14"/>
  <c r="I16" i="14"/>
  <c r="AH19" i="14"/>
  <c r="I25" i="14"/>
  <c r="I14" i="14"/>
  <c r="AH8" i="14"/>
  <c r="I23" i="14"/>
  <c r="AH17" i="14"/>
  <c r="I29" i="14"/>
  <c r="AH23" i="14"/>
  <c r="I27" i="14"/>
  <c r="AH21" i="14"/>
  <c r="I18" i="14"/>
  <c r="AH12" i="14"/>
  <c r="I31" i="14"/>
  <c r="AH25" i="14"/>
  <c r="AH15" i="14"/>
  <c r="I21" i="14"/>
  <c r="I28" i="14"/>
  <c r="AH22" i="14"/>
  <c r="AH9" i="14"/>
  <c r="I15" i="14"/>
  <c r="I19" i="14"/>
  <c r="AH13" i="14"/>
  <c r="I30" i="14"/>
  <c r="AH24" i="14"/>
  <c r="AC11" i="14"/>
  <c r="H11" i="14"/>
  <c r="AH18" i="14"/>
  <c r="I24" i="14"/>
  <c r="I22" i="14"/>
  <c r="AH16" i="14"/>
  <c r="AH28" i="14"/>
  <c r="I34" i="14"/>
  <c r="AH26" i="14"/>
  <c r="I32" i="14"/>
  <c r="I26" i="14"/>
  <c r="AH20" i="14"/>
  <c r="AH14" i="14"/>
  <c r="I20" i="14"/>
  <c r="I35" i="14"/>
  <c r="AH29" i="14"/>
  <c r="AH27" i="14"/>
  <c r="I33" i="14"/>
  <c r="AH11" i="14"/>
  <c r="I17" i="14"/>
  <c r="I12" i="14"/>
  <c r="AH6" i="14"/>
  <c r="I37" i="12"/>
  <c r="L37" i="12" s="1"/>
  <c r="J131" i="4"/>
  <c r="H130" i="4"/>
  <c r="F37" i="12"/>
  <c r="J37" i="12" s="1"/>
  <c r="P36" i="9"/>
  <c r="E36" i="9"/>
  <c r="J95" i="4"/>
  <c r="I37" i="9"/>
  <c r="L37" i="9" s="1"/>
  <c r="F37" i="9"/>
  <c r="J37" i="9" s="1"/>
  <c r="H94" i="4"/>
  <c r="AX63" i="7"/>
  <c r="G47" i="2"/>
  <c r="AJ15" i="9"/>
  <c r="J47" i="2" s="1"/>
  <c r="AX80" i="7"/>
  <c r="G61" i="2"/>
  <c r="AJ16" i="10"/>
  <c r="J61" i="2" s="1"/>
  <c r="P37" i="10"/>
  <c r="E37" i="10"/>
  <c r="E36" i="11"/>
  <c r="P36" i="11"/>
  <c r="AX127" i="7"/>
  <c r="G99" i="2"/>
  <c r="AJ15" i="13"/>
  <c r="J99" i="2" s="1"/>
  <c r="G36" i="13"/>
  <c r="D101" i="2"/>
  <c r="I141" i="4"/>
  <c r="AJ35" i="12"/>
  <c r="X16" i="12"/>
  <c r="M16" i="12" s="1"/>
  <c r="Q16" i="12"/>
  <c r="E87" i="2"/>
  <c r="J108" i="4"/>
  <c r="H107" i="4"/>
  <c r="I38" i="10"/>
  <c r="L38" i="10" s="1"/>
  <c r="F38" i="10"/>
  <c r="J38" i="10" s="1"/>
  <c r="I129" i="4"/>
  <c r="D88" i="2"/>
  <c r="G36" i="12"/>
  <c r="P36" i="12"/>
  <c r="E36" i="12"/>
  <c r="I93" i="4"/>
  <c r="G36" i="9"/>
  <c r="J36" i="9" s="1"/>
  <c r="D49" i="2"/>
  <c r="X16" i="11"/>
  <c r="M16" i="11" s="1"/>
  <c r="AJ35" i="11"/>
  <c r="Q16" i="11"/>
  <c r="E74" i="2"/>
  <c r="AJ15" i="12"/>
  <c r="J86" i="2" s="1"/>
  <c r="G86" i="2"/>
  <c r="AX111" i="7"/>
  <c r="X17" i="10"/>
  <c r="M17" i="10" s="1"/>
  <c r="E62" i="2"/>
  <c r="Q17" i="10"/>
  <c r="AJ36" i="10"/>
  <c r="I106" i="4"/>
  <c r="G37" i="10"/>
  <c r="D63" i="2"/>
  <c r="X16" i="9"/>
  <c r="M16" i="9" s="1"/>
  <c r="Q16" i="9"/>
  <c r="E48" i="2"/>
  <c r="AJ35" i="9"/>
  <c r="F37" i="11"/>
  <c r="J37" i="11" s="1"/>
  <c r="H118" i="4"/>
  <c r="I37" i="11"/>
  <c r="L37" i="11" s="1"/>
  <c r="J119" i="4"/>
  <c r="G36" i="11"/>
  <c r="J36" i="11" s="1"/>
  <c r="I117" i="4"/>
  <c r="D75" i="2"/>
  <c r="AX95" i="7"/>
  <c r="G73" i="2"/>
  <c r="AJ15" i="11"/>
  <c r="J73" i="2" s="1"/>
  <c r="Q16" i="13"/>
  <c r="E100" i="2"/>
  <c r="X16" i="13"/>
  <c r="M16" i="13" s="1"/>
  <c r="AJ35" i="13"/>
  <c r="E36" i="13"/>
  <c r="P36" i="13"/>
  <c r="I37" i="13"/>
  <c r="L37" i="13" s="1"/>
  <c r="J143" i="4"/>
  <c r="F37" i="13"/>
  <c r="J37" i="13" s="1"/>
  <c r="H142" i="4"/>
  <c r="AC174" i="16"/>
  <c r="AB173" i="16"/>
  <c r="E38" i="4" l="1"/>
  <c r="R38" i="4"/>
  <c r="E24" i="2"/>
  <c r="A24" i="2" s="1"/>
  <c r="C24" i="2" s="1"/>
  <c r="C70" i="4"/>
  <c r="E70" i="4" s="1"/>
  <c r="S18" i="4"/>
  <c r="Z18" i="4"/>
  <c r="O18" i="4" s="1"/>
  <c r="AL37" i="4"/>
  <c r="I71" i="4"/>
  <c r="D25" i="2"/>
  <c r="I38" i="4"/>
  <c r="H72" i="4"/>
  <c r="H39" i="4"/>
  <c r="L39" i="4" s="1"/>
  <c r="J73" i="4"/>
  <c r="K39" i="4"/>
  <c r="N39" i="4" s="1"/>
  <c r="G23" i="2"/>
  <c r="AX33" i="7"/>
  <c r="AL17" i="4"/>
  <c r="J23" i="2" s="1"/>
  <c r="AX48" i="7"/>
  <c r="AJ16" i="8"/>
  <c r="J35" i="2" s="1"/>
  <c r="G35" i="2"/>
  <c r="P37" i="8"/>
  <c r="E37" i="8"/>
  <c r="F38" i="8"/>
  <c r="J38" i="8" s="1"/>
  <c r="I38" i="8"/>
  <c r="L38" i="8" s="1"/>
  <c r="H83" i="4"/>
  <c r="J84" i="4"/>
  <c r="X17" i="8"/>
  <c r="M17" i="8" s="1"/>
  <c r="AJ36" i="8"/>
  <c r="Q17" i="8"/>
  <c r="E36" i="2"/>
  <c r="D37" i="2"/>
  <c r="I82" i="4"/>
  <c r="G37" i="8"/>
  <c r="H12" i="14"/>
  <c r="AC12" i="14"/>
  <c r="H35" i="14"/>
  <c r="AC35" i="14"/>
  <c r="AC26" i="14"/>
  <c r="H26" i="14"/>
  <c r="H32" i="14"/>
  <c r="AC32" i="14"/>
  <c r="AC34" i="14"/>
  <c r="H34" i="14"/>
  <c r="AC24" i="14"/>
  <c r="H24" i="14"/>
  <c r="H37" i="14"/>
  <c r="I4" i="14" s="1"/>
  <c r="H15" i="14"/>
  <c r="AC15" i="14"/>
  <c r="H21" i="14"/>
  <c r="AC21" i="14"/>
  <c r="AC25" i="14"/>
  <c r="H25" i="14"/>
  <c r="AC16" i="14"/>
  <c r="H16" i="14"/>
  <c r="AC13" i="14"/>
  <c r="H13" i="14"/>
  <c r="H17" i="14"/>
  <c r="AC17" i="14"/>
  <c r="AC33" i="14"/>
  <c r="H33" i="14"/>
  <c r="AC20" i="14"/>
  <c r="H20" i="14"/>
  <c r="AC22" i="14"/>
  <c r="H22" i="14"/>
  <c r="O55" i="14"/>
  <c r="H30" i="14"/>
  <c r="AC30" i="14"/>
  <c r="AC19" i="14"/>
  <c r="H19" i="14"/>
  <c r="AC28" i="14"/>
  <c r="H28" i="14"/>
  <c r="AC31" i="14"/>
  <c r="H31" i="14"/>
  <c r="H18" i="14"/>
  <c r="AC18" i="14"/>
  <c r="H27" i="14"/>
  <c r="AC27" i="14"/>
  <c r="AC29" i="14"/>
  <c r="H29" i="14"/>
  <c r="AC23" i="14"/>
  <c r="H23" i="14"/>
  <c r="O52" i="14"/>
  <c r="H14" i="14"/>
  <c r="AC14" i="14"/>
  <c r="P37" i="11"/>
  <c r="E37" i="11"/>
  <c r="G48" i="2"/>
  <c r="AJ16" i="9"/>
  <c r="J48" i="2" s="1"/>
  <c r="AX64" i="7"/>
  <c r="AX81" i="7"/>
  <c r="G62" i="2"/>
  <c r="AJ17" i="10"/>
  <c r="J62" i="2" s="1"/>
  <c r="AX96" i="7"/>
  <c r="G74" i="2"/>
  <c r="AJ16" i="11"/>
  <c r="J74" i="2" s="1"/>
  <c r="AJ36" i="12"/>
  <c r="X17" i="12"/>
  <c r="M17" i="12" s="1"/>
  <c r="Q17" i="12"/>
  <c r="E88" i="2"/>
  <c r="E38" i="10"/>
  <c r="P38" i="10"/>
  <c r="F39" i="10"/>
  <c r="J39" i="10" s="1"/>
  <c r="J109" i="4"/>
  <c r="I39" i="10"/>
  <c r="L39" i="10" s="1"/>
  <c r="H108" i="4"/>
  <c r="AJ36" i="13"/>
  <c r="Q17" i="13"/>
  <c r="E101" i="2"/>
  <c r="X17" i="13"/>
  <c r="M17" i="13" s="1"/>
  <c r="I38" i="9"/>
  <c r="L38" i="9" s="1"/>
  <c r="F38" i="9"/>
  <c r="J38" i="9" s="1"/>
  <c r="H95" i="4"/>
  <c r="J96" i="4"/>
  <c r="I130" i="4"/>
  <c r="D89" i="2"/>
  <c r="G37" i="12"/>
  <c r="E37" i="12"/>
  <c r="P37" i="12"/>
  <c r="P37" i="13"/>
  <c r="E37" i="13"/>
  <c r="D102" i="2"/>
  <c r="G37" i="13"/>
  <c r="I142" i="4"/>
  <c r="I38" i="13"/>
  <c r="L38" i="13" s="1"/>
  <c r="H143" i="4"/>
  <c r="J144" i="4"/>
  <c r="F38" i="13"/>
  <c r="J38" i="13" s="1"/>
  <c r="AJ16" i="13"/>
  <c r="J100" i="2" s="1"/>
  <c r="AX128" i="7"/>
  <c r="G100" i="2"/>
  <c r="AJ36" i="11"/>
  <c r="Q17" i="11"/>
  <c r="E75" i="2"/>
  <c r="X17" i="11"/>
  <c r="M17" i="11" s="1"/>
  <c r="F38" i="11"/>
  <c r="J38" i="11" s="1"/>
  <c r="J120" i="4"/>
  <c r="I38" i="11"/>
  <c r="L38" i="11" s="1"/>
  <c r="H119" i="4"/>
  <c r="D76" i="2"/>
  <c r="I118" i="4"/>
  <c r="G37" i="11"/>
  <c r="E63" i="2"/>
  <c r="Q18" i="10"/>
  <c r="X18" i="10"/>
  <c r="M18" i="10" s="1"/>
  <c r="AJ37" i="10"/>
  <c r="E49" i="2"/>
  <c r="X17" i="9"/>
  <c r="M17" i="9" s="1"/>
  <c r="AJ36" i="9"/>
  <c r="Q17" i="9"/>
  <c r="I107" i="4"/>
  <c r="G38" i="10"/>
  <c r="D64" i="2"/>
  <c r="AX112" i="7"/>
  <c r="AJ16" i="12"/>
  <c r="J87" i="2" s="1"/>
  <c r="G87" i="2"/>
  <c r="G37" i="9"/>
  <c r="D50" i="2"/>
  <c r="I94" i="4"/>
  <c r="P37" i="9"/>
  <c r="E37" i="9"/>
  <c r="I38" i="12"/>
  <c r="L38" i="12" s="1"/>
  <c r="F38" i="12"/>
  <c r="J38" i="12" s="1"/>
  <c r="H131" i="4"/>
  <c r="J132" i="4"/>
  <c r="AC175" i="16"/>
  <c r="AB174" i="16"/>
  <c r="R39" i="4" l="1"/>
  <c r="E39" i="4"/>
  <c r="AL38" i="4"/>
  <c r="E25" i="2"/>
  <c r="A25" i="2" s="1"/>
  <c r="C25" i="2" s="1"/>
  <c r="S19" i="4"/>
  <c r="Z19" i="4"/>
  <c r="O19" i="4" s="1"/>
  <c r="C71" i="4"/>
  <c r="E71" i="4" s="1"/>
  <c r="G24" i="2"/>
  <c r="AX34" i="7"/>
  <c r="AL18" i="4"/>
  <c r="J24" i="2" s="1"/>
  <c r="J74" i="4"/>
  <c r="H73" i="4"/>
  <c r="H40" i="4"/>
  <c r="K40" i="4"/>
  <c r="N40" i="4" s="1"/>
  <c r="I39" i="4"/>
  <c r="D26" i="2"/>
  <c r="I72" i="4"/>
  <c r="AC37" i="14"/>
  <c r="AX49" i="7"/>
  <c r="AJ17" i="8"/>
  <c r="J36" i="2" s="1"/>
  <c r="G36" i="2"/>
  <c r="F39" i="8"/>
  <c r="J39" i="8" s="1"/>
  <c r="J85" i="4"/>
  <c r="I39" i="8"/>
  <c r="L39" i="8" s="1"/>
  <c r="H84" i="4"/>
  <c r="E38" i="8"/>
  <c r="P38" i="8"/>
  <c r="X18" i="8"/>
  <c r="M18" i="8" s="1"/>
  <c r="AJ37" i="8"/>
  <c r="Q18" i="8"/>
  <c r="E37" i="2"/>
  <c r="D38" i="2"/>
  <c r="G38" i="8"/>
  <c r="I83" i="4"/>
  <c r="O56" i="14"/>
  <c r="P56" i="14" s="1"/>
  <c r="AC5" i="1"/>
  <c r="M6" i="14"/>
  <c r="O7" i="14" s="1"/>
  <c r="O5" i="14"/>
  <c r="AB8" i="14"/>
  <c r="I39" i="12"/>
  <c r="L39" i="12" s="1"/>
  <c r="J133" i="4"/>
  <c r="H132" i="4"/>
  <c r="F39" i="12"/>
  <c r="J39" i="12" s="1"/>
  <c r="Q18" i="9"/>
  <c r="X18" i="9"/>
  <c r="M18" i="9" s="1"/>
  <c r="AJ37" i="9"/>
  <c r="E50" i="2"/>
  <c r="X19" i="10"/>
  <c r="M19" i="10" s="1"/>
  <c r="Q19" i="10"/>
  <c r="AJ38" i="10"/>
  <c r="E64" i="2"/>
  <c r="AJ18" i="10"/>
  <c r="J63" i="2" s="1"/>
  <c r="G63" i="2"/>
  <c r="AX82" i="7"/>
  <c r="AJ37" i="11"/>
  <c r="E76" i="2"/>
  <c r="Q18" i="11"/>
  <c r="X18" i="11"/>
  <c r="M18" i="11" s="1"/>
  <c r="I119" i="4"/>
  <c r="G38" i="11"/>
  <c r="D77" i="2"/>
  <c r="J121" i="4"/>
  <c r="H120" i="4"/>
  <c r="F39" i="11"/>
  <c r="J39" i="11" s="1"/>
  <c r="I39" i="11"/>
  <c r="L39" i="11" s="1"/>
  <c r="G75" i="2"/>
  <c r="AX97" i="7"/>
  <c r="AJ17" i="11"/>
  <c r="J75" i="2" s="1"/>
  <c r="D103" i="2"/>
  <c r="I143" i="4"/>
  <c r="G38" i="13"/>
  <c r="Q18" i="13"/>
  <c r="AJ37" i="13"/>
  <c r="X18" i="13"/>
  <c r="M18" i="13" s="1"/>
  <c r="E102" i="2"/>
  <c r="AJ37" i="12"/>
  <c r="E89" i="2"/>
  <c r="X18" i="12"/>
  <c r="M18" i="12" s="1"/>
  <c r="Q18" i="12"/>
  <c r="D51" i="2"/>
  <c r="G38" i="9"/>
  <c r="I95" i="4"/>
  <c r="E38" i="9"/>
  <c r="P38" i="9"/>
  <c r="I108" i="4"/>
  <c r="G39" i="10"/>
  <c r="D65" i="2"/>
  <c r="F40" i="10"/>
  <c r="J110" i="4"/>
  <c r="I40" i="10"/>
  <c r="L40" i="10" s="1"/>
  <c r="H109" i="4"/>
  <c r="G38" i="12"/>
  <c r="I131" i="4"/>
  <c r="D90" i="2"/>
  <c r="E38" i="12"/>
  <c r="P38" i="12"/>
  <c r="AX65" i="7"/>
  <c r="G49" i="2"/>
  <c r="AJ17" i="9"/>
  <c r="J49" i="2" s="1"/>
  <c r="E38" i="11"/>
  <c r="P38" i="11"/>
  <c r="F39" i="13"/>
  <c r="J39" i="13" s="1"/>
  <c r="H144" i="4"/>
  <c r="I39" i="13"/>
  <c r="L39" i="13" s="1"/>
  <c r="J145" i="4"/>
  <c r="E38" i="13"/>
  <c r="P38" i="13"/>
  <c r="I39" i="9"/>
  <c r="L39" i="9" s="1"/>
  <c r="J97" i="4"/>
  <c r="H96" i="4"/>
  <c r="F39" i="9"/>
  <c r="J39" i="9" s="1"/>
  <c r="G101" i="2"/>
  <c r="AJ17" i="13"/>
  <c r="J101" i="2" s="1"/>
  <c r="AX129" i="7"/>
  <c r="E39" i="10"/>
  <c r="P39" i="10"/>
  <c r="G88" i="2"/>
  <c r="AJ17" i="12"/>
  <c r="J88" i="2" s="1"/>
  <c r="AX113" i="7"/>
  <c r="AC176" i="16"/>
  <c r="AB175" i="16"/>
  <c r="R40" i="4" l="1"/>
  <c r="E40" i="4"/>
  <c r="M40" i="4" s="1"/>
  <c r="I40" i="4"/>
  <c r="I73" i="4"/>
  <c r="D27" i="2"/>
  <c r="G25" i="2"/>
  <c r="AL19" i="4"/>
  <c r="J25" i="2" s="1"/>
  <c r="AX35" i="7"/>
  <c r="E26" i="2"/>
  <c r="A26" i="2" s="1"/>
  <c r="C26" i="2" s="1"/>
  <c r="Z20" i="4"/>
  <c r="O20" i="4" s="1"/>
  <c r="C72" i="4"/>
  <c r="E72" i="4" s="1"/>
  <c r="S20" i="4"/>
  <c r="AL39" i="4"/>
  <c r="H74" i="4"/>
  <c r="H41" i="4"/>
  <c r="J75" i="4"/>
  <c r="K41" i="4"/>
  <c r="N41" i="4" s="1"/>
  <c r="E39" i="8"/>
  <c r="P39" i="8"/>
  <c r="X19" i="8"/>
  <c r="M19" i="8" s="1"/>
  <c r="Q19" i="8"/>
  <c r="AJ38" i="8"/>
  <c r="E38" i="2"/>
  <c r="AX50" i="7"/>
  <c r="AJ18" i="8"/>
  <c r="J37" i="2" s="1"/>
  <c r="G37" i="2"/>
  <c r="D39" i="2"/>
  <c r="I84" i="4"/>
  <c r="G39" i="8"/>
  <c r="F40" i="8"/>
  <c r="I40" i="8"/>
  <c r="L40" i="8" s="1"/>
  <c r="H85" i="4"/>
  <c r="J86" i="4"/>
  <c r="AB77" i="14"/>
  <c r="AA77" i="14" s="1"/>
  <c r="AB608" i="14"/>
  <c r="AA608" i="14" s="1"/>
  <c r="AB86" i="14"/>
  <c r="AA86" i="14" s="1"/>
  <c r="AB409" i="14"/>
  <c r="AA409" i="14" s="1"/>
  <c r="AB852" i="14"/>
  <c r="AA852" i="14" s="1"/>
  <c r="AB274" i="14"/>
  <c r="AA274" i="14" s="1"/>
  <c r="AB650" i="14"/>
  <c r="AA650" i="14" s="1"/>
  <c r="AB605" i="14"/>
  <c r="AA605" i="14" s="1"/>
  <c r="AB719" i="14"/>
  <c r="AA719" i="14" s="1"/>
  <c r="AB257" i="14"/>
  <c r="AA257" i="14" s="1"/>
  <c r="AB152" i="14"/>
  <c r="AA152" i="14" s="1"/>
  <c r="AB856" i="14"/>
  <c r="AA856" i="14" s="1"/>
  <c r="AB645" i="14"/>
  <c r="AA645" i="14" s="1"/>
  <c r="AB1057" i="14"/>
  <c r="AA1057" i="14" s="1"/>
  <c r="AB999" i="14"/>
  <c r="AA999" i="14" s="1"/>
  <c r="AB615" i="14"/>
  <c r="AA615" i="14" s="1"/>
  <c r="AB960" i="14"/>
  <c r="AA960" i="14" s="1"/>
  <c r="AB1043" i="14"/>
  <c r="AA1043" i="14" s="1"/>
  <c r="AB469" i="14"/>
  <c r="AA469" i="14" s="1"/>
  <c r="AB121" i="14"/>
  <c r="AA121" i="14" s="1"/>
  <c r="AB994" i="14"/>
  <c r="AA994" i="14" s="1"/>
  <c r="AB404" i="14"/>
  <c r="AA404" i="14" s="1"/>
  <c r="AB717" i="14"/>
  <c r="AA717" i="14" s="1"/>
  <c r="AB811" i="14"/>
  <c r="AA811" i="14" s="1"/>
  <c r="AB839" i="14"/>
  <c r="AA839" i="14" s="1"/>
  <c r="AB194" i="14"/>
  <c r="AA194" i="14" s="1"/>
  <c r="AB27" i="14"/>
  <c r="AA27" i="14" s="1"/>
  <c r="AB524" i="14"/>
  <c r="AA524" i="14" s="1"/>
  <c r="AB860" i="14"/>
  <c r="AA860" i="14" s="1"/>
  <c r="AB1006" i="14"/>
  <c r="AA1006" i="14" s="1"/>
  <c r="AB279" i="14"/>
  <c r="AA279" i="14" s="1"/>
  <c r="AB185" i="14"/>
  <c r="AA185" i="14" s="1"/>
  <c r="AB924" i="14"/>
  <c r="AA924" i="14" s="1"/>
  <c r="AB143" i="14"/>
  <c r="AA143" i="14" s="1"/>
  <c r="AB963" i="14"/>
  <c r="AA963" i="14" s="1"/>
  <c r="AB967" i="14"/>
  <c r="AA967" i="14" s="1"/>
  <c r="AB1023" i="14"/>
  <c r="AA1023" i="14" s="1"/>
  <c r="AB976" i="14"/>
  <c r="AA976" i="14" s="1"/>
  <c r="AB724" i="14"/>
  <c r="AA724" i="14" s="1"/>
  <c r="AB673" i="14"/>
  <c r="AA673" i="14" s="1"/>
  <c r="AB668" i="14"/>
  <c r="AA668" i="14" s="1"/>
  <c r="AB1113" i="14"/>
  <c r="AA1113" i="14" s="1"/>
  <c r="AB1131" i="14"/>
  <c r="AA1131" i="14" s="1"/>
  <c r="AB616" i="14"/>
  <c r="AA616" i="14" s="1"/>
  <c r="AB338" i="14"/>
  <c r="AA338" i="14" s="1"/>
  <c r="AB100" i="14"/>
  <c r="AA100" i="14" s="1"/>
  <c r="AB625" i="14"/>
  <c r="AA625" i="14" s="1"/>
  <c r="AB606" i="14"/>
  <c r="AA606" i="14" s="1"/>
  <c r="AB751" i="14"/>
  <c r="AA751" i="14" s="1"/>
  <c r="AB54" i="14"/>
  <c r="AA54" i="14" s="1"/>
  <c r="AB1083" i="14"/>
  <c r="AA1083" i="14" s="1"/>
  <c r="AB467" i="14"/>
  <c r="AA467" i="14" s="1"/>
  <c r="AB935" i="14"/>
  <c r="AA935" i="14" s="1"/>
  <c r="AB733" i="14"/>
  <c r="AA733" i="14" s="1"/>
  <c r="AB658" i="14"/>
  <c r="AA658" i="14" s="1"/>
  <c r="AB631" i="14"/>
  <c r="AA631" i="14" s="1"/>
  <c r="AB1161" i="14"/>
  <c r="AA1161" i="14" s="1"/>
  <c r="AB620" i="14"/>
  <c r="AA620" i="14" s="1"/>
  <c r="AB664" i="14"/>
  <c r="AA664" i="14" s="1"/>
  <c r="AB163" i="14"/>
  <c r="AA163" i="14" s="1"/>
  <c r="AB626" i="14"/>
  <c r="AA626" i="14" s="1"/>
  <c r="AB381" i="14"/>
  <c r="AA381" i="14" s="1"/>
  <c r="AB874" i="14"/>
  <c r="AA874" i="14" s="1"/>
  <c r="AB1065" i="14"/>
  <c r="AA1065" i="14" s="1"/>
  <c r="AB926" i="14"/>
  <c r="AA926" i="14" s="1"/>
  <c r="AB318" i="14"/>
  <c r="AA318" i="14" s="1"/>
  <c r="AB725" i="14"/>
  <c r="AA725" i="14" s="1"/>
  <c r="AB747" i="14"/>
  <c r="AA747" i="14" s="1"/>
  <c r="AB739" i="14"/>
  <c r="AA739" i="14" s="1"/>
  <c r="AB434" i="14"/>
  <c r="AA434" i="14" s="1"/>
  <c r="AB694" i="14"/>
  <c r="AA694" i="14" s="1"/>
  <c r="AB299" i="14"/>
  <c r="AA299" i="14" s="1"/>
  <c r="AB676" i="14"/>
  <c r="AA676" i="14" s="1"/>
  <c r="AB290" i="14"/>
  <c r="AA290" i="14" s="1"/>
  <c r="AB30" i="14"/>
  <c r="AA30" i="14" s="1"/>
  <c r="AB1018" i="14"/>
  <c r="AA1018" i="14" s="1"/>
  <c r="AB460" i="14"/>
  <c r="AA460" i="14" s="1"/>
  <c r="AB70" i="14"/>
  <c r="AA70" i="14" s="1"/>
  <c r="AB815" i="14"/>
  <c r="AA815" i="14" s="1"/>
  <c r="AB1111" i="14"/>
  <c r="AA1111" i="14" s="1"/>
  <c r="AB131" i="14"/>
  <c r="AA131" i="14" s="1"/>
  <c r="AB635" i="14"/>
  <c r="AA635" i="14" s="1"/>
  <c r="AB756" i="14"/>
  <c r="AA756" i="14" s="1"/>
  <c r="AB382" i="14"/>
  <c r="AA382" i="14" s="1"/>
  <c r="AB619" i="14"/>
  <c r="AA619" i="14" s="1"/>
  <c r="AB444" i="14"/>
  <c r="AA444" i="14" s="1"/>
  <c r="AB800" i="14"/>
  <c r="AA800" i="14" s="1"/>
  <c r="AB429" i="14"/>
  <c r="AA429" i="14" s="1"/>
  <c r="AB973" i="14"/>
  <c r="AA973" i="14" s="1"/>
  <c r="AB1034" i="14"/>
  <c r="AA1034" i="14" s="1"/>
  <c r="AB1072" i="14"/>
  <c r="AA1072" i="14" s="1"/>
  <c r="AB791" i="14"/>
  <c r="AA791" i="14" s="1"/>
  <c r="AB1132" i="14"/>
  <c r="AA1132" i="14" s="1"/>
  <c r="AB529" i="14"/>
  <c r="AA529" i="14" s="1"/>
  <c r="AB356" i="14"/>
  <c r="AA356" i="14" s="1"/>
  <c r="AB760" i="14"/>
  <c r="AA760" i="14" s="1"/>
  <c r="AB204" i="14"/>
  <c r="AA204" i="14" s="1"/>
  <c r="AB306" i="14"/>
  <c r="AA306" i="14" s="1"/>
  <c r="AB307" i="14"/>
  <c r="AA307" i="14" s="1"/>
  <c r="AB925" i="14"/>
  <c r="AA925" i="14" s="1"/>
  <c r="AB284" i="14"/>
  <c r="AA284" i="14" s="1"/>
  <c r="AB552" i="14"/>
  <c r="AA552" i="14" s="1"/>
  <c r="AB219" i="14"/>
  <c r="AA219" i="14" s="1"/>
  <c r="AB633" i="14"/>
  <c r="AA633" i="14" s="1"/>
  <c r="AB955" i="14"/>
  <c r="AA955" i="14" s="1"/>
  <c r="AB1147" i="14"/>
  <c r="AA1147" i="14" s="1"/>
  <c r="AB74" i="14"/>
  <c r="AA74" i="14" s="1"/>
  <c r="AB420" i="14"/>
  <c r="AA420" i="14" s="1"/>
  <c r="AB361" i="14"/>
  <c r="AA361" i="14" s="1"/>
  <c r="AB772" i="14"/>
  <c r="AA772" i="14" s="1"/>
  <c r="AB654" i="14"/>
  <c r="AA654" i="14" s="1"/>
  <c r="AB646" i="14"/>
  <c r="AA646" i="14" s="1"/>
  <c r="AB181" i="14"/>
  <c r="AA181" i="14" s="1"/>
  <c r="AB584" i="14"/>
  <c r="AA584" i="14" s="1"/>
  <c r="AB565" i="14"/>
  <c r="AA565" i="14" s="1"/>
  <c r="AB238" i="14"/>
  <c r="AA238" i="14" s="1"/>
  <c r="AB558" i="14"/>
  <c r="AA558" i="14" s="1"/>
  <c r="AB978" i="14"/>
  <c r="AA978" i="14" s="1"/>
  <c r="AB223" i="14"/>
  <c r="AA223" i="14" s="1"/>
  <c r="AB790" i="14"/>
  <c r="AA790" i="14" s="1"/>
  <c r="AB1104" i="14"/>
  <c r="AA1104" i="14" s="1"/>
  <c r="AB80" i="14"/>
  <c r="AA80" i="14" s="1"/>
  <c r="AB352" i="14"/>
  <c r="AA352" i="14" s="1"/>
  <c r="AB459" i="14"/>
  <c r="AA459" i="14" s="1"/>
  <c r="AB332" i="14"/>
  <c r="AA332" i="14" s="1"/>
  <c r="AB996" i="14"/>
  <c r="AA996" i="14" s="1"/>
  <c r="AB1169" i="14"/>
  <c r="AA1169" i="14" s="1"/>
  <c r="AB782" i="14"/>
  <c r="AA782" i="14" s="1"/>
  <c r="AB403" i="14"/>
  <c r="AA403" i="14" s="1"/>
  <c r="AB609" i="14"/>
  <c r="AA609" i="14" s="1"/>
  <c r="AB473" i="14"/>
  <c r="AA473" i="14" s="1"/>
  <c r="AB355" i="14"/>
  <c r="AA355" i="14" s="1"/>
  <c r="AB320" i="14"/>
  <c r="AA320" i="14" s="1"/>
  <c r="AB208" i="14"/>
  <c r="AA208" i="14" s="1"/>
  <c r="AB1164" i="14"/>
  <c r="AA1164" i="14" s="1"/>
  <c r="AB553" i="14"/>
  <c r="AA553" i="14" s="1"/>
  <c r="AB122" i="14"/>
  <c r="AA122" i="14" s="1"/>
  <c r="AB353" i="14"/>
  <c r="AA353" i="14" s="1"/>
  <c r="AB366" i="14"/>
  <c r="AA366" i="14" s="1"/>
  <c r="AB1077" i="14"/>
  <c r="AA1077" i="14" s="1"/>
  <c r="AB809" i="14"/>
  <c r="AA809" i="14" s="1"/>
  <c r="AB587" i="14"/>
  <c r="AA587" i="14" s="1"/>
  <c r="AB509" i="14"/>
  <c r="AA509" i="14" s="1"/>
  <c r="AA8" i="14"/>
  <c r="AB940" i="14"/>
  <c r="AA940" i="14" s="1"/>
  <c r="AB893" i="14"/>
  <c r="AA893" i="14" s="1"/>
  <c r="AB770" i="14"/>
  <c r="AA770" i="14" s="1"/>
  <c r="AB31" i="14"/>
  <c r="AA31" i="14" s="1"/>
  <c r="AB440" i="14"/>
  <c r="AA440" i="14" s="1"/>
  <c r="AB1149" i="14"/>
  <c r="AA1149" i="14" s="1"/>
  <c r="AB1087" i="14"/>
  <c r="AA1087" i="14" s="1"/>
  <c r="AB637" i="14"/>
  <c r="AA637" i="14" s="1"/>
  <c r="AB1042" i="14"/>
  <c r="AA1042" i="14" s="1"/>
  <c r="AB674" i="14"/>
  <c r="AA674" i="14" s="1"/>
  <c r="AB505" i="14"/>
  <c r="AA505" i="14" s="1"/>
  <c r="AB921" i="14"/>
  <c r="AA921" i="14" s="1"/>
  <c r="AB944" i="14"/>
  <c r="AA944" i="14" s="1"/>
  <c r="AB55" i="14"/>
  <c r="AA55" i="14" s="1"/>
  <c r="AB365" i="14"/>
  <c r="AA365" i="14" s="1"/>
  <c r="AB798" i="14"/>
  <c r="AA798" i="14" s="1"/>
  <c r="AB1041" i="14"/>
  <c r="AA1041" i="14" s="1"/>
  <c r="AB262" i="14"/>
  <c r="AA262" i="14" s="1"/>
  <c r="AB682" i="14"/>
  <c r="AA682" i="14" s="1"/>
  <c r="AB297" i="14"/>
  <c r="AA297" i="14" s="1"/>
  <c r="AB930" i="14"/>
  <c r="AA930" i="14" s="1"/>
  <c r="AB497" i="14"/>
  <c r="AA497" i="14" s="1"/>
  <c r="AB551" i="14"/>
  <c r="AA551" i="14" s="1"/>
  <c r="AB247" i="14"/>
  <c r="AA247" i="14" s="1"/>
  <c r="AB301" i="14"/>
  <c r="AA301" i="14" s="1"/>
  <c r="AB1036" i="14"/>
  <c r="AA1036" i="14" s="1"/>
  <c r="AB490" i="14"/>
  <c r="AA490" i="14" s="1"/>
  <c r="AB116" i="14"/>
  <c r="AA116" i="14" s="1"/>
  <c r="AB946" i="14"/>
  <c r="AA946" i="14" s="1"/>
  <c r="AB957" i="14"/>
  <c r="AA957" i="14" s="1"/>
  <c r="AB1010" i="14"/>
  <c r="AA1010" i="14" s="1"/>
  <c r="AB592" i="14"/>
  <c r="AA592" i="14" s="1"/>
  <c r="AB360" i="14"/>
  <c r="AA360" i="14" s="1"/>
  <c r="AB329" i="14"/>
  <c r="AA329" i="14" s="1"/>
  <c r="AB827" i="14"/>
  <c r="AA827" i="14" s="1"/>
  <c r="AB28" i="14"/>
  <c r="AA28" i="14" s="1"/>
  <c r="AB500" i="14"/>
  <c r="AA500" i="14" s="1"/>
  <c r="AB624" i="14"/>
  <c r="AA624" i="14" s="1"/>
  <c r="AB160" i="14"/>
  <c r="AA160" i="14" s="1"/>
  <c r="AB334" i="14"/>
  <c r="AA334" i="14" s="1"/>
  <c r="AB577" i="14"/>
  <c r="AA577" i="14" s="1"/>
  <c r="AB349" i="14"/>
  <c r="AA349" i="14" s="1"/>
  <c r="AB57" i="14"/>
  <c r="AA57" i="14" s="1"/>
  <c r="AB665" i="14"/>
  <c r="AA665" i="14" s="1"/>
  <c r="AB970" i="14"/>
  <c r="AA970" i="14" s="1"/>
  <c r="AB368" i="14"/>
  <c r="AA368" i="14" s="1"/>
  <c r="AB977" i="14"/>
  <c r="AA977" i="14" s="1"/>
  <c r="AB317" i="14"/>
  <c r="AA317" i="14" s="1"/>
  <c r="AB134" i="14"/>
  <c r="AA134" i="14" s="1"/>
  <c r="AB897" i="14"/>
  <c r="AA897" i="14" s="1"/>
  <c r="AB1146" i="14"/>
  <c r="AA1146" i="14" s="1"/>
  <c r="AB1060" i="14"/>
  <c r="AA1060" i="14" s="1"/>
  <c r="AB491" i="14"/>
  <c r="AA491" i="14" s="1"/>
  <c r="AB985" i="14"/>
  <c r="AA985" i="14" s="1"/>
  <c r="AB576" i="14"/>
  <c r="AA576" i="14" s="1"/>
  <c r="AB887" i="14"/>
  <c r="AA887" i="14" s="1"/>
  <c r="AB517" i="14"/>
  <c r="AA517" i="14" s="1"/>
  <c r="AB377" i="14"/>
  <c r="AA377" i="14" s="1"/>
  <c r="AB148" i="14"/>
  <c r="AA148" i="14" s="1"/>
  <c r="AB273" i="14"/>
  <c r="AA273" i="14" s="1"/>
  <c r="AB309" i="14"/>
  <c r="AA309" i="14" s="1"/>
  <c r="AB1099" i="14"/>
  <c r="AA1099" i="14" s="1"/>
  <c r="AB483" i="14"/>
  <c r="AA483" i="14" s="1"/>
  <c r="AB265" i="14"/>
  <c r="AA265" i="14" s="1"/>
  <c r="AB570" i="14"/>
  <c r="AA570" i="14" s="1"/>
  <c r="AB1118" i="14"/>
  <c r="AA1118" i="14" s="1"/>
  <c r="AB632" i="14"/>
  <c r="AA632" i="14" s="1"/>
  <c r="AB1121" i="14"/>
  <c r="AA1121" i="14" s="1"/>
  <c r="AB34" i="14"/>
  <c r="AA34" i="14" s="1"/>
  <c r="AB73" i="14"/>
  <c r="AA73" i="14" s="1"/>
  <c r="AB1024" i="14"/>
  <c r="AA1024" i="14" s="1"/>
  <c r="AB270" i="14"/>
  <c r="AA270" i="14" s="1"/>
  <c r="AB629" i="14"/>
  <c r="AA629" i="14" s="1"/>
  <c r="AB124" i="14"/>
  <c r="AA124" i="14" s="1"/>
  <c r="AB877" i="14"/>
  <c r="AA877" i="14" s="1"/>
  <c r="AB359" i="14"/>
  <c r="AA359" i="14" s="1"/>
  <c r="AB1126" i="14"/>
  <c r="AA1126" i="14" s="1"/>
  <c r="AB630" i="14"/>
  <c r="AA630" i="14" s="1"/>
  <c r="AB623" i="14"/>
  <c r="AA623" i="14" s="1"/>
  <c r="AB557" i="14"/>
  <c r="AA557" i="14" s="1"/>
  <c r="AB214" i="14"/>
  <c r="AA214" i="14" s="1"/>
  <c r="AB280" i="14"/>
  <c r="AA280" i="14" s="1"/>
  <c r="AB1002" i="14"/>
  <c r="AA1002" i="14" s="1"/>
  <c r="AB1046" i="14"/>
  <c r="AA1046" i="14" s="1"/>
  <c r="AB578" i="14"/>
  <c r="AA578" i="14" s="1"/>
  <c r="AB1119" i="14"/>
  <c r="AA1119" i="14" s="1"/>
  <c r="AB502" i="14"/>
  <c r="AA502" i="14" s="1"/>
  <c r="AB445" i="14"/>
  <c r="AA445" i="14" s="1"/>
  <c r="AB79" i="14"/>
  <c r="AA79" i="14" s="1"/>
  <c r="AB167" i="14"/>
  <c r="AA167" i="14" s="1"/>
  <c r="AB58" i="14"/>
  <c r="AA58" i="14" s="1"/>
  <c r="AB768" i="14"/>
  <c r="AA768" i="14" s="1"/>
  <c r="AB170" i="14"/>
  <c r="AA170" i="14" s="1"/>
  <c r="AB738" i="14"/>
  <c r="AA738" i="14" s="1"/>
  <c r="AB817" i="14"/>
  <c r="AA817" i="14" s="1"/>
  <c r="AB465" i="14"/>
  <c r="AA465" i="14" s="1"/>
  <c r="AB417" i="14"/>
  <c r="AA417" i="14" s="1"/>
  <c r="AB391" i="14"/>
  <c r="AA391" i="14" s="1"/>
  <c r="AB709" i="14"/>
  <c r="AA709" i="14" s="1"/>
  <c r="AB24" i="14"/>
  <c r="AA24" i="14" s="1"/>
  <c r="AB735" i="14"/>
  <c r="AA735" i="14" s="1"/>
  <c r="AB159" i="14"/>
  <c r="AA159" i="14" s="1"/>
  <c r="AB295" i="14"/>
  <c r="AA295" i="14" s="1"/>
  <c r="AB556" i="14"/>
  <c r="AA556" i="14" s="1"/>
  <c r="AB287" i="14"/>
  <c r="AA287" i="14" s="1"/>
  <c r="AB189" i="14"/>
  <c r="AA189" i="14" s="1"/>
  <c r="AB936" i="14"/>
  <c r="AA936" i="14" s="1"/>
  <c r="AB1123" i="14"/>
  <c r="AA1123" i="14" s="1"/>
  <c r="AB102" i="14"/>
  <c r="AA102" i="14" s="1"/>
  <c r="AB659" i="14"/>
  <c r="AA659" i="14" s="1"/>
  <c r="AB373" i="14"/>
  <c r="AA373" i="14" s="1"/>
  <c r="AB1116" i="14"/>
  <c r="AA1116" i="14" s="1"/>
  <c r="AB234" i="14"/>
  <c r="AA234" i="14" s="1"/>
  <c r="AB696" i="14"/>
  <c r="AA696" i="14" s="1"/>
  <c r="AB137" i="14"/>
  <c r="AA137" i="14" s="1"/>
  <c r="AB193" i="14"/>
  <c r="AA193" i="14" s="1"/>
  <c r="AB974" i="14"/>
  <c r="AA974" i="14" s="1"/>
  <c r="AB824" i="14"/>
  <c r="AA824" i="14" s="1"/>
  <c r="AB436" i="14"/>
  <c r="AA436" i="14" s="1"/>
  <c r="AB141" i="14"/>
  <c r="AA141" i="14" s="1"/>
  <c r="AB275" i="14"/>
  <c r="AA275" i="14" s="1"/>
  <c r="AB825" i="14"/>
  <c r="AA825" i="14" s="1"/>
  <c r="AB1028" i="14"/>
  <c r="AA1028" i="14" s="1"/>
  <c r="AB233" i="14"/>
  <c r="AA233" i="14" s="1"/>
  <c r="AB126" i="14"/>
  <c r="AA126" i="14" s="1"/>
  <c r="AB832" i="14"/>
  <c r="AA832" i="14" s="1"/>
  <c r="AB872" i="14"/>
  <c r="AA872" i="14" s="1"/>
  <c r="AB547" i="14"/>
  <c r="AA547" i="14" s="1"/>
  <c r="AB340" i="14"/>
  <c r="AA340" i="14" s="1"/>
  <c r="AB462" i="14"/>
  <c r="AA462" i="14" s="1"/>
  <c r="AB62" i="14"/>
  <c r="AA62" i="14" s="1"/>
  <c r="AB226" i="14"/>
  <c r="AA226" i="14" s="1"/>
  <c r="AB834" i="14"/>
  <c r="AA834" i="14" s="1"/>
  <c r="AB647" i="14"/>
  <c r="AA647" i="14" s="1"/>
  <c r="AB813" i="14"/>
  <c r="AA813" i="14" s="1"/>
  <c r="AB916" i="14"/>
  <c r="AA916" i="14" s="1"/>
  <c r="AB716" i="14"/>
  <c r="AA716" i="14" s="1"/>
  <c r="AB767" i="14"/>
  <c r="AA767" i="14" s="1"/>
  <c r="AB729" i="14"/>
  <c r="AA729" i="14" s="1"/>
  <c r="AB993" i="14"/>
  <c r="AA993" i="14" s="1"/>
  <c r="AB481" i="14"/>
  <c r="AA481" i="14" s="1"/>
  <c r="AB685" i="14"/>
  <c r="AA685" i="14" s="1"/>
  <c r="AB81" i="14"/>
  <c r="AA81" i="14" s="1"/>
  <c r="AB37" i="14"/>
  <c r="AA37" i="14" s="1"/>
  <c r="AB128" i="14"/>
  <c r="AA128" i="14" s="1"/>
  <c r="AB468" i="14"/>
  <c r="AA468" i="14" s="1"/>
  <c r="AB398" i="14"/>
  <c r="AA398" i="14" s="1"/>
  <c r="AB1022" i="14"/>
  <c r="AA1022" i="14" s="1"/>
  <c r="AB202" i="14"/>
  <c r="AA202" i="14" s="1"/>
  <c r="AB375" i="14"/>
  <c r="AA375" i="14" s="1"/>
  <c r="AB826" i="14"/>
  <c r="AA826" i="14" s="1"/>
  <c r="AB953" i="14"/>
  <c r="AA953" i="14" s="1"/>
  <c r="AB104" i="14"/>
  <c r="AA104" i="14" s="1"/>
  <c r="AB96" i="14"/>
  <c r="AA96" i="14" s="1"/>
  <c r="AB1152" i="14"/>
  <c r="AA1152" i="14" s="1"/>
  <c r="AB510" i="14"/>
  <c r="AA510" i="14" s="1"/>
  <c r="AB594" i="14"/>
  <c r="AA594" i="14" s="1"/>
  <c r="AB16" i="14"/>
  <c r="AA16" i="14" s="1"/>
  <c r="AB88" i="14"/>
  <c r="AA88" i="14" s="1"/>
  <c r="AB982" i="14"/>
  <c r="AA982" i="14" s="1"/>
  <c r="AB415" i="14"/>
  <c r="AA415" i="14" s="1"/>
  <c r="AB950" i="14"/>
  <c r="AA950" i="14" s="1"/>
  <c r="AB699" i="14"/>
  <c r="AA699" i="14" s="1"/>
  <c r="AB599" i="14"/>
  <c r="AA599" i="14" s="1"/>
  <c r="AB731" i="14"/>
  <c r="AA731" i="14" s="1"/>
  <c r="AB75" i="14"/>
  <c r="AA75" i="14" s="1"/>
  <c r="AB1092" i="14"/>
  <c r="AA1092" i="14" s="1"/>
  <c r="AB165" i="14"/>
  <c r="AA165" i="14" s="1"/>
  <c r="AB861" i="14"/>
  <c r="AA861" i="14" s="1"/>
  <c r="AB732" i="14"/>
  <c r="AA732" i="14" s="1"/>
  <c r="AB611" i="14"/>
  <c r="AA611" i="14" s="1"/>
  <c r="AB443" i="14"/>
  <c r="AA443" i="14" s="1"/>
  <c r="AB197" i="14"/>
  <c r="AA197" i="14" s="1"/>
  <c r="AB690" i="14"/>
  <c r="AA690" i="14" s="1"/>
  <c r="AB139" i="14"/>
  <c r="AA139" i="14" s="1"/>
  <c r="AB145" i="14"/>
  <c r="AA145" i="14" s="1"/>
  <c r="AB330" i="14"/>
  <c r="AA330" i="14" s="1"/>
  <c r="AB421" i="14"/>
  <c r="AA421" i="14" s="1"/>
  <c r="AB759" i="14"/>
  <c r="AA759" i="14" s="1"/>
  <c r="AB888" i="14"/>
  <c r="AA888" i="14" s="1"/>
  <c r="AB405" i="14"/>
  <c r="AA405" i="14" s="1"/>
  <c r="AB396" i="14"/>
  <c r="AA396" i="14" s="1"/>
  <c r="AB439" i="14"/>
  <c r="AA439" i="14" s="1"/>
  <c r="AB1124" i="14"/>
  <c r="AA1124" i="14" s="1"/>
  <c r="AB1167" i="14"/>
  <c r="AA1167" i="14" s="1"/>
  <c r="AB788" i="14"/>
  <c r="AA788" i="14" s="1"/>
  <c r="AB754" i="14"/>
  <c r="AA754" i="14" s="1"/>
  <c r="AB316" i="14"/>
  <c r="AA316" i="14" s="1"/>
  <c r="AB540" i="14"/>
  <c r="AA540" i="14" s="1"/>
  <c r="AB535" i="14"/>
  <c r="AA535" i="14" s="1"/>
  <c r="AB793" i="14"/>
  <c r="AA793" i="14" s="1"/>
  <c r="AB1038" i="14"/>
  <c r="AA1038" i="14" s="1"/>
  <c r="AB259" i="14"/>
  <c r="AA259" i="14" s="1"/>
  <c r="AB956" i="14"/>
  <c r="AA956" i="14" s="1"/>
  <c r="AB1108" i="14"/>
  <c r="AA1108" i="14" s="1"/>
  <c r="AB1134" i="14"/>
  <c r="AA1134" i="14" s="1"/>
  <c r="AB180" i="14"/>
  <c r="AA180" i="14" s="1"/>
  <c r="AB765" i="14"/>
  <c r="AA765" i="14" s="1"/>
  <c r="AB868" i="14"/>
  <c r="AA868" i="14" s="1"/>
  <c r="AB269" i="14"/>
  <c r="AA269" i="14" s="1"/>
  <c r="AB33" i="14"/>
  <c r="AA33" i="14" s="1"/>
  <c r="AB72" i="14"/>
  <c r="AA72" i="14" s="1"/>
  <c r="AB757" i="14"/>
  <c r="AA757" i="14" s="1"/>
  <c r="AB833" i="14"/>
  <c r="AA833" i="14" s="1"/>
  <c r="AB663" i="14"/>
  <c r="AA663" i="14" s="1"/>
  <c r="AB1084" i="14"/>
  <c r="AA1084" i="14" s="1"/>
  <c r="AB550" i="14"/>
  <c r="AA550" i="14" s="1"/>
  <c r="AB769" i="14"/>
  <c r="AA769" i="14" s="1"/>
  <c r="AB589" i="14"/>
  <c r="AA589" i="14" s="1"/>
  <c r="AB15" i="14"/>
  <c r="AA15" i="14" s="1"/>
  <c r="AB413" i="14"/>
  <c r="AA413" i="14" s="1"/>
  <c r="AB397" i="14"/>
  <c r="AA397" i="14" s="1"/>
  <c r="AB541" i="14"/>
  <c r="AA541" i="14" s="1"/>
  <c r="AB849" i="14"/>
  <c r="AA849" i="14" s="1"/>
  <c r="AB905" i="14"/>
  <c r="AA905" i="14" s="1"/>
  <c r="AB255" i="14"/>
  <c r="AA255" i="14" s="1"/>
  <c r="AB519" i="14"/>
  <c r="AA519" i="14" s="1"/>
  <c r="AB178" i="14"/>
  <c r="AA178" i="14" s="1"/>
  <c r="AB29" i="14"/>
  <c r="AA29" i="14" s="1"/>
  <c r="AB1029" i="14"/>
  <c r="AA1029" i="14" s="1"/>
  <c r="AB19" i="14"/>
  <c r="AA19" i="14" s="1"/>
  <c r="AB1009" i="14"/>
  <c r="AA1009" i="14" s="1"/>
  <c r="AB792" i="14"/>
  <c r="AA792" i="14" s="1"/>
  <c r="AB172" i="14"/>
  <c r="AA172" i="14" s="1"/>
  <c r="AB780" i="14"/>
  <c r="AA780" i="14" s="1"/>
  <c r="AB1044" i="14"/>
  <c r="AA1044" i="14" s="1"/>
  <c r="AB670" i="14"/>
  <c r="AA670" i="14" s="1"/>
  <c r="AB537" i="14"/>
  <c r="AA537" i="14" s="1"/>
  <c r="AB705" i="14"/>
  <c r="AA705" i="14" s="1"/>
  <c r="AB482" i="14"/>
  <c r="AA482" i="14" s="1"/>
  <c r="AB392" i="14"/>
  <c r="AA392" i="14" s="1"/>
  <c r="AB1114" i="14"/>
  <c r="AA1114" i="14" s="1"/>
  <c r="AB908" i="14"/>
  <c r="AA908" i="14" s="1"/>
  <c r="AB518" i="14"/>
  <c r="AA518" i="14" s="1"/>
  <c r="AB913" i="14"/>
  <c r="AA913" i="14" s="1"/>
  <c r="AB823" i="14"/>
  <c r="AA823" i="14" s="1"/>
  <c r="AB766" i="14"/>
  <c r="AA766" i="14" s="1"/>
  <c r="AB1008" i="14"/>
  <c r="AA1008" i="14" s="1"/>
  <c r="AB746" i="14"/>
  <c r="AA746" i="14" s="1"/>
  <c r="AB1013" i="14"/>
  <c r="AA1013" i="14" s="1"/>
  <c r="AB94" i="14"/>
  <c r="AA94" i="14" s="1"/>
  <c r="AB380" i="14"/>
  <c r="AA380" i="14" s="1"/>
  <c r="AB1080" i="14"/>
  <c r="AA1080" i="14" s="1"/>
  <c r="AB662" i="14"/>
  <c r="AA662" i="14" s="1"/>
  <c r="AB836" i="14"/>
  <c r="AA836" i="14" s="1"/>
  <c r="AB67" i="14"/>
  <c r="AA67" i="14" s="1"/>
  <c r="AB493" i="14"/>
  <c r="AA493" i="14" s="1"/>
  <c r="AB810" i="14"/>
  <c r="AA810" i="14" s="1"/>
  <c r="AB884" i="14"/>
  <c r="AA884" i="14" s="1"/>
  <c r="AB786" i="14"/>
  <c r="AA786" i="14" s="1"/>
  <c r="AB949" i="14"/>
  <c r="AA949" i="14" s="1"/>
  <c r="AB191" i="14"/>
  <c r="AA191" i="14" s="1"/>
  <c r="AB1033" i="14"/>
  <c r="AA1033" i="14" s="1"/>
  <c r="AB741" i="14"/>
  <c r="AA741" i="14" s="1"/>
  <c r="AB835" i="14"/>
  <c r="AA835" i="14" s="1"/>
  <c r="AB634" i="14"/>
  <c r="AA634" i="14" s="1"/>
  <c r="AB350" i="14"/>
  <c r="AA350" i="14" s="1"/>
  <c r="AB906" i="14"/>
  <c r="AA906" i="14" s="1"/>
  <c r="AB533" i="14"/>
  <c r="AA533" i="14" s="1"/>
  <c r="AB755" i="14"/>
  <c r="AA755" i="14" s="1"/>
  <c r="AB393" i="14"/>
  <c r="AA393" i="14" s="1"/>
  <c r="AB492" i="14"/>
  <c r="AA492" i="14" s="1"/>
  <c r="AB1154" i="14"/>
  <c r="AA1154" i="14" s="1"/>
  <c r="AB93" i="14"/>
  <c r="AA93" i="14" s="1"/>
  <c r="AB789" i="14"/>
  <c r="AA789" i="14" s="1"/>
  <c r="AB503" i="14"/>
  <c r="AA503" i="14" s="1"/>
  <c r="AB532" i="14"/>
  <c r="AA532" i="14" s="1"/>
  <c r="AB952" i="14"/>
  <c r="AA952" i="14" s="1"/>
  <c r="AB641" i="14"/>
  <c r="AA641" i="14" s="1"/>
  <c r="AB1102" i="14"/>
  <c r="AA1102" i="14" s="1"/>
  <c r="AB98" i="14"/>
  <c r="AA98" i="14" s="1"/>
  <c r="AB702" i="14"/>
  <c r="AA702" i="14" s="1"/>
  <c r="AB588" i="14"/>
  <c r="AA588" i="14" s="1"/>
  <c r="AB917" i="14"/>
  <c r="AA917" i="14" s="1"/>
  <c r="AB689" i="14"/>
  <c r="AA689" i="14" s="1"/>
  <c r="AB713" i="14"/>
  <c r="AA713" i="14" s="1"/>
  <c r="AB288" i="14"/>
  <c r="AA288" i="14" s="1"/>
  <c r="AB591" i="14"/>
  <c r="AA591" i="14" s="1"/>
  <c r="AB885" i="14"/>
  <c r="AA885" i="14" s="1"/>
  <c r="AB904" i="14"/>
  <c r="AA904" i="14" s="1"/>
  <c r="AB1059" i="14"/>
  <c r="AA1059" i="14" s="1"/>
  <c r="AB923" i="14"/>
  <c r="AA923" i="14" s="1"/>
  <c r="AB1091" i="14"/>
  <c r="AA1091" i="14" s="1"/>
  <c r="AB99" i="14"/>
  <c r="AA99" i="14" s="1"/>
  <c r="AB880" i="14"/>
  <c r="AA880" i="14" s="1"/>
  <c r="AB1069" i="14"/>
  <c r="AA1069" i="14" s="1"/>
  <c r="AB991" i="14"/>
  <c r="AA991" i="14" s="1"/>
  <c r="AB410" i="14"/>
  <c r="AA410" i="14" s="1"/>
  <c r="AB489" i="14"/>
  <c r="AA489" i="14" s="1"/>
  <c r="AB239" i="14"/>
  <c r="AA239" i="14" s="1"/>
  <c r="AB886" i="14"/>
  <c r="AA886" i="14" s="1"/>
  <c r="AB567" i="14"/>
  <c r="AA567" i="14" s="1"/>
  <c r="AB881" i="14"/>
  <c r="AA881" i="14" s="1"/>
  <c r="AB213" i="14"/>
  <c r="AA213" i="14" s="1"/>
  <c r="AB1159" i="14"/>
  <c r="AA1159" i="14" s="1"/>
  <c r="AB1158" i="14"/>
  <c r="AA1158" i="14" s="1"/>
  <c r="AB511" i="14"/>
  <c r="AA511" i="14" s="1"/>
  <c r="AB617" i="14"/>
  <c r="AA617" i="14" s="1"/>
  <c r="AB449" i="14"/>
  <c r="AA449" i="14" s="1"/>
  <c r="AB804" i="14"/>
  <c r="AA804" i="14" s="1"/>
  <c r="AB43" i="14"/>
  <c r="AA43" i="14" s="1"/>
  <c r="AB169" i="14"/>
  <c r="AA169" i="14" s="1"/>
  <c r="AB456" i="14"/>
  <c r="AA456" i="14" s="1"/>
  <c r="AB862" i="14"/>
  <c r="AA862" i="14" s="1"/>
  <c r="AB603" i="14"/>
  <c r="AA603" i="14" s="1"/>
  <c r="AB980" i="14"/>
  <c r="AA980" i="14" s="1"/>
  <c r="AB294" i="14"/>
  <c r="AA294" i="14" s="1"/>
  <c r="AB920" i="14"/>
  <c r="AA920" i="14" s="1"/>
  <c r="AB466" i="14"/>
  <c r="AA466" i="14" s="1"/>
  <c r="AB691" i="14"/>
  <c r="AA691" i="14" s="1"/>
  <c r="AB677" i="14"/>
  <c r="AA677" i="14" s="1"/>
  <c r="AB59" i="14"/>
  <c r="AA59" i="14" s="1"/>
  <c r="AB1109" i="14"/>
  <c r="AA1109" i="14" s="1"/>
  <c r="AB496" i="14"/>
  <c r="AA496" i="14" s="1"/>
  <c r="AB232" i="14"/>
  <c r="AA232" i="14" s="1"/>
  <c r="AB268" i="14"/>
  <c r="AA268" i="14" s="1"/>
  <c r="AB672" i="14"/>
  <c r="AA672" i="14" s="1"/>
  <c r="AB300" i="14"/>
  <c r="AA300" i="14" s="1"/>
  <c r="AB1097" i="14"/>
  <c r="AA1097" i="14" s="1"/>
  <c r="AB899" i="14"/>
  <c r="AA899" i="14" s="1"/>
  <c r="AB156" i="14"/>
  <c r="AA156" i="14" s="1"/>
  <c r="AB428" i="14"/>
  <c r="AA428" i="14" s="1"/>
  <c r="AB419" i="14"/>
  <c r="AA419" i="14" s="1"/>
  <c r="AB87" i="14"/>
  <c r="AA87" i="14" s="1"/>
  <c r="AB883" i="14"/>
  <c r="AA883" i="14" s="1"/>
  <c r="AB441" i="14"/>
  <c r="AA441" i="14" s="1"/>
  <c r="AB1032" i="14"/>
  <c r="AA1032" i="14" s="1"/>
  <c r="AB254" i="14"/>
  <c r="AA254" i="14" s="1"/>
  <c r="AB521" i="14"/>
  <c r="AA521" i="14" s="1"/>
  <c r="AB1129" i="14"/>
  <c r="AA1129" i="14" s="1"/>
  <c r="AB1122" i="14"/>
  <c r="AA1122" i="14" s="1"/>
  <c r="AB968" i="14"/>
  <c r="AA968" i="14" s="1"/>
  <c r="AB264" i="14"/>
  <c r="AA264" i="14" s="1"/>
  <c r="AB1001" i="14"/>
  <c r="AA1001" i="14" s="1"/>
  <c r="AB371" i="14"/>
  <c r="AA371" i="14" s="1"/>
  <c r="AB596" i="14"/>
  <c r="AA596" i="14" s="1"/>
  <c r="AB495" i="14"/>
  <c r="AA495" i="14" s="1"/>
  <c r="AB847" i="14"/>
  <c r="AA847" i="14" s="1"/>
  <c r="AB285" i="14"/>
  <c r="AA285" i="14" s="1"/>
  <c r="AB92" i="14"/>
  <c r="AA92" i="14" s="1"/>
  <c r="AB84" i="14"/>
  <c r="AA84" i="14" s="1"/>
  <c r="AB286" i="14"/>
  <c r="AA286" i="14" s="1"/>
  <c r="AB251" i="14"/>
  <c r="AA251" i="14" s="1"/>
  <c r="AB1143" i="14"/>
  <c r="AA1143" i="14" s="1"/>
  <c r="AB474" i="14"/>
  <c r="AA474" i="14" s="1"/>
  <c r="AB106" i="14"/>
  <c r="AA106" i="14" s="1"/>
  <c r="AB1107" i="14"/>
  <c r="AA1107" i="14" s="1"/>
  <c r="AB1086" i="14"/>
  <c r="AA1086" i="14" s="1"/>
  <c r="AB1037" i="14"/>
  <c r="AA1037" i="14" s="1"/>
  <c r="AB313" i="14"/>
  <c r="AA313" i="14" s="1"/>
  <c r="AB720" i="14"/>
  <c r="AA720" i="14" s="1"/>
  <c r="AB1157" i="14"/>
  <c r="AA1157" i="14" s="1"/>
  <c r="AB736" i="14"/>
  <c r="AA736" i="14" s="1"/>
  <c r="AB9" i="14"/>
  <c r="AA9" i="14" s="1"/>
  <c r="AB13" i="14"/>
  <c r="AA13" i="14" s="1"/>
  <c r="AB477" i="14"/>
  <c r="AA477" i="14" s="1"/>
  <c r="AB652" i="14"/>
  <c r="AA652" i="14" s="1"/>
  <c r="AB858" i="14"/>
  <c r="AA858" i="14" s="1"/>
  <c r="AB432" i="14"/>
  <c r="AA432" i="14" s="1"/>
  <c r="AB333" i="14"/>
  <c r="AA333" i="14" s="1"/>
  <c r="AB113" i="14"/>
  <c r="AA113" i="14" s="1"/>
  <c r="AB312" i="14"/>
  <c r="AA312" i="14" s="1"/>
  <c r="AB774" i="14"/>
  <c r="AA774" i="14" s="1"/>
  <c r="AB821" i="14"/>
  <c r="AA821" i="14" s="1"/>
  <c r="AB117" i="14"/>
  <c r="AA117" i="14" s="1"/>
  <c r="AB362" i="14"/>
  <c r="AA362" i="14" s="1"/>
  <c r="AB585" i="14"/>
  <c r="AA585" i="14" s="1"/>
  <c r="AB850" i="14"/>
  <c r="AA850" i="14" s="1"/>
  <c r="AB200" i="14"/>
  <c r="AA200" i="14" s="1"/>
  <c r="AB560" i="14"/>
  <c r="AA560" i="14" s="1"/>
  <c r="AB1130" i="14"/>
  <c r="AA1130" i="14" s="1"/>
  <c r="AB506" i="14"/>
  <c r="AA506" i="14" s="1"/>
  <c r="AB186" i="14"/>
  <c r="AA186" i="14" s="1"/>
  <c r="AB1068" i="14"/>
  <c r="AA1068" i="14" s="1"/>
  <c r="AB343" i="14"/>
  <c r="AA343" i="14" s="1"/>
  <c r="AB574" i="14"/>
  <c r="AA574" i="14" s="1"/>
  <c r="AB236" i="14"/>
  <c r="AA236" i="14" s="1"/>
  <c r="AB784" i="14"/>
  <c r="AA784" i="14" s="1"/>
  <c r="AB715" i="14"/>
  <c r="AA715" i="14" s="1"/>
  <c r="AB712" i="14"/>
  <c r="AA712" i="14" s="1"/>
  <c r="AB890" i="14"/>
  <c r="AA890" i="14" s="1"/>
  <c r="AB433" i="14"/>
  <c r="AA433" i="14" s="1"/>
  <c r="AB386" i="14"/>
  <c r="AA386" i="14" s="1"/>
  <c r="AB580" i="14"/>
  <c r="AA580" i="14" s="1"/>
  <c r="AB569" i="14"/>
  <c r="AA569" i="14" s="1"/>
  <c r="AB1151" i="14"/>
  <c r="AA1151" i="14" s="1"/>
  <c r="AB1100" i="14"/>
  <c r="AA1100" i="14" s="1"/>
  <c r="AB253" i="14"/>
  <c r="AA253" i="14" s="1"/>
  <c r="AB408" i="14"/>
  <c r="AA408" i="14" s="1"/>
  <c r="AB979" i="14"/>
  <c r="AA979" i="14" s="1"/>
  <c r="AB463" i="14"/>
  <c r="AA463" i="14" s="1"/>
  <c r="AB763" i="14"/>
  <c r="AA763" i="14" s="1"/>
  <c r="AB1085" i="14"/>
  <c r="AA1085" i="14" s="1"/>
  <c r="AB875" i="14"/>
  <c r="AA875" i="14" s="1"/>
  <c r="AB216" i="14"/>
  <c r="AA216" i="14" s="1"/>
  <c r="AB837" i="14"/>
  <c r="AA837" i="14" s="1"/>
  <c r="AB1139" i="14"/>
  <c r="AA1139" i="14" s="1"/>
  <c r="AB773" i="14"/>
  <c r="AA773" i="14" s="1"/>
  <c r="AB628" i="14"/>
  <c r="AA628" i="14" s="1"/>
  <c r="AB109" i="14"/>
  <c r="AA109" i="14" s="1"/>
  <c r="AB752" i="14"/>
  <c r="AA752" i="14" s="1"/>
  <c r="AB1170" i="14"/>
  <c r="AA1170" i="14" s="1"/>
  <c r="AB446" i="14"/>
  <c r="AA446" i="14" s="1"/>
  <c r="AB701" i="14"/>
  <c r="AA701" i="14" s="1"/>
  <c r="AB744" i="14"/>
  <c r="AA744" i="14" s="1"/>
  <c r="AB296" i="14"/>
  <c r="AA296" i="14" s="1"/>
  <c r="AB943" i="14"/>
  <c r="AA943" i="14" s="1"/>
  <c r="AB379" i="14"/>
  <c r="AA379" i="14" s="1"/>
  <c r="AB476" i="14"/>
  <c r="AA476" i="14" s="1"/>
  <c r="AB828" i="14"/>
  <c r="AA828" i="14" s="1"/>
  <c r="AB78" i="14"/>
  <c r="AA78" i="14" s="1"/>
  <c r="AB1015" i="14"/>
  <c r="AA1015" i="14" s="1"/>
  <c r="AB1144" i="14"/>
  <c r="AA1144" i="14" s="1"/>
  <c r="AB640" i="14"/>
  <c r="AA640" i="14" s="1"/>
  <c r="AB1163" i="14"/>
  <c r="AA1163" i="14" s="1"/>
  <c r="AB182" i="14"/>
  <c r="AA182" i="14" s="1"/>
  <c r="AB621" i="14"/>
  <c r="AA621" i="14" s="1"/>
  <c r="AB867" i="14"/>
  <c r="AA867" i="14" s="1"/>
  <c r="AB938" i="14"/>
  <c r="AA938" i="14" s="1"/>
  <c r="AB512" i="14"/>
  <c r="AA512" i="14" s="1"/>
  <c r="AB686" i="14"/>
  <c r="AA686" i="14" s="1"/>
  <c r="AB378" i="14"/>
  <c r="AA378" i="14" s="1"/>
  <c r="AB231" i="14"/>
  <c r="AA231" i="14" s="1"/>
  <c r="AB114" i="14"/>
  <c r="AA114" i="14" s="1"/>
  <c r="AB327" i="14"/>
  <c r="AA327" i="14" s="1"/>
  <c r="AB573" i="14"/>
  <c r="AA573" i="14" s="1"/>
  <c r="AB843" i="14"/>
  <c r="AA843" i="14" s="1"/>
  <c r="AB1090" i="14"/>
  <c r="AA1090" i="14" s="1"/>
  <c r="AB555" i="14"/>
  <c r="AA555" i="14" s="1"/>
  <c r="AB372" i="14"/>
  <c r="AA372" i="14" s="1"/>
  <c r="AB871" i="14"/>
  <c r="AA871" i="14" s="1"/>
  <c r="AB42" i="14"/>
  <c r="AA42" i="14" s="1"/>
  <c r="AB986" i="14"/>
  <c r="AA986" i="14" s="1"/>
  <c r="AB448" i="14"/>
  <c r="AA448" i="14" s="1"/>
  <c r="AB450" i="14"/>
  <c r="AA450" i="14" s="1"/>
  <c r="AB777" i="14"/>
  <c r="AA777" i="14" s="1"/>
  <c r="AB734" i="14"/>
  <c r="AA734" i="14" s="1"/>
  <c r="AB458" i="14"/>
  <c r="AA458" i="14" s="1"/>
  <c r="AB20" i="14"/>
  <c r="AA20" i="14" s="1"/>
  <c r="AB586" i="14"/>
  <c r="AA586" i="14" s="1"/>
  <c r="AB907" i="14"/>
  <c r="AA907" i="14" s="1"/>
  <c r="AB302" i="14"/>
  <c r="AA302" i="14" s="1"/>
  <c r="AB61" i="14"/>
  <c r="AA61" i="14" s="1"/>
  <c r="AB865" i="14"/>
  <c r="AA865" i="14" s="1"/>
  <c r="AB217" i="14"/>
  <c r="AA217" i="14" s="1"/>
  <c r="AB222" i="14"/>
  <c r="AA222" i="14" s="1"/>
  <c r="AB975" i="14"/>
  <c r="AA975" i="14" s="1"/>
  <c r="AB526" i="14"/>
  <c r="AA526" i="14" s="1"/>
  <c r="AB132" i="14"/>
  <c r="AA132" i="14" s="1"/>
  <c r="AB242" i="14"/>
  <c r="AA242" i="14" s="1"/>
  <c r="AB653" i="14"/>
  <c r="AA653" i="14" s="1"/>
  <c r="AB951" i="14"/>
  <c r="AA951" i="14" s="1"/>
  <c r="AB915" i="14"/>
  <c r="AA915" i="14" s="1"/>
  <c r="AB859" i="14"/>
  <c r="AA859" i="14" s="1"/>
  <c r="AB207" i="14"/>
  <c r="AA207" i="14" s="1"/>
  <c r="AB688" i="14"/>
  <c r="AA688" i="14" s="1"/>
  <c r="AB83" i="14"/>
  <c r="AA83" i="14" s="1"/>
  <c r="AB971" i="14"/>
  <c r="AA971" i="14" s="1"/>
  <c r="AB261" i="14"/>
  <c r="AA261" i="14" s="1"/>
  <c r="AB487" i="14"/>
  <c r="AA487" i="14" s="1"/>
  <c r="AB714" i="14"/>
  <c r="AA714" i="14" s="1"/>
  <c r="AB155" i="14"/>
  <c r="AA155" i="14" s="1"/>
  <c r="AB667" i="14"/>
  <c r="AA667" i="14" s="1"/>
  <c r="AB235" i="14"/>
  <c r="AA235" i="14" s="1"/>
  <c r="AB374" i="14"/>
  <c r="AA374" i="14" s="1"/>
  <c r="AB25" i="14"/>
  <c r="AA25" i="14" s="1"/>
  <c r="AB90" i="14"/>
  <c r="AA90" i="14" s="1"/>
  <c r="AB267" i="14"/>
  <c r="AA267" i="14" s="1"/>
  <c r="AB171" i="14"/>
  <c r="AA171" i="14" s="1"/>
  <c r="AB572" i="14"/>
  <c r="AA572" i="14" s="1"/>
  <c r="AB583" i="14"/>
  <c r="AA583" i="14" s="1"/>
  <c r="AB730" i="14"/>
  <c r="AA730" i="14" s="1"/>
  <c r="AB177" i="14"/>
  <c r="AA177" i="14" s="1"/>
  <c r="AB387" i="14"/>
  <c r="AA387" i="14" s="1"/>
  <c r="AB176" i="14"/>
  <c r="AA176" i="14" s="1"/>
  <c r="AB857" i="14"/>
  <c r="AA857" i="14" s="1"/>
  <c r="AB278" i="14"/>
  <c r="AA278" i="14" s="1"/>
  <c r="AB188" i="14"/>
  <c r="AA188" i="14" s="1"/>
  <c r="AB807" i="14"/>
  <c r="AA807" i="14" s="1"/>
  <c r="AB447" i="14"/>
  <c r="AA447" i="14" s="1"/>
  <c r="AB451" i="14"/>
  <c r="AA451" i="14" s="1"/>
  <c r="AB745" i="14"/>
  <c r="AA745" i="14" s="1"/>
  <c r="AB369" i="14"/>
  <c r="AA369" i="14" s="1"/>
  <c r="AB600" i="14"/>
  <c r="AA600" i="14" s="1"/>
  <c r="AB63" i="14"/>
  <c r="AA63" i="14" s="1"/>
  <c r="AB1106" i="14"/>
  <c r="AA1106" i="14" s="1"/>
  <c r="AB85" i="14"/>
  <c r="AA85" i="14" s="1"/>
  <c r="AB430" i="14"/>
  <c r="AA430" i="14" s="1"/>
  <c r="AB965" i="14"/>
  <c r="AA965" i="14" s="1"/>
  <c r="AB1128" i="14"/>
  <c r="AA1128" i="14" s="1"/>
  <c r="AB347" i="14"/>
  <c r="AA347" i="14" s="1"/>
  <c r="AB418" i="14"/>
  <c r="AA418" i="14" s="1"/>
  <c r="AB514" i="14"/>
  <c r="AA514" i="14" s="1"/>
  <c r="AB310" i="14"/>
  <c r="AA310" i="14" s="1"/>
  <c r="AB1120" i="14"/>
  <c r="AA1120" i="14" s="1"/>
  <c r="AB562" i="14"/>
  <c r="AA562" i="14" s="1"/>
  <c r="AB656" i="14"/>
  <c r="AA656" i="14" s="1"/>
  <c r="AB1156" i="14"/>
  <c r="AA1156" i="14" s="1"/>
  <c r="AB1050" i="14"/>
  <c r="AA1050" i="14" s="1"/>
  <c r="AB225" i="14"/>
  <c r="AA225" i="14" s="1"/>
  <c r="AB548" i="14"/>
  <c r="AA548" i="14" s="1"/>
  <c r="AB601" i="14"/>
  <c r="AA601" i="14" s="1"/>
  <c r="AB947" i="14"/>
  <c r="AA947" i="14" s="1"/>
  <c r="AB1007" i="14"/>
  <c r="AA1007" i="14" s="1"/>
  <c r="AB258" i="14"/>
  <c r="AA258" i="14" s="1"/>
  <c r="AB779" i="14"/>
  <c r="AA779" i="14" s="1"/>
  <c r="AB315" i="14"/>
  <c r="AA315" i="14" s="1"/>
  <c r="AB190" i="14"/>
  <c r="AA190" i="14" s="1"/>
  <c r="AB203" i="14"/>
  <c r="AA203" i="14" s="1"/>
  <c r="AB154" i="14"/>
  <c r="AA154" i="14" s="1"/>
  <c r="AB990" i="14"/>
  <c r="AA990" i="14" s="1"/>
  <c r="AB271" i="14"/>
  <c r="AA271" i="14" s="1"/>
  <c r="AB612" i="14"/>
  <c r="AA612" i="14" s="1"/>
  <c r="AB370" i="14"/>
  <c r="AA370" i="14" s="1"/>
  <c r="AB276" i="14"/>
  <c r="AA276" i="14" s="1"/>
  <c r="AB23" i="14"/>
  <c r="AA23" i="14" s="1"/>
  <c r="AB1056" i="14"/>
  <c r="AA1056" i="14" s="1"/>
  <c r="AB499" i="14"/>
  <c r="AA499" i="14" s="1"/>
  <c r="AB742" i="14"/>
  <c r="AA742" i="14" s="1"/>
  <c r="AB693" i="14"/>
  <c r="AA693" i="14" s="1"/>
  <c r="AB549" i="14"/>
  <c r="AA549" i="14" s="1"/>
  <c r="AB942" i="14"/>
  <c r="AA942" i="14" s="1"/>
  <c r="AB722" i="14"/>
  <c r="AA722" i="14" s="1"/>
  <c r="AB966" i="14"/>
  <c r="AA966" i="14" s="1"/>
  <c r="AB785" i="14"/>
  <c r="AA785" i="14" s="1"/>
  <c r="AB32" i="14"/>
  <c r="AA32" i="14" s="1"/>
  <c r="AB339" i="14"/>
  <c r="AA339" i="14" s="1"/>
  <c r="AB911" i="14"/>
  <c r="AA911" i="14" s="1"/>
  <c r="AB212" i="14"/>
  <c r="AA212" i="14" s="1"/>
  <c r="AB695" i="14"/>
  <c r="AA695" i="14" s="1"/>
  <c r="AB761" i="14"/>
  <c r="AA761" i="14" s="1"/>
  <c r="AB237" i="14"/>
  <c r="AA237" i="14" s="1"/>
  <c r="AB39" i="14"/>
  <c r="AA39" i="14" s="1"/>
  <c r="AB402" i="14"/>
  <c r="AA402" i="14" s="1"/>
  <c r="AB844" i="14"/>
  <c r="AA844" i="14" s="1"/>
  <c r="AB52" i="14"/>
  <c r="AA52" i="14" s="1"/>
  <c r="AB962" i="14"/>
  <c r="AA962" i="14" s="1"/>
  <c r="AB345" i="14"/>
  <c r="AA345" i="14" s="1"/>
  <c r="AB435" i="14"/>
  <c r="AA435" i="14" s="1"/>
  <c r="AB76" i="14"/>
  <c r="AA76" i="14" s="1"/>
  <c r="AB60" i="14"/>
  <c r="AA60" i="14" s="1"/>
  <c r="AB1071" i="14"/>
  <c r="AA1071" i="14" s="1"/>
  <c r="AB642" i="14"/>
  <c r="AA642" i="14" s="1"/>
  <c r="AB211" i="14"/>
  <c r="AA211" i="14" s="1"/>
  <c r="AB142" i="14"/>
  <c r="AA142" i="14" s="1"/>
  <c r="AB305" i="14"/>
  <c r="AA305" i="14" s="1"/>
  <c r="AB1145" i="14"/>
  <c r="AA1145" i="14" s="1"/>
  <c r="AB803" i="14"/>
  <c r="AA803" i="14" s="1"/>
  <c r="AB801" i="14"/>
  <c r="AA801" i="14" s="1"/>
  <c r="AB1117" i="14"/>
  <c r="AA1117" i="14" s="1"/>
  <c r="AB183" i="14"/>
  <c r="AA183" i="14" s="1"/>
  <c r="AB354" i="14"/>
  <c r="AA354" i="14" s="1"/>
  <c r="AB157" i="14"/>
  <c r="AA157" i="14" s="1"/>
  <c r="AB842" i="14"/>
  <c r="AA842" i="14" s="1"/>
  <c r="AB1098" i="14"/>
  <c r="AA1098" i="14" s="1"/>
  <c r="AB894" i="14"/>
  <c r="AA894" i="14" s="1"/>
  <c r="AB604" i="14"/>
  <c r="AA604" i="14" s="1"/>
  <c r="AB1141" i="14"/>
  <c r="AA1141" i="14" s="1"/>
  <c r="AB513" i="14"/>
  <c r="AA513" i="14" s="1"/>
  <c r="AB1020" i="14"/>
  <c r="AA1020" i="14" s="1"/>
  <c r="AB764" i="14"/>
  <c r="AA764" i="14" s="1"/>
  <c r="AB303" i="14"/>
  <c r="AA303" i="14" s="1"/>
  <c r="AB210" i="14"/>
  <c r="AA210" i="14" s="1"/>
  <c r="AB697" i="14"/>
  <c r="AA697" i="14" s="1"/>
  <c r="AB384" i="14"/>
  <c r="AA384" i="14" s="1"/>
  <c r="AB1094" i="14"/>
  <c r="AA1094" i="14" s="1"/>
  <c r="AB457" i="14"/>
  <c r="AA457" i="14" s="1"/>
  <c r="AB675" i="14"/>
  <c r="AA675" i="14" s="1"/>
  <c r="AB929" i="14"/>
  <c r="AA929" i="14" s="1"/>
  <c r="AB1153" i="14"/>
  <c r="AA1153" i="14" s="1"/>
  <c r="AB1048" i="14"/>
  <c r="AA1048" i="14" s="1"/>
  <c r="AB997" i="14"/>
  <c r="AA997" i="14" s="1"/>
  <c r="AB394" i="14"/>
  <c r="AA394" i="14" s="1"/>
  <c r="AB536" i="14"/>
  <c r="AA536" i="14" s="1"/>
  <c r="AB1074" i="14"/>
  <c r="AA1074" i="14" s="1"/>
  <c r="AB671" i="14"/>
  <c r="AA671" i="14" s="1"/>
  <c r="AB914" i="14"/>
  <c r="AA914" i="14" s="1"/>
  <c r="AB841" i="14"/>
  <c r="AA841" i="14" s="1"/>
  <c r="AB508" i="14"/>
  <c r="AA508" i="14" s="1"/>
  <c r="AB123" i="14"/>
  <c r="AA123" i="14" s="1"/>
  <c r="AB910" i="14"/>
  <c r="AA910" i="14" s="1"/>
  <c r="AB687" i="14"/>
  <c r="AA687" i="14" s="1"/>
  <c r="AB127" i="14"/>
  <c r="AA127" i="14" s="1"/>
  <c r="AB184" i="14"/>
  <c r="AA184" i="14" s="1"/>
  <c r="AB636" i="14"/>
  <c r="AA636" i="14" s="1"/>
  <c r="AB539" i="14"/>
  <c r="AA539" i="14" s="1"/>
  <c r="AB26" i="14"/>
  <c r="AA26" i="14" s="1"/>
  <c r="AB795" i="14"/>
  <c r="AA795" i="14" s="1"/>
  <c r="AB426" i="14"/>
  <c r="AA426" i="14" s="1"/>
  <c r="AB341" i="14"/>
  <c r="AA341" i="14" s="1"/>
  <c r="AB703" i="14"/>
  <c r="AA703" i="14" s="1"/>
  <c r="AB1148" i="14"/>
  <c r="AA1148" i="14" s="1"/>
  <c r="AB1075" i="14"/>
  <c r="AA1075" i="14" s="1"/>
  <c r="AB708" i="14"/>
  <c r="AA708" i="14" s="1"/>
  <c r="AB422" i="14"/>
  <c r="AA422" i="14" s="1"/>
  <c r="AB1093" i="14"/>
  <c r="AA1093" i="14" s="1"/>
  <c r="AB1082" i="14"/>
  <c r="AA1082" i="14" s="1"/>
  <c r="AB227" i="14"/>
  <c r="AA227" i="14" s="1"/>
  <c r="AB195" i="14"/>
  <c r="AA195" i="14" s="1"/>
  <c r="AB796" i="14"/>
  <c r="AA796" i="14" s="1"/>
  <c r="AB822" i="14"/>
  <c r="AA822" i="14" s="1"/>
  <c r="AB18" i="14"/>
  <c r="AA18" i="14" s="1"/>
  <c r="AB464" i="14"/>
  <c r="AA464" i="14" s="1"/>
  <c r="AB105" i="14"/>
  <c r="AA105" i="14" s="1"/>
  <c r="AB198" i="14"/>
  <c r="AA198" i="14" s="1"/>
  <c r="AB97" i="14"/>
  <c r="AA97" i="14" s="1"/>
  <c r="AB1047" i="14"/>
  <c r="AA1047" i="14" s="1"/>
  <c r="AB602" i="14"/>
  <c r="AA602" i="14" s="1"/>
  <c r="AB1019" i="14"/>
  <c r="AA1019" i="14" s="1"/>
  <c r="AB1052" i="14"/>
  <c r="AA1052" i="14" s="1"/>
  <c r="AB1000" i="14"/>
  <c r="AA1000" i="14" s="1"/>
  <c r="AB571" i="14"/>
  <c r="AA571" i="14" s="1"/>
  <c r="AB873" i="14"/>
  <c r="AA873" i="14" s="1"/>
  <c r="AB748" i="14"/>
  <c r="AA748" i="14" s="1"/>
  <c r="AB229" i="14"/>
  <c r="AA229" i="14" s="1"/>
  <c r="AB326" i="14"/>
  <c r="AA326" i="14" s="1"/>
  <c r="AB95" i="14"/>
  <c r="AA95" i="14" s="1"/>
  <c r="AB934" i="14"/>
  <c r="AA934" i="14" s="1"/>
  <c r="AB878" i="14"/>
  <c r="AA878" i="14" s="1"/>
  <c r="AB118" i="14"/>
  <c r="AA118" i="14" s="1"/>
  <c r="AB1079" i="14"/>
  <c r="AA1079" i="14" s="1"/>
  <c r="AB909" i="14"/>
  <c r="AA909" i="14" s="1"/>
  <c r="AB922" i="14"/>
  <c r="AA922" i="14" s="1"/>
  <c r="AB711" i="14"/>
  <c r="AA711" i="14" s="1"/>
  <c r="AB367" i="14"/>
  <c r="AA367" i="14" s="1"/>
  <c r="AB228" i="14"/>
  <c r="AA228" i="14" s="1"/>
  <c r="AB969" i="14"/>
  <c r="AA969" i="14" s="1"/>
  <c r="AB494" i="14"/>
  <c r="AA494" i="14" s="1"/>
  <c r="AB1003" i="14"/>
  <c r="AA1003" i="14" s="1"/>
  <c r="AB581" i="14"/>
  <c r="AA581" i="14" s="1"/>
  <c r="AB889" i="14"/>
  <c r="AA889" i="14" s="1"/>
  <c r="AB12" i="14"/>
  <c r="AA12" i="14" s="1"/>
  <c r="AB298" i="14"/>
  <c r="AA298" i="14" s="1"/>
  <c r="AB135" i="14"/>
  <c r="AA135" i="14" s="1"/>
  <c r="AB119" i="14"/>
  <c r="AA119" i="14" s="1"/>
  <c r="AB819" i="14"/>
  <c r="AA819" i="14" s="1"/>
  <c r="AB1012" i="14"/>
  <c r="AA1012" i="14" s="1"/>
  <c r="AB427" i="14"/>
  <c r="AA427" i="14" s="1"/>
  <c r="AB164" i="14"/>
  <c r="AA164" i="14" s="1"/>
  <c r="AB992" i="14"/>
  <c r="AA992" i="14" s="1"/>
  <c r="AB1054" i="14"/>
  <c r="AA1054" i="14" s="1"/>
  <c r="AB304" i="14"/>
  <c r="AA304" i="14" s="1"/>
  <c r="AB1027" i="14"/>
  <c r="AA1027" i="14" s="1"/>
  <c r="AB528" i="14"/>
  <c r="AA528" i="14" s="1"/>
  <c r="AB478" i="14"/>
  <c r="AA478" i="14" s="1"/>
  <c r="AB10" i="14"/>
  <c r="AA10" i="14" s="1"/>
  <c r="AB147" i="14"/>
  <c r="AA147" i="14" s="1"/>
  <c r="AB383" i="14"/>
  <c r="AA383" i="14" s="1"/>
  <c r="AB740" i="14"/>
  <c r="AA740" i="14" s="1"/>
  <c r="AB870" i="14"/>
  <c r="AA870" i="14" s="1"/>
  <c r="AB684" i="14"/>
  <c r="AA684" i="14" s="1"/>
  <c r="AB554" i="14"/>
  <c r="AA554" i="14" s="1"/>
  <c r="AB987" i="14"/>
  <c r="AA987" i="14" s="1"/>
  <c r="AB414" i="14"/>
  <c r="AA414" i="14" s="1"/>
  <c r="AB388" i="14"/>
  <c r="AA388" i="14" s="1"/>
  <c r="AB984" i="14"/>
  <c r="AA984" i="14" s="1"/>
  <c r="AB1064" i="14"/>
  <c r="AA1064" i="14" s="1"/>
  <c r="AB479" i="14"/>
  <c r="AA479" i="14" s="1"/>
  <c r="AB452" i="14"/>
  <c r="AA452" i="14" s="1"/>
  <c r="AB853" i="14"/>
  <c r="AA853" i="14" s="1"/>
  <c r="AB1039" i="14"/>
  <c r="AA1039" i="14" s="1"/>
  <c r="AB220" i="14"/>
  <c r="AA220" i="14" s="1"/>
  <c r="AB937" i="14"/>
  <c r="AA937" i="14" s="1"/>
  <c r="AB595" i="14"/>
  <c r="AA595" i="14" s="1"/>
  <c r="AB814" i="14"/>
  <c r="AA814" i="14" s="1"/>
  <c r="AB579" i="14"/>
  <c r="AA579" i="14" s="1"/>
  <c r="AB1058" i="14"/>
  <c r="AA1058" i="14" s="1"/>
  <c r="AB38" i="14"/>
  <c r="AA38" i="14" s="1"/>
  <c r="AB829" i="14"/>
  <c r="AA829" i="14" s="1"/>
  <c r="AB805" i="14"/>
  <c r="AA805" i="14" s="1"/>
  <c r="AB36" i="14"/>
  <c r="AA36" i="14" s="1"/>
  <c r="AB706" i="14"/>
  <c r="AA706" i="14" s="1"/>
  <c r="AB1021" i="14"/>
  <c r="AA1021" i="14" s="1"/>
  <c r="AB192" i="14"/>
  <c r="AA192" i="14" s="1"/>
  <c r="AB11" i="14"/>
  <c r="AA11" i="14" s="1"/>
  <c r="AB498" i="14"/>
  <c r="AA498" i="14" s="1"/>
  <c r="AB627" i="14"/>
  <c r="AA627" i="14" s="1"/>
  <c r="AB146" i="14"/>
  <c r="AA146" i="14" s="1"/>
  <c r="AB140" i="14"/>
  <c r="AA140" i="14" s="1"/>
  <c r="AB564" i="14"/>
  <c r="AA564" i="14" s="1"/>
  <c r="AB44" i="14"/>
  <c r="AA44" i="14" s="1"/>
  <c r="AB173" i="14"/>
  <c r="AA173" i="14" s="1"/>
  <c r="AB1138" i="14"/>
  <c r="AA1138" i="14" s="1"/>
  <c r="AB515" i="14"/>
  <c r="AA515" i="14" s="1"/>
  <c r="AB357" i="14"/>
  <c r="AA357" i="14" s="1"/>
  <c r="AB400" i="14"/>
  <c r="AA400" i="14" s="1"/>
  <c r="AB1078" i="14"/>
  <c r="AA1078" i="14" s="1"/>
  <c r="AB797" i="14"/>
  <c r="AA797" i="14" s="1"/>
  <c r="AB389" i="14"/>
  <c r="AA389" i="14" s="1"/>
  <c r="AB241" i="14"/>
  <c r="AA241" i="14" s="1"/>
  <c r="AB1103" i="14"/>
  <c r="AA1103" i="14" s="1"/>
  <c r="AB783" i="14"/>
  <c r="AA783" i="14" s="1"/>
  <c r="AB488" i="14"/>
  <c r="AA488" i="14" s="1"/>
  <c r="AB14" i="14"/>
  <c r="AA14" i="14" s="1"/>
  <c r="AB293" i="14"/>
  <c r="AA293" i="14" s="1"/>
  <c r="AB1105" i="14"/>
  <c r="AA1105" i="14" s="1"/>
  <c r="AB1160" i="14"/>
  <c r="AA1160" i="14" s="1"/>
  <c r="AB649" i="14"/>
  <c r="AA649" i="14" s="1"/>
  <c r="AB107" i="14"/>
  <c r="AA107" i="14" s="1"/>
  <c r="AB331" i="14"/>
  <c r="AA331" i="14" s="1"/>
  <c r="AB1089" i="14"/>
  <c r="AA1089" i="14" s="1"/>
  <c r="AB46" i="14"/>
  <c r="AA46" i="14" s="1"/>
  <c r="AB108" i="14"/>
  <c r="AA108" i="14" s="1"/>
  <c r="AB743" i="14"/>
  <c r="AA743" i="14" s="1"/>
  <c r="AB218" i="14"/>
  <c r="AA218" i="14" s="1"/>
  <c r="AB575" i="14"/>
  <c r="AA575" i="14" s="1"/>
  <c r="AB125" i="14"/>
  <c r="AA125" i="14" s="1"/>
  <c r="AB112" i="14"/>
  <c r="AA112" i="14" s="1"/>
  <c r="AB1088" i="14"/>
  <c r="AA1088" i="14" s="1"/>
  <c r="AB504" i="14"/>
  <c r="AA504" i="14" s="1"/>
  <c r="AB683" i="14"/>
  <c r="AA683" i="14" s="1"/>
  <c r="AB610" i="14"/>
  <c r="AA610" i="14" s="1"/>
  <c r="AB314" i="14"/>
  <c r="AA314" i="14" s="1"/>
  <c r="AB201" i="14"/>
  <c r="AA201" i="14" s="1"/>
  <c r="AB566" i="14"/>
  <c r="AA566" i="14" s="1"/>
  <c r="AB1055" i="14"/>
  <c r="AA1055" i="14" s="1"/>
  <c r="AB1030" i="14"/>
  <c r="AA1030" i="14" s="1"/>
  <c r="AB454" i="14"/>
  <c r="AA454" i="14" s="1"/>
  <c r="AB168" i="14"/>
  <c r="AA168" i="14" s="1"/>
  <c r="AB325" i="14"/>
  <c r="AA325" i="14" s="1"/>
  <c r="AB103" i="14"/>
  <c r="AA103" i="14" s="1"/>
  <c r="AB1070" i="14"/>
  <c r="AA1070" i="14" s="1"/>
  <c r="AB69" i="14"/>
  <c r="AA69" i="14" s="1"/>
  <c r="AB692" i="14"/>
  <c r="AA692" i="14" s="1"/>
  <c r="AB896" i="14"/>
  <c r="AA896" i="14" s="1"/>
  <c r="AB240" i="14"/>
  <c r="AA240" i="14" s="1"/>
  <c r="AB941" i="14"/>
  <c r="AA941" i="14" s="1"/>
  <c r="AB35" i="14"/>
  <c r="AA35" i="14" s="1"/>
  <c r="AB808" i="14"/>
  <c r="AA808" i="14" s="1"/>
  <c r="AB525" i="14"/>
  <c r="AA525" i="14" s="1"/>
  <c r="AB737" i="14"/>
  <c r="AA737" i="14" s="1"/>
  <c r="AB115" i="14"/>
  <c r="AA115" i="14" s="1"/>
  <c r="AB1110" i="14"/>
  <c r="AA1110" i="14" s="1"/>
  <c r="AB753" i="14"/>
  <c r="AA753" i="14" s="1"/>
  <c r="AB776" i="14"/>
  <c r="AA776" i="14" s="1"/>
  <c r="AB1014" i="14"/>
  <c r="AA1014" i="14" s="1"/>
  <c r="AB816" i="14"/>
  <c r="AA816" i="14" s="1"/>
  <c r="AB437" i="14"/>
  <c r="AA437" i="14" s="1"/>
  <c r="AB260" i="14"/>
  <c r="AA260" i="14" s="1"/>
  <c r="AB1051" i="14"/>
  <c r="AA1051" i="14" s="1"/>
  <c r="AB758" i="14"/>
  <c r="AA758" i="14" s="1"/>
  <c r="AB799" i="14"/>
  <c r="AA799" i="14" s="1"/>
  <c r="AB892" i="14"/>
  <c r="AA892" i="14" s="1"/>
  <c r="AB618" i="14"/>
  <c r="AA618" i="14" s="1"/>
  <c r="AB289" i="14"/>
  <c r="AA289" i="14" s="1"/>
  <c r="AB891" i="14"/>
  <c r="AA891" i="14" s="1"/>
  <c r="AB661" i="14"/>
  <c r="AA661" i="14" s="1"/>
  <c r="AB1142" i="14"/>
  <c r="AA1142" i="14" s="1"/>
  <c r="AB416" i="14"/>
  <c r="AA416" i="14" s="1"/>
  <c r="AB523" i="14"/>
  <c r="AA523" i="14" s="1"/>
  <c r="AB882" i="14"/>
  <c r="AA882" i="14" s="1"/>
  <c r="AB249" i="14"/>
  <c r="AA249" i="14" s="1"/>
  <c r="AB1096" i="14"/>
  <c r="AA1096" i="14" s="1"/>
  <c r="AB802" i="14"/>
  <c r="AA802" i="14" s="1"/>
  <c r="AB622" i="14"/>
  <c r="AA622" i="14" s="1"/>
  <c r="AB475" i="14"/>
  <c r="AA475" i="14" s="1"/>
  <c r="AB150" i="14"/>
  <c r="AA150" i="14" s="1"/>
  <c r="AB854" i="14"/>
  <c r="AA854" i="14" s="1"/>
  <c r="AB486" i="14"/>
  <c r="AA486" i="14" s="1"/>
  <c r="AB812" i="14"/>
  <c r="AA812" i="14" s="1"/>
  <c r="AB480" i="14"/>
  <c r="AA480" i="14" s="1"/>
  <c r="AB324" i="14"/>
  <c r="AA324" i="14" s="1"/>
  <c r="AB230" i="14"/>
  <c r="AA230" i="14" s="1"/>
  <c r="AB501" i="14"/>
  <c r="AA501" i="14" s="1"/>
  <c r="AB282" i="14"/>
  <c r="AA282" i="14" s="1"/>
  <c r="AB1115" i="14"/>
  <c r="AA1115" i="14" s="1"/>
  <c r="AB787" i="14"/>
  <c r="AA787" i="14" s="1"/>
  <c r="AB775" i="14"/>
  <c r="AA775" i="14" s="1"/>
  <c r="AB206" i="14"/>
  <c r="AA206" i="14" s="1"/>
  <c r="AB651" i="14"/>
  <c r="AA651" i="14" s="1"/>
  <c r="AB158" i="14"/>
  <c r="AA158" i="14" s="1"/>
  <c r="AB933" i="14"/>
  <c r="AA933" i="14" s="1"/>
  <c r="AB138" i="14"/>
  <c r="AA138" i="14" s="1"/>
  <c r="AB876" i="14"/>
  <c r="AA876" i="14" s="1"/>
  <c r="AB153" i="14"/>
  <c r="AA153" i="14" s="1"/>
  <c r="AB263" i="14"/>
  <c r="AA263" i="14" s="1"/>
  <c r="AB983" i="14"/>
  <c r="AA983" i="14" s="1"/>
  <c r="AB272" i="14"/>
  <c r="AA272" i="14" s="1"/>
  <c r="AB981" i="14"/>
  <c r="AA981" i="14" s="1"/>
  <c r="AB187" i="14"/>
  <c r="AA187" i="14" s="1"/>
  <c r="AB335" i="14"/>
  <c r="AA335" i="14" s="1"/>
  <c r="AB401" i="14"/>
  <c r="AA401" i="14" s="1"/>
  <c r="AB958" i="14"/>
  <c r="AA958" i="14" s="1"/>
  <c r="AB246" i="14"/>
  <c r="AA246" i="14" s="1"/>
  <c r="AB919" i="14"/>
  <c r="AA919" i="14" s="1"/>
  <c r="AB749" i="14"/>
  <c r="AA749" i="14" s="1"/>
  <c r="AB82" i="14"/>
  <c r="AA82" i="14" s="1"/>
  <c r="AB869" i="14"/>
  <c r="AA869" i="14" s="1"/>
  <c r="AB698" i="14"/>
  <c r="AA698" i="14" s="1"/>
  <c r="AB932" i="14"/>
  <c r="AA932" i="14" s="1"/>
  <c r="AB45" i="14"/>
  <c r="AA45" i="14" s="1"/>
  <c r="AB582" i="14"/>
  <c r="AA582" i="14" s="1"/>
  <c r="AB348" i="14"/>
  <c r="AA348" i="14" s="1"/>
  <c r="AB266" i="14"/>
  <c r="AA266" i="14" s="1"/>
  <c r="AB614" i="14"/>
  <c r="AA614" i="14" s="1"/>
  <c r="AB1040" i="14"/>
  <c r="AA1040" i="14" s="1"/>
  <c r="AB130" i="14"/>
  <c r="AA130" i="14" s="1"/>
  <c r="AB559" i="14"/>
  <c r="AA559" i="14" s="1"/>
  <c r="AB151" i="14"/>
  <c r="AA151" i="14" s="1"/>
  <c r="AB221" i="14"/>
  <c r="AA221" i="14" s="1"/>
  <c r="AB412" i="14"/>
  <c r="AA412" i="14" s="1"/>
  <c r="AB781" i="14"/>
  <c r="AA781" i="14" s="1"/>
  <c r="AB1135" i="14"/>
  <c r="AA1135" i="14" s="1"/>
  <c r="AB900" i="14"/>
  <c r="AA900" i="14" s="1"/>
  <c r="AB988" i="14"/>
  <c r="AA988" i="14" s="1"/>
  <c r="AB1026" i="14"/>
  <c r="AA1026" i="14" s="1"/>
  <c r="AB750" i="14"/>
  <c r="AA750" i="14" s="1"/>
  <c r="AB461" i="14"/>
  <c r="AA461" i="14" s="1"/>
  <c r="AB133" i="14"/>
  <c r="AA133" i="14" s="1"/>
  <c r="AB1150" i="14"/>
  <c r="AA1150" i="14" s="1"/>
  <c r="AB344" i="14"/>
  <c r="AA344" i="14" s="1"/>
  <c r="AB363" i="14"/>
  <c r="AA363" i="14" s="1"/>
  <c r="AB516" i="14"/>
  <c r="AA516" i="14" s="1"/>
  <c r="AB1016" i="14"/>
  <c r="AA1016" i="14" s="1"/>
  <c r="AB864" i="14"/>
  <c r="AA864" i="14" s="1"/>
  <c r="AB453" i="14"/>
  <c r="AA453" i="14" s="1"/>
  <c r="AB328" i="14"/>
  <c r="AA328" i="14" s="1"/>
  <c r="AB1076" i="14"/>
  <c r="AA1076" i="14" s="1"/>
  <c r="AB424" i="14"/>
  <c r="AA424" i="14" s="1"/>
  <c r="AB336" i="14"/>
  <c r="AA336" i="14" s="1"/>
  <c r="AB710" i="14"/>
  <c r="AA710" i="14" s="1"/>
  <c r="AB901" i="14"/>
  <c r="AA901" i="14" s="1"/>
  <c r="AB1004" i="14"/>
  <c r="AA1004" i="14" s="1"/>
  <c r="AB1136" i="14"/>
  <c r="AA1136" i="14" s="1"/>
  <c r="AB166" i="14"/>
  <c r="AA166" i="14" s="1"/>
  <c r="AB538" i="14"/>
  <c r="AA538" i="14" s="1"/>
  <c r="AB597" i="14"/>
  <c r="AA597" i="14" s="1"/>
  <c r="AB376" i="14"/>
  <c r="AA376" i="14" s="1"/>
  <c r="AB484" i="14"/>
  <c r="AA484" i="14" s="1"/>
  <c r="AB175" i="14"/>
  <c r="AA175" i="14" s="1"/>
  <c r="AB281" i="14"/>
  <c r="AA281" i="14" s="1"/>
  <c r="AB794" i="14"/>
  <c r="AA794" i="14" s="1"/>
  <c r="AB1017" i="14"/>
  <c r="AA1017" i="14" s="1"/>
  <c r="AB1053" i="14"/>
  <c r="AA1053" i="14" s="1"/>
  <c r="AB1067" i="14"/>
  <c r="AA1067" i="14" s="1"/>
  <c r="AB700" i="14"/>
  <c r="AA700" i="14" s="1"/>
  <c r="AB144" i="14"/>
  <c r="AA144" i="14" s="1"/>
  <c r="AB40" i="14"/>
  <c r="AA40" i="14" s="1"/>
  <c r="AB283" i="14"/>
  <c r="AA283" i="14" s="1"/>
  <c r="AB762" i="14"/>
  <c r="AA762" i="14" s="1"/>
  <c r="AB1011" i="14"/>
  <c r="AA1011" i="14" s="1"/>
  <c r="AB292" i="14"/>
  <c r="AA292" i="14" s="1"/>
  <c r="AB407" i="14"/>
  <c r="AA407" i="14" s="1"/>
  <c r="AB1061" i="14"/>
  <c r="AA1061" i="14" s="1"/>
  <c r="AB866" i="14"/>
  <c r="AA866" i="14" s="1"/>
  <c r="AB669" i="14"/>
  <c r="AA669" i="14" s="1"/>
  <c r="AB91" i="14"/>
  <c r="AA91" i="14" s="1"/>
  <c r="AB196" i="14"/>
  <c r="AA196" i="14" s="1"/>
  <c r="AB129" i="14"/>
  <c r="AA129" i="14" s="1"/>
  <c r="AB17" i="14"/>
  <c r="AA17" i="14" s="1"/>
  <c r="AB927" i="14"/>
  <c r="AA927" i="14" s="1"/>
  <c r="AB399" i="14"/>
  <c r="AA399" i="14" s="1"/>
  <c r="AB1025" i="14"/>
  <c r="AA1025" i="14" s="1"/>
  <c r="AB395" i="14"/>
  <c r="AA395" i="14" s="1"/>
  <c r="AB66" i="14"/>
  <c r="AA66" i="14" s="1"/>
  <c r="AB101" i="14"/>
  <c r="AA101" i="14" s="1"/>
  <c r="AB660" i="14"/>
  <c r="AA660" i="14" s="1"/>
  <c r="AB1165" i="14"/>
  <c r="AA1165" i="14" s="1"/>
  <c r="AB342" i="14"/>
  <c r="AA342" i="14" s="1"/>
  <c r="AB778" i="14"/>
  <c r="AA778" i="14" s="1"/>
  <c r="AB485" i="14"/>
  <c r="AA485" i="14" s="1"/>
  <c r="AB846" i="14"/>
  <c r="AA846" i="14" s="1"/>
  <c r="AB209" i="14"/>
  <c r="AA209" i="14" s="1"/>
  <c r="AB199" i="14"/>
  <c r="AA199" i="14" s="1"/>
  <c r="AB50" i="14"/>
  <c r="AA50" i="14" s="1"/>
  <c r="AB1073" i="14"/>
  <c r="AA1073" i="14" s="1"/>
  <c r="AB723" i="14"/>
  <c r="AA723" i="14" s="1"/>
  <c r="AB337" i="14"/>
  <c r="AA337" i="14" s="1"/>
  <c r="AB771" i="14"/>
  <c r="AA771" i="14" s="1"/>
  <c r="AB568" i="14"/>
  <c r="AA568" i="14" s="1"/>
  <c r="AB959" i="14"/>
  <c r="AA959" i="14" s="1"/>
  <c r="AB423" i="14"/>
  <c r="AA423" i="14" s="1"/>
  <c r="AB438" i="14"/>
  <c r="AA438" i="14" s="1"/>
  <c r="AB244" i="14"/>
  <c r="AA244" i="14" s="1"/>
  <c r="AB948" i="14"/>
  <c r="AA948" i="14" s="1"/>
  <c r="AB111" i="14"/>
  <c r="AA111" i="14" s="1"/>
  <c r="AB308" i="14"/>
  <c r="AA308" i="14" s="1"/>
  <c r="AB727" i="14"/>
  <c r="AA727" i="14" s="1"/>
  <c r="AB1133" i="14"/>
  <c r="AA1133" i="14" s="1"/>
  <c r="AB939" i="14"/>
  <c r="AA939" i="14" s="1"/>
  <c r="AB945" i="14"/>
  <c r="AA945" i="14" s="1"/>
  <c r="AB1155" i="14"/>
  <c r="AA1155" i="14" s="1"/>
  <c r="AB666" i="14"/>
  <c r="AA666" i="14" s="1"/>
  <c r="AB707" i="14"/>
  <c r="AA707" i="14" s="1"/>
  <c r="AB961" i="14"/>
  <c r="AA961" i="14" s="1"/>
  <c r="AB1162" i="14"/>
  <c r="AA1162" i="14" s="1"/>
  <c r="AB205" i="14"/>
  <c r="AA205" i="14" s="1"/>
  <c r="AB136" i="14"/>
  <c r="AA136" i="14" s="1"/>
  <c r="AB561" i="14"/>
  <c r="AA561" i="14" s="1"/>
  <c r="AB346" i="14"/>
  <c r="AA346" i="14" s="1"/>
  <c r="AB64" i="14"/>
  <c r="AA64" i="14" s="1"/>
  <c r="AB954" i="14"/>
  <c r="AA954" i="14" s="1"/>
  <c r="AB406" i="14"/>
  <c r="AA406" i="14" s="1"/>
  <c r="AB1137" i="14"/>
  <c r="AA1137" i="14" s="1"/>
  <c r="AB22" i="14"/>
  <c r="AA22" i="14" s="1"/>
  <c r="AB1101" i="14"/>
  <c r="AA1101" i="14" s="1"/>
  <c r="AB507" i="14"/>
  <c r="AA507" i="14" s="1"/>
  <c r="AB593" i="14"/>
  <c r="AA593" i="14" s="1"/>
  <c r="AB321" i="14"/>
  <c r="AA321" i="14" s="1"/>
  <c r="AB1095" i="14"/>
  <c r="AA1095" i="14" s="1"/>
  <c r="AB252" i="14"/>
  <c r="AA252" i="14" s="1"/>
  <c r="AB174" i="14"/>
  <c r="AA174" i="14" s="1"/>
  <c r="AB1140" i="14"/>
  <c r="AA1140" i="14" s="1"/>
  <c r="AB311" i="14"/>
  <c r="AA311" i="14" s="1"/>
  <c r="AB718" i="14"/>
  <c r="AA718" i="14" s="1"/>
  <c r="AB120" i="14"/>
  <c r="AA120" i="14" s="1"/>
  <c r="AB998" i="14"/>
  <c r="AA998" i="14" s="1"/>
  <c r="AB323" i="14"/>
  <c r="AA323" i="14" s="1"/>
  <c r="AB855" i="14"/>
  <c r="AA855" i="14" s="1"/>
  <c r="AB520" i="14"/>
  <c r="AA520" i="14" s="1"/>
  <c r="AB838" i="14"/>
  <c r="AA838" i="14" s="1"/>
  <c r="AB385" i="14"/>
  <c r="AA385" i="14" s="1"/>
  <c r="AB291" i="14"/>
  <c r="AA291" i="14" s="1"/>
  <c r="AB903" i="14"/>
  <c r="AA903" i="14" s="1"/>
  <c r="AB455" i="14"/>
  <c r="AA455" i="14" s="1"/>
  <c r="AB607" i="14"/>
  <c r="AA607" i="14" s="1"/>
  <c r="AB544" i="14"/>
  <c r="AA544" i="14" s="1"/>
  <c r="AB726" i="14"/>
  <c r="AA726" i="14" s="1"/>
  <c r="AB680" i="14"/>
  <c r="AA680" i="14" s="1"/>
  <c r="AB179" i="14"/>
  <c r="AA179" i="14" s="1"/>
  <c r="AB546" i="14"/>
  <c r="AA546" i="14" s="1"/>
  <c r="AB818" i="14"/>
  <c r="AA818" i="14" s="1"/>
  <c r="AB322" i="14"/>
  <c r="AA322" i="14" s="1"/>
  <c r="AB1066" i="14"/>
  <c r="AA1066" i="14" s="1"/>
  <c r="AB704" i="14"/>
  <c r="AA704" i="14" s="1"/>
  <c r="AB863" i="14"/>
  <c r="AA863" i="14" s="1"/>
  <c r="AB277" i="14"/>
  <c r="AA277" i="14" s="1"/>
  <c r="AB89" i="14"/>
  <c r="AA89" i="14" s="1"/>
  <c r="AB470" i="14"/>
  <c r="AA470" i="14" s="1"/>
  <c r="AB644" i="14"/>
  <c r="AA644" i="14" s="1"/>
  <c r="AB840" i="14"/>
  <c r="AA840" i="14" s="1"/>
  <c r="AB248" i="14"/>
  <c r="AA248" i="14" s="1"/>
  <c r="AB250" i="14"/>
  <c r="AA250" i="14" s="1"/>
  <c r="AB1166" i="14"/>
  <c r="AA1166" i="14" s="1"/>
  <c r="AB655" i="14"/>
  <c r="AA655" i="14" s="1"/>
  <c r="AB830" i="14"/>
  <c r="AA830" i="14" s="1"/>
  <c r="AB902" i="14"/>
  <c r="AA902" i="14" s="1"/>
  <c r="AB65" i="14"/>
  <c r="AA65" i="14" s="1"/>
  <c r="AB918" i="14"/>
  <c r="AA918" i="14" s="1"/>
  <c r="AB431" i="14"/>
  <c r="AA431" i="14" s="1"/>
  <c r="AB442" i="14"/>
  <c r="AA442" i="14" s="1"/>
  <c r="AB1045" i="14"/>
  <c r="AA1045" i="14" s="1"/>
  <c r="AB831" i="14"/>
  <c r="AA831" i="14" s="1"/>
  <c r="AB358" i="14"/>
  <c r="AA358" i="14" s="1"/>
  <c r="AB1063" i="14"/>
  <c r="AA1063" i="14" s="1"/>
  <c r="AB161" i="14"/>
  <c r="AA161" i="14" s="1"/>
  <c r="AB1125" i="14"/>
  <c r="AA1125" i="14" s="1"/>
  <c r="AB806" i="14"/>
  <c r="AA806" i="14" s="1"/>
  <c r="AB364" i="14"/>
  <c r="AA364" i="14" s="1"/>
  <c r="AB721" i="14"/>
  <c r="AA721" i="14" s="1"/>
  <c r="AB895" i="14"/>
  <c r="AA895" i="14" s="1"/>
  <c r="AB995" i="14"/>
  <c r="AA995" i="14" s="1"/>
  <c r="AB678" i="14"/>
  <c r="AA678" i="14" s="1"/>
  <c r="AB989" i="14"/>
  <c r="AA989" i="14" s="1"/>
  <c r="AB657" i="14"/>
  <c r="AA657" i="14" s="1"/>
  <c r="AB563" i="14"/>
  <c r="AA563" i="14" s="1"/>
  <c r="AB162" i="14"/>
  <c r="AA162" i="14" s="1"/>
  <c r="AB472" i="14"/>
  <c r="AA472" i="14" s="1"/>
  <c r="AB598" i="14"/>
  <c r="AA598" i="14" s="1"/>
  <c r="AB390" i="14"/>
  <c r="AA390" i="14" s="1"/>
  <c r="AB845" i="14"/>
  <c r="AA845" i="14" s="1"/>
  <c r="AB471" i="14"/>
  <c r="AA471" i="14" s="1"/>
  <c r="AB545" i="14"/>
  <c r="AA545" i="14" s="1"/>
  <c r="AB912" i="14"/>
  <c r="AA912" i="14" s="1"/>
  <c r="AB531" i="14"/>
  <c r="AA531" i="14" s="1"/>
  <c r="AB728" i="14"/>
  <c r="AA728" i="14" s="1"/>
  <c r="AB149" i="14"/>
  <c r="AA149" i="14" s="1"/>
  <c r="AB542" i="14"/>
  <c r="AA542" i="14" s="1"/>
  <c r="AB1031" i="14"/>
  <c r="AA1031" i="14" s="1"/>
  <c r="AB1112" i="14"/>
  <c r="AA1112" i="14" s="1"/>
  <c r="AB1049" i="14"/>
  <c r="AA1049" i="14" s="1"/>
  <c r="AB648" i="14"/>
  <c r="AA648" i="14" s="1"/>
  <c r="AB639" i="14"/>
  <c r="AA639" i="14" s="1"/>
  <c r="AB638" i="14"/>
  <c r="AA638" i="14" s="1"/>
  <c r="AB527" i="14"/>
  <c r="AA527" i="14" s="1"/>
  <c r="AB1081" i="14"/>
  <c r="AA1081" i="14" s="1"/>
  <c r="AB256" i="14"/>
  <c r="AA256" i="14" s="1"/>
  <c r="AB41" i="14"/>
  <c r="AA41" i="14" s="1"/>
  <c r="AB851" i="14"/>
  <c r="AA851" i="14" s="1"/>
  <c r="AB1035" i="14"/>
  <c r="AA1035" i="14" s="1"/>
  <c r="AB425" i="14"/>
  <c r="AA425" i="14" s="1"/>
  <c r="AB1168" i="14"/>
  <c r="AA1168" i="14" s="1"/>
  <c r="AB243" i="14"/>
  <c r="AA243" i="14" s="1"/>
  <c r="AB351" i="14"/>
  <c r="AA351" i="14" s="1"/>
  <c r="AB21" i="14"/>
  <c r="AA21" i="14" s="1"/>
  <c r="AB319" i="14"/>
  <c r="AA319" i="14" s="1"/>
  <c r="AB643" i="14"/>
  <c r="AA643" i="14" s="1"/>
  <c r="AB534" i="14"/>
  <c r="AA534" i="14" s="1"/>
  <c r="AB110" i="14"/>
  <c r="AA110" i="14" s="1"/>
  <c r="AB613" i="14"/>
  <c r="AA613" i="14" s="1"/>
  <c r="AB848" i="14"/>
  <c r="AA848" i="14" s="1"/>
  <c r="AB543" i="14"/>
  <c r="AA543" i="14" s="1"/>
  <c r="AB972" i="14"/>
  <c r="AA972" i="14" s="1"/>
  <c r="AB68" i="14"/>
  <c r="AA68" i="14" s="1"/>
  <c r="AB1062" i="14"/>
  <c r="AA1062" i="14" s="1"/>
  <c r="AB964" i="14"/>
  <c r="AA964" i="14" s="1"/>
  <c r="AB56" i="14"/>
  <c r="AA56" i="14" s="1"/>
  <c r="AB522" i="14"/>
  <c r="AA522" i="14" s="1"/>
  <c r="AB71" i="14"/>
  <c r="AA71" i="14" s="1"/>
  <c r="AB590" i="14"/>
  <c r="AA590" i="14" s="1"/>
  <c r="AB1127" i="14"/>
  <c r="AA1127" i="14" s="1"/>
  <c r="AB898" i="14"/>
  <c r="AA898" i="14" s="1"/>
  <c r="AB1005" i="14"/>
  <c r="AA1005" i="14" s="1"/>
  <c r="AB820" i="14"/>
  <c r="AA820" i="14" s="1"/>
  <c r="AB530" i="14"/>
  <c r="AA530" i="14" s="1"/>
  <c r="AB679" i="14"/>
  <c r="AA679" i="14" s="1"/>
  <c r="AB931" i="14"/>
  <c r="AA931" i="14" s="1"/>
  <c r="AB928" i="14"/>
  <c r="AA928" i="14" s="1"/>
  <c r="AB411" i="14"/>
  <c r="AA411" i="14" s="1"/>
  <c r="AB879" i="14"/>
  <c r="AA879" i="14" s="1"/>
  <c r="AB215" i="14"/>
  <c r="AA215" i="14" s="1"/>
  <c r="AB245" i="14"/>
  <c r="AA245" i="14" s="1"/>
  <c r="AB224" i="14"/>
  <c r="AA224" i="14" s="1"/>
  <c r="AB681" i="14"/>
  <c r="AA681" i="14" s="1"/>
  <c r="R8" i="1"/>
  <c r="AC6" i="1"/>
  <c r="G39" i="9"/>
  <c r="D52" i="2"/>
  <c r="I96" i="4"/>
  <c r="P39" i="9"/>
  <c r="E39" i="9"/>
  <c r="P39" i="13"/>
  <c r="E39" i="13"/>
  <c r="X19" i="12"/>
  <c r="M19" i="12" s="1"/>
  <c r="AJ38" i="12"/>
  <c r="Q19" i="12"/>
  <c r="E90" i="2"/>
  <c r="D66" i="2"/>
  <c r="G40" i="10"/>
  <c r="I109" i="4"/>
  <c r="J111" i="4"/>
  <c r="H110" i="4"/>
  <c r="I41" i="10"/>
  <c r="L41" i="10" s="1"/>
  <c r="F41" i="10"/>
  <c r="X20" i="10"/>
  <c r="M20" i="10" s="1"/>
  <c r="AJ39" i="10"/>
  <c r="E65" i="2"/>
  <c r="Q20" i="10"/>
  <c r="E51" i="2"/>
  <c r="AJ38" i="9"/>
  <c r="X19" i="9"/>
  <c r="M19" i="9" s="1"/>
  <c r="Q19" i="9"/>
  <c r="AX114" i="7"/>
  <c r="G89" i="2"/>
  <c r="AJ18" i="12"/>
  <c r="J89" i="2" s="1"/>
  <c r="E39" i="11"/>
  <c r="P39" i="11"/>
  <c r="D78" i="2"/>
  <c r="G39" i="11"/>
  <c r="I120" i="4"/>
  <c r="Q19" i="11"/>
  <c r="X19" i="11"/>
  <c r="M19" i="11" s="1"/>
  <c r="AJ38" i="11"/>
  <c r="E77" i="2"/>
  <c r="AJ18" i="11"/>
  <c r="J76" i="2" s="1"/>
  <c r="G76" i="2"/>
  <c r="AX98" i="7"/>
  <c r="G39" i="12"/>
  <c r="I132" i="4"/>
  <c r="D91" i="2"/>
  <c r="P39" i="12"/>
  <c r="E39" i="12"/>
  <c r="I40" i="9"/>
  <c r="L40" i="9" s="1"/>
  <c r="H97" i="4"/>
  <c r="J98" i="4"/>
  <c r="F40" i="9"/>
  <c r="J146" i="4"/>
  <c r="I40" i="13"/>
  <c r="L40" i="13" s="1"/>
  <c r="H145" i="4"/>
  <c r="F40" i="13"/>
  <c r="G39" i="13"/>
  <c r="I144" i="4"/>
  <c r="D104" i="2"/>
  <c r="E40" i="10"/>
  <c r="P40" i="10"/>
  <c r="AJ18" i="13"/>
  <c r="J102" i="2" s="1"/>
  <c r="G102" i="2"/>
  <c r="AX130" i="7"/>
  <c r="Q19" i="13"/>
  <c r="AJ38" i="13"/>
  <c r="X19" i="13"/>
  <c r="M19" i="13" s="1"/>
  <c r="E103" i="2"/>
  <c r="F40" i="11"/>
  <c r="H121" i="4"/>
  <c r="J122" i="4"/>
  <c r="I40" i="11"/>
  <c r="L40" i="11" s="1"/>
  <c r="AX83" i="7"/>
  <c r="AJ19" i="10"/>
  <c r="J64" i="2" s="1"/>
  <c r="G64" i="2"/>
  <c r="AX66" i="7"/>
  <c r="G50" i="2"/>
  <c r="AJ18" i="9"/>
  <c r="J50" i="2" s="1"/>
  <c r="I40" i="12"/>
  <c r="L40" i="12" s="1"/>
  <c r="J134" i="4"/>
  <c r="H133" i="4"/>
  <c r="F40" i="12"/>
  <c r="AC177" i="16"/>
  <c r="AB176" i="16"/>
  <c r="H42" i="4" l="1"/>
  <c r="K42" i="4"/>
  <c r="N42" i="4" s="1"/>
  <c r="H75" i="4"/>
  <c r="I74" i="4"/>
  <c r="I41" i="4"/>
  <c r="D28" i="2"/>
  <c r="AL20" i="4"/>
  <c r="J26" i="2" s="1"/>
  <c r="G26" i="2"/>
  <c r="AX36" i="7"/>
  <c r="C73" i="4"/>
  <c r="E73" i="4" s="1"/>
  <c r="AL40" i="4"/>
  <c r="Z21" i="4"/>
  <c r="O21" i="4" s="1"/>
  <c r="S21" i="4"/>
  <c r="E27" i="2"/>
  <c r="A27" i="2" s="1"/>
  <c r="C27" i="2" s="1"/>
  <c r="R41" i="4"/>
  <c r="E41" i="4"/>
  <c r="M41" i="4" s="1"/>
  <c r="F41" i="8"/>
  <c r="I41" i="8"/>
  <c r="L41" i="8" s="1"/>
  <c r="H86" i="4"/>
  <c r="J87" i="4"/>
  <c r="P40" i="8"/>
  <c r="E40" i="8"/>
  <c r="R42" i="4"/>
  <c r="E43" i="4"/>
  <c r="E42" i="4"/>
  <c r="G40" i="8"/>
  <c r="D40" i="2"/>
  <c r="I85" i="4"/>
  <c r="X20" i="8"/>
  <c r="M20" i="8" s="1"/>
  <c r="AJ39" i="8"/>
  <c r="Q20" i="8"/>
  <c r="E39" i="2"/>
  <c r="AX51" i="7"/>
  <c r="G38" i="2"/>
  <c r="AJ19" i="8"/>
  <c r="J38" i="2" s="1"/>
  <c r="O38" i="1"/>
  <c r="E36" i="1" s="1"/>
  <c r="R55" i="1" s="1"/>
  <c r="F40" i="6"/>
  <c r="O15" i="1"/>
  <c r="O14" i="1"/>
  <c r="H17" i="1"/>
  <c r="H9" i="1"/>
  <c r="H21" i="1"/>
  <c r="H15" i="1"/>
  <c r="O11" i="1"/>
  <c r="H13" i="1"/>
  <c r="L45" i="1" s="1"/>
  <c r="H14" i="1"/>
  <c r="H22" i="1"/>
  <c r="H11" i="1"/>
  <c r="O16" i="1"/>
  <c r="K36" i="6"/>
  <c r="K40" i="6" s="1"/>
  <c r="H10" i="1"/>
  <c r="H20" i="1"/>
  <c r="P7" i="14"/>
  <c r="O8" i="14" s="1"/>
  <c r="AD5" i="1" s="1"/>
  <c r="R6" i="1" s="1"/>
  <c r="AW2" i="3" s="1"/>
  <c r="X10" i="1"/>
  <c r="Z21" i="1" s="1"/>
  <c r="AB9" i="1" s="1"/>
  <c r="AJ11" i="7"/>
  <c r="H19" i="1"/>
  <c r="AX2" i="3"/>
  <c r="O10" i="1"/>
  <c r="O9" i="1"/>
  <c r="AI11" i="12"/>
  <c r="L66" i="1"/>
  <c r="AK11" i="4"/>
  <c r="AI11" i="10"/>
  <c r="AI11" i="9"/>
  <c r="O13" i="1"/>
  <c r="H12" i="1"/>
  <c r="H16" i="1"/>
  <c r="AI11" i="11"/>
  <c r="AM4" i="7"/>
  <c r="AY8" i="7" s="1"/>
  <c r="AW12" i="7" s="1"/>
  <c r="H18" i="1"/>
  <c r="H23" i="1"/>
  <c r="O12" i="1"/>
  <c r="AI11" i="13"/>
  <c r="Y128" i="3"/>
  <c r="O17" i="1"/>
  <c r="O18" i="1"/>
  <c r="AI11" i="8"/>
  <c r="N8" i="14"/>
  <c r="N7" i="14" s="1"/>
  <c r="I133" i="4"/>
  <c r="D92" i="2"/>
  <c r="G40" i="12"/>
  <c r="E40" i="12"/>
  <c r="K40" i="12" s="1"/>
  <c r="P40" i="12"/>
  <c r="J123" i="4"/>
  <c r="I41" i="11"/>
  <c r="L41" i="11" s="1"/>
  <c r="H122" i="4"/>
  <c r="F41" i="11"/>
  <c r="I145" i="4"/>
  <c r="G40" i="13"/>
  <c r="D105" i="2"/>
  <c r="H146" i="4"/>
  <c r="J147" i="4"/>
  <c r="F41" i="13"/>
  <c r="I41" i="13"/>
  <c r="L41" i="13" s="1"/>
  <c r="F41" i="9"/>
  <c r="H98" i="4"/>
  <c r="J99" i="4"/>
  <c r="I41" i="9"/>
  <c r="L41" i="9" s="1"/>
  <c r="E40" i="9"/>
  <c r="K40" i="9" s="1"/>
  <c r="P40" i="9"/>
  <c r="AX99" i="7"/>
  <c r="AJ19" i="11"/>
  <c r="J77" i="2" s="1"/>
  <c r="G77" i="2"/>
  <c r="AJ39" i="11"/>
  <c r="E78" i="2"/>
  <c r="X20" i="11"/>
  <c r="M20" i="11" s="1"/>
  <c r="Q20" i="11"/>
  <c r="D67" i="2"/>
  <c r="G41" i="10"/>
  <c r="I110" i="4"/>
  <c r="AJ40" i="10"/>
  <c r="Q21" i="10"/>
  <c r="X21" i="10"/>
  <c r="M21" i="10" s="1"/>
  <c r="E66" i="2"/>
  <c r="X20" i="9"/>
  <c r="M20" i="9" s="1"/>
  <c r="E52" i="2"/>
  <c r="Q20" i="9"/>
  <c r="AJ39" i="9"/>
  <c r="H134" i="4"/>
  <c r="I41" i="12"/>
  <c r="L41" i="12" s="1"/>
  <c r="J135" i="4"/>
  <c r="F41" i="12"/>
  <c r="E40" i="11"/>
  <c r="K40" i="11" s="1"/>
  <c r="P40" i="11"/>
  <c r="D79" i="2"/>
  <c r="G40" i="11"/>
  <c r="I121" i="4"/>
  <c r="AX131" i="7"/>
  <c r="G103" i="2"/>
  <c r="AJ19" i="13"/>
  <c r="J103" i="2" s="1"/>
  <c r="K40" i="10"/>
  <c r="AJ39" i="13"/>
  <c r="X20" i="13"/>
  <c r="M20" i="13" s="1"/>
  <c r="E104" i="2"/>
  <c r="Q20" i="13"/>
  <c r="P40" i="13"/>
  <c r="E40" i="13"/>
  <c r="K40" i="13" s="1"/>
  <c r="D53" i="2"/>
  <c r="I97" i="4"/>
  <c r="G40" i="9"/>
  <c r="Q20" i="12"/>
  <c r="E91" i="2"/>
  <c r="AJ39" i="12"/>
  <c r="X20" i="12"/>
  <c r="M20" i="12" s="1"/>
  <c r="AJ19" i="9"/>
  <c r="J51" i="2" s="1"/>
  <c r="AX67" i="7"/>
  <c r="G51" i="2"/>
  <c r="G65" i="2"/>
  <c r="AX84" i="7"/>
  <c r="AJ20" i="10"/>
  <c r="J65" i="2" s="1"/>
  <c r="P41" i="10"/>
  <c r="E41" i="10"/>
  <c r="K41" i="10" s="1"/>
  <c r="I42" i="10"/>
  <c r="H111" i="4"/>
  <c r="F42" i="10"/>
  <c r="AJ19" i="12"/>
  <c r="J90" i="2" s="1"/>
  <c r="AX115" i="7"/>
  <c r="G90" i="2"/>
  <c r="AC178" i="16"/>
  <c r="AB177" i="16"/>
  <c r="AX37" i="7" l="1"/>
  <c r="G27" i="2"/>
  <c r="AL21" i="4"/>
  <c r="J27" i="2" s="1"/>
  <c r="C74" i="4"/>
  <c r="E74" i="4" s="1"/>
  <c r="AL41" i="4"/>
  <c r="Z22" i="4"/>
  <c r="O22" i="4" s="1"/>
  <c r="E28" i="2"/>
  <c r="A28" i="2" s="1"/>
  <c r="C28" i="2" s="1"/>
  <c r="S22" i="4"/>
  <c r="K26" i="4"/>
  <c r="I75" i="4"/>
  <c r="D29" i="2"/>
  <c r="I42" i="4"/>
  <c r="AJ40" i="8"/>
  <c r="Q21" i="8"/>
  <c r="X21" i="8"/>
  <c r="M21" i="8" s="1"/>
  <c r="E40" i="2"/>
  <c r="K40" i="8"/>
  <c r="F42" i="8"/>
  <c r="H87" i="4"/>
  <c r="I42" i="8"/>
  <c r="L42" i="8" s="1"/>
  <c r="P41" i="8"/>
  <c r="E41" i="8"/>
  <c r="AX52" i="7"/>
  <c r="G39" i="2"/>
  <c r="AJ20" i="8"/>
  <c r="J39" i="2" s="1"/>
  <c r="M39" i="4"/>
  <c r="M42" i="4"/>
  <c r="M36" i="4"/>
  <c r="M34" i="4"/>
  <c r="M38" i="4"/>
  <c r="M35" i="4"/>
  <c r="M31" i="4"/>
  <c r="M33" i="4"/>
  <c r="M37" i="4"/>
  <c r="M32" i="4"/>
  <c r="G41" i="8"/>
  <c r="D41" i="2"/>
  <c r="I86" i="4"/>
  <c r="AK16" i="8"/>
  <c r="AK13" i="8"/>
  <c r="AK17" i="8"/>
  <c r="AK20" i="8"/>
  <c r="AK14" i="8"/>
  <c r="AK21" i="8"/>
  <c r="AK18" i="8"/>
  <c r="W12" i="8"/>
  <c r="AK26" i="8"/>
  <c r="AK27" i="8"/>
  <c r="AK25" i="8"/>
  <c r="AK24" i="8"/>
  <c r="AK23" i="8"/>
  <c r="AK15" i="8"/>
  <c r="AK22" i="8"/>
  <c r="AK19" i="8"/>
  <c r="AK15" i="13"/>
  <c r="AK20" i="13"/>
  <c r="AK26" i="13"/>
  <c r="AK27" i="13"/>
  <c r="AK24" i="13"/>
  <c r="AK18" i="13"/>
  <c r="AK17" i="13"/>
  <c r="AK23" i="13"/>
  <c r="AK19" i="13"/>
  <c r="W12" i="13"/>
  <c r="AK21" i="13"/>
  <c r="AK22" i="13"/>
  <c r="AK25" i="13"/>
  <c r="AK14" i="13"/>
  <c r="AK16" i="13"/>
  <c r="AK13" i="13"/>
  <c r="AW87" i="7"/>
  <c r="AW70" i="7"/>
  <c r="AW35" i="7"/>
  <c r="AY35" i="7" s="1"/>
  <c r="AW102" i="7"/>
  <c r="AW61" i="7"/>
  <c r="AY61" i="7" s="1"/>
  <c r="AW51" i="7"/>
  <c r="AY51" i="7" s="1"/>
  <c r="AW85" i="7"/>
  <c r="AW30" i="7"/>
  <c r="AY30" i="7" s="1"/>
  <c r="AW82" i="7"/>
  <c r="AY82" i="7" s="1"/>
  <c r="AW80" i="7"/>
  <c r="AY80" i="7" s="1"/>
  <c r="AW18" i="7"/>
  <c r="AW16" i="7"/>
  <c r="AW91" i="7"/>
  <c r="AW44" i="7"/>
  <c r="AY44" i="7" s="1"/>
  <c r="AW90" i="7"/>
  <c r="AW106" i="7"/>
  <c r="AW77" i="7"/>
  <c r="AY77" i="7" s="1"/>
  <c r="AW103" i="7"/>
  <c r="AW45" i="7"/>
  <c r="AY45" i="7" s="1"/>
  <c r="AW26" i="7"/>
  <c r="AW97" i="7"/>
  <c r="AY97" i="7" s="1"/>
  <c r="AW56" i="7"/>
  <c r="AW94" i="7"/>
  <c r="AY94" i="7" s="1"/>
  <c r="AW59" i="7"/>
  <c r="AW38" i="7"/>
  <c r="AW69" i="7"/>
  <c r="AW71" i="7"/>
  <c r="AW74" i="7"/>
  <c r="AW52" i="7"/>
  <c r="AY52" i="7" s="1"/>
  <c r="AW50" i="7"/>
  <c r="AY50" i="7" s="1"/>
  <c r="AW68" i="7"/>
  <c r="AW53" i="7"/>
  <c r="AW20" i="7"/>
  <c r="AY20" i="7" s="1"/>
  <c r="AW93" i="7"/>
  <c r="AY93" i="7" s="1"/>
  <c r="AW57" i="7"/>
  <c r="AW83" i="7"/>
  <c r="AY83" i="7" s="1"/>
  <c r="AW101" i="7"/>
  <c r="AW43" i="7"/>
  <c r="AW14" i="7"/>
  <c r="AW23" i="7"/>
  <c r="AY23" i="7" s="1"/>
  <c r="AW49" i="7"/>
  <c r="AY49" i="7" s="1"/>
  <c r="AW92" i="7"/>
  <c r="AY92" i="7" s="1"/>
  <c r="AW64" i="7"/>
  <c r="AY64" i="7" s="1"/>
  <c r="AW36" i="7"/>
  <c r="AY36" i="7" s="1"/>
  <c r="AW22" i="7"/>
  <c r="AY22" i="7" s="1"/>
  <c r="AW75" i="7"/>
  <c r="AW19" i="7"/>
  <c r="AY19" i="7" s="1"/>
  <c r="AW27" i="7"/>
  <c r="AW62" i="7"/>
  <c r="AY62" i="7" s="1"/>
  <c r="AW67" i="7"/>
  <c r="AY67" i="7" s="1"/>
  <c r="AW79" i="7"/>
  <c r="AY79" i="7" s="1"/>
  <c r="AW31" i="7"/>
  <c r="AY31" i="7" s="1"/>
  <c r="AW63" i="7"/>
  <c r="AY63" i="7" s="1"/>
  <c r="AW76" i="7"/>
  <c r="AY76" i="7" s="1"/>
  <c r="AW96" i="7"/>
  <c r="AY96" i="7" s="1"/>
  <c r="AW107" i="7"/>
  <c r="AW13" i="7"/>
  <c r="AW17" i="7"/>
  <c r="AW47" i="7"/>
  <c r="AY47" i="7" s="1"/>
  <c r="AW99" i="7"/>
  <c r="AY99" i="7" s="1"/>
  <c r="AW34" i="7"/>
  <c r="AY34" i="7" s="1"/>
  <c r="AW39" i="7"/>
  <c r="AW81" i="7"/>
  <c r="AY81" i="7" s="1"/>
  <c r="AW65" i="7"/>
  <c r="AY65" i="7" s="1"/>
  <c r="AW95" i="7"/>
  <c r="AY95" i="7" s="1"/>
  <c r="AW46" i="7"/>
  <c r="AY46" i="7" s="1"/>
  <c r="AW54" i="7"/>
  <c r="AW86" i="7"/>
  <c r="AW104" i="7"/>
  <c r="AW32" i="7"/>
  <c r="AY32" i="7" s="1"/>
  <c r="AW28" i="7"/>
  <c r="AY28" i="7" s="1"/>
  <c r="AW66" i="7"/>
  <c r="AY66" i="7" s="1"/>
  <c r="AW25" i="7"/>
  <c r="AW24" i="7"/>
  <c r="AW60" i="7"/>
  <c r="AY60" i="7" s="1"/>
  <c r="AW105" i="7"/>
  <c r="AW98" i="7"/>
  <c r="AY98" i="7" s="1"/>
  <c r="AW41" i="7"/>
  <c r="AW88" i="7"/>
  <c r="AW58" i="7"/>
  <c r="AW89" i="7"/>
  <c r="AW78" i="7"/>
  <c r="AY78" i="7" s="1"/>
  <c r="AW48" i="7"/>
  <c r="AY48" i="7" s="1"/>
  <c r="AW72" i="7"/>
  <c r="AW21" i="7"/>
  <c r="AY21" i="7" s="1"/>
  <c r="AW29" i="7"/>
  <c r="AY29" i="7" s="1"/>
  <c r="AW42" i="7"/>
  <c r="AW15" i="7"/>
  <c r="AW73" i="7"/>
  <c r="AW84" i="7"/>
  <c r="AY84" i="7" s="1"/>
  <c r="AW100" i="7"/>
  <c r="AW40" i="7"/>
  <c r="AW37" i="7"/>
  <c r="AY37" i="7" s="1"/>
  <c r="AW33" i="7"/>
  <c r="AY33" i="7" s="1"/>
  <c r="L79" i="1"/>
  <c r="AK24" i="10"/>
  <c r="AK19" i="10"/>
  <c r="AK26" i="10"/>
  <c r="AK20" i="10"/>
  <c r="AK25" i="10"/>
  <c r="AK23" i="10"/>
  <c r="AK22" i="10"/>
  <c r="AK27" i="10"/>
  <c r="AK14" i="10"/>
  <c r="W12" i="10"/>
  <c r="AK13" i="10"/>
  <c r="AK17" i="10"/>
  <c r="AK16" i="10"/>
  <c r="AK15" i="10"/>
  <c r="AK21" i="10"/>
  <c r="AK18" i="10"/>
  <c r="O5" i="1"/>
  <c r="L80" i="1"/>
  <c r="AL24" i="7"/>
  <c r="AL25" i="7"/>
  <c r="AL27" i="7"/>
  <c r="AL14" i="7"/>
  <c r="AL13" i="7"/>
  <c r="AL15" i="7"/>
  <c r="AL18" i="7"/>
  <c r="AL22" i="7"/>
  <c r="AL16" i="7"/>
  <c r="AL23" i="7"/>
  <c r="AL21" i="7"/>
  <c r="AL20" i="7"/>
  <c r="AL19" i="7"/>
  <c r="X12" i="7"/>
  <c r="AL17" i="7"/>
  <c r="AL26" i="7"/>
  <c r="AL12" i="7"/>
  <c r="AC4" i="1"/>
  <c r="L48" i="1"/>
  <c r="N43" i="1" s="1"/>
  <c r="L82" i="1"/>
  <c r="L74" i="1"/>
  <c r="K74" i="1"/>
  <c r="K83" i="1"/>
  <c r="H83" i="1" s="1"/>
  <c r="AK16" i="11"/>
  <c r="AK20" i="11"/>
  <c r="AK13" i="11"/>
  <c r="AK14" i="11"/>
  <c r="AK24" i="11"/>
  <c r="AK18" i="11"/>
  <c r="AK26" i="11"/>
  <c r="AK21" i="11"/>
  <c r="AK17" i="11"/>
  <c r="AK22" i="11"/>
  <c r="W12" i="11"/>
  <c r="AK15" i="11"/>
  <c r="AK23" i="11"/>
  <c r="AK25" i="11"/>
  <c r="AK27" i="11"/>
  <c r="AK19" i="11"/>
  <c r="AK18" i="9"/>
  <c r="AK20" i="9"/>
  <c r="AK27" i="9"/>
  <c r="AK13" i="9"/>
  <c r="AK17" i="9"/>
  <c r="AK19" i="9"/>
  <c r="AK26" i="9"/>
  <c r="AK15" i="9"/>
  <c r="AK14" i="9"/>
  <c r="AK22" i="9"/>
  <c r="AK23" i="9"/>
  <c r="AK16" i="9"/>
  <c r="AK24" i="9"/>
  <c r="AK25" i="9"/>
  <c r="AK21" i="9"/>
  <c r="W12" i="9"/>
  <c r="AM21" i="4"/>
  <c r="Y12" i="4"/>
  <c r="AM25" i="4"/>
  <c r="AM19" i="4"/>
  <c r="AM24" i="4"/>
  <c r="AM16" i="4"/>
  <c r="AM18" i="4"/>
  <c r="AM15" i="4"/>
  <c r="AM23" i="4"/>
  <c r="AM14" i="4"/>
  <c r="AM13" i="4"/>
  <c r="AM20" i="4"/>
  <c r="AM27" i="4"/>
  <c r="AM26" i="4"/>
  <c r="AM22" i="4"/>
  <c r="AM17" i="4"/>
  <c r="AK14" i="12"/>
  <c r="AK20" i="12"/>
  <c r="S20" i="12" s="1"/>
  <c r="AK22" i="12"/>
  <c r="AK19" i="12"/>
  <c r="AK24" i="12"/>
  <c r="AK21" i="12"/>
  <c r="AK18" i="12"/>
  <c r="AK17" i="12"/>
  <c r="AK13" i="12"/>
  <c r="AK16" i="12"/>
  <c r="AK26" i="12"/>
  <c r="W12" i="12"/>
  <c r="AK27" i="12"/>
  <c r="AK15" i="12"/>
  <c r="AK25" i="12"/>
  <c r="AK23" i="12"/>
  <c r="AB15" i="1"/>
  <c r="AD10" i="1"/>
  <c r="AD9" i="1" s="1"/>
  <c r="Z7" i="1" s="1"/>
  <c r="X22" i="1" s="1"/>
  <c r="I111" i="4"/>
  <c r="D68" i="2"/>
  <c r="G42" i="10"/>
  <c r="AJ20" i="12"/>
  <c r="J91" i="2" s="1"/>
  <c r="AX116" i="7"/>
  <c r="G91" i="2"/>
  <c r="U20" i="12"/>
  <c r="AX132" i="7"/>
  <c r="AJ20" i="13"/>
  <c r="J104" i="2" s="1"/>
  <c r="G104" i="2"/>
  <c r="S20" i="13"/>
  <c r="U20" i="13"/>
  <c r="X21" i="11"/>
  <c r="M21" i="11" s="1"/>
  <c r="E79" i="2"/>
  <c r="Q21" i="11"/>
  <c r="AJ40" i="11"/>
  <c r="I42" i="12"/>
  <c r="F42" i="12"/>
  <c r="H135" i="4"/>
  <c r="D93" i="2"/>
  <c r="G41" i="12"/>
  <c r="I134" i="4"/>
  <c r="G52" i="2"/>
  <c r="AJ20" i="9"/>
  <c r="J52" i="2" s="1"/>
  <c r="AX68" i="7"/>
  <c r="AY68" i="7" s="1"/>
  <c r="S20" i="9"/>
  <c r="U20" i="9"/>
  <c r="Q22" i="10"/>
  <c r="E67" i="2"/>
  <c r="AJ41" i="10"/>
  <c r="X22" i="10"/>
  <c r="M22" i="10" s="1"/>
  <c r="BN24" i="4"/>
  <c r="N65" i="7" s="1"/>
  <c r="M65" i="7" s="1"/>
  <c r="BN27" i="4"/>
  <c r="N68" i="7" s="1"/>
  <c r="M68" i="7" s="1"/>
  <c r="BL25" i="4"/>
  <c r="BN25" i="4"/>
  <c r="N66" i="7" s="1"/>
  <c r="M66" i="7" s="1"/>
  <c r="BL27" i="4"/>
  <c r="BL26" i="4"/>
  <c r="BN26" i="4"/>
  <c r="N67" i="7" s="1"/>
  <c r="M67" i="7" s="1"/>
  <c r="F42" i="9"/>
  <c r="I42" i="9"/>
  <c r="H99" i="4"/>
  <c r="I146" i="4"/>
  <c r="G41" i="13"/>
  <c r="D106" i="2"/>
  <c r="P41" i="11"/>
  <c r="E41" i="11"/>
  <c r="K41" i="11" s="1"/>
  <c r="Q21" i="12"/>
  <c r="E92" i="2"/>
  <c r="AJ40" i="12"/>
  <c r="X21" i="12"/>
  <c r="M21" i="12" s="1"/>
  <c r="L42" i="10"/>
  <c r="Q21" i="9"/>
  <c r="E53" i="2"/>
  <c r="AJ40" i="9"/>
  <c r="X21" i="9"/>
  <c r="M21" i="9" s="1"/>
  <c r="E41" i="12"/>
  <c r="K41" i="12" s="1"/>
  <c r="P41" i="12"/>
  <c r="AJ21" i="10"/>
  <c r="J66" i="2" s="1"/>
  <c r="G66" i="2"/>
  <c r="AX85" i="7"/>
  <c r="AY85" i="7" s="1"/>
  <c r="S21" i="10"/>
  <c r="U21" i="10"/>
  <c r="AJ20" i="11"/>
  <c r="J78" i="2" s="1"/>
  <c r="AX100" i="7"/>
  <c r="AY100" i="7" s="1"/>
  <c r="G78" i="2"/>
  <c r="S20" i="11"/>
  <c r="U20" i="11"/>
  <c r="P41" i="9"/>
  <c r="E41" i="9"/>
  <c r="K41" i="9" s="1"/>
  <c r="G41" i="9"/>
  <c r="D54" i="2"/>
  <c r="I98" i="4"/>
  <c r="P41" i="13"/>
  <c r="E41" i="13"/>
  <c r="K41" i="13" s="1"/>
  <c r="I42" i="13"/>
  <c r="F42" i="13"/>
  <c r="H147" i="4"/>
  <c r="Q21" i="13"/>
  <c r="AJ40" i="13"/>
  <c r="E105" i="2"/>
  <c r="X21" i="13"/>
  <c r="M21" i="13" s="1"/>
  <c r="G41" i="11"/>
  <c r="D80" i="2"/>
  <c r="I122" i="4"/>
  <c r="F42" i="11"/>
  <c r="H123" i="4"/>
  <c r="I42" i="11"/>
  <c r="AC179" i="16"/>
  <c r="AB178" i="16"/>
  <c r="S23" i="4" l="1"/>
  <c r="C75" i="4"/>
  <c r="E29" i="2"/>
  <c r="A29" i="2" s="1"/>
  <c r="M26" i="4"/>
  <c r="M24" i="4"/>
  <c r="N53" i="7" s="1"/>
  <c r="M53" i="7" s="1"/>
  <c r="M25" i="4"/>
  <c r="N54" i="7" s="1"/>
  <c r="M54" i="7" s="1"/>
  <c r="A6" i="4"/>
  <c r="A7" i="4" s="1"/>
  <c r="C12" i="4" s="1"/>
  <c r="Z23" i="4"/>
  <c r="O23" i="4" s="1"/>
  <c r="AL42" i="4"/>
  <c r="K24" i="4"/>
  <c r="K27" i="4"/>
  <c r="K25" i="4"/>
  <c r="M27" i="4"/>
  <c r="N56" i="7" s="1"/>
  <c r="M56" i="7" s="1"/>
  <c r="AX38" i="7"/>
  <c r="AY38" i="7" s="1"/>
  <c r="G28" i="2"/>
  <c r="AL22" i="4"/>
  <c r="J28" i="2" s="1"/>
  <c r="S26" i="4"/>
  <c r="L55" i="7"/>
  <c r="K55" i="7" s="1"/>
  <c r="Q22" i="8"/>
  <c r="AJ41" i="8"/>
  <c r="E41" i="2"/>
  <c r="X22" i="8"/>
  <c r="M22" i="8" s="1"/>
  <c r="K41" i="8"/>
  <c r="P42" i="8"/>
  <c r="E42" i="8"/>
  <c r="K36" i="8" s="1"/>
  <c r="E43" i="8"/>
  <c r="K32" i="8"/>
  <c r="G40" i="2"/>
  <c r="AJ21" i="8"/>
  <c r="J40" i="2" s="1"/>
  <c r="AX53" i="7"/>
  <c r="AY53" i="7"/>
  <c r="G42" i="8"/>
  <c r="D42" i="2"/>
  <c r="I87" i="4"/>
  <c r="AK12" i="12"/>
  <c r="S13" i="12"/>
  <c r="U13" i="12"/>
  <c r="U18" i="12"/>
  <c r="S18" i="12"/>
  <c r="U14" i="12"/>
  <c r="S14" i="12"/>
  <c r="W22" i="4"/>
  <c r="U22" i="4"/>
  <c r="W13" i="4"/>
  <c r="U13" i="4"/>
  <c r="AM12" i="4"/>
  <c r="U23" i="4"/>
  <c r="W23" i="4"/>
  <c r="W18" i="4"/>
  <c r="U18" i="4"/>
  <c r="U21" i="4"/>
  <c r="W21" i="4"/>
  <c r="S14" i="9"/>
  <c r="U14" i="9"/>
  <c r="S17" i="9"/>
  <c r="U17" i="9"/>
  <c r="S18" i="9"/>
  <c r="U18" i="9"/>
  <c r="W16" i="11"/>
  <c r="V16" i="11" s="1"/>
  <c r="W14" i="11"/>
  <c r="V14" i="11" s="1"/>
  <c r="W13" i="11"/>
  <c r="V13" i="11" s="1"/>
  <c r="W20" i="11"/>
  <c r="V20" i="11" s="1"/>
  <c r="W22" i="11"/>
  <c r="W21" i="11"/>
  <c r="W19" i="11"/>
  <c r="V19" i="11" s="1"/>
  <c r="W18" i="11"/>
  <c r="V18" i="11" s="1"/>
  <c r="W17" i="11"/>
  <c r="V17" i="11" s="1"/>
  <c r="W26" i="11"/>
  <c r="W23" i="11"/>
  <c r="V12" i="11"/>
  <c r="W15" i="11"/>
  <c r="V15" i="11" s="1"/>
  <c r="W25" i="11"/>
  <c r="W24" i="11"/>
  <c r="W27" i="11"/>
  <c r="S17" i="11"/>
  <c r="U17" i="11"/>
  <c r="U13" i="11"/>
  <c r="AK12" i="11"/>
  <c r="S13" i="11"/>
  <c r="U16" i="11"/>
  <c r="S16" i="11"/>
  <c r="H74" i="1"/>
  <c r="T19" i="7"/>
  <c r="V19" i="7"/>
  <c r="V21" i="7"/>
  <c r="T21" i="7"/>
  <c r="U16" i="10"/>
  <c r="S16" i="10"/>
  <c r="AK12" i="10"/>
  <c r="S13" i="10"/>
  <c r="U13" i="10"/>
  <c r="S14" i="10"/>
  <c r="U14" i="10"/>
  <c r="AW133" i="7"/>
  <c r="AW126" i="7"/>
  <c r="AY126" i="7" s="1"/>
  <c r="AW115" i="7"/>
  <c r="AY115" i="7" s="1"/>
  <c r="AW109" i="7"/>
  <c r="AY109" i="7" s="1"/>
  <c r="AW113" i="7"/>
  <c r="AY113" i="7" s="1"/>
  <c r="AW127" i="7"/>
  <c r="AY127" i="7" s="1"/>
  <c r="AW135" i="7"/>
  <c r="AW122" i="7"/>
  <c r="AW111" i="7"/>
  <c r="AY111" i="7" s="1"/>
  <c r="AW138" i="7"/>
  <c r="AW139" i="7"/>
  <c r="AW123" i="7"/>
  <c r="AW136" i="7"/>
  <c r="AW137" i="7"/>
  <c r="AW119" i="7"/>
  <c r="AW114" i="7"/>
  <c r="AY114" i="7" s="1"/>
  <c r="AW132" i="7"/>
  <c r="AY132" i="7" s="1"/>
  <c r="AW112" i="7"/>
  <c r="AY112" i="7" s="1"/>
  <c r="AW116" i="7"/>
  <c r="AY116" i="7" s="1"/>
  <c r="AW130" i="7"/>
  <c r="AY130" i="7" s="1"/>
  <c r="AW124" i="7"/>
  <c r="AY124" i="7" s="1"/>
  <c r="AW134" i="7"/>
  <c r="AW129" i="7"/>
  <c r="AY129" i="7" s="1"/>
  <c r="AW118" i="7"/>
  <c r="AW117" i="7"/>
  <c r="AW125" i="7"/>
  <c r="AY125" i="7" s="1"/>
  <c r="AW121" i="7"/>
  <c r="AW131" i="7"/>
  <c r="AY131" i="7" s="1"/>
  <c r="AW120" i="7"/>
  <c r="AW110" i="7"/>
  <c r="AY110" i="7" s="1"/>
  <c r="AW128" i="7"/>
  <c r="AY128" i="7" s="1"/>
  <c r="AW108" i="7"/>
  <c r="AY108" i="7" s="1"/>
  <c r="U16" i="13"/>
  <c r="S16" i="13"/>
  <c r="S19" i="13"/>
  <c r="U19" i="13"/>
  <c r="U17" i="13"/>
  <c r="S17" i="13"/>
  <c r="U15" i="13"/>
  <c r="S15" i="13"/>
  <c r="U22" i="8"/>
  <c r="S22" i="8"/>
  <c r="S18" i="8"/>
  <c r="U18" i="8"/>
  <c r="S14" i="8"/>
  <c r="U14" i="8"/>
  <c r="S17" i="8"/>
  <c r="U17" i="8"/>
  <c r="S16" i="8"/>
  <c r="U16" i="8"/>
  <c r="Z25" i="1"/>
  <c r="AT14" i="1"/>
  <c r="R5" i="1"/>
  <c r="G3" i="2" s="1"/>
  <c r="U15" i="12"/>
  <c r="S15" i="12"/>
  <c r="W16" i="12"/>
  <c r="V16" i="12" s="1"/>
  <c r="W27" i="12"/>
  <c r="W18" i="12"/>
  <c r="V18" i="12" s="1"/>
  <c r="W23" i="12"/>
  <c r="W17" i="12"/>
  <c r="V17" i="12" s="1"/>
  <c r="W19" i="12"/>
  <c r="V19" i="12" s="1"/>
  <c r="W13" i="12"/>
  <c r="V13" i="12" s="1"/>
  <c r="W26" i="12"/>
  <c r="W14" i="12"/>
  <c r="V14" i="12" s="1"/>
  <c r="W22" i="12"/>
  <c r="W24" i="12"/>
  <c r="V12" i="12"/>
  <c r="W20" i="12"/>
  <c r="V20" i="12" s="1"/>
  <c r="W21" i="12"/>
  <c r="W15" i="12"/>
  <c r="V15" i="12" s="1"/>
  <c r="W25" i="12"/>
  <c r="U16" i="12"/>
  <c r="S16" i="12"/>
  <c r="U17" i="12"/>
  <c r="S17" i="12"/>
  <c r="S19" i="12"/>
  <c r="U19" i="12"/>
  <c r="U17" i="4"/>
  <c r="W17" i="4"/>
  <c r="U20" i="4"/>
  <c r="W20" i="4"/>
  <c r="W14" i="4"/>
  <c r="U14" i="4"/>
  <c r="U15" i="4"/>
  <c r="W15" i="4"/>
  <c r="W16" i="4"/>
  <c r="U16" i="4"/>
  <c r="U19" i="4"/>
  <c r="W19" i="4"/>
  <c r="Y22" i="4"/>
  <c r="X22" i="4" s="1"/>
  <c r="Y26" i="4"/>
  <c r="Y13" i="4"/>
  <c r="X13" i="4" s="1"/>
  <c r="Y16" i="4"/>
  <c r="X16" i="4" s="1"/>
  <c r="Y20" i="4"/>
  <c r="X20" i="4" s="1"/>
  <c r="Y14" i="4"/>
  <c r="X14" i="4" s="1"/>
  <c r="Y15" i="4"/>
  <c r="X15" i="4" s="1"/>
  <c r="X12" i="4"/>
  <c r="Y19" i="4"/>
  <c r="X19" i="4" s="1"/>
  <c r="Y25" i="4"/>
  <c r="Y17" i="4"/>
  <c r="X17" i="4" s="1"/>
  <c r="Y24" i="4"/>
  <c r="Y23" i="4"/>
  <c r="X23" i="4" s="1"/>
  <c r="Y21" i="4"/>
  <c r="X21" i="4" s="1"/>
  <c r="Y27" i="4"/>
  <c r="Y18" i="4"/>
  <c r="X18" i="4" s="1"/>
  <c r="W13" i="9"/>
  <c r="V13" i="9" s="1"/>
  <c r="W20" i="9"/>
  <c r="V20" i="9" s="1"/>
  <c r="W18" i="9"/>
  <c r="V18" i="9" s="1"/>
  <c r="W22" i="9"/>
  <c r="W23" i="9"/>
  <c r="W19" i="9"/>
  <c r="V19" i="9" s="1"/>
  <c r="W17" i="9"/>
  <c r="V17" i="9" s="1"/>
  <c r="W26" i="9"/>
  <c r="W15" i="9"/>
  <c r="V15" i="9" s="1"/>
  <c r="V12" i="9"/>
  <c r="W14" i="9"/>
  <c r="V14" i="9" s="1"/>
  <c r="W27" i="9"/>
  <c r="W16" i="9"/>
  <c r="V16" i="9" s="1"/>
  <c r="W21" i="9"/>
  <c r="W24" i="9"/>
  <c r="W25" i="9"/>
  <c r="U16" i="9"/>
  <c r="S16" i="9"/>
  <c r="U15" i="9"/>
  <c r="S15" i="9"/>
  <c r="U19" i="9"/>
  <c r="S19" i="9"/>
  <c r="AK12" i="9"/>
  <c r="S13" i="9"/>
  <c r="U13" i="9"/>
  <c r="U19" i="11"/>
  <c r="S19" i="11"/>
  <c r="U15" i="11"/>
  <c r="S15" i="11"/>
  <c r="U18" i="11"/>
  <c r="S18" i="11"/>
  <c r="S14" i="11"/>
  <c r="U14" i="11"/>
  <c r="X15" i="7"/>
  <c r="X20" i="7"/>
  <c r="W20" i="7" s="1"/>
  <c r="X21" i="7"/>
  <c r="W21" i="7" s="1"/>
  <c r="X24" i="7"/>
  <c r="X14" i="7"/>
  <c r="X25" i="7"/>
  <c r="X17" i="7"/>
  <c r="X18" i="7"/>
  <c r="X23" i="7"/>
  <c r="W23" i="7" s="1"/>
  <c r="X16" i="7"/>
  <c r="X27" i="7"/>
  <c r="X13" i="7"/>
  <c r="X22" i="7"/>
  <c r="W22" i="7" s="1"/>
  <c r="X19" i="7"/>
  <c r="W19" i="7" s="1"/>
  <c r="X26" i="7"/>
  <c r="T20" i="7"/>
  <c r="V20" i="7"/>
  <c r="V23" i="7"/>
  <c r="T23" i="7"/>
  <c r="V22" i="7"/>
  <c r="T22" i="7"/>
  <c r="S18" i="10"/>
  <c r="U18" i="10"/>
  <c r="U15" i="10"/>
  <c r="S15" i="10"/>
  <c r="U17" i="10"/>
  <c r="S17" i="10"/>
  <c r="W25" i="10"/>
  <c r="V12" i="10"/>
  <c r="W22" i="10"/>
  <c r="W23" i="10"/>
  <c r="W17" i="10"/>
  <c r="V17" i="10" s="1"/>
  <c r="W21" i="10"/>
  <c r="V21" i="10" s="1"/>
  <c r="W26" i="10"/>
  <c r="W19" i="10"/>
  <c r="V19" i="10" s="1"/>
  <c r="W27" i="10"/>
  <c r="W24" i="10"/>
  <c r="W20" i="10"/>
  <c r="V20" i="10" s="1"/>
  <c r="W15" i="10"/>
  <c r="V15" i="10" s="1"/>
  <c r="W16" i="10"/>
  <c r="V16" i="10" s="1"/>
  <c r="W14" i="10"/>
  <c r="V14" i="10" s="1"/>
  <c r="W13" i="10"/>
  <c r="V13" i="10" s="1"/>
  <c r="W18" i="10"/>
  <c r="V18" i="10" s="1"/>
  <c r="S20" i="10"/>
  <c r="U20" i="10"/>
  <c r="U19" i="10"/>
  <c r="S19" i="10"/>
  <c r="AW55" i="7"/>
  <c r="AK12" i="13"/>
  <c r="U13" i="13"/>
  <c r="S13" i="13"/>
  <c r="S14" i="13"/>
  <c r="U14" i="13"/>
  <c r="W21" i="13"/>
  <c r="W20" i="13"/>
  <c r="V20" i="13" s="1"/>
  <c r="W22" i="13"/>
  <c r="W25" i="13"/>
  <c r="W27" i="13"/>
  <c r="W17" i="13"/>
  <c r="V17" i="13" s="1"/>
  <c r="W24" i="13"/>
  <c r="W26" i="13"/>
  <c r="W19" i="13"/>
  <c r="V19" i="13" s="1"/>
  <c r="W13" i="13"/>
  <c r="V13" i="13" s="1"/>
  <c r="W18" i="13"/>
  <c r="V18" i="13" s="1"/>
  <c r="W14" i="13"/>
  <c r="V14" i="13" s="1"/>
  <c r="W16" i="13"/>
  <c r="V16" i="13" s="1"/>
  <c r="W23" i="13"/>
  <c r="V12" i="13"/>
  <c r="W15" i="13"/>
  <c r="V15" i="13" s="1"/>
  <c r="S18" i="13"/>
  <c r="U18" i="13"/>
  <c r="S19" i="8"/>
  <c r="U19" i="8"/>
  <c r="S15" i="8"/>
  <c r="U15" i="8"/>
  <c r="W18" i="8"/>
  <c r="V18" i="8" s="1"/>
  <c r="W17" i="8"/>
  <c r="V17" i="8" s="1"/>
  <c r="W13" i="8"/>
  <c r="V13" i="8" s="1"/>
  <c r="W19" i="8"/>
  <c r="V19" i="8" s="1"/>
  <c r="W21" i="8"/>
  <c r="V21" i="8" s="1"/>
  <c r="W24" i="8"/>
  <c r="W22" i="8"/>
  <c r="V22" i="8" s="1"/>
  <c r="V12" i="8"/>
  <c r="W20" i="8"/>
  <c r="V20" i="8" s="1"/>
  <c r="W15" i="8"/>
  <c r="V15" i="8" s="1"/>
  <c r="W27" i="8"/>
  <c r="W23" i="8"/>
  <c r="W14" i="8"/>
  <c r="V14" i="8" s="1"/>
  <c r="W26" i="8"/>
  <c r="W16" i="8"/>
  <c r="V16" i="8" s="1"/>
  <c r="W25" i="8"/>
  <c r="U21" i="8"/>
  <c r="S21" i="8"/>
  <c r="S20" i="8"/>
  <c r="U20" i="8"/>
  <c r="AK12" i="8"/>
  <c r="S13" i="8"/>
  <c r="U13" i="8"/>
  <c r="AJ41" i="11"/>
  <c r="X22" i="11"/>
  <c r="M22" i="11" s="1"/>
  <c r="Q22" i="11"/>
  <c r="E80" i="2"/>
  <c r="E54" i="2"/>
  <c r="Q22" i="9"/>
  <c r="AJ41" i="9"/>
  <c r="X22" i="9"/>
  <c r="M22" i="9" s="1"/>
  <c r="L42" i="11"/>
  <c r="G105" i="2"/>
  <c r="AX133" i="7"/>
  <c r="AY133" i="7" s="1"/>
  <c r="AJ21" i="13"/>
  <c r="J105" i="2" s="1"/>
  <c r="S21" i="13"/>
  <c r="U21" i="13"/>
  <c r="V21" i="13"/>
  <c r="D107" i="2"/>
  <c r="I147" i="4"/>
  <c r="G42" i="13"/>
  <c r="L42" i="13"/>
  <c r="E43" i="10"/>
  <c r="E42" i="10"/>
  <c r="P42" i="10"/>
  <c r="G92" i="2"/>
  <c r="AJ21" i="12"/>
  <c r="J92" i="2" s="1"/>
  <c r="S21" i="12"/>
  <c r="AX117" i="7"/>
  <c r="AY117" i="7" s="1"/>
  <c r="U21" i="12"/>
  <c r="V21" i="12"/>
  <c r="X22" i="13"/>
  <c r="M22" i="13" s="1"/>
  <c r="E106" i="2"/>
  <c r="AJ41" i="13"/>
  <c r="Q22" i="13"/>
  <c r="CJ27" i="4"/>
  <c r="CJ25" i="4"/>
  <c r="CL26" i="4"/>
  <c r="N79" i="7" s="1"/>
  <c r="M79" i="7" s="1"/>
  <c r="CL24" i="4"/>
  <c r="N77" i="7" s="1"/>
  <c r="M77" i="7" s="1"/>
  <c r="CL27" i="4"/>
  <c r="N80" i="7" s="1"/>
  <c r="M80" i="7" s="1"/>
  <c r="CL25" i="4"/>
  <c r="N78" i="7" s="1"/>
  <c r="M78" i="7" s="1"/>
  <c r="L42" i="9"/>
  <c r="Q27" i="10"/>
  <c r="L68" i="7"/>
  <c r="K68" i="7" s="1"/>
  <c r="M27" i="10"/>
  <c r="M25" i="10"/>
  <c r="Q25" i="10"/>
  <c r="L66" i="7"/>
  <c r="K66" i="7" s="1"/>
  <c r="X22" i="12"/>
  <c r="M22" i="12" s="1"/>
  <c r="AJ41" i="12"/>
  <c r="E93" i="2"/>
  <c r="Q22" i="12"/>
  <c r="K36" i="10"/>
  <c r="Q23" i="10"/>
  <c r="E68" i="2"/>
  <c r="AJ42" i="10"/>
  <c r="X23" i="10"/>
  <c r="M23" i="10" s="1"/>
  <c r="A6" i="10"/>
  <c r="A7" i="10" s="1"/>
  <c r="C12" i="10" s="1"/>
  <c r="BL24" i="4"/>
  <c r="G42" i="11"/>
  <c r="D81" i="2"/>
  <c r="I123" i="4"/>
  <c r="G53" i="2"/>
  <c r="AX69" i="7"/>
  <c r="AY69" i="7" s="1"/>
  <c r="AJ21" i="9"/>
  <c r="J53" i="2" s="1"/>
  <c r="S21" i="9"/>
  <c r="U21" i="9"/>
  <c r="V21" i="9"/>
  <c r="I99" i="4"/>
  <c r="BF26" i="4" s="1"/>
  <c r="N63" i="7" s="1"/>
  <c r="M63" i="7" s="1"/>
  <c r="D55" i="2"/>
  <c r="G42" i="9"/>
  <c r="BT24" i="4"/>
  <c r="L67" i="7"/>
  <c r="K67" i="7" s="1"/>
  <c r="M26" i="10"/>
  <c r="Q26" i="10"/>
  <c r="G67" i="2"/>
  <c r="AJ22" i="10"/>
  <c r="J67" i="2" s="1"/>
  <c r="S22" i="10"/>
  <c r="AX86" i="7"/>
  <c r="AY86" i="7" s="1"/>
  <c r="U22" i="10"/>
  <c r="V22" i="10"/>
  <c r="D94" i="2"/>
  <c r="I135" i="4"/>
  <c r="G42" i="12"/>
  <c r="L42" i="12"/>
  <c r="BV26" i="4"/>
  <c r="N71" i="7" s="1"/>
  <c r="M71" i="7" s="1"/>
  <c r="BT25" i="4"/>
  <c r="AX101" i="7"/>
  <c r="AY101" i="7" s="1"/>
  <c r="AJ21" i="11"/>
  <c r="J79" i="2" s="1"/>
  <c r="S21" i="11"/>
  <c r="G79" i="2"/>
  <c r="U21" i="11"/>
  <c r="V21" i="11"/>
  <c r="AC180" i="16"/>
  <c r="AB179" i="16"/>
  <c r="O27" i="4" l="1"/>
  <c r="L56" i="7"/>
  <c r="K56" i="7" s="1"/>
  <c r="S27" i="4"/>
  <c r="C29" i="2"/>
  <c r="A30" i="2"/>
  <c r="X27" i="4"/>
  <c r="L54" i="7"/>
  <c r="K54" i="7" s="1"/>
  <c r="O25" i="4"/>
  <c r="X25" i="4" s="1"/>
  <c r="S25" i="4"/>
  <c r="L53" i="7"/>
  <c r="K53" i="7" s="1"/>
  <c r="S24" i="4"/>
  <c r="O24" i="4"/>
  <c r="AX39" i="7"/>
  <c r="AY39" i="7" s="1"/>
  <c r="G29" i="2"/>
  <c r="H12" i="7"/>
  <c r="AL23" i="4"/>
  <c r="J29" i="2" s="1"/>
  <c r="N55" i="7"/>
  <c r="M55" i="7" s="1"/>
  <c r="O26" i="4"/>
  <c r="E75" i="4"/>
  <c r="C76" i="4"/>
  <c r="AX25" i="4"/>
  <c r="N58" i="7" s="1"/>
  <c r="M58" i="7" s="1"/>
  <c r="E42" i="2"/>
  <c r="X23" i="8"/>
  <c r="M23" i="8" s="1"/>
  <c r="Q23" i="8"/>
  <c r="AJ42" i="8"/>
  <c r="K42" i="8"/>
  <c r="K31" i="8"/>
  <c r="K35" i="8"/>
  <c r="K33" i="8"/>
  <c r="K39" i="8"/>
  <c r="K38" i="8"/>
  <c r="AV27" i="4"/>
  <c r="AV24" i="4"/>
  <c r="AX27" i="4"/>
  <c r="N60" i="7" s="1"/>
  <c r="M60" i="7" s="1"/>
  <c r="AX26" i="4"/>
  <c r="N59" i="7" s="1"/>
  <c r="M59" i="7" s="1"/>
  <c r="G41" i="2"/>
  <c r="AX54" i="7"/>
  <c r="AY54" i="7" s="1"/>
  <c r="AJ22" i="8"/>
  <c r="J41" i="2" s="1"/>
  <c r="H13" i="7"/>
  <c r="V23" i="8"/>
  <c r="AX24" i="4"/>
  <c r="N57" i="7" s="1"/>
  <c r="M57" i="7" s="1"/>
  <c r="K37" i="8"/>
  <c r="K34" i="8"/>
  <c r="AV26" i="4"/>
  <c r="AV25" i="4"/>
  <c r="A6" i="8"/>
  <c r="A7" i="8" s="1"/>
  <c r="C12" i="8" s="1"/>
  <c r="S12" i="8"/>
  <c r="U12" i="8"/>
  <c r="U12" i="9"/>
  <c r="S12" i="9"/>
  <c r="S12" i="11"/>
  <c r="U12" i="11"/>
  <c r="U12" i="4"/>
  <c r="W12" i="4"/>
  <c r="S12" i="13"/>
  <c r="U12" i="13"/>
  <c r="U12" i="10"/>
  <c r="S12" i="10"/>
  <c r="U12" i="12"/>
  <c r="S12" i="12"/>
  <c r="BF25" i="4"/>
  <c r="N62" i="7" s="1"/>
  <c r="M62" i="7" s="1"/>
  <c r="Q25" i="11"/>
  <c r="L70" i="7"/>
  <c r="K70" i="7" s="1"/>
  <c r="P42" i="12"/>
  <c r="E42" i="12"/>
  <c r="E43" i="12"/>
  <c r="E94" i="2"/>
  <c r="X23" i="12"/>
  <c r="M23" i="12" s="1"/>
  <c r="AJ42" i="12"/>
  <c r="Q23" i="12"/>
  <c r="A6" i="12"/>
  <c r="A7" i="12" s="1"/>
  <c r="C12" i="12" s="1"/>
  <c r="CD27" i="4"/>
  <c r="N76" i="7" s="1"/>
  <c r="M76" i="7" s="1"/>
  <c r="BD27" i="4"/>
  <c r="X23" i="9"/>
  <c r="M23" i="9" s="1"/>
  <c r="Q23" i="9"/>
  <c r="AJ42" i="9"/>
  <c r="E55" i="2"/>
  <c r="A6" i="9"/>
  <c r="A7" i="9" s="1"/>
  <c r="C12" i="9" s="1"/>
  <c r="BD24" i="4"/>
  <c r="E81" i="2"/>
  <c r="Q23" i="11"/>
  <c r="AJ42" i="11"/>
  <c r="X23" i="11"/>
  <c r="M23" i="11" s="1"/>
  <c r="A6" i="11"/>
  <c r="A7" i="11" s="1"/>
  <c r="C12" i="11" s="1"/>
  <c r="L65" i="7"/>
  <c r="K65" i="7" s="1"/>
  <c r="Q24" i="10"/>
  <c r="M24" i="10"/>
  <c r="G68" i="2"/>
  <c r="AJ23" i="10"/>
  <c r="J68" i="2" s="1"/>
  <c r="AX87" i="7"/>
  <c r="AY87" i="7" s="1"/>
  <c r="S23" i="10"/>
  <c r="U23" i="10"/>
  <c r="V23" i="10"/>
  <c r="H15" i="7"/>
  <c r="BV24" i="4"/>
  <c r="N69" i="7" s="1"/>
  <c r="M69" i="7" s="1"/>
  <c r="CB25" i="4"/>
  <c r="CB26" i="4"/>
  <c r="CD24" i="4"/>
  <c r="N73" i="7" s="1"/>
  <c r="M73" i="7" s="1"/>
  <c r="S27" i="10"/>
  <c r="AJ27" i="10"/>
  <c r="AX91" i="7"/>
  <c r="AY91" i="7" s="1"/>
  <c r="U27" i="10"/>
  <c r="C6" i="10"/>
  <c r="V27" i="10"/>
  <c r="E42" i="9"/>
  <c r="E43" i="9"/>
  <c r="P42" i="9"/>
  <c r="Q27" i="13"/>
  <c r="L80" i="7"/>
  <c r="K80" i="7" s="1"/>
  <c r="M27" i="13"/>
  <c r="G106" i="2"/>
  <c r="AX134" i="7"/>
  <c r="AY134" i="7" s="1"/>
  <c r="AJ22" i="13"/>
  <c r="J106" i="2" s="1"/>
  <c r="S22" i="13"/>
  <c r="U22" i="13"/>
  <c r="V22" i="13"/>
  <c r="K42" i="10"/>
  <c r="K39" i="10"/>
  <c r="K38" i="10"/>
  <c r="K32" i="10"/>
  <c r="K35" i="10"/>
  <c r="K34" i="10"/>
  <c r="K31" i="10"/>
  <c r="K37" i="10"/>
  <c r="K33" i="10"/>
  <c r="BD25" i="4"/>
  <c r="BF24" i="4"/>
  <c r="N61" i="7" s="1"/>
  <c r="M61" i="7" s="1"/>
  <c r="M81" i="7" s="1"/>
  <c r="K24" i="7" s="1"/>
  <c r="E43" i="13"/>
  <c r="E42" i="13"/>
  <c r="P42" i="13"/>
  <c r="CJ24" i="4"/>
  <c r="AJ42" i="13"/>
  <c r="Q23" i="13"/>
  <c r="E107" i="2"/>
  <c r="X23" i="13"/>
  <c r="M23" i="13" s="1"/>
  <c r="A6" i="13"/>
  <c r="A7" i="13" s="1"/>
  <c r="C12" i="13" s="1"/>
  <c r="H201" i="4"/>
  <c r="CJ26" i="4"/>
  <c r="G54" i="2"/>
  <c r="S22" i="9"/>
  <c r="AJ22" i="9"/>
  <c r="J54" i="2" s="1"/>
  <c r="AX70" i="7"/>
  <c r="AY70" i="7" s="1"/>
  <c r="U22" i="9"/>
  <c r="V22" i="9"/>
  <c r="BV25" i="4"/>
  <c r="N70" i="7" s="1"/>
  <c r="M70" i="7" s="1"/>
  <c r="BV27" i="4"/>
  <c r="N72" i="7" s="1"/>
  <c r="M72" i="7" s="1"/>
  <c r="AX90" i="7"/>
  <c r="AY90" i="7" s="1"/>
  <c r="S26" i="10"/>
  <c r="AJ26" i="10"/>
  <c r="U26" i="10"/>
  <c r="V26" i="10"/>
  <c r="Q24" i="11"/>
  <c r="L69" i="7"/>
  <c r="K69" i="7" s="1"/>
  <c r="BD26" i="4"/>
  <c r="BT26" i="4"/>
  <c r="CB27" i="4"/>
  <c r="CB24" i="4"/>
  <c r="CD26" i="4"/>
  <c r="N75" i="7" s="1"/>
  <c r="M75" i="7" s="1"/>
  <c r="M83" i="7" s="1"/>
  <c r="K26" i="7" s="1"/>
  <c r="CD25" i="4"/>
  <c r="N74" i="7" s="1"/>
  <c r="M74" i="7" s="1"/>
  <c r="U22" i="12"/>
  <c r="S22" i="12"/>
  <c r="AX118" i="7"/>
  <c r="AY118" i="7" s="1"/>
  <c r="G93" i="2"/>
  <c r="AJ22" i="12"/>
  <c r="J93" i="2" s="1"/>
  <c r="V22" i="12"/>
  <c r="AX89" i="7"/>
  <c r="AY89" i="7" s="1"/>
  <c r="S25" i="10"/>
  <c r="AJ25" i="10"/>
  <c r="U25" i="10"/>
  <c r="V25" i="10"/>
  <c r="L78" i="7"/>
  <c r="K78" i="7" s="1"/>
  <c r="Q25" i="13"/>
  <c r="M25" i="13"/>
  <c r="BF27" i="4"/>
  <c r="N64" i="7" s="1"/>
  <c r="M64" i="7" s="1"/>
  <c r="M84" i="7" s="1"/>
  <c r="K27" i="7" s="1"/>
  <c r="E43" i="11"/>
  <c r="P42" i="11"/>
  <c r="E42" i="11"/>
  <c r="BT27" i="4"/>
  <c r="G80" i="2"/>
  <c r="AX102" i="7"/>
  <c r="AY102" i="7" s="1"/>
  <c r="AJ22" i="11"/>
  <c r="J80" i="2" s="1"/>
  <c r="S22" i="11"/>
  <c r="U22" i="11"/>
  <c r="V22" i="11"/>
  <c r="AC181" i="16"/>
  <c r="AB180" i="16"/>
  <c r="M82" i="7" l="1"/>
  <c r="K25" i="7" s="1"/>
  <c r="M24" i="11"/>
  <c r="AX12" i="7"/>
  <c r="AY12" i="7" s="1"/>
  <c r="AK12" i="7"/>
  <c r="V12" i="7"/>
  <c r="W12" i="7"/>
  <c r="G10" i="2"/>
  <c r="T12" i="7"/>
  <c r="C30" i="2"/>
  <c r="A31" i="2"/>
  <c r="AX43" i="7"/>
  <c r="AY43" i="7" s="1"/>
  <c r="W27" i="4"/>
  <c r="AL27" i="4"/>
  <c r="U27" i="4"/>
  <c r="E76" i="4"/>
  <c r="C77" i="4"/>
  <c r="AL26" i="4"/>
  <c r="W26" i="4"/>
  <c r="AX42" i="7"/>
  <c r="AY42" i="7" s="1"/>
  <c r="U26" i="4"/>
  <c r="AL24" i="4"/>
  <c r="R4" i="4"/>
  <c r="W24" i="4"/>
  <c r="AX40" i="7"/>
  <c r="AY40" i="7" s="1"/>
  <c r="O44" i="4"/>
  <c r="O45" i="4" s="1"/>
  <c r="C6" i="4"/>
  <c r="U24" i="4"/>
  <c r="U29" i="4" s="1"/>
  <c r="AX41" i="7"/>
  <c r="AY41" i="7" s="1"/>
  <c r="W25" i="4"/>
  <c r="AL25" i="4"/>
  <c r="U25" i="4"/>
  <c r="X26" i="4"/>
  <c r="X24" i="4"/>
  <c r="L58" i="7"/>
  <c r="K58" i="7" s="1"/>
  <c r="Q25" i="8"/>
  <c r="M25" i="8"/>
  <c r="AK13" i="7"/>
  <c r="G11" i="2"/>
  <c r="AX13" i="7"/>
  <c r="AY13" i="7" s="1"/>
  <c r="V13" i="7"/>
  <c r="T13" i="7"/>
  <c r="L60" i="7"/>
  <c r="K60" i="7" s="1"/>
  <c r="M27" i="8"/>
  <c r="Q27" i="8"/>
  <c r="AJ23" i="8"/>
  <c r="J42" i="2" s="1"/>
  <c r="AX55" i="7"/>
  <c r="AY55" i="7" s="1"/>
  <c r="G42" i="2"/>
  <c r="S23" i="8"/>
  <c r="U23" i="8"/>
  <c r="K31" i="11"/>
  <c r="K32" i="11"/>
  <c r="Q26" i="8"/>
  <c r="L59" i="7"/>
  <c r="K59" i="7" s="1"/>
  <c r="M26" i="8"/>
  <c r="W13" i="7"/>
  <c r="Q24" i="8"/>
  <c r="L57" i="7"/>
  <c r="K57" i="7" s="1"/>
  <c r="M24" i="8"/>
  <c r="K32" i="9"/>
  <c r="K31" i="9"/>
  <c r="K31" i="12"/>
  <c r="K32" i="12"/>
  <c r="M27" i="11"/>
  <c r="Q27" i="11"/>
  <c r="L72" i="7"/>
  <c r="K72" i="7" s="1"/>
  <c r="M27" i="12"/>
  <c r="L76" i="7"/>
  <c r="K76" i="7" s="1"/>
  <c r="Q27" i="12"/>
  <c r="Q26" i="9"/>
  <c r="M26" i="9"/>
  <c r="L63" i="7"/>
  <c r="K63" i="7" s="1"/>
  <c r="G107" i="2"/>
  <c r="AX135" i="7"/>
  <c r="AY135" i="7" s="1"/>
  <c r="AJ23" i="13"/>
  <c r="J107" i="2" s="1"/>
  <c r="S23" i="13"/>
  <c r="U23" i="13"/>
  <c r="V23" i="13"/>
  <c r="H18" i="7"/>
  <c r="L77" i="7"/>
  <c r="K77" i="7" s="1"/>
  <c r="Q24" i="13"/>
  <c r="M24" i="13"/>
  <c r="K42" i="13"/>
  <c r="K36" i="13"/>
  <c r="K32" i="13"/>
  <c r="K39" i="13"/>
  <c r="K37" i="13"/>
  <c r="K35" i="13"/>
  <c r="K34" i="13"/>
  <c r="K38" i="13"/>
  <c r="K33" i="13"/>
  <c r="K31" i="13"/>
  <c r="K42" i="9"/>
  <c r="K33" i="9"/>
  <c r="K34" i="9"/>
  <c r="K39" i="9"/>
  <c r="K35" i="9"/>
  <c r="K38" i="9"/>
  <c r="K36" i="9"/>
  <c r="K37" i="9"/>
  <c r="L75" i="7"/>
  <c r="K75" i="7" s="1"/>
  <c r="M26" i="12"/>
  <c r="Q26" i="12"/>
  <c r="AJ24" i="10"/>
  <c r="S24" i="10"/>
  <c r="S29" i="10" s="1"/>
  <c r="AX88" i="7"/>
  <c r="AY88" i="7" s="1"/>
  <c r="U24" i="10"/>
  <c r="V24" i="10"/>
  <c r="V28" i="10" s="1"/>
  <c r="V30" i="10" s="1"/>
  <c r="V31" i="10" s="1"/>
  <c r="V23" i="11"/>
  <c r="S23" i="11"/>
  <c r="G81" i="2"/>
  <c r="AX103" i="7"/>
  <c r="AY103" i="7" s="1"/>
  <c r="AJ23" i="11"/>
  <c r="J81" i="2" s="1"/>
  <c r="U23" i="11"/>
  <c r="H16" i="7"/>
  <c r="L61" i="7"/>
  <c r="K61" i="7" s="1"/>
  <c r="Q24" i="9"/>
  <c r="M24" i="9"/>
  <c r="L64" i="7"/>
  <c r="K64" i="7" s="1"/>
  <c r="K84" i="7" s="1"/>
  <c r="H27" i="7" s="1"/>
  <c r="M27" i="9"/>
  <c r="Q27" i="9"/>
  <c r="K39" i="12"/>
  <c r="K42" i="12"/>
  <c r="K35" i="12"/>
  <c r="K37" i="12"/>
  <c r="K36" i="12"/>
  <c r="K34" i="12"/>
  <c r="K38" i="12"/>
  <c r="K33" i="12"/>
  <c r="K42" i="11"/>
  <c r="K38" i="11"/>
  <c r="K39" i="11"/>
  <c r="K37" i="11"/>
  <c r="K34" i="11"/>
  <c r="K36" i="11"/>
  <c r="K33" i="11"/>
  <c r="K35" i="11"/>
  <c r="AJ25" i="13"/>
  <c r="S25" i="13"/>
  <c r="AX137" i="7"/>
  <c r="AY137" i="7" s="1"/>
  <c r="U25" i="13"/>
  <c r="V25" i="13"/>
  <c r="L73" i="7"/>
  <c r="K73" i="7" s="1"/>
  <c r="M24" i="12"/>
  <c r="Q24" i="12"/>
  <c r="Q26" i="11"/>
  <c r="L71" i="7"/>
  <c r="K71" i="7" s="1"/>
  <c r="M26" i="11"/>
  <c r="S24" i="11"/>
  <c r="AX104" i="7"/>
  <c r="AY104" i="7" s="1"/>
  <c r="AJ24" i="11"/>
  <c r="U24" i="11"/>
  <c r="V24" i="11"/>
  <c r="L79" i="7"/>
  <c r="K79" i="7" s="1"/>
  <c r="Q26" i="13"/>
  <c r="M26" i="13"/>
  <c r="M29" i="13" s="1"/>
  <c r="L62" i="7"/>
  <c r="K62" i="7" s="1"/>
  <c r="Q25" i="9"/>
  <c r="M25" i="9"/>
  <c r="AJ27" i="13"/>
  <c r="AX139" i="7"/>
  <c r="AY139" i="7" s="1"/>
  <c r="S27" i="13"/>
  <c r="U27" i="13"/>
  <c r="V27" i="13"/>
  <c r="P4" i="13"/>
  <c r="Q25" i="12"/>
  <c r="L74" i="7"/>
  <c r="K74" i="7" s="1"/>
  <c r="M25" i="12"/>
  <c r="G13" i="2"/>
  <c r="AX15" i="7"/>
  <c r="AY15" i="7" s="1"/>
  <c r="AK15" i="7"/>
  <c r="T15" i="7"/>
  <c r="V15" i="7"/>
  <c r="W15" i="7"/>
  <c r="S23" i="9"/>
  <c r="AX71" i="7"/>
  <c r="AY71" i="7" s="1"/>
  <c r="AJ23" i="9"/>
  <c r="J55" i="2" s="1"/>
  <c r="G55" i="2"/>
  <c r="U23" i="9"/>
  <c r="H14" i="7"/>
  <c r="V23" i="9"/>
  <c r="AJ23" i="12"/>
  <c r="J94" i="2" s="1"/>
  <c r="G94" i="2"/>
  <c r="S23" i="12"/>
  <c r="AX119" i="7"/>
  <c r="AY119" i="7" s="1"/>
  <c r="U23" i="12"/>
  <c r="H17" i="7"/>
  <c r="V23" i="12"/>
  <c r="M25" i="11"/>
  <c r="P4" i="10"/>
  <c r="AC182" i="16"/>
  <c r="AB181" i="16"/>
  <c r="U45" i="4" l="1"/>
  <c r="V24" i="4"/>
  <c r="R24" i="4" s="1"/>
  <c r="D9" i="4"/>
  <c r="V16" i="4"/>
  <c r="R16" i="4" s="1"/>
  <c r="U37" i="4"/>
  <c r="P20" i="4" s="1"/>
  <c r="H26" i="2" s="1"/>
  <c r="V25" i="4"/>
  <c r="R25" i="4" s="1"/>
  <c r="U39" i="4"/>
  <c r="P22" i="4" s="1"/>
  <c r="H28" i="2" s="1"/>
  <c r="U33" i="4"/>
  <c r="P16" i="4" s="1"/>
  <c r="H22" i="2" s="1"/>
  <c r="U32" i="4"/>
  <c r="P15" i="4" s="1"/>
  <c r="H21" i="2" s="1"/>
  <c r="U36" i="4"/>
  <c r="P19" i="4" s="1"/>
  <c r="H25" i="2" s="1"/>
  <c r="V13" i="4"/>
  <c r="R13" i="4" s="1"/>
  <c r="V23" i="4"/>
  <c r="R23" i="4" s="1"/>
  <c r="V18" i="4"/>
  <c r="R18" i="4" s="1"/>
  <c r="U44" i="4"/>
  <c r="P27" i="4" s="1"/>
  <c r="U42" i="4"/>
  <c r="P25" i="4" s="1"/>
  <c r="V12" i="4"/>
  <c r="R12" i="4" s="1"/>
  <c r="U38" i="4"/>
  <c r="P21" i="4" s="1"/>
  <c r="H27" i="2" s="1"/>
  <c r="V20" i="4"/>
  <c r="R20" i="4" s="1"/>
  <c r="P12" i="4"/>
  <c r="U40" i="4"/>
  <c r="P23" i="4" s="1"/>
  <c r="H29" i="2" s="1"/>
  <c r="U35" i="4"/>
  <c r="P18" i="4" s="1"/>
  <c r="H24" i="2" s="1"/>
  <c r="U34" i="4"/>
  <c r="P17" i="4" s="1"/>
  <c r="H23" i="2" s="1"/>
  <c r="V27" i="4"/>
  <c r="R27" i="4" s="1"/>
  <c r="U47" i="4"/>
  <c r="U41" i="4"/>
  <c r="P24" i="4" s="1"/>
  <c r="V14" i="4"/>
  <c r="R14" i="4" s="1"/>
  <c r="U30" i="4"/>
  <c r="P13" i="4" s="1"/>
  <c r="H19" i="2" s="1"/>
  <c r="V22" i="4"/>
  <c r="R22" i="4" s="1"/>
  <c r="U43" i="4"/>
  <c r="P26" i="4" s="1"/>
  <c r="V26" i="4"/>
  <c r="R26" i="4" s="1"/>
  <c r="U31" i="4"/>
  <c r="P14" i="4" s="1"/>
  <c r="H20" i="2" s="1"/>
  <c r="V21" i="4"/>
  <c r="R21" i="4" s="1"/>
  <c r="U46" i="4"/>
  <c r="V17" i="4"/>
  <c r="R17" i="4" s="1"/>
  <c r="V15" i="4"/>
  <c r="R15" i="4" s="1"/>
  <c r="V19" i="4"/>
  <c r="R19" i="4" s="1"/>
  <c r="X28" i="4"/>
  <c r="X30" i="4" s="1"/>
  <c r="X31" i="4" s="1"/>
  <c r="C78" i="4"/>
  <c r="E77" i="4"/>
  <c r="A32" i="2"/>
  <c r="C31" i="2"/>
  <c r="AX56" i="7"/>
  <c r="AY56" i="7" s="1"/>
  <c r="AJ24" i="8"/>
  <c r="U24" i="8"/>
  <c r="S24" i="8"/>
  <c r="C6" i="8"/>
  <c r="P4" i="8"/>
  <c r="V24" i="8"/>
  <c r="AX58" i="7"/>
  <c r="AY58" i="7" s="1"/>
  <c r="AJ26" i="8"/>
  <c r="S26" i="8"/>
  <c r="U26" i="8"/>
  <c r="V26" i="8"/>
  <c r="AJ27" i="8"/>
  <c r="AX59" i="7"/>
  <c r="AY59" i="7" s="1"/>
  <c r="S27" i="8"/>
  <c r="U27" i="8"/>
  <c r="V27" i="8"/>
  <c r="AX57" i="7"/>
  <c r="AY57" i="7" s="1"/>
  <c r="AJ25" i="8"/>
  <c r="S25" i="8"/>
  <c r="U25" i="8"/>
  <c r="V25" i="8"/>
  <c r="AO20" i="4"/>
  <c r="AR36" i="7"/>
  <c r="AS36" i="7" s="1"/>
  <c r="AT36" i="7" s="1"/>
  <c r="T20" i="4"/>
  <c r="T12" i="4"/>
  <c r="AO12" i="4"/>
  <c r="AR28" i="7"/>
  <c r="AS28" i="7" s="1"/>
  <c r="AT28" i="7" s="1"/>
  <c r="R30" i="4"/>
  <c r="T18" i="4"/>
  <c r="AR34" i="7"/>
  <c r="AS34" i="7" s="1"/>
  <c r="AT34" i="7" s="1"/>
  <c r="AO18" i="4"/>
  <c r="AO23" i="4"/>
  <c r="T23" i="4"/>
  <c r="AR39" i="7"/>
  <c r="AS39" i="7" s="1"/>
  <c r="AT39" i="7" s="1"/>
  <c r="AR29" i="7"/>
  <c r="AS29" i="7" s="1"/>
  <c r="AT29" i="7" s="1"/>
  <c r="T13" i="4"/>
  <c r="AO13" i="4"/>
  <c r="T25" i="4"/>
  <c r="AR41" i="7"/>
  <c r="AS41" i="7" s="1"/>
  <c r="AT41" i="7" s="1"/>
  <c r="AO25" i="4"/>
  <c r="AR32" i="7"/>
  <c r="AS32" i="7" s="1"/>
  <c r="AT32" i="7" s="1"/>
  <c r="T16" i="4"/>
  <c r="AO16" i="4"/>
  <c r="T24" i="4"/>
  <c r="AR40" i="7"/>
  <c r="AS40" i="7" s="1"/>
  <c r="AT40" i="7" s="1"/>
  <c r="AO24" i="4"/>
  <c r="T19" i="4"/>
  <c r="AO19" i="4"/>
  <c r="AR35" i="7"/>
  <c r="AS35" i="7" s="1"/>
  <c r="AT35" i="7" s="1"/>
  <c r="AR31" i="7"/>
  <c r="AS31" i="7" s="1"/>
  <c r="AT31" i="7" s="1"/>
  <c r="AO15" i="4"/>
  <c r="T15" i="4"/>
  <c r="AR33" i="7"/>
  <c r="AS33" i="7" s="1"/>
  <c r="AT33" i="7" s="1"/>
  <c r="AO17" i="4"/>
  <c r="T17" i="4"/>
  <c r="AR37" i="7"/>
  <c r="AS37" i="7" s="1"/>
  <c r="AT37" i="7" s="1"/>
  <c r="AO21" i="4"/>
  <c r="T21" i="4"/>
  <c r="T26" i="4"/>
  <c r="AO26" i="4"/>
  <c r="AR42" i="7"/>
  <c r="AS42" i="7" s="1"/>
  <c r="AT42" i="7" s="1"/>
  <c r="AO22" i="4"/>
  <c r="AR38" i="7"/>
  <c r="AS38" i="7" s="1"/>
  <c r="AT38" i="7" s="1"/>
  <c r="T22" i="4"/>
  <c r="AR30" i="7"/>
  <c r="AS30" i="7" s="1"/>
  <c r="AT30" i="7" s="1"/>
  <c r="T14" i="4"/>
  <c r="AO14" i="4"/>
  <c r="AR43" i="7"/>
  <c r="AS43" i="7" s="1"/>
  <c r="AT43" i="7" s="1"/>
  <c r="AO27" i="4"/>
  <c r="T27" i="4"/>
  <c r="H18" i="2"/>
  <c r="P29" i="4"/>
  <c r="S42" i="10"/>
  <c r="N25" i="10" s="1"/>
  <c r="S36" i="10"/>
  <c r="N19" i="10" s="1"/>
  <c r="H64" i="2" s="1"/>
  <c r="S32" i="10"/>
  <c r="N15" i="10" s="1"/>
  <c r="H60" i="2" s="1"/>
  <c r="T17" i="10"/>
  <c r="P17" i="10" s="1"/>
  <c r="S30" i="10"/>
  <c r="N13" i="10" s="1"/>
  <c r="H58" i="2" s="1"/>
  <c r="T18" i="10"/>
  <c r="P18" i="10" s="1"/>
  <c r="T14" i="10"/>
  <c r="P14" i="10" s="1"/>
  <c r="S34" i="10"/>
  <c r="N17" i="10" s="1"/>
  <c r="H62" i="2" s="1"/>
  <c r="T13" i="10"/>
  <c r="P13" i="10" s="1"/>
  <c r="S40" i="10"/>
  <c r="N23" i="10" s="1"/>
  <c r="H68" i="2" s="1"/>
  <c r="T16" i="10"/>
  <c r="P16" i="10" s="1"/>
  <c r="S46" i="10"/>
  <c r="S33" i="10"/>
  <c r="N16" i="10" s="1"/>
  <c r="H61" i="2" s="1"/>
  <c r="T20" i="10"/>
  <c r="P20" i="10" s="1"/>
  <c r="S45" i="10"/>
  <c r="T22" i="10"/>
  <c r="P22" i="10" s="1"/>
  <c r="D9" i="10"/>
  <c r="T15" i="10"/>
  <c r="P15" i="10" s="1"/>
  <c r="S43" i="10"/>
  <c r="N26" i="10" s="1"/>
  <c r="T25" i="10"/>
  <c r="P25" i="10" s="1"/>
  <c r="T24" i="10"/>
  <c r="P24" i="10" s="1"/>
  <c r="S31" i="10"/>
  <c r="N14" i="10" s="1"/>
  <c r="H59" i="2" s="1"/>
  <c r="T21" i="10"/>
  <c r="P21" i="10" s="1"/>
  <c r="S38" i="10"/>
  <c r="N21" i="10" s="1"/>
  <c r="H66" i="2" s="1"/>
  <c r="S44" i="10"/>
  <c r="N27" i="10" s="1"/>
  <c r="S39" i="10"/>
  <c r="N22" i="10" s="1"/>
  <c r="H67" i="2" s="1"/>
  <c r="S41" i="10"/>
  <c r="N24" i="10" s="1"/>
  <c r="T12" i="10"/>
  <c r="P12" i="10" s="1"/>
  <c r="S35" i="10"/>
  <c r="N18" i="10" s="1"/>
  <c r="H63" i="2" s="1"/>
  <c r="S37" i="10"/>
  <c r="N20" i="10" s="1"/>
  <c r="H65" i="2" s="1"/>
  <c r="T26" i="10"/>
  <c r="P26" i="10" s="1"/>
  <c r="T23" i="10"/>
  <c r="P23" i="10" s="1"/>
  <c r="S47" i="10"/>
  <c r="T19" i="10"/>
  <c r="P19" i="10" s="1"/>
  <c r="T27" i="10"/>
  <c r="P27" i="10" s="1"/>
  <c r="N12" i="10"/>
  <c r="W14" i="7"/>
  <c r="AK14" i="7"/>
  <c r="AX14" i="7"/>
  <c r="AY14" i="7" s="1"/>
  <c r="G12" i="2"/>
  <c r="T14" i="7"/>
  <c r="V14" i="7"/>
  <c r="AX105" i="7"/>
  <c r="AY105" i="7" s="1"/>
  <c r="S25" i="11"/>
  <c r="AJ25" i="11"/>
  <c r="U25" i="11"/>
  <c r="V25" i="11"/>
  <c r="AX17" i="7"/>
  <c r="AY17" i="7" s="1"/>
  <c r="G15" i="2"/>
  <c r="AK17" i="7"/>
  <c r="T17" i="7"/>
  <c r="V17" i="7"/>
  <c r="W17" i="7"/>
  <c r="S25" i="9"/>
  <c r="AX73" i="7"/>
  <c r="AY73" i="7" s="1"/>
  <c r="AJ25" i="9"/>
  <c r="U25" i="9"/>
  <c r="V25" i="9"/>
  <c r="K82" i="7"/>
  <c r="H25" i="7" s="1"/>
  <c r="S27" i="9"/>
  <c r="AJ27" i="9"/>
  <c r="AX75" i="7"/>
  <c r="AY75" i="7" s="1"/>
  <c r="U27" i="9"/>
  <c r="V27" i="9"/>
  <c r="C6" i="9"/>
  <c r="P4" i="9"/>
  <c r="S24" i="9"/>
  <c r="AJ24" i="9"/>
  <c r="AX72" i="7"/>
  <c r="AY72" i="7" s="1"/>
  <c r="U24" i="9"/>
  <c r="V24" i="9"/>
  <c r="K81" i="7"/>
  <c r="H24" i="7" s="1"/>
  <c r="AX122" i="7"/>
  <c r="AY122" i="7" s="1"/>
  <c r="S26" i="12"/>
  <c r="AJ26" i="12"/>
  <c r="U26" i="12"/>
  <c r="V26" i="12"/>
  <c r="G16" i="2"/>
  <c r="T18" i="7"/>
  <c r="AX18" i="7"/>
  <c r="AY18" i="7" s="1"/>
  <c r="AK18" i="7"/>
  <c r="V18" i="7"/>
  <c r="W18" i="7"/>
  <c r="S26" i="9"/>
  <c r="AX74" i="7"/>
  <c r="AY74" i="7" s="1"/>
  <c r="AJ26" i="9"/>
  <c r="U26" i="9"/>
  <c r="V26" i="9"/>
  <c r="AX123" i="7"/>
  <c r="AY123" i="7" s="1"/>
  <c r="AJ27" i="12"/>
  <c r="S27" i="12"/>
  <c r="U27" i="12"/>
  <c r="V27" i="12"/>
  <c r="M29" i="12"/>
  <c r="P4" i="12"/>
  <c r="AX121" i="7"/>
  <c r="AY121" i="7" s="1"/>
  <c r="AJ25" i="12"/>
  <c r="S25" i="12"/>
  <c r="U25" i="12"/>
  <c r="V25" i="12"/>
  <c r="AX138" i="7"/>
  <c r="AY138" i="7" s="1"/>
  <c r="S26" i="13"/>
  <c r="AJ26" i="13"/>
  <c r="U26" i="13"/>
  <c r="V26" i="13"/>
  <c r="S26" i="11"/>
  <c r="AX106" i="7"/>
  <c r="AY106" i="7" s="1"/>
  <c r="AJ26" i="11"/>
  <c r="U26" i="11"/>
  <c r="V26" i="11"/>
  <c r="S24" i="12"/>
  <c r="AJ24" i="12"/>
  <c r="AX120" i="7"/>
  <c r="AY120" i="7" s="1"/>
  <c r="U24" i="12"/>
  <c r="V24" i="12"/>
  <c r="R27" i="7"/>
  <c r="F27" i="7"/>
  <c r="G14" i="2"/>
  <c r="AX16" i="7"/>
  <c r="AY16" i="7" s="1"/>
  <c r="AK16" i="7"/>
  <c r="T16" i="7"/>
  <c r="V16" i="7"/>
  <c r="W16" i="7"/>
  <c r="S24" i="13"/>
  <c r="S29" i="13" s="1"/>
  <c r="AX136" i="7"/>
  <c r="AY136" i="7" s="1"/>
  <c r="AJ24" i="13"/>
  <c r="U24" i="13"/>
  <c r="V24" i="13"/>
  <c r="K83" i="7"/>
  <c r="H26" i="7" s="1"/>
  <c r="AJ27" i="11"/>
  <c r="S27" i="11"/>
  <c r="AX107" i="7"/>
  <c r="AY107" i="7" s="1"/>
  <c r="U27" i="11"/>
  <c r="V27" i="11"/>
  <c r="V28" i="11" s="1"/>
  <c r="V30" i="11" s="1"/>
  <c r="V31" i="11" s="1"/>
  <c r="P4" i="11"/>
  <c r="M29" i="11"/>
  <c r="AC183" i="16"/>
  <c r="AB182" i="16"/>
  <c r="A33" i="2" l="1"/>
  <c r="C32" i="2"/>
  <c r="C79" i="4"/>
  <c r="E78" i="4"/>
  <c r="S29" i="8"/>
  <c r="V28" i="13"/>
  <c r="V30" i="13" s="1"/>
  <c r="V31" i="13" s="1"/>
  <c r="V28" i="8"/>
  <c r="V30" i="8" s="1"/>
  <c r="V31" i="8" s="1"/>
  <c r="T28" i="4"/>
  <c r="R28" i="4"/>
  <c r="S29" i="11"/>
  <c r="S43" i="13"/>
  <c r="N26" i="13" s="1"/>
  <c r="T19" i="13"/>
  <c r="P19" i="13" s="1"/>
  <c r="S39" i="13"/>
  <c r="N22" i="13" s="1"/>
  <c r="S44" i="13"/>
  <c r="N27" i="13" s="1"/>
  <c r="S30" i="13"/>
  <c r="N13" i="13" s="1"/>
  <c r="T16" i="13"/>
  <c r="P16" i="13" s="1"/>
  <c r="T24" i="13"/>
  <c r="P24" i="13" s="1"/>
  <c r="T18" i="13"/>
  <c r="P18" i="13" s="1"/>
  <c r="S38" i="13"/>
  <c r="N21" i="13" s="1"/>
  <c r="T26" i="13"/>
  <c r="P26" i="13" s="1"/>
  <c r="S31" i="13"/>
  <c r="N14" i="13" s="1"/>
  <c r="T22" i="13"/>
  <c r="P22" i="13" s="1"/>
  <c r="S42" i="13"/>
  <c r="N25" i="13" s="1"/>
  <c r="T12" i="13"/>
  <c r="P12" i="13" s="1"/>
  <c r="S33" i="13"/>
  <c r="N16" i="13" s="1"/>
  <c r="S37" i="13"/>
  <c r="N20" i="13" s="1"/>
  <c r="T17" i="13"/>
  <c r="P17" i="13" s="1"/>
  <c r="S34" i="13"/>
  <c r="N17" i="13" s="1"/>
  <c r="S36" i="13"/>
  <c r="N19" i="13" s="1"/>
  <c r="S35" i="13"/>
  <c r="N18" i="13" s="1"/>
  <c r="D9" i="13"/>
  <c r="S40" i="13"/>
  <c r="N23" i="13" s="1"/>
  <c r="S46" i="13"/>
  <c r="T21" i="13"/>
  <c r="P21" i="13" s="1"/>
  <c r="S45" i="13"/>
  <c r="T23" i="13"/>
  <c r="P23" i="13" s="1"/>
  <c r="T14" i="13"/>
  <c r="P14" i="13" s="1"/>
  <c r="S32" i="13"/>
  <c r="N15" i="13" s="1"/>
  <c r="T15" i="13"/>
  <c r="P15" i="13" s="1"/>
  <c r="T20" i="13"/>
  <c r="P20" i="13" s="1"/>
  <c r="S41" i="13"/>
  <c r="N24" i="13" s="1"/>
  <c r="T27" i="13"/>
  <c r="P27" i="13" s="1"/>
  <c r="T25" i="13"/>
  <c r="P25" i="13" s="1"/>
  <c r="T13" i="13"/>
  <c r="P13" i="13" s="1"/>
  <c r="S47" i="13"/>
  <c r="N12" i="13"/>
  <c r="N29" i="13" s="1"/>
  <c r="S39" i="11"/>
  <c r="N22" i="11" s="1"/>
  <c r="H80" i="2" s="1"/>
  <c r="S45" i="11"/>
  <c r="S46" i="11"/>
  <c r="S32" i="11"/>
  <c r="N15" i="11" s="1"/>
  <c r="H73" i="2" s="1"/>
  <c r="T12" i="11"/>
  <c r="P12" i="11" s="1"/>
  <c r="T27" i="11"/>
  <c r="P27" i="11" s="1"/>
  <c r="T23" i="11"/>
  <c r="P23" i="11" s="1"/>
  <c r="T20" i="11"/>
  <c r="P20" i="11" s="1"/>
  <c r="S47" i="11"/>
  <c r="D9" i="11"/>
  <c r="S36" i="11"/>
  <c r="N19" i="11" s="1"/>
  <c r="H77" i="2" s="1"/>
  <c r="S41" i="11"/>
  <c r="N24" i="11" s="1"/>
  <c r="S43" i="11"/>
  <c r="N26" i="11" s="1"/>
  <c r="T16" i="11"/>
  <c r="P16" i="11" s="1"/>
  <c r="S34" i="11"/>
  <c r="N17" i="11" s="1"/>
  <c r="H75" i="2" s="1"/>
  <c r="T26" i="11"/>
  <c r="P26" i="11" s="1"/>
  <c r="S30" i="11"/>
  <c r="N13" i="11" s="1"/>
  <c r="H71" i="2" s="1"/>
  <c r="T22" i="11"/>
  <c r="P22" i="11" s="1"/>
  <c r="T24" i="11"/>
  <c r="P24" i="11" s="1"/>
  <c r="S37" i="11"/>
  <c r="N20" i="11" s="1"/>
  <c r="H78" i="2" s="1"/>
  <c r="T17" i="11"/>
  <c r="P17" i="11" s="1"/>
  <c r="S35" i="11"/>
  <c r="N18" i="11" s="1"/>
  <c r="H76" i="2" s="1"/>
  <c r="T15" i="11"/>
  <c r="P15" i="11" s="1"/>
  <c r="T18" i="11"/>
  <c r="P18" i="11" s="1"/>
  <c r="S31" i="11"/>
  <c r="N14" i="11" s="1"/>
  <c r="H72" i="2" s="1"/>
  <c r="S38" i="11"/>
  <c r="N21" i="11" s="1"/>
  <c r="H79" i="2" s="1"/>
  <c r="T14" i="11"/>
  <c r="P14" i="11" s="1"/>
  <c r="S40" i="11"/>
  <c r="N23" i="11" s="1"/>
  <c r="H81" i="2" s="1"/>
  <c r="T19" i="11"/>
  <c r="P19" i="11" s="1"/>
  <c r="T13" i="11"/>
  <c r="P13" i="11" s="1"/>
  <c r="S42" i="11"/>
  <c r="N25" i="11" s="1"/>
  <c r="T21" i="11"/>
  <c r="P21" i="11" s="1"/>
  <c r="S33" i="11"/>
  <c r="N16" i="11" s="1"/>
  <c r="H74" i="2" s="1"/>
  <c r="T25" i="11"/>
  <c r="P25" i="11" s="1"/>
  <c r="S44" i="11"/>
  <c r="N27" i="11" s="1"/>
  <c r="N12" i="11"/>
  <c r="R26" i="7"/>
  <c r="F26" i="7"/>
  <c r="O27" i="7"/>
  <c r="AX27" i="7" s="1"/>
  <c r="AY27" i="7" s="1"/>
  <c r="AK27" i="7"/>
  <c r="J112" i="2" s="1"/>
  <c r="T27" i="7"/>
  <c r="H112" i="2"/>
  <c r="G112" i="2" s="1"/>
  <c r="V27" i="7"/>
  <c r="W27" i="7"/>
  <c r="V28" i="12"/>
  <c r="V30" i="12" s="1"/>
  <c r="V31" i="12" s="1"/>
  <c r="N29" i="10"/>
  <c r="H57" i="2"/>
  <c r="AR83" i="7"/>
  <c r="AS83" i="7" s="1"/>
  <c r="AT83" i="7" s="1"/>
  <c r="AM19" i="10"/>
  <c r="R19" i="10"/>
  <c r="AR87" i="7"/>
  <c r="AS87" i="7" s="1"/>
  <c r="AT87" i="7" s="1"/>
  <c r="R23" i="10"/>
  <c r="AM23" i="10"/>
  <c r="P30" i="10"/>
  <c r="R12" i="10"/>
  <c r="AR76" i="7"/>
  <c r="AS76" i="7" s="1"/>
  <c r="AT76" i="7" s="1"/>
  <c r="AM12" i="10"/>
  <c r="R25" i="10"/>
  <c r="AR89" i="7"/>
  <c r="AS89" i="7" s="1"/>
  <c r="AT89" i="7" s="1"/>
  <c r="AM25" i="10"/>
  <c r="AR79" i="7"/>
  <c r="AS79" i="7" s="1"/>
  <c r="AT79" i="7" s="1"/>
  <c r="AM15" i="10"/>
  <c r="R15" i="10"/>
  <c r="AM22" i="10"/>
  <c r="AR86" i="7"/>
  <c r="AS86" i="7" s="1"/>
  <c r="AT86" i="7" s="1"/>
  <c r="R22" i="10"/>
  <c r="AR84" i="7"/>
  <c r="AS84" i="7" s="1"/>
  <c r="AT84" i="7" s="1"/>
  <c r="AM20" i="10"/>
  <c r="R20" i="10"/>
  <c r="AM18" i="10"/>
  <c r="AR82" i="7"/>
  <c r="AS82" i="7" s="1"/>
  <c r="AT82" i="7" s="1"/>
  <c r="R18" i="10"/>
  <c r="AM17" i="10"/>
  <c r="R17" i="10"/>
  <c r="AR81" i="7"/>
  <c r="AS81" i="7" s="1"/>
  <c r="AT81" i="7" s="1"/>
  <c r="S29" i="12"/>
  <c r="F24" i="7"/>
  <c r="R24" i="7"/>
  <c r="V28" i="9"/>
  <c r="V30" i="9" s="1"/>
  <c r="V31" i="9" s="1"/>
  <c r="S29" i="9"/>
  <c r="R25" i="7"/>
  <c r="F25" i="7"/>
  <c r="AR91" i="7"/>
  <c r="AS91" i="7" s="1"/>
  <c r="AT91" i="7" s="1"/>
  <c r="AM27" i="10"/>
  <c r="R27" i="10"/>
  <c r="AM26" i="10"/>
  <c r="R26" i="10"/>
  <c r="AR90" i="7"/>
  <c r="AS90" i="7" s="1"/>
  <c r="AT90" i="7" s="1"/>
  <c r="R21" i="10"/>
  <c r="AM21" i="10"/>
  <c r="AR85" i="7"/>
  <c r="AS85" i="7" s="1"/>
  <c r="AT85" i="7" s="1"/>
  <c r="AM24" i="10"/>
  <c r="R24" i="10"/>
  <c r="AR88" i="7"/>
  <c r="AS88" i="7" s="1"/>
  <c r="AT88" i="7" s="1"/>
  <c r="R16" i="10"/>
  <c r="AM16" i="10"/>
  <c r="AR80" i="7"/>
  <c r="AS80" i="7" s="1"/>
  <c r="AT80" i="7" s="1"/>
  <c r="AR77" i="7"/>
  <c r="AS77" i="7" s="1"/>
  <c r="AT77" i="7" s="1"/>
  <c r="R13" i="10"/>
  <c r="AM13" i="10"/>
  <c r="R14" i="10"/>
  <c r="AM14" i="10"/>
  <c r="AR78" i="7"/>
  <c r="AS78" i="7" s="1"/>
  <c r="AT78" i="7" s="1"/>
  <c r="AC184" i="16"/>
  <c r="AB183" i="16"/>
  <c r="E79" i="4" l="1"/>
  <c r="C80" i="4"/>
  <c r="C33" i="2"/>
  <c r="A34" i="2"/>
  <c r="N12" i="8"/>
  <c r="S36" i="8"/>
  <c r="N19" i="8" s="1"/>
  <c r="H38" i="2" s="1"/>
  <c r="T24" i="8"/>
  <c r="P24" i="8" s="1"/>
  <c r="S34" i="8"/>
  <c r="N17" i="8" s="1"/>
  <c r="H36" i="2" s="1"/>
  <c r="S37" i="8"/>
  <c r="N20" i="8" s="1"/>
  <c r="H39" i="2" s="1"/>
  <c r="S42" i="8"/>
  <c r="N25" i="8" s="1"/>
  <c r="S41" i="8"/>
  <c r="N24" i="8" s="1"/>
  <c r="S39" i="8"/>
  <c r="N22" i="8" s="1"/>
  <c r="H41" i="2" s="1"/>
  <c r="T15" i="8"/>
  <c r="P15" i="8" s="1"/>
  <c r="S47" i="8"/>
  <c r="T16" i="8"/>
  <c r="P16" i="8" s="1"/>
  <c r="T12" i="8"/>
  <c r="P12" i="8" s="1"/>
  <c r="S46" i="8"/>
  <c r="S44" i="8"/>
  <c r="N27" i="8" s="1"/>
  <c r="S30" i="8"/>
  <c r="N13" i="8" s="1"/>
  <c r="H32" i="2" s="1"/>
  <c r="T20" i="8"/>
  <c r="P20" i="8" s="1"/>
  <c r="S40" i="8"/>
  <c r="N23" i="8" s="1"/>
  <c r="H42" i="2" s="1"/>
  <c r="T19" i="8"/>
  <c r="P19" i="8" s="1"/>
  <c r="T23" i="8"/>
  <c r="P23" i="8" s="1"/>
  <c r="T18" i="8"/>
  <c r="P18" i="8" s="1"/>
  <c r="T17" i="8"/>
  <c r="P17" i="8" s="1"/>
  <c r="S33" i="8"/>
  <c r="N16" i="8" s="1"/>
  <c r="H35" i="2" s="1"/>
  <c r="T21" i="8"/>
  <c r="P21" i="8" s="1"/>
  <c r="T25" i="8"/>
  <c r="P25" i="8" s="1"/>
  <c r="S45" i="8"/>
  <c r="S32" i="8"/>
  <c r="N15" i="8" s="1"/>
  <c r="H34" i="2" s="1"/>
  <c r="T14" i="8"/>
  <c r="P14" i="8" s="1"/>
  <c r="T13" i="8"/>
  <c r="P13" i="8" s="1"/>
  <c r="S43" i="8"/>
  <c r="N26" i="8" s="1"/>
  <c r="S31" i="8"/>
  <c r="N14" i="8" s="1"/>
  <c r="H33" i="2" s="1"/>
  <c r="S38" i="8"/>
  <c r="N21" i="8" s="1"/>
  <c r="H40" i="2" s="1"/>
  <c r="T27" i="8"/>
  <c r="P27" i="8" s="1"/>
  <c r="S35" i="8"/>
  <c r="N18" i="8" s="1"/>
  <c r="H37" i="2" s="1"/>
  <c r="T22" i="8"/>
  <c r="P22" i="8" s="1"/>
  <c r="T26" i="8"/>
  <c r="P26" i="8" s="1"/>
  <c r="D9" i="8"/>
  <c r="S32" i="9"/>
  <c r="N15" i="9" s="1"/>
  <c r="H47" i="2" s="1"/>
  <c r="S46" i="9"/>
  <c r="T20" i="9"/>
  <c r="P20" i="9" s="1"/>
  <c r="T14" i="9"/>
  <c r="P14" i="9" s="1"/>
  <c r="T19" i="9"/>
  <c r="P19" i="9" s="1"/>
  <c r="T12" i="9"/>
  <c r="P12" i="9" s="1"/>
  <c r="T13" i="9"/>
  <c r="P13" i="9" s="1"/>
  <c r="T24" i="9"/>
  <c r="P24" i="9" s="1"/>
  <c r="S43" i="9"/>
  <c r="N26" i="9" s="1"/>
  <c r="S41" i="9"/>
  <c r="N24" i="9" s="1"/>
  <c r="S35" i="9"/>
  <c r="N18" i="9" s="1"/>
  <c r="H50" i="2" s="1"/>
  <c r="T16" i="9"/>
  <c r="P16" i="9" s="1"/>
  <c r="T25" i="9"/>
  <c r="P25" i="9" s="1"/>
  <c r="S45" i="9"/>
  <c r="T15" i="9"/>
  <c r="P15" i="9" s="1"/>
  <c r="S40" i="9"/>
  <c r="N23" i="9" s="1"/>
  <c r="H55" i="2" s="1"/>
  <c r="S30" i="9"/>
  <c r="N13" i="9" s="1"/>
  <c r="H45" i="2" s="1"/>
  <c r="T18" i="9"/>
  <c r="P18" i="9" s="1"/>
  <c r="T22" i="9"/>
  <c r="P22" i="9" s="1"/>
  <c r="T23" i="9"/>
  <c r="P23" i="9" s="1"/>
  <c r="S37" i="9"/>
  <c r="N20" i="9" s="1"/>
  <c r="H52" i="2" s="1"/>
  <c r="S33" i="9"/>
  <c r="N16" i="9" s="1"/>
  <c r="H48" i="2" s="1"/>
  <c r="S31" i="9"/>
  <c r="N14" i="9" s="1"/>
  <c r="H46" i="2" s="1"/>
  <c r="S47" i="9"/>
  <c r="T27" i="9"/>
  <c r="P27" i="9" s="1"/>
  <c r="S36" i="9"/>
  <c r="N19" i="9" s="1"/>
  <c r="H51" i="2" s="1"/>
  <c r="T26" i="9"/>
  <c r="P26" i="9" s="1"/>
  <c r="S34" i="9"/>
  <c r="N17" i="9" s="1"/>
  <c r="H49" i="2" s="1"/>
  <c r="T21" i="9"/>
  <c r="P21" i="9" s="1"/>
  <c r="S42" i="9"/>
  <c r="N25" i="9" s="1"/>
  <c r="S44" i="9"/>
  <c r="N27" i="9" s="1"/>
  <c r="S38" i="9"/>
  <c r="N21" i="9" s="1"/>
  <c r="H53" i="2" s="1"/>
  <c r="D9" i="9"/>
  <c r="T17" i="9"/>
  <c r="P17" i="9" s="1"/>
  <c r="S39" i="9"/>
  <c r="N22" i="9" s="1"/>
  <c r="H54" i="2" s="1"/>
  <c r="N12" i="9"/>
  <c r="P28" i="10"/>
  <c r="R28" i="10"/>
  <c r="T24" i="7"/>
  <c r="H109" i="2"/>
  <c r="G109" i="2" s="1"/>
  <c r="O24" i="7"/>
  <c r="AX24" i="7" s="1"/>
  <c r="AY24" i="7" s="1"/>
  <c r="AK24" i="7"/>
  <c r="J109" i="2" s="1"/>
  <c r="V24" i="7"/>
  <c r="W24" i="7"/>
  <c r="T26" i="7"/>
  <c r="AK26" i="7"/>
  <c r="J111" i="2" s="1"/>
  <c r="H111" i="2"/>
  <c r="G111" i="2" s="1"/>
  <c r="O26" i="7"/>
  <c r="AX26" i="7" s="1"/>
  <c r="AY26" i="7" s="1"/>
  <c r="V26" i="7"/>
  <c r="W26" i="7"/>
  <c r="H70" i="2"/>
  <c r="N29" i="11"/>
  <c r="AM25" i="11"/>
  <c r="R25" i="11"/>
  <c r="AR105" i="7"/>
  <c r="AS105" i="7" s="1"/>
  <c r="AT105" i="7" s="1"/>
  <c r="R21" i="11"/>
  <c r="AR101" i="7"/>
  <c r="AS101" i="7" s="1"/>
  <c r="AT101" i="7" s="1"/>
  <c r="AM21" i="11"/>
  <c r="AM13" i="11"/>
  <c r="R13" i="11"/>
  <c r="AR93" i="7"/>
  <c r="AS93" i="7" s="1"/>
  <c r="AT93" i="7" s="1"/>
  <c r="R18" i="11"/>
  <c r="AR98" i="7"/>
  <c r="AS98" i="7" s="1"/>
  <c r="AT98" i="7" s="1"/>
  <c r="AM18" i="11"/>
  <c r="AR102" i="7"/>
  <c r="AS102" i="7" s="1"/>
  <c r="AT102" i="7" s="1"/>
  <c r="R22" i="11"/>
  <c r="AM22" i="11"/>
  <c r="AM26" i="11"/>
  <c r="R26" i="11"/>
  <c r="AR106" i="7"/>
  <c r="AS106" i="7" s="1"/>
  <c r="AT106" i="7" s="1"/>
  <c r="AR96" i="7"/>
  <c r="AS96" i="7" s="1"/>
  <c r="AT96" i="7" s="1"/>
  <c r="R16" i="11"/>
  <c r="AM16" i="11"/>
  <c r="AR100" i="7"/>
  <c r="AS100" i="7" s="1"/>
  <c r="AT100" i="7" s="1"/>
  <c r="AM20" i="11"/>
  <c r="R20" i="11"/>
  <c r="AR107" i="7"/>
  <c r="AS107" i="7" s="1"/>
  <c r="AM27" i="11"/>
  <c r="R27" i="11"/>
  <c r="AM13" i="13"/>
  <c r="R13" i="13"/>
  <c r="AR125" i="7"/>
  <c r="AM27" i="13"/>
  <c r="R27" i="13"/>
  <c r="AR139" i="7"/>
  <c r="AM20" i="13"/>
  <c r="AR132" i="7"/>
  <c r="R20" i="13"/>
  <c r="AR135" i="7"/>
  <c r="R23" i="13"/>
  <c r="AM23" i="13"/>
  <c r="R21" i="13"/>
  <c r="AM21" i="13"/>
  <c r="AR133" i="7"/>
  <c r="AM12" i="13"/>
  <c r="P28" i="13" s="1"/>
  <c r="R12" i="13"/>
  <c r="R28" i="13" s="1"/>
  <c r="AR124" i="7"/>
  <c r="P30" i="13"/>
  <c r="R22" i="13"/>
  <c r="AM22" i="13"/>
  <c r="AR134" i="7"/>
  <c r="AM26" i="13"/>
  <c r="AR138" i="7"/>
  <c r="R26" i="13"/>
  <c r="R18" i="13"/>
  <c r="AM18" i="13"/>
  <c r="AR130" i="7"/>
  <c r="AR128" i="7"/>
  <c r="AM16" i="13"/>
  <c r="R16" i="13"/>
  <c r="R19" i="13"/>
  <c r="AM19" i="13"/>
  <c r="AR131" i="7"/>
  <c r="O25" i="7"/>
  <c r="AX25" i="7" s="1"/>
  <c r="AY25" i="7" s="1"/>
  <c r="AK25" i="7"/>
  <c r="J110" i="2" s="1"/>
  <c r="H110" i="2"/>
  <c r="G110" i="2" s="1"/>
  <c r="T25" i="7"/>
  <c r="V25" i="7"/>
  <c r="W25" i="7"/>
  <c r="W28" i="7" s="1"/>
  <c r="W30" i="7" s="1"/>
  <c r="W31" i="7" s="1"/>
  <c r="T14" i="12"/>
  <c r="P14" i="12" s="1"/>
  <c r="S47" i="12"/>
  <c r="S39" i="12"/>
  <c r="N22" i="12" s="1"/>
  <c r="H93" i="2" s="1"/>
  <c r="S42" i="12"/>
  <c r="N25" i="12" s="1"/>
  <c r="S40" i="12"/>
  <c r="N23" i="12" s="1"/>
  <c r="H94" i="2" s="1"/>
  <c r="S46" i="12"/>
  <c r="T21" i="12"/>
  <c r="P21" i="12" s="1"/>
  <c r="T26" i="12"/>
  <c r="P26" i="12" s="1"/>
  <c r="T18" i="12"/>
  <c r="P18" i="12" s="1"/>
  <c r="T23" i="12"/>
  <c r="P23" i="12" s="1"/>
  <c r="S32" i="12"/>
  <c r="N15" i="12" s="1"/>
  <c r="H86" i="2" s="1"/>
  <c r="S45" i="12"/>
  <c r="T17" i="12"/>
  <c r="P17" i="12" s="1"/>
  <c r="D9" i="12"/>
  <c r="T27" i="12"/>
  <c r="P27" i="12" s="1"/>
  <c r="S44" i="12"/>
  <c r="N27" i="12" s="1"/>
  <c r="T19" i="12"/>
  <c r="P19" i="12" s="1"/>
  <c r="T20" i="12"/>
  <c r="P20" i="12" s="1"/>
  <c r="S30" i="12"/>
  <c r="N13" i="12" s="1"/>
  <c r="H84" i="2" s="1"/>
  <c r="S33" i="12"/>
  <c r="N16" i="12" s="1"/>
  <c r="H87" i="2" s="1"/>
  <c r="T15" i="12"/>
  <c r="P15" i="12" s="1"/>
  <c r="S43" i="12"/>
  <c r="N26" i="12" s="1"/>
  <c r="S34" i="12"/>
  <c r="N17" i="12" s="1"/>
  <c r="H88" i="2" s="1"/>
  <c r="S35" i="12"/>
  <c r="N18" i="12" s="1"/>
  <c r="H89" i="2" s="1"/>
  <c r="S38" i="12"/>
  <c r="N21" i="12" s="1"/>
  <c r="H92" i="2" s="1"/>
  <c r="T16" i="12"/>
  <c r="P16" i="12" s="1"/>
  <c r="T22" i="12"/>
  <c r="P22" i="12" s="1"/>
  <c r="T12" i="12"/>
  <c r="P12" i="12" s="1"/>
  <c r="S37" i="12"/>
  <c r="N20" i="12" s="1"/>
  <c r="H91" i="2" s="1"/>
  <c r="T13" i="12"/>
  <c r="P13" i="12" s="1"/>
  <c r="S36" i="12"/>
  <c r="N19" i="12" s="1"/>
  <c r="H90" i="2" s="1"/>
  <c r="S31" i="12"/>
  <c r="N14" i="12" s="1"/>
  <c r="H85" i="2" s="1"/>
  <c r="T24" i="12"/>
  <c r="P24" i="12" s="1"/>
  <c r="T25" i="12"/>
  <c r="P25" i="12" s="1"/>
  <c r="S41" i="12"/>
  <c r="N24" i="12" s="1"/>
  <c r="N12" i="12"/>
  <c r="T29" i="7"/>
  <c r="AQ106" i="7"/>
  <c r="AZ12" i="7" s="1"/>
  <c r="AR99" i="7"/>
  <c r="AS99" i="7" s="1"/>
  <c r="AT99" i="7" s="1"/>
  <c r="R19" i="11"/>
  <c r="AM19" i="11"/>
  <c r="R14" i="11"/>
  <c r="AM14" i="11"/>
  <c r="AR94" i="7"/>
  <c r="AS94" i="7" s="1"/>
  <c r="AT94" i="7" s="1"/>
  <c r="AM15" i="11"/>
  <c r="AR95" i="7"/>
  <c r="AS95" i="7" s="1"/>
  <c r="AT95" i="7" s="1"/>
  <c r="R15" i="11"/>
  <c r="AR97" i="7"/>
  <c r="AS97" i="7" s="1"/>
  <c r="AT97" i="7" s="1"/>
  <c r="R17" i="11"/>
  <c r="AM17" i="11"/>
  <c r="R24" i="11"/>
  <c r="AM24" i="11"/>
  <c r="AR104" i="7"/>
  <c r="AS104" i="7" s="1"/>
  <c r="AT104" i="7" s="1"/>
  <c r="R23" i="11"/>
  <c r="AM23" i="11"/>
  <c r="AR103" i="7"/>
  <c r="AS103" i="7" s="1"/>
  <c r="AT103" i="7" s="1"/>
  <c r="R12" i="11"/>
  <c r="P30" i="11"/>
  <c r="AR92" i="7"/>
  <c r="AS92" i="7" s="1"/>
  <c r="AT92" i="7" s="1"/>
  <c r="AM12" i="11"/>
  <c r="P28" i="11" s="1"/>
  <c r="AM25" i="13"/>
  <c r="AR137" i="7"/>
  <c r="R25" i="13"/>
  <c r="AR127" i="7"/>
  <c r="AM15" i="13"/>
  <c r="R15" i="13"/>
  <c r="AR126" i="7"/>
  <c r="R14" i="13"/>
  <c r="AM14" i="13"/>
  <c r="AR129" i="7"/>
  <c r="AM17" i="13"/>
  <c r="R17" i="13"/>
  <c r="AM24" i="13"/>
  <c r="R24" i="13"/>
  <c r="AR136" i="7"/>
  <c r="AC185" i="16"/>
  <c r="AB184" i="16"/>
  <c r="C34" i="2" l="1"/>
  <c r="A35" i="2"/>
  <c r="E80" i="4"/>
  <c r="C81" i="4"/>
  <c r="AM22" i="8"/>
  <c r="AR54" i="7"/>
  <c r="AS54" i="7" s="1"/>
  <c r="AT54" i="7" s="1"/>
  <c r="R22" i="8"/>
  <c r="AR59" i="7"/>
  <c r="AS59" i="7" s="1"/>
  <c r="AT59" i="7" s="1"/>
  <c r="AM27" i="8"/>
  <c r="R27" i="8"/>
  <c r="R13" i="8"/>
  <c r="AM13" i="8"/>
  <c r="AR45" i="7"/>
  <c r="AS45" i="7" s="1"/>
  <c r="AT45" i="7" s="1"/>
  <c r="R25" i="8"/>
  <c r="AR57" i="7"/>
  <c r="AS57" i="7" s="1"/>
  <c r="AT57" i="7" s="1"/>
  <c r="AM25" i="8"/>
  <c r="AM18" i="8"/>
  <c r="R18" i="8"/>
  <c r="AR50" i="7"/>
  <c r="AS50" i="7" s="1"/>
  <c r="AT50" i="7" s="1"/>
  <c r="R19" i="8"/>
  <c r="AR51" i="7"/>
  <c r="AS51" i="7" s="1"/>
  <c r="AT51" i="7" s="1"/>
  <c r="AM19" i="8"/>
  <c r="AR52" i="7"/>
  <c r="AS52" i="7" s="1"/>
  <c r="AT52" i="7" s="1"/>
  <c r="R20" i="8"/>
  <c r="AM20" i="8"/>
  <c r="AR44" i="7"/>
  <c r="AS44" i="7" s="1"/>
  <c r="AT44" i="7" s="1"/>
  <c r="R12" i="8"/>
  <c r="R28" i="8" s="1"/>
  <c r="AM12" i="8"/>
  <c r="P28" i="8" s="1"/>
  <c r="P30" i="8"/>
  <c r="R26" i="8"/>
  <c r="AM26" i="8"/>
  <c r="AR58" i="7"/>
  <c r="AS58" i="7" s="1"/>
  <c r="AT58" i="7" s="1"/>
  <c r="AR46" i="7"/>
  <c r="AS46" i="7" s="1"/>
  <c r="AT46" i="7" s="1"/>
  <c r="AM14" i="8"/>
  <c r="R14" i="8"/>
  <c r="AR53" i="7"/>
  <c r="AS53" i="7" s="1"/>
  <c r="AT53" i="7" s="1"/>
  <c r="AM21" i="8"/>
  <c r="R21" i="8"/>
  <c r="R17" i="8"/>
  <c r="AR49" i="7"/>
  <c r="AS49" i="7" s="1"/>
  <c r="AT49" i="7" s="1"/>
  <c r="AM17" i="8"/>
  <c r="AR55" i="7"/>
  <c r="AS55" i="7" s="1"/>
  <c r="AT55" i="7" s="1"/>
  <c r="R23" i="8"/>
  <c r="AM23" i="8"/>
  <c r="AR48" i="7"/>
  <c r="AS48" i="7" s="1"/>
  <c r="AT48" i="7" s="1"/>
  <c r="R16" i="8"/>
  <c r="AM16" i="8"/>
  <c r="AR47" i="7"/>
  <c r="AS47" i="7" s="1"/>
  <c r="AT47" i="7" s="1"/>
  <c r="R15" i="8"/>
  <c r="AM15" i="8"/>
  <c r="R24" i="8"/>
  <c r="AR56" i="7"/>
  <c r="AS56" i="7" s="1"/>
  <c r="AT56" i="7" s="1"/>
  <c r="AM24" i="8"/>
  <c r="H31" i="2"/>
  <c r="N29" i="8"/>
  <c r="AZ96" i="7"/>
  <c r="BA96" i="7" s="1"/>
  <c r="AZ25" i="7"/>
  <c r="BA25" i="7" s="1"/>
  <c r="AZ95" i="7"/>
  <c r="BA95" i="7" s="1"/>
  <c r="AZ106" i="7"/>
  <c r="BA106" i="7" s="1"/>
  <c r="AZ82" i="7"/>
  <c r="BA82" i="7" s="1"/>
  <c r="AZ62" i="7"/>
  <c r="BA62" i="7" s="1"/>
  <c r="AZ103" i="7"/>
  <c r="BA103" i="7" s="1"/>
  <c r="AZ69" i="7"/>
  <c r="BA69" i="7" s="1"/>
  <c r="AZ67" i="7"/>
  <c r="BA67" i="7" s="1"/>
  <c r="AZ78" i="7"/>
  <c r="BA78" i="7" s="1"/>
  <c r="AZ65" i="7"/>
  <c r="BA65" i="7" s="1"/>
  <c r="AZ14" i="7"/>
  <c r="BA14" i="7" s="1"/>
  <c r="AZ102" i="7"/>
  <c r="BA102" i="7" s="1"/>
  <c r="AZ86" i="7"/>
  <c r="BA86" i="7" s="1"/>
  <c r="AZ79" i="7"/>
  <c r="BA79" i="7" s="1"/>
  <c r="AZ23" i="7"/>
  <c r="BA23" i="7" s="1"/>
  <c r="AZ75" i="7"/>
  <c r="BA75" i="7" s="1"/>
  <c r="AZ15" i="7"/>
  <c r="BA15" i="7" s="1"/>
  <c r="BA12" i="7"/>
  <c r="AZ29" i="7"/>
  <c r="BA29" i="7" s="1"/>
  <c r="AZ97" i="7"/>
  <c r="BA97" i="7" s="1"/>
  <c r="AZ42" i="7"/>
  <c r="BA42" i="7" s="1"/>
  <c r="AZ24" i="7"/>
  <c r="BA24" i="7" s="1"/>
  <c r="AZ22" i="7"/>
  <c r="BA22" i="7" s="1"/>
  <c r="AZ80" i="7"/>
  <c r="BA80" i="7" s="1"/>
  <c r="AZ92" i="7"/>
  <c r="BA92" i="7" s="1"/>
  <c r="AZ18" i="7"/>
  <c r="BA18" i="7" s="1"/>
  <c r="AZ73" i="7"/>
  <c r="BA73" i="7" s="1"/>
  <c r="AZ30" i="7"/>
  <c r="BA30" i="7" s="1"/>
  <c r="AZ91" i="7"/>
  <c r="BA91" i="7" s="1"/>
  <c r="AZ72" i="7"/>
  <c r="BA72" i="7" s="1"/>
  <c r="AZ44" i="7"/>
  <c r="AZ71" i="7"/>
  <c r="BA71" i="7" s="1"/>
  <c r="AZ60" i="7"/>
  <c r="BA60" i="7" s="1"/>
  <c r="AZ77" i="7"/>
  <c r="BA77" i="7" s="1"/>
  <c r="AZ21" i="7"/>
  <c r="BA21" i="7" s="1"/>
  <c r="AZ90" i="7"/>
  <c r="BA90" i="7" s="1"/>
  <c r="AZ56" i="7"/>
  <c r="BA56" i="7" s="1"/>
  <c r="BB56" i="7" s="1"/>
  <c r="O24" i="8" s="1"/>
  <c r="AZ19" i="7"/>
  <c r="BA19" i="7" s="1"/>
  <c r="AZ17" i="7"/>
  <c r="BA17" i="7" s="1"/>
  <c r="AZ32" i="7"/>
  <c r="BA32" i="7" s="1"/>
  <c r="AZ66" i="7"/>
  <c r="BA66" i="7" s="1"/>
  <c r="AZ41" i="7"/>
  <c r="BA41" i="7" s="1"/>
  <c r="AZ33" i="7"/>
  <c r="BA33" i="7" s="1"/>
  <c r="AZ13" i="7"/>
  <c r="BA13" i="7" s="1"/>
  <c r="AZ84" i="7"/>
  <c r="BA84" i="7" s="1"/>
  <c r="AZ93" i="7"/>
  <c r="BA93" i="7" s="1"/>
  <c r="AZ76" i="7"/>
  <c r="BA76" i="7" s="1"/>
  <c r="AZ89" i="7"/>
  <c r="BA89" i="7" s="1"/>
  <c r="AZ99" i="7"/>
  <c r="BA99" i="7" s="1"/>
  <c r="AZ100" i="7"/>
  <c r="BA100" i="7" s="1"/>
  <c r="AZ81" i="7"/>
  <c r="BA81" i="7" s="1"/>
  <c r="AZ98" i="7"/>
  <c r="BA98" i="7" s="1"/>
  <c r="AZ26" i="7"/>
  <c r="BA26" i="7" s="1"/>
  <c r="AZ88" i="7"/>
  <c r="BA88" i="7" s="1"/>
  <c r="AZ63" i="7"/>
  <c r="BA63" i="7" s="1"/>
  <c r="AZ34" i="7"/>
  <c r="BA34" i="7" s="1"/>
  <c r="AZ40" i="7"/>
  <c r="BA40" i="7" s="1"/>
  <c r="AZ35" i="7"/>
  <c r="BA35" i="7" s="1"/>
  <c r="AZ83" i="7"/>
  <c r="BA83" i="7" s="1"/>
  <c r="AZ64" i="7"/>
  <c r="BA64" i="7" s="1"/>
  <c r="AZ20" i="7"/>
  <c r="BA20" i="7" s="1"/>
  <c r="AZ61" i="7"/>
  <c r="BA61" i="7" s="1"/>
  <c r="AZ68" i="7"/>
  <c r="BA68" i="7" s="1"/>
  <c r="AZ28" i="7"/>
  <c r="BA28" i="7" s="1"/>
  <c r="AZ27" i="7"/>
  <c r="BA27" i="7" s="1"/>
  <c r="AZ74" i="7"/>
  <c r="BA74" i="7" s="1"/>
  <c r="AZ37" i="7"/>
  <c r="BA37" i="7" s="1"/>
  <c r="AZ101" i="7"/>
  <c r="BA101" i="7" s="1"/>
  <c r="AZ70" i="7"/>
  <c r="BA70" i="7" s="1"/>
  <c r="AZ16" i="7"/>
  <c r="BA16" i="7" s="1"/>
  <c r="AZ107" i="7"/>
  <c r="AZ38" i="7"/>
  <c r="BA38" i="7" s="1"/>
  <c r="AZ87" i="7"/>
  <c r="BA87" i="7" s="1"/>
  <c r="AZ59" i="7"/>
  <c r="BA59" i="7" s="1"/>
  <c r="BB59" i="7" s="1"/>
  <c r="O27" i="8" s="1"/>
  <c r="AZ104" i="7"/>
  <c r="BA104" i="7" s="1"/>
  <c r="AZ39" i="7"/>
  <c r="BA39" i="7" s="1"/>
  <c r="AZ58" i="7"/>
  <c r="BA58" i="7" s="1"/>
  <c r="BB58" i="7" s="1"/>
  <c r="O26" i="8" s="1"/>
  <c r="AZ105" i="7"/>
  <c r="BA105" i="7" s="1"/>
  <c r="AZ94" i="7"/>
  <c r="BA94" i="7" s="1"/>
  <c r="AZ31" i="7"/>
  <c r="BA31" i="7" s="1"/>
  <c r="AZ36" i="7"/>
  <c r="BA36" i="7" s="1"/>
  <c r="AZ85" i="7"/>
  <c r="BA85" i="7" s="1"/>
  <c r="AZ57" i="7"/>
  <c r="BA57" i="7" s="1"/>
  <c r="BB57" i="7" s="1"/>
  <c r="O25" i="8" s="1"/>
  <c r="AZ43" i="7"/>
  <c r="BA43" i="7" s="1"/>
  <c r="N29" i="12"/>
  <c r="H83" i="2"/>
  <c r="AR122" i="7"/>
  <c r="AM25" i="12"/>
  <c r="R25" i="12"/>
  <c r="AR110" i="7"/>
  <c r="AM13" i="12"/>
  <c r="R13" i="12"/>
  <c r="P30" i="12"/>
  <c r="AR109" i="7"/>
  <c r="R12" i="12"/>
  <c r="AM12" i="12"/>
  <c r="R16" i="12"/>
  <c r="AR113" i="7"/>
  <c r="AM16" i="12"/>
  <c r="AM20" i="12"/>
  <c r="R20" i="12"/>
  <c r="AR117" i="7"/>
  <c r="AM23" i="12"/>
  <c r="AR120" i="7"/>
  <c r="R23" i="12"/>
  <c r="R26" i="12"/>
  <c r="AM26" i="12"/>
  <c r="AR123" i="7"/>
  <c r="AT107" i="7"/>
  <c r="N29" i="9"/>
  <c r="H44" i="2"/>
  <c r="AM17" i="9"/>
  <c r="AR65" i="7"/>
  <c r="AS65" i="7" s="1"/>
  <c r="AT65" i="7" s="1"/>
  <c r="R17" i="9"/>
  <c r="R23" i="9"/>
  <c r="AR71" i="7"/>
  <c r="AS71" i="7" s="1"/>
  <c r="AT71" i="7" s="1"/>
  <c r="AM23" i="9"/>
  <c r="AM18" i="9"/>
  <c r="AR66" i="7"/>
  <c r="AS66" i="7" s="1"/>
  <c r="AT66" i="7" s="1"/>
  <c r="R18" i="9"/>
  <c r="AR64" i="7"/>
  <c r="AS64" i="7" s="1"/>
  <c r="AT64" i="7" s="1"/>
  <c r="R16" i="9"/>
  <c r="AM16" i="9"/>
  <c r="AM24" i="9"/>
  <c r="R24" i="9"/>
  <c r="AR72" i="7"/>
  <c r="AS72" i="7" s="1"/>
  <c r="AT72" i="7" s="1"/>
  <c r="AM12" i="9"/>
  <c r="AR60" i="7"/>
  <c r="AS60" i="7" s="1"/>
  <c r="AT60" i="7" s="1"/>
  <c r="P30" i="9"/>
  <c r="R12" i="9"/>
  <c r="R14" i="9"/>
  <c r="AR62" i="7"/>
  <c r="AS62" i="7" s="1"/>
  <c r="AT62" i="7" s="1"/>
  <c r="AM14" i="9"/>
  <c r="R28" i="11"/>
  <c r="T30" i="7"/>
  <c r="Q13" i="7" s="1"/>
  <c r="U26" i="7"/>
  <c r="Q26" i="7" s="1"/>
  <c r="U23" i="7"/>
  <c r="T40" i="7"/>
  <c r="Q23" i="7" s="1"/>
  <c r="T39" i="7"/>
  <c r="Q22" i="7" s="1"/>
  <c r="U17" i="7"/>
  <c r="I17" i="7" s="1"/>
  <c r="U22" i="7"/>
  <c r="T36" i="7"/>
  <c r="Q19" i="7" s="1"/>
  <c r="T32" i="7"/>
  <c r="Q15" i="7" s="1"/>
  <c r="U16" i="7"/>
  <c r="I16" i="7" s="1"/>
  <c r="U13" i="7"/>
  <c r="I13" i="7" s="1"/>
  <c r="T45" i="7"/>
  <c r="T34" i="7"/>
  <c r="Q17" i="7" s="1"/>
  <c r="T43" i="7"/>
  <c r="N26" i="7" s="1"/>
  <c r="U27" i="7"/>
  <c r="Q27" i="7" s="1"/>
  <c r="T33" i="7"/>
  <c r="Q16" i="7" s="1"/>
  <c r="T38" i="7"/>
  <c r="Q21" i="7" s="1"/>
  <c r="U14" i="7"/>
  <c r="I14" i="7" s="1"/>
  <c r="U15" i="7"/>
  <c r="I15" i="7" s="1"/>
  <c r="U19" i="7"/>
  <c r="T41" i="7"/>
  <c r="N24" i="7" s="1"/>
  <c r="C9" i="7"/>
  <c r="T47" i="7"/>
  <c r="U24" i="7"/>
  <c r="Q24" i="7" s="1"/>
  <c r="U25" i="7"/>
  <c r="Q25" i="7" s="1"/>
  <c r="U21" i="7"/>
  <c r="T37" i="7"/>
  <c r="Q20" i="7" s="1"/>
  <c r="T46" i="7"/>
  <c r="Q12" i="7"/>
  <c r="U20" i="7"/>
  <c r="T35" i="7"/>
  <c r="Q18" i="7" s="1"/>
  <c r="T31" i="7"/>
  <c r="Q14" i="7" s="1"/>
  <c r="U18" i="7"/>
  <c r="I18" i="7" s="1"/>
  <c r="T44" i="7"/>
  <c r="N27" i="7" s="1"/>
  <c r="T42" i="7"/>
  <c r="N25" i="7" s="1"/>
  <c r="U12" i="7"/>
  <c r="I12" i="7" s="1"/>
  <c r="AM24" i="12"/>
  <c r="AR121" i="7"/>
  <c r="R24" i="12"/>
  <c r="AR119" i="7"/>
  <c r="R22" i="12"/>
  <c r="AM22" i="12"/>
  <c r="AM15" i="12"/>
  <c r="AR112" i="7"/>
  <c r="R15" i="12"/>
  <c r="AM19" i="12"/>
  <c r="R19" i="12"/>
  <c r="AR116" i="7"/>
  <c r="R27" i="12"/>
  <c r="AM27" i="12"/>
  <c r="R17" i="12"/>
  <c r="AM17" i="12"/>
  <c r="AR114" i="7"/>
  <c r="R18" i="12"/>
  <c r="AR115" i="7"/>
  <c r="AM18" i="12"/>
  <c r="AM21" i="12"/>
  <c r="AR118" i="7"/>
  <c r="R21" i="12"/>
  <c r="AR111" i="7"/>
  <c r="R14" i="12"/>
  <c r="AM14" i="12"/>
  <c r="AM21" i="9"/>
  <c r="R21" i="9"/>
  <c r="AR69" i="7"/>
  <c r="AS69" i="7" s="1"/>
  <c r="AT69" i="7" s="1"/>
  <c r="AR74" i="7"/>
  <c r="AS74" i="7" s="1"/>
  <c r="AT74" i="7" s="1"/>
  <c r="AM26" i="9"/>
  <c r="R26" i="9"/>
  <c r="AR75" i="7"/>
  <c r="AS75" i="7" s="1"/>
  <c r="AT75" i="7" s="1"/>
  <c r="R27" i="9"/>
  <c r="AM27" i="9"/>
  <c r="R22" i="9"/>
  <c r="AR70" i="7"/>
  <c r="AS70" i="7" s="1"/>
  <c r="AT70" i="7" s="1"/>
  <c r="AM22" i="9"/>
  <c r="AR63" i="7"/>
  <c r="AS63" i="7" s="1"/>
  <c r="AT63" i="7" s="1"/>
  <c r="R15" i="9"/>
  <c r="AM15" i="9"/>
  <c r="AM25" i="9"/>
  <c r="R25" i="9"/>
  <c r="AR73" i="7"/>
  <c r="AS73" i="7" s="1"/>
  <c r="AT73" i="7" s="1"/>
  <c r="AR61" i="7"/>
  <c r="AS61" i="7" s="1"/>
  <c r="AT61" i="7" s="1"/>
  <c r="R13" i="9"/>
  <c r="AM13" i="9"/>
  <c r="AR67" i="7"/>
  <c r="AS67" i="7" s="1"/>
  <c r="AT67" i="7" s="1"/>
  <c r="R19" i="9"/>
  <c r="AM19" i="9"/>
  <c r="AM20" i="9"/>
  <c r="AR68" i="7"/>
  <c r="AS68" i="7" s="1"/>
  <c r="AT68" i="7" s="1"/>
  <c r="R20" i="9"/>
  <c r="AC186" i="16"/>
  <c r="AB185" i="16"/>
  <c r="E81" i="4" l="1"/>
  <c r="C82" i="4"/>
  <c r="C35" i="2"/>
  <c r="A36" i="2"/>
  <c r="L16" i="7"/>
  <c r="BB16" i="7"/>
  <c r="L17" i="7"/>
  <c r="BB17" i="7"/>
  <c r="L14" i="7"/>
  <c r="BB14" i="7"/>
  <c r="S12" i="7"/>
  <c r="H10" i="2"/>
  <c r="S24" i="7"/>
  <c r="Q30" i="7"/>
  <c r="AR24" i="7"/>
  <c r="AS24" i="7" s="1"/>
  <c r="AT24" i="7" s="1"/>
  <c r="AN24" i="7"/>
  <c r="H12" i="2"/>
  <c r="S14" i="7"/>
  <c r="J14" i="7"/>
  <c r="S16" i="7"/>
  <c r="H14" i="2"/>
  <c r="J16" i="7"/>
  <c r="H15" i="2"/>
  <c r="S17" i="7"/>
  <c r="J17" i="7"/>
  <c r="AN26" i="7"/>
  <c r="S26" i="7"/>
  <c r="AR26" i="7"/>
  <c r="AS26" i="7" s="1"/>
  <c r="AT26" i="7" s="1"/>
  <c r="R28" i="9"/>
  <c r="R28" i="12"/>
  <c r="Q20" i="4"/>
  <c r="I26" i="2" s="1"/>
  <c r="BB36" i="7"/>
  <c r="BB94" i="7"/>
  <c r="O14" i="11"/>
  <c r="I72" i="2" s="1"/>
  <c r="O24" i="11"/>
  <c r="BB104" i="7"/>
  <c r="O23" i="10"/>
  <c r="I68" i="2" s="1"/>
  <c r="BB87" i="7"/>
  <c r="AZ111" i="7"/>
  <c r="BA111" i="7" s="1"/>
  <c r="BB111" i="7" s="1"/>
  <c r="O15" i="12" s="1"/>
  <c r="I86" i="2" s="1"/>
  <c r="AZ129" i="7"/>
  <c r="BA129" i="7" s="1"/>
  <c r="AZ133" i="7"/>
  <c r="BA133" i="7" s="1"/>
  <c r="AZ110" i="7"/>
  <c r="BA110" i="7" s="1"/>
  <c r="BB110" i="7" s="1"/>
  <c r="O14" i="12" s="1"/>
  <c r="I85" i="2" s="1"/>
  <c r="AZ125" i="7"/>
  <c r="BA125" i="7" s="1"/>
  <c r="AZ117" i="7"/>
  <c r="BA117" i="7" s="1"/>
  <c r="BB117" i="7" s="1"/>
  <c r="O21" i="12" s="1"/>
  <c r="I92" i="2" s="1"/>
  <c r="AZ121" i="7"/>
  <c r="BA121" i="7" s="1"/>
  <c r="BB121" i="7" s="1"/>
  <c r="O25" i="12" s="1"/>
  <c r="AZ126" i="7"/>
  <c r="BA126" i="7" s="1"/>
  <c r="AZ109" i="7"/>
  <c r="BA109" i="7" s="1"/>
  <c r="BB109" i="7" s="1"/>
  <c r="O13" i="12" s="1"/>
  <c r="I84" i="2" s="1"/>
  <c r="AZ131" i="7"/>
  <c r="BA131" i="7" s="1"/>
  <c r="AZ136" i="7"/>
  <c r="BA136" i="7" s="1"/>
  <c r="AZ122" i="7"/>
  <c r="BA122" i="7" s="1"/>
  <c r="BB122" i="7" s="1"/>
  <c r="O26" i="12" s="1"/>
  <c r="AZ118" i="7"/>
  <c r="BA118" i="7" s="1"/>
  <c r="BB118" i="7" s="1"/>
  <c r="O22" i="12" s="1"/>
  <c r="I93" i="2" s="1"/>
  <c r="AZ138" i="7"/>
  <c r="BA138" i="7" s="1"/>
  <c r="AZ135" i="7"/>
  <c r="BA135" i="7" s="1"/>
  <c r="AZ134" i="7"/>
  <c r="BA134" i="7" s="1"/>
  <c r="AZ124" i="7"/>
  <c r="BA124" i="7" s="1"/>
  <c r="AZ128" i="7"/>
  <c r="BA128" i="7" s="1"/>
  <c r="AZ108" i="7"/>
  <c r="BA108" i="7" s="1"/>
  <c r="BB108" i="7" s="1"/>
  <c r="O12" i="12" s="1"/>
  <c r="I83" i="2" s="1"/>
  <c r="AZ127" i="7"/>
  <c r="BA127" i="7" s="1"/>
  <c r="AZ132" i="7"/>
  <c r="BA132" i="7" s="1"/>
  <c r="AZ115" i="7"/>
  <c r="BA115" i="7" s="1"/>
  <c r="BB115" i="7" s="1"/>
  <c r="O19" i="12" s="1"/>
  <c r="I90" i="2" s="1"/>
  <c r="AZ112" i="7"/>
  <c r="BA112" i="7" s="1"/>
  <c r="BB112" i="7" s="1"/>
  <c r="O16" i="12" s="1"/>
  <c r="I87" i="2" s="1"/>
  <c r="AZ120" i="7"/>
  <c r="BA120" i="7" s="1"/>
  <c r="BB120" i="7" s="1"/>
  <c r="O24" i="12" s="1"/>
  <c r="AZ119" i="7"/>
  <c r="BA119" i="7" s="1"/>
  <c r="BB119" i="7" s="1"/>
  <c r="O23" i="12" s="1"/>
  <c r="I94" i="2" s="1"/>
  <c r="AZ114" i="7"/>
  <c r="BA114" i="7" s="1"/>
  <c r="BB114" i="7" s="1"/>
  <c r="O18" i="12" s="1"/>
  <c r="I89" i="2" s="1"/>
  <c r="AZ137" i="7"/>
  <c r="BA137" i="7" s="1"/>
  <c r="AZ123" i="7"/>
  <c r="BA123" i="7" s="1"/>
  <c r="BB123" i="7" s="1"/>
  <c r="O27" i="12" s="1"/>
  <c r="AZ113" i="7"/>
  <c r="BA113" i="7" s="1"/>
  <c r="BB113" i="7" s="1"/>
  <c r="O17" i="12" s="1"/>
  <c r="I88" i="2" s="1"/>
  <c r="AZ130" i="7"/>
  <c r="BA130" i="7" s="1"/>
  <c r="AZ116" i="7"/>
  <c r="BA116" i="7" s="1"/>
  <c r="BB116" i="7" s="1"/>
  <c r="O20" i="12" s="1"/>
  <c r="I91" i="2" s="1"/>
  <c r="AZ139" i="7"/>
  <c r="BA139" i="7" s="1"/>
  <c r="BA107" i="7"/>
  <c r="BB70" i="7"/>
  <c r="O22" i="9"/>
  <c r="I54" i="2" s="1"/>
  <c r="Q21" i="4"/>
  <c r="I27" i="2" s="1"/>
  <c r="BB37" i="7"/>
  <c r="L27" i="7"/>
  <c r="P27" i="7"/>
  <c r="BB27" i="7"/>
  <c r="BB68" i="7"/>
  <c r="O20" i="9"/>
  <c r="I52" i="2" s="1"/>
  <c r="BB20" i="7"/>
  <c r="L20" i="7"/>
  <c r="O19" i="10"/>
  <c r="I64" i="2" s="1"/>
  <c r="BB83" i="7"/>
  <c r="BB40" i="7"/>
  <c r="Q24" i="4"/>
  <c r="BB63" i="7"/>
  <c r="O15" i="9"/>
  <c r="I47" i="2" s="1"/>
  <c r="BB26" i="7"/>
  <c r="P26" i="7"/>
  <c r="L26" i="7"/>
  <c r="BB81" i="7"/>
  <c r="O17" i="10"/>
  <c r="I62" i="2" s="1"/>
  <c r="O19" i="11"/>
  <c r="I77" i="2" s="1"/>
  <c r="BB99" i="7"/>
  <c r="BB76" i="7"/>
  <c r="O12" i="10"/>
  <c r="I57" i="2" s="1"/>
  <c r="BB84" i="7"/>
  <c r="O20" i="10"/>
  <c r="I65" i="2" s="1"/>
  <c r="BB33" i="7"/>
  <c r="Q17" i="4"/>
  <c r="I23" i="2" s="1"/>
  <c r="BB66" i="7"/>
  <c r="O18" i="9"/>
  <c r="I50" i="2" s="1"/>
  <c r="AO17" i="7"/>
  <c r="AN17" i="7" s="1"/>
  <c r="I15" i="2"/>
  <c r="AR17" i="7"/>
  <c r="AS17" i="7" s="1"/>
  <c r="AT17" i="7" s="1"/>
  <c r="L21" i="7"/>
  <c r="BB21" i="7"/>
  <c r="O12" i="9"/>
  <c r="I44" i="2" s="1"/>
  <c r="BB60" i="7"/>
  <c r="AZ45" i="7"/>
  <c r="BA45" i="7" s="1"/>
  <c r="BB45" i="7" s="1"/>
  <c r="O13" i="8" s="1"/>
  <c r="I32" i="2" s="1"/>
  <c r="AZ50" i="7"/>
  <c r="BA50" i="7" s="1"/>
  <c r="BB50" i="7" s="1"/>
  <c r="O18" i="8" s="1"/>
  <c r="I37" i="2" s="1"/>
  <c r="AZ52" i="7"/>
  <c r="BA52" i="7" s="1"/>
  <c r="BB52" i="7" s="1"/>
  <c r="O20" i="8" s="1"/>
  <c r="I39" i="2" s="1"/>
  <c r="AZ48" i="7"/>
  <c r="BA48" i="7" s="1"/>
  <c r="BB48" i="7" s="1"/>
  <c r="O16" i="8" s="1"/>
  <c r="I35" i="2" s="1"/>
  <c r="BA44" i="7"/>
  <c r="BB44" i="7" s="1"/>
  <c r="O12" i="8" s="1"/>
  <c r="I31" i="2" s="1"/>
  <c r="AZ54" i="7"/>
  <c r="BA54" i="7" s="1"/>
  <c r="BB54" i="7" s="1"/>
  <c r="O22" i="8" s="1"/>
  <c r="I41" i="2" s="1"/>
  <c r="AZ51" i="7"/>
  <c r="BA51" i="7" s="1"/>
  <c r="BB51" i="7" s="1"/>
  <c r="O19" i="8" s="1"/>
  <c r="I38" i="2" s="1"/>
  <c r="AZ53" i="7"/>
  <c r="BA53" i="7" s="1"/>
  <c r="BB53" i="7" s="1"/>
  <c r="O21" i="8" s="1"/>
  <c r="I40" i="2" s="1"/>
  <c r="AZ55" i="7"/>
  <c r="BA55" i="7" s="1"/>
  <c r="BB55" i="7" s="1"/>
  <c r="O23" i="8" s="1"/>
  <c r="I42" i="2" s="1"/>
  <c r="AZ47" i="7"/>
  <c r="BA47" i="7" s="1"/>
  <c r="BB47" i="7" s="1"/>
  <c r="O15" i="8" s="1"/>
  <c r="I34" i="2" s="1"/>
  <c r="AZ46" i="7"/>
  <c r="BA46" i="7" s="1"/>
  <c r="BB46" i="7" s="1"/>
  <c r="O14" i="8" s="1"/>
  <c r="I33" i="2" s="1"/>
  <c r="AZ49" i="7"/>
  <c r="BA49" i="7" s="1"/>
  <c r="BB49" i="7" s="1"/>
  <c r="O17" i="8" s="1"/>
  <c r="I36" i="2" s="1"/>
  <c r="O27" i="10"/>
  <c r="BB91" i="7"/>
  <c r="O25" i="9"/>
  <c r="BB73" i="7"/>
  <c r="BB92" i="7"/>
  <c r="O12" i="11"/>
  <c r="I70" i="2" s="1"/>
  <c r="BB22" i="7"/>
  <c r="L22" i="7"/>
  <c r="Q26" i="4"/>
  <c r="BB42" i="7"/>
  <c r="Q13" i="4"/>
  <c r="I19" i="2" s="1"/>
  <c r="BB29" i="7"/>
  <c r="L15" i="7"/>
  <c r="BB15" i="7"/>
  <c r="L23" i="7"/>
  <c r="BB23" i="7"/>
  <c r="O22" i="10"/>
  <c r="I67" i="2" s="1"/>
  <c r="BB86" i="7"/>
  <c r="AR14" i="7"/>
  <c r="AS14" i="7" s="1"/>
  <c r="AT14" i="7" s="1"/>
  <c r="AO14" i="7"/>
  <c r="AN14" i="7" s="1"/>
  <c r="I12" i="2"/>
  <c r="O14" i="10"/>
  <c r="I59" i="2" s="1"/>
  <c r="BB78" i="7"/>
  <c r="O21" i="9"/>
  <c r="I53" i="2" s="1"/>
  <c r="BB69" i="7"/>
  <c r="BB62" i="7"/>
  <c r="O14" i="9"/>
  <c r="I46" i="2" s="1"/>
  <c r="O26" i="11"/>
  <c r="BB106" i="7"/>
  <c r="BB25" i="7"/>
  <c r="P25" i="7"/>
  <c r="L25" i="7"/>
  <c r="H16" i="2"/>
  <c r="S18" i="7"/>
  <c r="AN25" i="7"/>
  <c r="AR25" i="7"/>
  <c r="AS25" i="7" s="1"/>
  <c r="AT25" i="7" s="1"/>
  <c r="S25" i="7"/>
  <c r="N29" i="7"/>
  <c r="S15" i="7"/>
  <c r="H13" i="2"/>
  <c r="AR27" i="7"/>
  <c r="AS27" i="7" s="1"/>
  <c r="AT27" i="7" s="1"/>
  <c r="S27" i="7"/>
  <c r="AN27" i="7"/>
  <c r="S13" i="7"/>
  <c r="H11" i="2"/>
  <c r="P28" i="9"/>
  <c r="P28" i="12"/>
  <c r="BB43" i="7"/>
  <c r="Q27" i="4"/>
  <c r="BB85" i="7"/>
  <c r="O21" i="10"/>
  <c r="I66" i="2" s="1"/>
  <c r="BB31" i="7"/>
  <c r="Q15" i="4"/>
  <c r="I21" i="2" s="1"/>
  <c r="BB105" i="7"/>
  <c r="O25" i="11"/>
  <c r="BB39" i="7"/>
  <c r="Q23" i="4"/>
  <c r="I29" i="2" s="1"/>
  <c r="Q22" i="4"/>
  <c r="I28" i="2" s="1"/>
  <c r="BB38" i="7"/>
  <c r="AR16" i="7"/>
  <c r="AS16" i="7" s="1"/>
  <c r="AT16" i="7" s="1"/>
  <c r="I14" i="2"/>
  <c r="AO16" i="7"/>
  <c r="AN16" i="7" s="1"/>
  <c r="BB101" i="7"/>
  <c r="O21" i="11"/>
  <c r="I79" i="2" s="1"/>
  <c r="O26" i="9"/>
  <c r="BB74" i="7"/>
  <c r="BB28" i="7"/>
  <c r="Q12" i="4"/>
  <c r="I18" i="2" s="1"/>
  <c r="AN106" i="7"/>
  <c r="O13" i="9"/>
  <c r="I45" i="2" s="1"/>
  <c r="BB61" i="7"/>
  <c r="BB64" i="7"/>
  <c r="O16" i="9"/>
  <c r="I48" i="2" s="1"/>
  <c r="BB35" i="7"/>
  <c r="Q19" i="4"/>
  <c r="I25" i="2" s="1"/>
  <c r="Q18" i="4"/>
  <c r="I24" i="2" s="1"/>
  <c r="BB34" i="7"/>
  <c r="BB88" i="7"/>
  <c r="O24" i="10"/>
  <c r="O18" i="11"/>
  <c r="I76" i="2" s="1"/>
  <c r="BB98" i="7"/>
  <c r="BB100" i="7"/>
  <c r="O20" i="11"/>
  <c r="I78" i="2" s="1"/>
  <c r="BB89" i="7"/>
  <c r="O25" i="10"/>
  <c r="BB93" i="7"/>
  <c r="O13" i="11"/>
  <c r="I71" i="2" s="1"/>
  <c r="BB13" i="7"/>
  <c r="L13" i="7"/>
  <c r="Q25" i="4"/>
  <c r="BB41" i="7"/>
  <c r="BB32" i="7"/>
  <c r="Q16" i="4"/>
  <c r="I22" i="2" s="1"/>
  <c r="BB19" i="7"/>
  <c r="L19" i="7"/>
  <c r="O26" i="10"/>
  <c r="BB90" i="7"/>
  <c r="BB77" i="7"/>
  <c r="O13" i="10"/>
  <c r="I58" i="2" s="1"/>
  <c r="BB71" i="7"/>
  <c r="O23" i="9"/>
  <c r="I55" i="2" s="1"/>
  <c r="BB72" i="7"/>
  <c r="O24" i="9"/>
  <c r="Q14" i="4"/>
  <c r="I20" i="2" s="1"/>
  <c r="BB30" i="7"/>
  <c r="BB18" i="7"/>
  <c r="L18" i="7"/>
  <c r="BB80" i="7"/>
  <c r="O16" i="10"/>
  <c r="I61" i="2" s="1"/>
  <c r="L24" i="7"/>
  <c r="P24" i="7"/>
  <c r="BB24" i="7"/>
  <c r="O17" i="11"/>
  <c r="I75" i="2" s="1"/>
  <c r="BB97" i="7"/>
  <c r="L12" i="7"/>
  <c r="BB12" i="7"/>
  <c r="BA11" i="7"/>
  <c r="O27" i="9"/>
  <c r="BB75" i="7"/>
  <c r="O15" i="10"/>
  <c r="I60" i="2" s="1"/>
  <c r="BB79" i="7"/>
  <c r="BB102" i="7"/>
  <c r="O22" i="11"/>
  <c r="I80" i="2" s="1"/>
  <c r="O17" i="9"/>
  <c r="I49" i="2" s="1"/>
  <c r="BB65" i="7"/>
  <c r="BB67" i="7"/>
  <c r="O19" i="9"/>
  <c r="I51" i="2" s="1"/>
  <c r="BB103" i="7"/>
  <c r="O23" i="11"/>
  <c r="I81" i="2" s="1"/>
  <c r="O18" i="10"/>
  <c r="I63" i="2" s="1"/>
  <c r="BB82" i="7"/>
  <c r="BB95" i="7"/>
  <c r="O15" i="11"/>
  <c r="I73" i="2" s="1"/>
  <c r="O16" i="11"/>
  <c r="I74" i="2" s="1"/>
  <c r="BB96" i="7"/>
  <c r="AC187" i="16"/>
  <c r="AB186" i="16"/>
  <c r="A37" i="2" l="1"/>
  <c r="C36" i="2"/>
  <c r="C83" i="4"/>
  <c r="E82" i="4"/>
  <c r="I19" i="7"/>
  <c r="S19" i="7" s="1"/>
  <c r="J19" i="7"/>
  <c r="AO19" i="7"/>
  <c r="AN19" i="7" s="1"/>
  <c r="AR19" i="7"/>
  <c r="AS19" i="7" s="1"/>
  <c r="AT19" i="7" s="1"/>
  <c r="AO24" i="7"/>
  <c r="I109" i="2"/>
  <c r="I110" i="2"/>
  <c r="AO25" i="7"/>
  <c r="AO22" i="7"/>
  <c r="AN22" i="7" s="1"/>
  <c r="J22" i="7"/>
  <c r="I22" i="7"/>
  <c r="S22" i="7" s="1"/>
  <c r="AR22" i="7"/>
  <c r="AS22" i="7" s="1"/>
  <c r="AT22" i="7" s="1"/>
  <c r="AO20" i="7"/>
  <c r="AN20" i="7" s="1"/>
  <c r="J20" i="7"/>
  <c r="AR20" i="7"/>
  <c r="AS20" i="7" s="1"/>
  <c r="AT20" i="7" s="1"/>
  <c r="I20" i="7"/>
  <c r="S20" i="7" s="1"/>
  <c r="I112" i="2"/>
  <c r="AO27" i="7"/>
  <c r="BB139" i="7"/>
  <c r="O27" i="13"/>
  <c r="O18" i="13"/>
  <c r="I102" i="2" s="1"/>
  <c r="BB130" i="7"/>
  <c r="O15" i="13"/>
  <c r="I99" i="2" s="1"/>
  <c r="BB127" i="7"/>
  <c r="BB128" i="7"/>
  <c r="O16" i="13"/>
  <c r="I100" i="2" s="1"/>
  <c r="BB134" i="7"/>
  <c r="O22" i="13"/>
  <c r="I106" i="2" s="1"/>
  <c r="O26" i="13"/>
  <c r="BB138" i="7"/>
  <c r="O19" i="13"/>
  <c r="I103" i="2" s="1"/>
  <c r="BB131" i="7"/>
  <c r="BB126" i="7"/>
  <c r="O14" i="13"/>
  <c r="I98" i="2" s="1"/>
  <c r="BB129" i="7"/>
  <c r="O17" i="13"/>
  <c r="I101" i="2" s="1"/>
  <c r="AO12" i="7"/>
  <c r="AN12" i="7" s="1"/>
  <c r="J12" i="7"/>
  <c r="AR12" i="7"/>
  <c r="AS12" i="7" s="1"/>
  <c r="I10" i="2"/>
  <c r="P28" i="7"/>
  <c r="P49" i="7"/>
  <c r="AR18" i="7"/>
  <c r="AS18" i="7" s="1"/>
  <c r="AT18" i="7" s="1"/>
  <c r="I16" i="2"/>
  <c r="AO18" i="7"/>
  <c r="AN18" i="7" s="1"/>
  <c r="J18" i="7"/>
  <c r="AR13" i="7"/>
  <c r="AS13" i="7" s="1"/>
  <c r="AT13" i="7" s="1"/>
  <c r="AO13" i="7"/>
  <c r="AN13" i="7" s="1"/>
  <c r="J13" i="7"/>
  <c r="I11" i="2"/>
  <c r="AO23" i="7"/>
  <c r="AN23" i="7" s="1"/>
  <c r="J23" i="7"/>
  <c r="I23" i="7"/>
  <c r="S23" i="7" s="1"/>
  <c r="AR23" i="7"/>
  <c r="AS23" i="7" s="1"/>
  <c r="AT23" i="7" s="1"/>
  <c r="AO15" i="7"/>
  <c r="AN15" i="7" s="1"/>
  <c r="J15" i="7"/>
  <c r="I13" i="2"/>
  <c r="AR15" i="7"/>
  <c r="AS15" i="7" s="1"/>
  <c r="AT15" i="7" s="1"/>
  <c r="J21" i="7"/>
  <c r="AR21" i="7"/>
  <c r="AS21" i="7" s="1"/>
  <c r="AT21" i="7" s="1"/>
  <c r="I21" i="7"/>
  <c r="S21" i="7" s="1"/>
  <c r="S28" i="7" s="1"/>
  <c r="AO21" i="7"/>
  <c r="AN21" i="7" s="1"/>
  <c r="I111" i="2"/>
  <c r="AO26" i="7"/>
  <c r="BB107" i="7"/>
  <c r="O27" i="11"/>
  <c r="BB137" i="7"/>
  <c r="O25" i="13"/>
  <c r="O20" i="13"/>
  <c r="I104" i="2" s="1"/>
  <c r="BB132" i="7"/>
  <c r="BB124" i="7"/>
  <c r="O12" i="13"/>
  <c r="I96" i="2" s="1"/>
  <c r="BB135" i="7"/>
  <c r="O23" i="13"/>
  <c r="I107" i="2" s="1"/>
  <c r="O24" i="13"/>
  <c r="BB136" i="7"/>
  <c r="O13" i="13"/>
  <c r="I97" i="2" s="1"/>
  <c r="BB125" i="7"/>
  <c r="O21" i="13"/>
  <c r="I105" i="2" s="1"/>
  <c r="BB133" i="7"/>
  <c r="AC188" i="16"/>
  <c r="AB187" i="16"/>
  <c r="E83" i="4" l="1"/>
  <c r="C84" i="4"/>
  <c r="C37" i="2"/>
  <c r="A38" i="2"/>
  <c r="AM106" i="7"/>
  <c r="C7" i="7" s="1"/>
  <c r="I114" i="2"/>
  <c r="J20" i="16" s="1"/>
  <c r="BD79" i="4" s="1"/>
  <c r="AT12" i="7"/>
  <c r="AL106" i="7"/>
  <c r="Q28" i="7"/>
  <c r="C4" i="7" s="1"/>
  <c r="J21" i="16"/>
  <c r="BD80" i="4" s="1"/>
  <c r="AC189" i="16"/>
  <c r="AB188" i="16"/>
  <c r="C38" i="2" l="1"/>
  <c r="A39" i="2"/>
  <c r="E84" i="4"/>
  <c r="C85" i="4"/>
  <c r="AU24" i="7"/>
  <c r="AV24" i="7" s="1"/>
  <c r="AU28" i="7"/>
  <c r="AV28" i="7" s="1"/>
  <c r="AU74" i="7"/>
  <c r="AV74" i="7" s="1"/>
  <c r="AU44" i="7"/>
  <c r="AU61" i="7"/>
  <c r="AV61" i="7" s="1"/>
  <c r="AU20" i="7"/>
  <c r="AV20" i="7" s="1"/>
  <c r="AU99" i="7"/>
  <c r="AV99" i="7" s="1"/>
  <c r="AU18" i="7"/>
  <c r="AV18" i="7" s="1"/>
  <c r="AU81" i="7"/>
  <c r="AV81" i="7" s="1"/>
  <c r="AU26" i="7"/>
  <c r="AV26" i="7" s="1"/>
  <c r="AU14" i="7"/>
  <c r="AV14" i="7" s="1"/>
  <c r="AU31" i="7"/>
  <c r="AV31" i="7" s="1"/>
  <c r="AU69" i="7"/>
  <c r="AV69" i="7" s="1"/>
  <c r="AU15" i="7"/>
  <c r="AV15" i="7" s="1"/>
  <c r="AU96" i="7"/>
  <c r="AV96" i="7" s="1"/>
  <c r="AU82" i="7"/>
  <c r="AV82" i="7" s="1"/>
  <c r="AU79" i="7"/>
  <c r="AV79" i="7" s="1"/>
  <c r="AU89" i="7"/>
  <c r="AV89" i="7" s="1"/>
  <c r="AU41" i="7"/>
  <c r="AV41" i="7" s="1"/>
  <c r="AU56" i="7"/>
  <c r="AV56" i="7" s="1"/>
  <c r="AU39" i="7"/>
  <c r="AV39" i="7" s="1"/>
  <c r="AU67" i="7"/>
  <c r="AV67" i="7" s="1"/>
  <c r="AU86" i="7"/>
  <c r="AV86" i="7" s="1"/>
  <c r="AU68" i="7"/>
  <c r="AV68" i="7" s="1"/>
  <c r="AU75" i="7"/>
  <c r="AV75" i="7" s="1"/>
  <c r="AU16" i="7"/>
  <c r="AV16" i="7" s="1"/>
  <c r="AU57" i="7"/>
  <c r="AV57" i="7" s="1"/>
  <c r="AU29" i="7"/>
  <c r="AV29" i="7" s="1"/>
  <c r="AU98" i="7"/>
  <c r="AV98" i="7" s="1"/>
  <c r="AU83" i="7"/>
  <c r="AV83" i="7" s="1"/>
  <c r="AU101" i="7"/>
  <c r="AV101" i="7" s="1"/>
  <c r="AU66" i="7"/>
  <c r="AV66" i="7" s="1"/>
  <c r="AU85" i="7"/>
  <c r="AV85" i="7" s="1"/>
  <c r="AU36" i="7"/>
  <c r="AV36" i="7" s="1"/>
  <c r="AU33" i="7"/>
  <c r="AV33" i="7" s="1"/>
  <c r="AU72" i="7"/>
  <c r="AV72" i="7" s="1"/>
  <c r="AU23" i="7"/>
  <c r="AV23" i="7" s="1"/>
  <c r="AU106" i="7"/>
  <c r="AV106" i="7" s="1"/>
  <c r="AU80" i="7"/>
  <c r="AV80" i="7" s="1"/>
  <c r="AU71" i="7"/>
  <c r="AV71" i="7" s="1"/>
  <c r="AU63" i="7"/>
  <c r="AV63" i="7" s="1"/>
  <c r="AU62" i="7"/>
  <c r="AV62" i="7" s="1"/>
  <c r="AU13" i="7"/>
  <c r="AV13" i="7" s="1"/>
  <c r="AU107" i="7"/>
  <c r="AU103" i="7"/>
  <c r="AV103" i="7" s="1"/>
  <c r="AU95" i="7"/>
  <c r="AV95" i="7" s="1"/>
  <c r="AU40" i="7"/>
  <c r="AV40" i="7" s="1"/>
  <c r="AU59" i="7"/>
  <c r="AV59" i="7" s="1"/>
  <c r="AU97" i="7"/>
  <c r="AV97" i="7" s="1"/>
  <c r="AU35" i="7"/>
  <c r="AV35" i="7" s="1"/>
  <c r="AU94" i="7"/>
  <c r="AV94" i="7" s="1"/>
  <c r="AU17" i="7"/>
  <c r="AV17" i="7" s="1"/>
  <c r="AU58" i="7"/>
  <c r="AV58" i="7" s="1"/>
  <c r="AU77" i="7"/>
  <c r="AV77" i="7" s="1"/>
  <c r="AU90" i="7"/>
  <c r="AV90" i="7" s="1"/>
  <c r="AU34" i="7"/>
  <c r="AV34" i="7" s="1"/>
  <c r="AU64" i="7"/>
  <c r="AV64" i="7" s="1"/>
  <c r="AU91" i="7"/>
  <c r="AV91" i="7" s="1"/>
  <c r="AU102" i="7"/>
  <c r="AV102" i="7" s="1"/>
  <c r="AU87" i="7"/>
  <c r="AV87" i="7" s="1"/>
  <c r="AU93" i="7"/>
  <c r="AV93" i="7" s="1"/>
  <c r="AU19" i="7"/>
  <c r="AV19" i="7" s="1"/>
  <c r="AU73" i="7"/>
  <c r="AV73" i="7" s="1"/>
  <c r="AU88" i="7"/>
  <c r="AV88" i="7" s="1"/>
  <c r="AU32" i="7"/>
  <c r="AV32" i="7" s="1"/>
  <c r="AU38" i="7"/>
  <c r="AV38" i="7" s="1"/>
  <c r="AU37" i="7"/>
  <c r="AV37" i="7" s="1"/>
  <c r="AU78" i="7"/>
  <c r="AV78" i="7" s="1"/>
  <c r="AU27" i="7"/>
  <c r="AV27" i="7" s="1"/>
  <c r="AU30" i="7"/>
  <c r="AV30" i="7" s="1"/>
  <c r="AU84" i="7"/>
  <c r="AV84" i="7" s="1"/>
  <c r="AU104" i="7"/>
  <c r="AV104" i="7" s="1"/>
  <c r="AU92" i="7"/>
  <c r="AV92" i="7" s="1"/>
  <c r="AU43" i="7"/>
  <c r="AV43" i="7" s="1"/>
  <c r="AU42" i="7"/>
  <c r="AV42" i="7" s="1"/>
  <c r="AU12" i="7"/>
  <c r="AV12" i="7" s="1"/>
  <c r="AU60" i="7"/>
  <c r="AV60" i="7" s="1"/>
  <c r="AU76" i="7"/>
  <c r="AV76" i="7" s="1"/>
  <c r="AU70" i="7"/>
  <c r="AV70" i="7" s="1"/>
  <c r="AU21" i="7"/>
  <c r="AV21" i="7" s="1"/>
  <c r="AU25" i="7"/>
  <c r="AV25" i="7" s="1"/>
  <c r="AU100" i="7"/>
  <c r="AV100" i="7" s="1"/>
  <c r="AU22" i="7"/>
  <c r="AV22" i="7" s="1"/>
  <c r="AU65" i="7"/>
  <c r="AV65" i="7" s="1"/>
  <c r="AP106" i="7"/>
  <c r="AU105" i="7"/>
  <c r="AV105" i="7" s="1"/>
  <c r="J13" i="16"/>
  <c r="J19" i="16"/>
  <c r="BD78" i="4" s="1"/>
  <c r="J18" i="16"/>
  <c r="BD77" i="4" s="1"/>
  <c r="J10" i="16"/>
  <c r="J16" i="16"/>
  <c r="B18" i="2"/>
  <c r="J14" i="16"/>
  <c r="J12" i="16"/>
  <c r="J15" i="16"/>
  <c r="I17" i="2"/>
  <c r="J11" i="16"/>
  <c r="D7" i="12"/>
  <c r="D7" i="11"/>
  <c r="D7" i="13"/>
  <c r="D7" i="4"/>
  <c r="D7" i="9"/>
  <c r="D7" i="8"/>
  <c r="D7" i="10"/>
  <c r="AC190" i="16"/>
  <c r="AB189" i="16"/>
  <c r="E85" i="4" l="1"/>
  <c r="C86" i="4"/>
  <c r="C39" i="2"/>
  <c r="A40" i="2"/>
  <c r="B85" i="2"/>
  <c r="B89" i="2"/>
  <c r="B48" i="2"/>
  <c r="B107" i="2"/>
  <c r="B101" i="2"/>
  <c r="B24" i="2"/>
  <c r="B27" i="2"/>
  <c r="B37" i="2"/>
  <c r="B77" i="2"/>
  <c r="B74" i="2"/>
  <c r="B75" i="2"/>
  <c r="B113" i="2"/>
  <c r="B54" i="2"/>
  <c r="B51" i="2"/>
  <c r="B83" i="2"/>
  <c r="B32" i="2"/>
  <c r="B43" i="2"/>
  <c r="B56" i="2"/>
  <c r="B98" i="2"/>
  <c r="B61" i="2"/>
  <c r="B19" i="2"/>
  <c r="B84" i="2"/>
  <c r="B73" i="2"/>
  <c r="B58" i="2"/>
  <c r="B45" i="2"/>
  <c r="B110" i="2"/>
  <c r="B41" i="2"/>
  <c r="B105" i="2"/>
  <c r="B38" i="2"/>
  <c r="B108" i="2"/>
  <c r="B63" i="2"/>
  <c r="B72" i="2"/>
  <c r="B22" i="2"/>
  <c r="B87" i="2"/>
  <c r="B59" i="2"/>
  <c r="B29" i="2"/>
  <c r="B23" i="2"/>
  <c r="B90" i="2"/>
  <c r="B31" i="2"/>
  <c r="B100" i="2"/>
  <c r="B65" i="2"/>
  <c r="B79" i="2"/>
  <c r="B26" i="2"/>
  <c r="B42" i="2"/>
  <c r="B40" i="2"/>
  <c r="B34" i="2"/>
  <c r="B52" i="2"/>
  <c r="B99" i="2"/>
  <c r="B70" i="2"/>
  <c r="B102" i="2"/>
  <c r="B39" i="2"/>
  <c r="B91" i="2"/>
  <c r="B81" i="2"/>
  <c r="B111" i="2"/>
  <c r="B114" i="2"/>
  <c r="B55" i="2"/>
  <c r="B64" i="2"/>
  <c r="B66" i="2"/>
  <c r="B92" i="2"/>
  <c r="B106" i="2"/>
  <c r="B53" i="2"/>
  <c r="B68" i="2"/>
  <c r="B80" i="2"/>
  <c r="B76" i="2"/>
  <c r="B47" i="2"/>
  <c r="B21" i="2"/>
  <c r="B60" i="2"/>
  <c r="B50" i="2"/>
  <c r="B95" i="2"/>
  <c r="B69" i="2"/>
  <c r="B28" i="2"/>
  <c r="B97" i="2"/>
  <c r="B25" i="2"/>
  <c r="B82" i="2"/>
  <c r="B104" i="2"/>
  <c r="B96" i="2"/>
  <c r="B57" i="2"/>
  <c r="B67" i="2"/>
  <c r="B44" i="2"/>
  <c r="B62" i="2"/>
  <c r="B33" i="2"/>
  <c r="B109" i="2"/>
  <c r="B71" i="2"/>
  <c r="B112" i="2"/>
  <c r="B49" i="2"/>
  <c r="B46" i="2"/>
  <c r="B20" i="2"/>
  <c r="B30" i="2"/>
  <c r="B78" i="2"/>
  <c r="B94" i="2"/>
  <c r="B93" i="2"/>
  <c r="B103" i="2"/>
  <c r="B36" i="2"/>
  <c r="B35" i="2"/>
  <c r="B88" i="2"/>
  <c r="B86" i="2"/>
  <c r="AU119" i="7"/>
  <c r="AU135" i="7"/>
  <c r="AU113" i="7"/>
  <c r="AU126" i="7"/>
  <c r="AU136" i="7"/>
  <c r="AU123" i="7"/>
  <c r="AU108" i="7"/>
  <c r="AU111" i="7"/>
  <c r="AU109" i="7"/>
  <c r="AU131" i="7"/>
  <c r="AU134" i="7"/>
  <c r="AU133" i="7"/>
  <c r="AU132" i="7"/>
  <c r="AU117" i="7"/>
  <c r="AU125" i="7"/>
  <c r="AU129" i="7"/>
  <c r="AU121" i="7"/>
  <c r="AU112" i="7"/>
  <c r="AU116" i="7"/>
  <c r="AU139" i="7"/>
  <c r="AU124" i="7"/>
  <c r="AU120" i="7"/>
  <c r="AU127" i="7"/>
  <c r="AU138" i="7"/>
  <c r="AU137" i="7"/>
  <c r="AU114" i="7"/>
  <c r="AU130" i="7"/>
  <c r="AU110" i="7"/>
  <c r="AU115" i="7"/>
  <c r="AU128" i="7"/>
  <c r="AU118" i="7"/>
  <c r="AU122" i="7"/>
  <c r="AV107" i="7"/>
  <c r="AU52" i="7"/>
  <c r="AV52" i="7" s="1"/>
  <c r="AU51" i="7"/>
  <c r="AV51" i="7" s="1"/>
  <c r="AU50" i="7"/>
  <c r="AV50" i="7" s="1"/>
  <c r="AU53" i="7"/>
  <c r="AV53" i="7" s="1"/>
  <c r="AU47" i="7"/>
  <c r="AV47" i="7" s="1"/>
  <c r="AU49" i="7"/>
  <c r="AV49" i="7" s="1"/>
  <c r="AU48" i="7"/>
  <c r="AV48" i="7" s="1"/>
  <c r="AV44" i="7"/>
  <c r="AU45" i="7"/>
  <c r="AV45" i="7" s="1"/>
  <c r="AU46" i="7"/>
  <c r="AV46" i="7" s="1"/>
  <c r="AU55" i="7"/>
  <c r="AV55" i="7" s="1"/>
  <c r="AU54" i="7"/>
  <c r="AV54" i="7" s="1"/>
  <c r="AC191" i="16"/>
  <c r="AB190" i="16"/>
  <c r="C40" i="2" l="1"/>
  <c r="A41" i="2"/>
  <c r="E86" i="4"/>
  <c r="C87" i="4"/>
  <c r="AO106" i="7"/>
  <c r="AC192" i="16"/>
  <c r="AB191" i="16"/>
  <c r="E87" i="4" l="1"/>
  <c r="C88" i="4"/>
  <c r="C41" i="2"/>
  <c r="A42" i="2"/>
  <c r="AC193" i="16"/>
  <c r="AB192" i="16"/>
  <c r="A43" i="2" l="1"/>
  <c r="C42" i="2"/>
  <c r="C89" i="4"/>
  <c r="E88" i="4"/>
  <c r="AC194" i="16"/>
  <c r="AB193" i="16"/>
  <c r="C90" i="4" l="1"/>
  <c r="E89" i="4"/>
  <c r="C43" i="2"/>
  <c r="A44" i="2"/>
  <c r="AC195" i="16"/>
  <c r="AB194" i="16"/>
  <c r="A45" i="2" l="1"/>
  <c r="C44" i="2"/>
  <c r="E90" i="4"/>
  <c r="C91" i="4"/>
  <c r="AC196" i="16"/>
  <c r="AB195" i="16"/>
  <c r="C92" i="4" l="1"/>
  <c r="E91" i="4"/>
  <c r="A46" i="2"/>
  <c r="C45" i="2"/>
  <c r="AC197" i="16"/>
  <c r="AB196" i="16"/>
  <c r="C46" i="2" l="1"/>
  <c r="A47" i="2"/>
  <c r="E92" i="4"/>
  <c r="C93" i="4"/>
  <c r="AC198" i="16"/>
  <c r="AB197" i="16"/>
  <c r="E93" i="4" l="1"/>
  <c r="C94" i="4"/>
  <c r="A48" i="2"/>
  <c r="C47" i="2"/>
  <c r="AC199" i="16"/>
  <c r="AB198" i="16"/>
  <c r="E94" i="4" l="1"/>
  <c r="C95" i="4"/>
  <c r="A49" i="2"/>
  <c r="C48" i="2"/>
  <c r="AC200" i="16"/>
  <c r="AB199" i="16"/>
  <c r="E95" i="4" l="1"/>
  <c r="C96" i="4"/>
  <c r="C49" i="2"/>
  <c r="A50" i="2"/>
  <c r="AC201" i="16"/>
  <c r="AB200" i="16"/>
  <c r="C50" i="2" l="1"/>
  <c r="A51" i="2"/>
  <c r="C97" i="4"/>
  <c r="E96" i="4"/>
  <c r="AC202" i="16"/>
  <c r="AB201" i="16"/>
  <c r="C51" i="2" l="1"/>
  <c r="A52" i="2"/>
  <c r="E97" i="4"/>
  <c r="C98" i="4"/>
  <c r="AC203" i="16"/>
  <c r="AB202" i="16"/>
  <c r="E98" i="4" l="1"/>
  <c r="C99" i="4"/>
  <c r="A53" i="2"/>
  <c r="C52" i="2"/>
  <c r="AC204" i="16"/>
  <c r="AB203" i="16"/>
  <c r="E99" i="4" l="1"/>
  <c r="C100" i="4"/>
  <c r="A54" i="2"/>
  <c r="C53" i="2"/>
  <c r="AC205" i="16"/>
  <c r="AB204" i="16"/>
  <c r="C101" i="4" l="1"/>
  <c r="E100" i="4"/>
  <c r="C54" i="2"/>
  <c r="A55" i="2"/>
  <c r="AC206" i="16"/>
  <c r="AB205" i="16"/>
  <c r="A56" i="2" l="1"/>
  <c r="C55" i="2"/>
  <c r="C102" i="4"/>
  <c r="E101" i="4"/>
  <c r="AC207" i="16"/>
  <c r="AB206" i="16"/>
  <c r="E102" i="4" l="1"/>
  <c r="C103" i="4"/>
  <c r="C56" i="2"/>
  <c r="A57" i="2"/>
  <c r="AC208" i="16"/>
  <c r="AB207" i="16"/>
  <c r="C57" i="2" l="1"/>
  <c r="A58" i="2"/>
  <c r="C104" i="4"/>
  <c r="E103" i="4"/>
  <c r="AC209" i="16"/>
  <c r="AB208" i="16"/>
  <c r="C58" i="2" l="1"/>
  <c r="A59" i="2"/>
  <c r="C105" i="4"/>
  <c r="E104" i="4"/>
  <c r="AC210" i="16"/>
  <c r="AB209" i="16"/>
  <c r="C59" i="2" l="1"/>
  <c r="A60" i="2"/>
  <c r="E105" i="4"/>
  <c r="C106" i="4"/>
  <c r="AC211" i="16"/>
  <c r="AB210" i="16"/>
  <c r="C107" i="4" l="1"/>
  <c r="E106" i="4"/>
  <c r="C60" i="2"/>
  <c r="A61" i="2"/>
  <c r="AC212" i="16"/>
  <c r="AB211" i="16"/>
  <c r="A62" i="2" l="1"/>
  <c r="C61" i="2"/>
  <c r="C108" i="4"/>
  <c r="E107" i="4"/>
  <c r="AC213" i="16"/>
  <c r="AB212" i="16"/>
  <c r="E108" i="4" l="1"/>
  <c r="C109" i="4"/>
  <c r="C62" i="2"/>
  <c r="A63" i="2"/>
  <c r="AC214" i="16"/>
  <c r="AB213" i="16"/>
  <c r="A64" i="2" l="1"/>
  <c r="C63" i="2"/>
  <c r="E109" i="4"/>
  <c r="C110" i="4"/>
  <c r="AC215" i="16"/>
  <c r="AB214" i="16"/>
  <c r="C111" i="4" l="1"/>
  <c r="E110" i="4"/>
  <c r="A65" i="2"/>
  <c r="C64" i="2"/>
  <c r="AC216" i="16"/>
  <c r="AB215" i="16"/>
  <c r="A66" i="2" l="1"/>
  <c r="C65" i="2"/>
  <c r="E111" i="4"/>
  <c r="C112" i="4"/>
  <c r="AC217" i="16"/>
  <c r="AB216" i="16"/>
  <c r="E112" i="4" l="1"/>
  <c r="C113" i="4"/>
  <c r="C66" i="2"/>
  <c r="A67" i="2"/>
  <c r="AC218" i="16"/>
  <c r="AB217" i="16"/>
  <c r="C67" i="2" l="1"/>
  <c r="A68" i="2"/>
  <c r="E113" i="4"/>
  <c r="C114" i="4"/>
  <c r="AC219" i="16"/>
  <c r="AB218" i="16"/>
  <c r="C115" i="4" l="1"/>
  <c r="E114" i="4"/>
  <c r="C68" i="2"/>
  <c r="A69" i="2"/>
  <c r="AC220" i="16"/>
  <c r="AB219" i="16"/>
  <c r="C69" i="2" l="1"/>
  <c r="A70" i="2"/>
  <c r="E115" i="4"/>
  <c r="C116" i="4"/>
  <c r="AC221" i="16"/>
  <c r="AB220" i="16"/>
  <c r="E116" i="4" l="1"/>
  <c r="C117" i="4"/>
  <c r="C70" i="2"/>
  <c r="A71" i="2"/>
  <c r="AC222" i="16"/>
  <c r="AB221" i="16"/>
  <c r="C71" i="2" l="1"/>
  <c r="A72" i="2"/>
  <c r="C118" i="4"/>
  <c r="E117" i="4"/>
  <c r="AC223" i="16"/>
  <c r="AB222" i="16"/>
  <c r="C72" i="2" l="1"/>
  <c r="A73" i="2"/>
  <c r="C119" i="4"/>
  <c r="E118" i="4"/>
  <c r="AC224" i="16"/>
  <c r="AB223" i="16"/>
  <c r="A74" i="2" l="1"/>
  <c r="C73" i="2"/>
  <c r="E119" i="4"/>
  <c r="C120" i="4"/>
  <c r="AC225" i="16"/>
  <c r="AB224" i="16"/>
  <c r="E120" i="4" l="1"/>
  <c r="C121" i="4"/>
  <c r="A75" i="2"/>
  <c r="C74" i="2"/>
  <c r="AC226" i="16"/>
  <c r="AB225" i="16"/>
  <c r="C122" i="4" l="1"/>
  <c r="E121" i="4"/>
  <c r="C75" i="2"/>
  <c r="A76" i="2"/>
  <c r="AC227" i="16"/>
  <c r="AB226" i="16"/>
  <c r="C76" i="2" l="1"/>
  <c r="A77" i="2"/>
  <c r="C123" i="4"/>
  <c r="E122" i="4"/>
  <c r="AC228" i="16"/>
  <c r="AB227" i="16"/>
  <c r="C77" i="2" l="1"/>
  <c r="A78" i="2"/>
  <c r="C124" i="4"/>
  <c r="E123" i="4"/>
  <c r="AC229" i="16"/>
  <c r="AB228" i="16"/>
  <c r="C78" i="2" l="1"/>
  <c r="A79" i="2"/>
  <c r="E124" i="4"/>
  <c r="C125" i="4"/>
  <c r="AC230" i="16"/>
  <c r="AB229" i="16"/>
  <c r="E125" i="4" l="1"/>
  <c r="C126" i="4"/>
  <c r="C79" i="2"/>
  <c r="A80" i="2"/>
  <c r="AC231" i="16"/>
  <c r="AB230" i="16"/>
  <c r="C80" i="2" l="1"/>
  <c r="A81" i="2"/>
  <c r="C127" i="4"/>
  <c r="E126" i="4"/>
  <c r="AC232" i="16"/>
  <c r="AB231" i="16"/>
  <c r="A82" i="2" l="1"/>
  <c r="C81" i="2"/>
  <c r="E127" i="4"/>
  <c r="C128" i="4"/>
  <c r="AC233" i="16"/>
  <c r="AB232" i="16"/>
  <c r="E128" i="4" l="1"/>
  <c r="C129" i="4"/>
  <c r="A83" i="2"/>
  <c r="C82" i="2"/>
  <c r="AC234" i="16"/>
  <c r="AB233" i="16"/>
  <c r="C130" i="4" l="1"/>
  <c r="E129" i="4"/>
  <c r="A84" i="2"/>
  <c r="C83" i="2"/>
  <c r="AB234" i="16"/>
  <c r="AC235" i="16"/>
  <c r="A85" i="2" l="1"/>
  <c r="C84" i="2"/>
  <c r="E130" i="4"/>
  <c r="C131" i="4"/>
  <c r="AC236" i="16"/>
  <c r="AB235" i="16"/>
  <c r="C132" i="4" l="1"/>
  <c r="E131" i="4"/>
  <c r="A86" i="2"/>
  <c r="C85" i="2"/>
  <c r="AC237" i="16"/>
  <c r="AB236" i="16"/>
  <c r="A87" i="2" l="1"/>
  <c r="C86" i="2"/>
  <c r="C133" i="4"/>
  <c r="E132" i="4"/>
  <c r="AC238" i="16"/>
  <c r="AB237" i="16"/>
  <c r="E133" i="4" l="1"/>
  <c r="C134" i="4"/>
  <c r="C87" i="2"/>
  <c r="A88" i="2"/>
  <c r="AC239" i="16"/>
  <c r="AB238" i="16"/>
  <c r="C88" i="2" l="1"/>
  <c r="A89" i="2"/>
  <c r="E134" i="4"/>
  <c r="C135" i="4"/>
  <c r="AC240" i="16"/>
  <c r="AB239" i="16"/>
  <c r="E135" i="4" l="1"/>
  <c r="C136" i="4"/>
  <c r="A90" i="2"/>
  <c r="C89" i="2"/>
  <c r="AC241" i="16"/>
  <c r="AB240" i="16"/>
  <c r="C90" i="2" l="1"/>
  <c r="A91" i="2"/>
  <c r="C137" i="4"/>
  <c r="E136" i="4"/>
  <c r="AC242" i="16"/>
  <c r="AB241" i="16"/>
  <c r="C138" i="4" l="1"/>
  <c r="E137" i="4"/>
  <c r="C91" i="2"/>
  <c r="A92" i="2"/>
  <c r="AC243" i="16"/>
  <c r="AB242" i="16"/>
  <c r="C139" i="4" l="1"/>
  <c r="E138" i="4"/>
  <c r="C92" i="2"/>
  <c r="A93" i="2"/>
  <c r="AC244" i="16"/>
  <c r="AB243" i="16"/>
  <c r="A94" i="2" l="1"/>
  <c r="C93" i="2"/>
  <c r="E139" i="4"/>
  <c r="C140" i="4"/>
  <c r="AC245" i="16"/>
  <c r="AB244" i="16"/>
  <c r="C141" i="4" l="1"/>
  <c r="E140" i="4"/>
  <c r="A95" i="2"/>
  <c r="C94" i="2"/>
  <c r="AC246" i="16"/>
  <c r="AB245" i="16"/>
  <c r="C95" i="2" l="1"/>
  <c r="A96" i="2"/>
  <c r="E141" i="4"/>
  <c r="C142" i="4"/>
  <c r="AC247" i="16"/>
  <c r="AB246" i="16"/>
  <c r="C143" i="4" l="1"/>
  <c r="E142" i="4"/>
  <c r="C96" i="2"/>
  <c r="A97" i="2"/>
  <c r="AC248" i="16"/>
  <c r="AB247" i="16"/>
  <c r="C97" i="2" l="1"/>
  <c r="A98" i="2"/>
  <c r="C144" i="4"/>
  <c r="E143" i="4"/>
  <c r="AC249" i="16"/>
  <c r="AB248" i="16"/>
  <c r="C98" i="2" l="1"/>
  <c r="A99" i="2"/>
  <c r="C145" i="4"/>
  <c r="E144" i="4"/>
  <c r="AC250" i="16"/>
  <c r="AB249" i="16"/>
  <c r="A100" i="2" l="1"/>
  <c r="C99" i="2"/>
  <c r="C146" i="4"/>
  <c r="E145" i="4"/>
  <c r="AC251" i="16"/>
  <c r="AB250" i="16"/>
  <c r="C147" i="4" l="1"/>
  <c r="E146" i="4"/>
  <c r="A101" i="2"/>
  <c r="C100" i="2"/>
  <c r="AC252" i="16"/>
  <c r="AB251" i="16"/>
  <c r="A102" i="2" l="1"/>
  <c r="C101" i="2"/>
  <c r="C148" i="4"/>
  <c r="E147" i="4"/>
  <c r="AC253" i="16"/>
  <c r="AB252" i="16"/>
  <c r="AV123" i="4" l="1"/>
  <c r="AV103" i="4"/>
  <c r="AV125" i="4"/>
  <c r="AV96" i="4"/>
  <c r="AV130" i="4"/>
  <c r="AV141" i="4"/>
  <c r="AV127" i="4"/>
  <c r="AV132" i="4"/>
  <c r="AV91" i="4"/>
  <c r="AV129" i="4"/>
  <c r="AV109" i="4"/>
  <c r="AV118" i="4"/>
  <c r="AV114" i="4"/>
  <c r="AV86" i="4"/>
  <c r="BA64" i="4"/>
  <c r="AV85" i="4"/>
  <c r="AV110" i="4"/>
  <c r="AV147" i="4"/>
  <c r="AV99" i="4"/>
  <c r="AV117" i="4"/>
  <c r="AV64" i="4"/>
  <c r="AV136" i="4"/>
  <c r="AV87" i="4"/>
  <c r="AV119" i="4"/>
  <c r="AV124" i="4"/>
  <c r="AV139" i="4"/>
  <c r="AV113" i="4"/>
  <c r="AV144" i="4"/>
  <c r="AV101" i="4"/>
  <c r="AV108" i="4"/>
  <c r="AV105" i="4"/>
  <c r="AV145" i="4"/>
  <c r="AV104" i="4"/>
  <c r="AV121" i="4"/>
  <c r="AV89" i="4"/>
  <c r="AV143" i="4"/>
  <c r="AV120" i="4"/>
  <c r="AV100" i="4"/>
  <c r="AT64" i="4"/>
  <c r="AV79" i="4"/>
  <c r="AV90" i="4"/>
  <c r="AV83" i="4"/>
  <c r="AV111" i="4"/>
  <c r="AV137" i="4"/>
  <c r="AV98" i="4"/>
  <c r="AV140" i="4"/>
  <c r="AV94" i="4"/>
  <c r="AV115" i="4"/>
  <c r="AV92" i="4"/>
  <c r="AV112" i="4"/>
  <c r="AV80" i="4"/>
  <c r="AV82" i="4"/>
  <c r="AV134" i="4"/>
  <c r="AV128" i="4"/>
  <c r="AV97" i="4"/>
  <c r="AV146" i="4"/>
  <c r="AV142" i="4"/>
  <c r="AV95" i="4"/>
  <c r="AV135" i="4"/>
  <c r="AV107" i="4"/>
  <c r="AV102" i="4"/>
  <c r="AV126" i="4"/>
  <c r="AV122" i="4"/>
  <c r="AV81" i="4"/>
  <c r="AV93" i="4"/>
  <c r="AV88" i="4"/>
  <c r="AV106" i="4"/>
  <c r="AV138" i="4"/>
  <c r="AV84" i="4"/>
  <c r="AV133" i="4"/>
  <c r="AV131" i="4"/>
  <c r="AV116" i="4"/>
  <c r="AV70" i="4"/>
  <c r="AT65" i="4"/>
  <c r="AT75" i="4"/>
  <c r="AT66" i="4"/>
  <c r="AT69" i="4"/>
  <c r="AV66" i="4"/>
  <c r="AV76" i="4"/>
  <c r="AT73" i="4"/>
  <c r="AV72" i="4"/>
  <c r="AV75" i="4"/>
  <c r="AT70" i="4"/>
  <c r="AV65" i="4"/>
  <c r="AT71" i="4"/>
  <c r="AV68" i="4"/>
  <c r="AT67" i="4"/>
  <c r="AV67" i="4"/>
  <c r="AV73" i="4"/>
  <c r="AT74" i="4"/>
  <c r="AT76" i="4"/>
  <c r="AT78" i="4"/>
  <c r="AV77" i="4"/>
  <c r="AV74" i="4"/>
  <c r="AT68" i="4"/>
  <c r="AV69" i="4"/>
  <c r="AT72" i="4"/>
  <c r="AV71" i="4"/>
  <c r="AV78" i="4"/>
  <c r="AT77" i="4"/>
  <c r="C149" i="4"/>
  <c r="E148" i="4"/>
  <c r="BA65" i="4" s="1"/>
  <c r="C102" i="2"/>
  <c r="A103" i="2"/>
  <c r="AC254" i="16"/>
  <c r="AB253" i="16"/>
  <c r="C150" i="4" l="1"/>
  <c r="E149" i="4"/>
  <c r="C103" i="2"/>
  <c r="A104" i="2"/>
  <c r="AC255" i="16"/>
  <c r="AB254" i="16"/>
  <c r="C104" i="2" l="1"/>
  <c r="A105" i="2"/>
  <c r="BA66" i="4"/>
  <c r="E150" i="4"/>
  <c r="C151" i="4"/>
  <c r="AC256" i="16"/>
  <c r="AB255" i="16"/>
  <c r="C152" i="4" l="1"/>
  <c r="E151" i="4"/>
  <c r="BA67" i="4"/>
  <c r="A106" i="2"/>
  <c r="C105" i="2"/>
  <c r="AC257" i="16"/>
  <c r="AB256" i="16"/>
  <c r="BA68" i="4" l="1"/>
  <c r="C106" i="2"/>
  <c r="A107" i="2"/>
  <c r="E152" i="4"/>
  <c r="C153" i="4"/>
  <c r="E153" i="4" s="1"/>
  <c r="AC258" i="16"/>
  <c r="AB257" i="16"/>
  <c r="BA72" i="4" l="1"/>
  <c r="BA74" i="4"/>
  <c r="BA70" i="4"/>
  <c r="BA71" i="4"/>
  <c r="BA73" i="4"/>
  <c r="BA75" i="4"/>
  <c r="AW84" i="4"/>
  <c r="AY98" i="4"/>
  <c r="AZ79" i="4"/>
  <c r="AY90" i="4"/>
  <c r="AZ103" i="4"/>
  <c r="BA86" i="4"/>
  <c r="AX87" i="4"/>
  <c r="AY93" i="4"/>
  <c r="AX85" i="4"/>
  <c r="AX104" i="4"/>
  <c r="AY109" i="4"/>
  <c r="AT103" i="4"/>
  <c r="AT102" i="4"/>
  <c r="BA95" i="4"/>
  <c r="AW99" i="4"/>
  <c r="AY77" i="4"/>
  <c r="AT93" i="4"/>
  <c r="AT117" i="4"/>
  <c r="AY113" i="4"/>
  <c r="AZ105" i="4"/>
  <c r="AW102" i="4"/>
  <c r="AW116" i="4"/>
  <c r="AY96" i="4"/>
  <c r="BA114" i="4"/>
  <c r="AZ106" i="4"/>
  <c r="AT91" i="4"/>
  <c r="AW111" i="4"/>
  <c r="AW94" i="4"/>
  <c r="AX83" i="4"/>
  <c r="BA99" i="4"/>
  <c r="AT111" i="4"/>
  <c r="AX82" i="4"/>
  <c r="AW103" i="4"/>
  <c r="BA80" i="4"/>
  <c r="AT90" i="4"/>
  <c r="AX78" i="4"/>
  <c r="AY108" i="4"/>
  <c r="AW80" i="4"/>
  <c r="AZ104" i="4"/>
  <c r="AZ89" i="4"/>
  <c r="BA97" i="4"/>
  <c r="BA105" i="4"/>
  <c r="AZ98" i="4"/>
  <c r="AZ108" i="4"/>
  <c r="AX92" i="4"/>
  <c r="AW95" i="4"/>
  <c r="AY115" i="4"/>
  <c r="AX110" i="4"/>
  <c r="BA116" i="4"/>
  <c r="AZ76" i="4"/>
  <c r="BA117" i="4"/>
  <c r="AY106" i="4"/>
  <c r="AW104" i="4"/>
  <c r="BA90" i="4"/>
  <c r="AY79" i="4"/>
  <c r="AX116" i="4"/>
  <c r="BA93" i="4"/>
  <c r="AX93" i="4"/>
  <c r="AY94" i="4"/>
  <c r="BA87" i="4"/>
  <c r="AX76" i="4"/>
  <c r="AT115" i="4"/>
  <c r="AZ100" i="4"/>
  <c r="AT112" i="4"/>
  <c r="AZ77" i="4"/>
  <c r="AZ85" i="4"/>
  <c r="AY84" i="4"/>
  <c r="AT96" i="4"/>
  <c r="BA92" i="4"/>
  <c r="AZ88" i="4"/>
  <c r="AY85" i="4"/>
  <c r="BA96" i="4"/>
  <c r="AX103" i="4"/>
  <c r="AX113" i="4"/>
  <c r="AW85" i="4"/>
  <c r="AT105" i="4"/>
  <c r="AT113" i="4"/>
  <c r="AW78" i="4"/>
  <c r="AZ84" i="4"/>
  <c r="AY114" i="4"/>
  <c r="AY82" i="4"/>
  <c r="BA115" i="4"/>
  <c r="AY117" i="4"/>
  <c r="AY110" i="4"/>
  <c r="AT86" i="4"/>
  <c r="BA83" i="4"/>
  <c r="AW88" i="4"/>
  <c r="AZ111" i="4"/>
  <c r="AW77" i="4"/>
  <c r="AW83" i="4"/>
  <c r="BA101" i="4"/>
  <c r="AX106" i="4"/>
  <c r="AY87" i="4"/>
  <c r="AZ80" i="4"/>
  <c r="AZ95" i="4"/>
  <c r="AT89" i="4"/>
  <c r="BA109" i="4"/>
  <c r="AW107" i="4"/>
  <c r="AZ97" i="4"/>
  <c r="AY92" i="4"/>
  <c r="AT99" i="4"/>
  <c r="AW109" i="4"/>
  <c r="BA111" i="4"/>
  <c r="AX97" i="4"/>
  <c r="AZ110" i="4"/>
  <c r="BA81" i="4"/>
  <c r="AX77" i="4"/>
  <c r="AT104" i="4"/>
  <c r="AW110" i="4"/>
  <c r="AT97" i="4"/>
  <c r="BA104" i="4"/>
  <c r="AZ92" i="4"/>
  <c r="AT106" i="4"/>
  <c r="AZ112" i="4"/>
  <c r="BA79" i="4"/>
  <c r="AZ116" i="4"/>
  <c r="AY78" i="4"/>
  <c r="AZ82" i="4"/>
  <c r="AZ96" i="4"/>
  <c r="AY83" i="4"/>
  <c r="AW115" i="4"/>
  <c r="BA112" i="4"/>
  <c r="BA108" i="4"/>
  <c r="AX79" i="4"/>
  <c r="BA98" i="4"/>
  <c r="AX95" i="4"/>
  <c r="AZ81" i="4"/>
  <c r="AW97" i="4"/>
  <c r="AZ109" i="4"/>
  <c r="AT94" i="4"/>
  <c r="BA94" i="4"/>
  <c r="AT79" i="4"/>
  <c r="AT100" i="4"/>
  <c r="AY104" i="4"/>
  <c r="AT92" i="4"/>
  <c r="BA103" i="4"/>
  <c r="AT108" i="4"/>
  <c r="BA110" i="4"/>
  <c r="AX117" i="4"/>
  <c r="AT88" i="4"/>
  <c r="AX86" i="4"/>
  <c r="AT80" i="4"/>
  <c r="AX112" i="4"/>
  <c r="AX109" i="4"/>
  <c r="AT98" i="4"/>
  <c r="BA107" i="4"/>
  <c r="AY80" i="4"/>
  <c r="AZ107" i="4"/>
  <c r="AY105" i="4"/>
  <c r="AW101" i="4"/>
  <c r="AT87" i="4"/>
  <c r="AW82" i="4"/>
  <c r="AT84" i="4"/>
  <c r="BA85" i="4"/>
  <c r="AY100" i="4"/>
  <c r="AT85" i="4"/>
  <c r="AX91" i="4"/>
  <c r="AY97" i="4"/>
  <c r="AY116" i="4"/>
  <c r="AZ117" i="4"/>
  <c r="AW79" i="4"/>
  <c r="AZ99" i="4"/>
  <c r="AZ102" i="4"/>
  <c r="AW113" i="4"/>
  <c r="AY86" i="4"/>
  <c r="AY101" i="4"/>
  <c r="BA76" i="4"/>
  <c r="AZ78" i="4"/>
  <c r="BA113" i="4"/>
  <c r="AW90" i="4"/>
  <c r="BA100" i="4"/>
  <c r="AX102" i="4"/>
  <c r="AY99" i="4"/>
  <c r="AX107" i="4"/>
  <c r="BA102" i="4"/>
  <c r="AX96" i="4"/>
  <c r="AX101" i="4"/>
  <c r="AT101" i="4"/>
  <c r="AX114" i="4"/>
  <c r="AY88" i="4"/>
  <c r="BA84" i="4"/>
  <c r="BA106" i="4"/>
  <c r="AZ113" i="4"/>
  <c r="AT95" i="4"/>
  <c r="AZ94" i="4"/>
  <c r="AT116" i="4"/>
  <c r="AX115" i="4"/>
  <c r="AW108" i="4"/>
  <c r="AX90" i="4"/>
  <c r="AT114" i="4"/>
  <c r="AT109" i="4"/>
  <c r="AX105" i="4"/>
  <c r="BA88" i="4"/>
  <c r="AT81" i="4"/>
  <c r="AW96" i="4"/>
  <c r="AY81" i="4"/>
  <c r="BA89" i="4"/>
  <c r="AZ90" i="4"/>
  <c r="AX84" i="4"/>
  <c r="AX89" i="4"/>
  <c r="AZ115" i="4"/>
  <c r="AW92" i="4"/>
  <c r="AY91" i="4"/>
  <c r="BA77" i="4"/>
  <c r="AZ93" i="4"/>
  <c r="AT82" i="4"/>
  <c r="AZ91" i="4"/>
  <c r="AT83" i="4"/>
  <c r="AW86" i="4"/>
  <c r="AX81" i="4"/>
  <c r="AX80" i="4"/>
  <c r="AT107" i="4"/>
  <c r="AW87" i="4"/>
  <c r="AW91" i="4"/>
  <c r="AW81" i="4"/>
  <c r="AW89" i="4"/>
  <c r="AX98" i="4"/>
  <c r="AW76" i="4"/>
  <c r="AW98" i="4"/>
  <c r="AW106" i="4"/>
  <c r="AX111" i="4"/>
  <c r="AX100" i="4"/>
  <c r="AW93" i="4"/>
  <c r="AW114" i="4"/>
  <c r="AY112" i="4"/>
  <c r="AT110" i="4"/>
  <c r="AY107" i="4"/>
  <c r="BA91" i="4"/>
  <c r="BA78" i="4"/>
  <c r="AW112" i="4"/>
  <c r="AY102" i="4"/>
  <c r="AZ83" i="4"/>
  <c r="AX94" i="4"/>
  <c r="AZ114" i="4"/>
  <c r="AZ86" i="4"/>
  <c r="AY76" i="4"/>
  <c r="AX88" i="4"/>
  <c r="AW100" i="4"/>
  <c r="AZ87" i="4"/>
  <c r="AY89" i="4"/>
  <c r="AW117" i="4"/>
  <c r="AX99" i="4"/>
  <c r="AZ101" i="4"/>
  <c r="AW105" i="4"/>
  <c r="AY111" i="4"/>
  <c r="AX108" i="4"/>
  <c r="AY95" i="4"/>
  <c r="AY103" i="4"/>
  <c r="BA82" i="4"/>
  <c r="A108" i="2"/>
  <c r="C107" i="2"/>
  <c r="BA69" i="4"/>
  <c r="BA146" i="4"/>
  <c r="AX145" i="4"/>
  <c r="BA145" i="4"/>
  <c r="AW145" i="4"/>
  <c r="AT145" i="4"/>
  <c r="AY146" i="4"/>
  <c r="AW147" i="4"/>
  <c r="BA147" i="4"/>
  <c r="AZ147" i="4"/>
  <c r="AT147" i="4"/>
  <c r="AY145" i="4"/>
  <c r="AY147" i="4"/>
  <c r="AZ146" i="4"/>
  <c r="AX147" i="4"/>
  <c r="AZ145" i="4"/>
  <c r="AT146" i="4"/>
  <c r="AC259" i="16"/>
  <c r="AB258" i="16"/>
  <c r="C108" i="2" l="1"/>
  <c r="A109" i="2"/>
  <c r="AC260" i="16"/>
  <c r="AB259" i="16"/>
  <c r="A110" i="2" l="1"/>
  <c r="C109" i="2"/>
  <c r="AC261" i="16"/>
  <c r="AB260" i="16"/>
  <c r="C110" i="2" l="1"/>
  <c r="A111" i="2"/>
  <c r="AC262" i="16"/>
  <c r="AB261" i="16"/>
  <c r="A112" i="2" l="1"/>
  <c r="C111" i="2"/>
  <c r="AC263" i="16"/>
  <c r="AB262" i="16"/>
  <c r="C112" i="2" l="1"/>
  <c r="A113" i="2"/>
  <c r="C113" i="2" s="1"/>
  <c r="AC264" i="16"/>
  <c r="AB263" i="16"/>
  <c r="E171" i="2" l="1"/>
  <c r="R18" i="2" s="1"/>
  <c r="I171" i="2"/>
  <c r="V18" i="2" s="1"/>
  <c r="G171" i="2"/>
  <c r="T18" i="2" s="1"/>
  <c r="H7" i="15" s="1"/>
  <c r="F171" i="2"/>
  <c r="S18" i="2" s="1"/>
  <c r="G200" i="2"/>
  <c r="T47" i="2" s="1"/>
  <c r="H36" i="15" s="1"/>
  <c r="H171" i="2"/>
  <c r="U18" i="2" s="1"/>
  <c r="E187" i="2"/>
  <c r="R34" i="2" s="1"/>
  <c r="I181" i="2"/>
  <c r="V28" i="2" s="1"/>
  <c r="J17" i="15" s="1"/>
  <c r="E217" i="2"/>
  <c r="R64" i="2" s="1"/>
  <c r="E207" i="2"/>
  <c r="R54" i="2" s="1"/>
  <c r="E184" i="2"/>
  <c r="R31" i="2" s="1"/>
  <c r="H173" i="2"/>
  <c r="U20" i="2" s="1"/>
  <c r="I9" i="15" s="1"/>
  <c r="I225" i="2"/>
  <c r="V72" i="2" s="1"/>
  <c r="J61" i="15" s="1"/>
  <c r="H196" i="2"/>
  <c r="U43" i="2" s="1"/>
  <c r="I32" i="15" s="1"/>
  <c r="H172" i="2"/>
  <c r="U19" i="2" s="1"/>
  <c r="I8" i="15" s="1"/>
  <c r="H226" i="2"/>
  <c r="U73" i="2" s="1"/>
  <c r="I62" i="15" s="1"/>
  <c r="H209" i="2"/>
  <c r="U56" i="2" s="1"/>
  <c r="I45" i="15" s="1"/>
  <c r="E172" i="2"/>
  <c r="R19" i="2" s="1"/>
  <c r="E205" i="2"/>
  <c r="R52" i="2" s="1"/>
  <c r="I173" i="2"/>
  <c r="V20" i="2" s="1"/>
  <c r="J9" i="15" s="1"/>
  <c r="E212" i="2"/>
  <c r="R59" i="2" s="1"/>
  <c r="I218" i="2"/>
  <c r="V65" i="2" s="1"/>
  <c r="J54" i="15" s="1"/>
  <c r="I195" i="2"/>
  <c r="V42" i="2" s="1"/>
  <c r="J31" i="15" s="1"/>
  <c r="E223" i="2"/>
  <c r="R70" i="2" s="1"/>
  <c r="I172" i="2"/>
  <c r="V19" i="2" s="1"/>
  <c r="J8" i="15" s="1"/>
  <c r="H213" i="2"/>
  <c r="U60" i="2" s="1"/>
  <c r="I49" i="15" s="1"/>
  <c r="E179" i="2"/>
  <c r="R26" i="2" s="1"/>
  <c r="F206" i="2"/>
  <c r="S53" i="2" s="1"/>
  <c r="G42" i="15" s="1"/>
  <c r="F193" i="2"/>
  <c r="S40" i="2" s="1"/>
  <c r="G29" i="15" s="1"/>
  <c r="I223" i="2"/>
  <c r="V70" i="2" s="1"/>
  <c r="J59" i="15" s="1"/>
  <c r="I200" i="2"/>
  <c r="V47" i="2" s="1"/>
  <c r="J36" i="15" s="1"/>
  <c r="E175" i="2"/>
  <c r="R22" i="2" s="1"/>
  <c r="I227" i="2"/>
  <c r="V74" i="2" s="1"/>
  <c r="J63" i="15" s="1"/>
  <c r="H222" i="2"/>
  <c r="U69" i="2" s="1"/>
  <c r="I58" i="15" s="1"/>
  <c r="G191" i="2"/>
  <c r="T38" i="2" s="1"/>
  <c r="H27" i="15" s="1"/>
  <c r="E226" i="2"/>
  <c r="R73" i="2" s="1"/>
  <c r="F222" i="2"/>
  <c r="S69" i="2" s="1"/>
  <c r="G58" i="15" s="1"/>
  <c r="I176" i="2"/>
  <c r="V23" i="2" s="1"/>
  <c r="J12" i="15" s="1"/>
  <c r="G182" i="2"/>
  <c r="T29" i="2" s="1"/>
  <c r="H18" i="15" s="1"/>
  <c r="F202" i="2"/>
  <c r="S49" i="2" s="1"/>
  <c r="G38" i="15" s="1"/>
  <c r="E183" i="2"/>
  <c r="R30" i="2" s="1"/>
  <c r="G209" i="2"/>
  <c r="T56" i="2" s="1"/>
  <c r="H45" i="15" s="1"/>
  <c r="H214" i="2"/>
  <c r="U61" i="2" s="1"/>
  <c r="I50" i="15" s="1"/>
  <c r="G178" i="2"/>
  <c r="T25" i="2" s="1"/>
  <c r="H14" i="15" s="1"/>
  <c r="E185" i="2"/>
  <c r="R32" i="2" s="1"/>
  <c r="H220" i="2"/>
  <c r="U67" i="2" s="1"/>
  <c r="I56" i="15" s="1"/>
  <c r="F213" i="2"/>
  <c r="S60" i="2" s="1"/>
  <c r="G49" i="15" s="1"/>
  <c r="I186" i="2"/>
  <c r="V33" i="2" s="1"/>
  <c r="J22" i="15" s="1"/>
  <c r="H183" i="2"/>
  <c r="U30" i="2" s="1"/>
  <c r="I19" i="15" s="1"/>
  <c r="G217" i="2"/>
  <c r="T64" i="2" s="1"/>
  <c r="H53" i="15" s="1"/>
  <c r="H181" i="2"/>
  <c r="U28" i="2" s="1"/>
  <c r="I17" i="15" s="1"/>
  <c r="E180" i="2"/>
  <c r="R27" i="2" s="1"/>
  <c r="E190" i="2"/>
  <c r="R37" i="2" s="1"/>
  <c r="E214" i="2"/>
  <c r="R61" i="2" s="1"/>
  <c r="I201" i="2"/>
  <c r="V48" i="2" s="1"/>
  <c r="J37" i="15" s="1"/>
  <c r="E188" i="2"/>
  <c r="R35" i="2" s="1"/>
  <c r="I206" i="2"/>
  <c r="V53" i="2" s="1"/>
  <c r="J42" i="15" s="1"/>
  <c r="H178" i="2"/>
  <c r="U25" i="2" s="1"/>
  <c r="I14" i="15" s="1"/>
  <c r="E210" i="2"/>
  <c r="R57" i="2" s="1"/>
  <c r="I210" i="2"/>
  <c r="V57" i="2" s="1"/>
  <c r="J46" i="15" s="1"/>
  <c r="F214" i="2"/>
  <c r="S61" i="2" s="1"/>
  <c r="G50" i="15" s="1"/>
  <c r="F229" i="2"/>
  <c r="I212" i="2"/>
  <c r="V59" i="2" s="1"/>
  <c r="J48" i="15" s="1"/>
  <c r="G206" i="2"/>
  <c r="T53" i="2" s="1"/>
  <c r="H42" i="15" s="1"/>
  <c r="E198" i="2"/>
  <c r="R45" i="2" s="1"/>
  <c r="H192" i="2"/>
  <c r="U39" i="2" s="1"/>
  <c r="I28" i="15" s="1"/>
  <c r="I185" i="2"/>
  <c r="V32" i="2" s="1"/>
  <c r="J21" i="15" s="1"/>
  <c r="F194" i="2"/>
  <c r="S41" i="2" s="1"/>
  <c r="G30" i="15" s="1"/>
  <c r="G225" i="2"/>
  <c r="T72" i="2" s="1"/>
  <c r="H61" i="15" s="1"/>
  <c r="I224" i="2"/>
  <c r="V71" i="2" s="1"/>
  <c r="J60" i="15" s="1"/>
  <c r="G223" i="2"/>
  <c r="T70" i="2" s="1"/>
  <c r="H59" i="15" s="1"/>
  <c r="E213" i="2"/>
  <c r="R60" i="2" s="1"/>
  <c r="H184" i="2"/>
  <c r="U31" i="2" s="1"/>
  <c r="I20" i="15" s="1"/>
  <c r="I221" i="2"/>
  <c r="V68" i="2" s="1"/>
  <c r="J57" i="15" s="1"/>
  <c r="H210" i="2"/>
  <c r="U57" i="2" s="1"/>
  <c r="I46" i="15" s="1"/>
  <c r="I215" i="2"/>
  <c r="V62" i="2" s="1"/>
  <c r="J51" i="15" s="1"/>
  <c r="F181" i="2"/>
  <c r="S28" i="2" s="1"/>
  <c r="G17" i="15" s="1"/>
  <c r="I190" i="2"/>
  <c r="V37" i="2" s="1"/>
  <c r="J26" i="15" s="1"/>
  <c r="I177" i="2"/>
  <c r="V24" i="2" s="1"/>
  <c r="J13" i="15" s="1"/>
  <c r="G187" i="2"/>
  <c r="T34" i="2" s="1"/>
  <c r="H23" i="15" s="1"/>
  <c r="H223" i="2"/>
  <c r="U70" i="2" s="1"/>
  <c r="I59" i="15" s="1"/>
  <c r="F190" i="2"/>
  <c r="S37" i="2" s="1"/>
  <c r="G26" i="15" s="1"/>
  <c r="F187" i="2"/>
  <c r="S34" i="2" s="1"/>
  <c r="G23" i="15" s="1"/>
  <c r="E194" i="2"/>
  <c r="R41" i="2" s="1"/>
  <c r="F188" i="2"/>
  <c r="S35" i="2" s="1"/>
  <c r="G24" i="15" s="1"/>
  <c r="G196" i="2"/>
  <c r="T43" i="2" s="1"/>
  <c r="H32" i="15" s="1"/>
  <c r="F175" i="2"/>
  <c r="S22" i="2" s="1"/>
  <c r="G11" i="15" s="1"/>
  <c r="E191" i="2"/>
  <c r="R38" i="2" s="1"/>
  <c r="I175" i="2"/>
  <c r="V22" i="2" s="1"/>
  <c r="J11" i="15" s="1"/>
  <c r="I174" i="2"/>
  <c r="V21" i="2" s="1"/>
  <c r="J10" i="15" s="1"/>
  <c r="G201" i="2"/>
  <c r="T48" i="2" s="1"/>
  <c r="H37" i="15" s="1"/>
  <c r="H191" i="2"/>
  <c r="U38" i="2" s="1"/>
  <c r="I27" i="15" s="1"/>
  <c r="F186" i="2"/>
  <c r="S33" i="2" s="1"/>
  <c r="G22" i="15" s="1"/>
  <c r="G215" i="2"/>
  <c r="T62" i="2" s="1"/>
  <c r="H51" i="15" s="1"/>
  <c r="E199" i="2"/>
  <c r="R46" i="2" s="1"/>
  <c r="E182" i="2"/>
  <c r="R29" i="2" s="1"/>
  <c r="G211" i="2"/>
  <c r="T58" i="2" s="1"/>
  <c r="H47" i="15" s="1"/>
  <c r="F176" i="2"/>
  <c r="S23" i="2" s="1"/>
  <c r="G12" i="15" s="1"/>
  <c r="F180" i="2"/>
  <c r="S27" i="2" s="1"/>
  <c r="G16" i="15" s="1"/>
  <c r="F207" i="2"/>
  <c r="S54" i="2" s="1"/>
  <c r="G43" i="15" s="1"/>
  <c r="F212" i="2"/>
  <c r="S59" i="2" s="1"/>
  <c r="G48" i="15" s="1"/>
  <c r="G219" i="2"/>
  <c r="T66" i="2" s="1"/>
  <c r="H55" i="15" s="1"/>
  <c r="F223" i="2"/>
  <c r="S70" i="2" s="1"/>
  <c r="G59" i="15" s="1"/>
  <c r="H227" i="2"/>
  <c r="U74" i="2" s="1"/>
  <c r="I63" i="15" s="1"/>
  <c r="E222" i="2"/>
  <c r="R69" i="2" s="1"/>
  <c r="H218" i="2"/>
  <c r="U65" i="2" s="1"/>
  <c r="I54" i="15" s="1"/>
  <c r="I211" i="2"/>
  <c r="V58" i="2" s="1"/>
  <c r="J47" i="15" s="1"/>
  <c r="E228" i="2"/>
  <c r="R75" i="2" s="1"/>
  <c r="F211" i="2"/>
  <c r="S58" i="2" s="1"/>
  <c r="G47" i="15" s="1"/>
  <c r="I214" i="2"/>
  <c r="V61" i="2" s="1"/>
  <c r="J50" i="15" s="1"/>
  <c r="I182" i="2"/>
  <c r="V29" i="2" s="1"/>
  <c r="J18" i="15" s="1"/>
  <c r="G210" i="2"/>
  <c r="T57" i="2" s="1"/>
  <c r="H46" i="15" s="1"/>
  <c r="E186" i="2"/>
  <c r="R33" i="2" s="1"/>
  <c r="H179" i="2"/>
  <c r="U26" i="2" s="1"/>
  <c r="I15" i="15" s="1"/>
  <c r="F228" i="2"/>
  <c r="S75" i="2" s="1"/>
  <c r="G64" i="15" s="1"/>
  <c r="G216" i="2"/>
  <c r="T63" i="2" s="1"/>
  <c r="H52" i="15" s="1"/>
  <c r="H197" i="2"/>
  <c r="U44" i="2" s="1"/>
  <c r="I33" i="15" s="1"/>
  <c r="E224" i="2"/>
  <c r="R71" i="2" s="1"/>
  <c r="H215" i="2"/>
  <c r="U62" i="2" s="1"/>
  <c r="I51" i="15" s="1"/>
  <c r="G212" i="2"/>
  <c r="T59" i="2" s="1"/>
  <c r="H48" i="15" s="1"/>
  <c r="F203" i="2"/>
  <c r="S50" i="2" s="1"/>
  <c r="G39" i="15" s="1"/>
  <c r="I213" i="2"/>
  <c r="V60" i="2" s="1"/>
  <c r="J49" i="15" s="1"/>
  <c r="F196" i="2"/>
  <c r="S43" i="2" s="1"/>
  <c r="G32" i="15" s="1"/>
  <c r="I205" i="2"/>
  <c r="V52" i="2" s="1"/>
  <c r="J41" i="15" s="1"/>
  <c r="I219" i="2"/>
  <c r="V66" i="2" s="1"/>
  <c r="J55" i="15" s="1"/>
  <c r="H186" i="2"/>
  <c r="U33" i="2" s="1"/>
  <c r="I22" i="15" s="1"/>
  <c r="H225" i="2"/>
  <c r="U72" i="2" s="1"/>
  <c r="I61" i="15" s="1"/>
  <c r="F179" i="2"/>
  <c r="S26" i="2" s="1"/>
  <c r="G15" i="15" s="1"/>
  <c r="I180" i="2"/>
  <c r="V27" i="2" s="1"/>
  <c r="J16" i="15" s="1"/>
  <c r="G220" i="2"/>
  <c r="T67" i="2" s="1"/>
  <c r="H56" i="15" s="1"/>
  <c r="G184" i="2"/>
  <c r="T31" i="2" s="1"/>
  <c r="H20" i="15" s="1"/>
  <c r="H190" i="2"/>
  <c r="U37" i="2" s="1"/>
  <c r="I26" i="15" s="1"/>
  <c r="I197" i="2"/>
  <c r="V44" i="2" s="1"/>
  <c r="J33" i="15" s="1"/>
  <c r="G224" i="2"/>
  <c r="T71" i="2" s="1"/>
  <c r="H60" i="15" s="1"/>
  <c r="H203" i="2"/>
  <c r="U50" i="2" s="1"/>
  <c r="I39" i="15" s="1"/>
  <c r="I199" i="2"/>
  <c r="V46" i="2" s="1"/>
  <c r="J35" i="15" s="1"/>
  <c r="E177" i="2"/>
  <c r="R24" i="2" s="1"/>
  <c r="G177" i="2"/>
  <c r="T24" i="2" s="1"/>
  <c r="H13" i="15" s="1"/>
  <c r="I192" i="2"/>
  <c r="V39" i="2" s="1"/>
  <c r="J28" i="15" s="1"/>
  <c r="F189" i="2"/>
  <c r="S36" i="2" s="1"/>
  <c r="G25" i="15" s="1"/>
  <c r="G203" i="2"/>
  <c r="T50" i="2" s="1"/>
  <c r="H39" i="15" s="1"/>
  <c r="E202" i="2"/>
  <c r="R49" i="2" s="1"/>
  <c r="F208" i="2"/>
  <c r="S55" i="2" s="1"/>
  <c r="G44" i="15" s="1"/>
  <c r="F177" i="2"/>
  <c r="S24" i="2" s="1"/>
  <c r="G13" i="15" s="1"/>
  <c r="G202" i="2"/>
  <c r="T49" i="2" s="1"/>
  <c r="H38" i="15" s="1"/>
  <c r="G213" i="2"/>
  <c r="T60" i="2" s="1"/>
  <c r="H49" i="15" s="1"/>
  <c r="I209" i="2"/>
  <c r="V56" i="2" s="1"/>
  <c r="J45" i="15" s="1"/>
  <c r="F205" i="2"/>
  <c r="S52" i="2" s="1"/>
  <c r="G41" i="15" s="1"/>
  <c r="H177" i="2"/>
  <c r="U24" i="2" s="1"/>
  <c r="I13" i="15" s="1"/>
  <c r="G172" i="2"/>
  <c r="T19" i="2" s="1"/>
  <c r="H8" i="15" s="1"/>
  <c r="E174" i="2"/>
  <c r="R21" i="2" s="1"/>
  <c r="E221" i="2"/>
  <c r="R68" i="2" s="1"/>
  <c r="H175" i="2"/>
  <c r="U22" i="2" s="1"/>
  <c r="I11" i="15" s="1"/>
  <c r="H174" i="2"/>
  <c r="U21" i="2" s="1"/>
  <c r="I10" i="15" s="1"/>
  <c r="G222" i="2"/>
  <c r="T69" i="2" s="1"/>
  <c r="H58" i="15" s="1"/>
  <c r="F227" i="2"/>
  <c r="S74" i="2" s="1"/>
  <c r="G63" i="15" s="1"/>
  <c r="I203" i="2"/>
  <c r="V50" i="2" s="1"/>
  <c r="J39" i="15" s="1"/>
  <c r="G186" i="2"/>
  <c r="T33" i="2" s="1"/>
  <c r="H22" i="15" s="1"/>
  <c r="E173" i="2"/>
  <c r="R20" i="2" s="1"/>
  <c r="H208" i="2"/>
  <c r="U55" i="2" s="1"/>
  <c r="I44" i="15" s="1"/>
  <c r="G175" i="2"/>
  <c r="T22" i="2" s="1"/>
  <c r="H11" i="15" s="1"/>
  <c r="F172" i="2"/>
  <c r="S19" i="2" s="1"/>
  <c r="G8" i="15" s="1"/>
  <c r="E204" i="2"/>
  <c r="R51" i="2" s="1"/>
  <c r="G173" i="2"/>
  <c r="T20" i="2" s="1"/>
  <c r="H9" i="15" s="1"/>
  <c r="E181" i="2"/>
  <c r="R28" i="2" s="1"/>
  <c r="G227" i="2"/>
  <c r="T74" i="2" s="1"/>
  <c r="H63" i="15" s="1"/>
  <c r="I208" i="2"/>
  <c r="V55" i="2" s="1"/>
  <c r="J44" i="15" s="1"/>
  <c r="G176" i="2"/>
  <c r="T23" i="2" s="1"/>
  <c r="H12" i="15" s="1"/>
  <c r="I184" i="2"/>
  <c r="V31" i="2" s="1"/>
  <c r="J20" i="15" s="1"/>
  <c r="G193" i="2"/>
  <c r="T40" i="2" s="1"/>
  <c r="H29" i="15" s="1"/>
  <c r="F221" i="2"/>
  <c r="S68" i="2" s="1"/>
  <c r="G57" i="15" s="1"/>
  <c r="G207" i="2"/>
  <c r="T54" i="2" s="1"/>
  <c r="H43" i="15" s="1"/>
  <c r="G183" i="2"/>
  <c r="T30" i="2" s="1"/>
  <c r="H19" i="15" s="1"/>
  <c r="G199" i="2"/>
  <c r="T46" i="2" s="1"/>
  <c r="H35" i="15" s="1"/>
  <c r="H211" i="2"/>
  <c r="U58" i="2" s="1"/>
  <c r="I47" i="15" s="1"/>
  <c r="H216" i="2"/>
  <c r="U63" i="2" s="1"/>
  <c r="I52" i="15" s="1"/>
  <c r="H198" i="2"/>
  <c r="U45" i="2" s="1"/>
  <c r="I34" i="15" s="1"/>
  <c r="H194" i="2"/>
  <c r="U41" i="2" s="1"/>
  <c r="I30" i="15" s="1"/>
  <c r="I188" i="2"/>
  <c r="V35" i="2" s="1"/>
  <c r="J24" i="15" s="1"/>
  <c r="G188" i="2"/>
  <c r="T35" i="2" s="1"/>
  <c r="H24" i="15" s="1"/>
  <c r="E229" i="2"/>
  <c r="E189" i="2"/>
  <c r="R36" i="2" s="1"/>
  <c r="F191" i="2"/>
  <c r="S38" i="2" s="1"/>
  <c r="G27" i="15" s="1"/>
  <c r="G229" i="2"/>
  <c r="H228" i="2"/>
  <c r="U75" i="2" s="1"/>
  <c r="I64" i="15" s="1"/>
  <c r="G185" i="2"/>
  <c r="T32" i="2" s="1"/>
  <c r="H21" i="15" s="1"/>
  <c r="F192" i="2"/>
  <c r="S39" i="2" s="1"/>
  <c r="G28" i="15" s="1"/>
  <c r="F178" i="2"/>
  <c r="S25" i="2" s="1"/>
  <c r="G14" i="15" s="1"/>
  <c r="I196" i="2"/>
  <c r="V43" i="2" s="1"/>
  <c r="J32" i="15" s="1"/>
  <c r="I207" i="2"/>
  <c r="V54" i="2" s="1"/>
  <c r="J43" i="15" s="1"/>
  <c r="G189" i="2"/>
  <c r="T36" i="2" s="1"/>
  <c r="H25" i="15" s="1"/>
  <c r="I193" i="2"/>
  <c r="V40" i="2" s="1"/>
  <c r="J29" i="15" s="1"/>
  <c r="I216" i="2"/>
  <c r="V63" i="2" s="1"/>
  <c r="J52" i="15" s="1"/>
  <c r="G226" i="2"/>
  <c r="T73" i="2" s="1"/>
  <c r="H62" i="15" s="1"/>
  <c r="F198" i="2"/>
  <c r="S45" i="2" s="1"/>
  <c r="G34" i="15" s="1"/>
  <c r="I183" i="2"/>
  <c r="V30" i="2" s="1"/>
  <c r="J19" i="15" s="1"/>
  <c r="F184" i="2"/>
  <c r="S31" i="2" s="1"/>
  <c r="G20" i="15" s="1"/>
  <c r="E201" i="2"/>
  <c r="R48" i="2" s="1"/>
  <c r="G228" i="2"/>
  <c r="T75" i="2" s="1"/>
  <c r="H64" i="15" s="1"/>
  <c r="H180" i="2"/>
  <c r="U27" i="2" s="1"/>
  <c r="I16" i="15" s="1"/>
  <c r="G195" i="2"/>
  <c r="T42" i="2" s="1"/>
  <c r="H31" i="15" s="1"/>
  <c r="F220" i="2"/>
  <c r="S67" i="2" s="1"/>
  <c r="G56" i="15" s="1"/>
  <c r="E216" i="2"/>
  <c r="R63" i="2" s="1"/>
  <c r="F209" i="2"/>
  <c r="S56" i="2" s="1"/>
  <c r="G45" i="15" s="1"/>
  <c r="E192" i="2"/>
  <c r="R39" i="2" s="1"/>
  <c r="E206" i="2"/>
  <c r="R53" i="2" s="1"/>
  <c r="F173" i="2"/>
  <c r="S20" i="2" s="1"/>
  <c r="G9" i="15" s="1"/>
  <c r="E196" i="2"/>
  <c r="R43" i="2" s="1"/>
  <c r="G190" i="2"/>
  <c r="T37" i="2" s="1"/>
  <c r="H26" i="15" s="1"/>
  <c r="I202" i="2"/>
  <c r="V49" i="2" s="1"/>
  <c r="J38" i="15" s="1"/>
  <c r="I191" i="2"/>
  <c r="V38" i="2" s="1"/>
  <c r="J27" i="15" s="1"/>
  <c r="F219" i="2"/>
  <c r="S66" i="2" s="1"/>
  <c r="G55" i="15" s="1"/>
  <c r="H201" i="2"/>
  <c r="U48" i="2" s="1"/>
  <c r="I37" i="15" s="1"/>
  <c r="H195" i="2"/>
  <c r="U42" i="2" s="1"/>
  <c r="I31" i="15" s="1"/>
  <c r="E218" i="2"/>
  <c r="R65" i="2" s="1"/>
  <c r="F183" i="2"/>
  <c r="S30" i="2" s="1"/>
  <c r="G19" i="15" s="1"/>
  <c r="F225" i="2"/>
  <c r="S72" i="2" s="1"/>
  <c r="G61" i="15" s="1"/>
  <c r="H212" i="2"/>
  <c r="U59" i="2" s="1"/>
  <c r="I48" i="15" s="1"/>
  <c r="E197" i="2"/>
  <c r="R44" i="2" s="1"/>
  <c r="H182" i="2"/>
  <c r="U29" i="2" s="1"/>
  <c r="I18" i="15" s="1"/>
  <c r="E225" i="2"/>
  <c r="R72" i="2" s="1"/>
  <c r="F197" i="2"/>
  <c r="S44" i="2" s="1"/>
  <c r="G33" i="15" s="1"/>
  <c r="F226" i="2"/>
  <c r="S73" i="2" s="1"/>
  <c r="G62" i="15" s="1"/>
  <c r="E195" i="2"/>
  <c r="R42" i="2" s="1"/>
  <c r="E209" i="2"/>
  <c r="R56" i="2" s="1"/>
  <c r="F215" i="2"/>
  <c r="S62" i="2" s="1"/>
  <c r="G51" i="15" s="1"/>
  <c r="F200" i="2"/>
  <c r="S47" i="2" s="1"/>
  <c r="G36" i="15" s="1"/>
  <c r="I189" i="2"/>
  <c r="V36" i="2" s="1"/>
  <c r="J25" i="15" s="1"/>
  <c r="H176" i="2"/>
  <c r="U23" i="2" s="1"/>
  <c r="I12" i="15" s="1"/>
  <c r="F218" i="2"/>
  <c r="S65" i="2" s="1"/>
  <c r="G54" i="15" s="1"/>
  <c r="H206" i="2"/>
  <c r="U53" i="2" s="1"/>
  <c r="I42" i="15" s="1"/>
  <c r="I187" i="2"/>
  <c r="V34" i="2" s="1"/>
  <c r="J23" i="15" s="1"/>
  <c r="G214" i="2"/>
  <c r="T61" i="2" s="1"/>
  <c r="H50" i="15" s="1"/>
  <c r="G181" i="2"/>
  <c r="T28" i="2" s="1"/>
  <c r="H17" i="15" s="1"/>
  <c r="E176" i="2"/>
  <c r="R23" i="2" s="1"/>
  <c r="E193" i="2"/>
  <c r="R40" i="2" s="1"/>
  <c r="I222" i="2"/>
  <c r="V69" i="2" s="1"/>
  <c r="J58" i="15" s="1"/>
  <c r="I198" i="2"/>
  <c r="V45" i="2" s="1"/>
  <c r="J34" i="15" s="1"/>
  <c r="I226" i="2"/>
  <c r="V73" i="2" s="1"/>
  <c r="J62" i="15" s="1"/>
  <c r="G221" i="2"/>
  <c r="T68" i="2" s="1"/>
  <c r="H57" i="15" s="1"/>
  <c r="I220" i="2"/>
  <c r="V67" i="2" s="1"/>
  <c r="J56" i="15" s="1"/>
  <c r="G192" i="2"/>
  <c r="T39" i="2" s="1"/>
  <c r="H28" i="15" s="1"/>
  <c r="E215" i="2"/>
  <c r="R62" i="2" s="1"/>
  <c r="E220" i="2"/>
  <c r="R67" i="2" s="1"/>
  <c r="F185" i="2"/>
  <c r="S32" i="2" s="1"/>
  <c r="G21" i="15" s="1"/>
  <c r="F174" i="2"/>
  <c r="S21" i="2" s="1"/>
  <c r="G10" i="15" s="1"/>
  <c r="H219" i="2"/>
  <c r="U66" i="2" s="1"/>
  <c r="I55" i="15" s="1"/>
  <c r="G208" i="2"/>
  <c r="T55" i="2" s="1"/>
  <c r="H44" i="15" s="1"/>
  <c r="H193" i="2"/>
  <c r="U40" i="2" s="1"/>
  <c r="I29" i="15" s="1"/>
  <c r="H204" i="2"/>
  <c r="U51" i="2" s="1"/>
  <c r="I40" i="15" s="1"/>
  <c r="H202" i="2"/>
  <c r="U49" i="2" s="1"/>
  <c r="I38" i="15" s="1"/>
  <c r="G197" i="2"/>
  <c r="T44" i="2" s="1"/>
  <c r="H33" i="15" s="1"/>
  <c r="E227" i="2"/>
  <c r="R74" i="2" s="1"/>
  <c r="F210" i="2"/>
  <c r="S57" i="2" s="1"/>
  <c r="G46" i="15" s="1"/>
  <c r="G180" i="2"/>
  <c r="T27" i="2" s="1"/>
  <c r="H16" i="15" s="1"/>
  <c r="G174" i="2"/>
  <c r="T21" i="2" s="1"/>
  <c r="H10" i="15" s="1"/>
  <c r="F217" i="2"/>
  <c r="S64" i="2" s="1"/>
  <c r="G53" i="15" s="1"/>
  <c r="H200" i="2"/>
  <c r="U47" i="2" s="1"/>
  <c r="I36" i="15" s="1"/>
  <c r="E208" i="2"/>
  <c r="R55" i="2" s="1"/>
  <c r="I178" i="2"/>
  <c r="V25" i="2" s="1"/>
  <c r="J14" i="15" s="1"/>
  <c r="H199" i="2"/>
  <c r="U46" i="2" s="1"/>
  <c r="I35" i="15" s="1"/>
  <c r="H185" i="2"/>
  <c r="U32" i="2" s="1"/>
  <c r="I21" i="15" s="1"/>
  <c r="G194" i="2"/>
  <c r="T41" i="2" s="1"/>
  <c r="H30" i="15" s="1"/>
  <c r="H187" i="2"/>
  <c r="U34" i="2" s="1"/>
  <c r="I23" i="15" s="1"/>
  <c r="F195" i="2"/>
  <c r="S42" i="2" s="1"/>
  <c r="G31" i="15" s="1"/>
  <c r="E200" i="2"/>
  <c r="R47" i="2" s="1"/>
  <c r="I228" i="2"/>
  <c r="V75" i="2" s="1"/>
  <c r="J64" i="15" s="1"/>
  <c r="E211" i="2"/>
  <c r="R58" i="2" s="1"/>
  <c r="F201" i="2"/>
  <c r="S48" i="2" s="1"/>
  <c r="G37" i="15" s="1"/>
  <c r="H224" i="2"/>
  <c r="U71" i="2" s="1"/>
  <c r="I60" i="15" s="1"/>
  <c r="E219" i="2"/>
  <c r="R66" i="2" s="1"/>
  <c r="I204" i="2"/>
  <c r="V51" i="2" s="1"/>
  <c r="J40" i="15" s="1"/>
  <c r="E203" i="2"/>
  <c r="R50" i="2" s="1"/>
  <c r="G205" i="2"/>
  <c r="T52" i="2" s="1"/>
  <c r="H41" i="15" s="1"/>
  <c r="H188" i="2"/>
  <c r="U35" i="2" s="1"/>
  <c r="I24" i="15" s="1"/>
  <c r="H207" i="2"/>
  <c r="U54" i="2" s="1"/>
  <c r="I43" i="15" s="1"/>
  <c r="F204" i="2"/>
  <c r="S51" i="2" s="1"/>
  <c r="G40" i="15" s="1"/>
  <c r="G179" i="2"/>
  <c r="T26" i="2" s="1"/>
  <c r="H15" i="15" s="1"/>
  <c r="I179" i="2"/>
  <c r="V26" i="2" s="1"/>
  <c r="J15" i="15" s="1"/>
  <c r="G204" i="2"/>
  <c r="T51" i="2" s="1"/>
  <c r="H40" i="15" s="1"/>
  <c r="G218" i="2"/>
  <c r="T65" i="2" s="1"/>
  <c r="H54" i="15" s="1"/>
  <c r="I217" i="2"/>
  <c r="V64" i="2" s="1"/>
  <c r="J53" i="15" s="1"/>
  <c r="F199" i="2"/>
  <c r="S46" i="2" s="1"/>
  <c r="G35" i="15" s="1"/>
  <c r="E178" i="2"/>
  <c r="R25" i="2" s="1"/>
  <c r="H221" i="2"/>
  <c r="U68" i="2" s="1"/>
  <c r="I57" i="15" s="1"/>
  <c r="H229" i="2"/>
  <c r="H189" i="2"/>
  <c r="U36" i="2" s="1"/>
  <c r="I25" i="15" s="1"/>
  <c r="F216" i="2"/>
  <c r="S63" i="2" s="1"/>
  <c r="G52" i="15" s="1"/>
  <c r="H217" i="2"/>
  <c r="U64" i="2" s="1"/>
  <c r="I53" i="15" s="1"/>
  <c r="F182" i="2"/>
  <c r="S29" i="2" s="1"/>
  <c r="G18" i="15" s="1"/>
  <c r="I194" i="2"/>
  <c r="V41" i="2" s="1"/>
  <c r="J30" i="15" s="1"/>
  <c r="H205" i="2"/>
  <c r="U52" i="2" s="1"/>
  <c r="I41" i="15" s="1"/>
  <c r="I229" i="2"/>
  <c r="F224" i="2"/>
  <c r="S71" i="2" s="1"/>
  <c r="G60" i="15" s="1"/>
  <c r="G198" i="2"/>
  <c r="T45" i="2" s="1"/>
  <c r="H34" i="15" s="1"/>
  <c r="AC265" i="16"/>
  <c r="AB264" i="16"/>
  <c r="F14" i="15" l="1"/>
  <c r="Y15" i="16"/>
  <c r="Y48" i="16"/>
  <c r="F47" i="15"/>
  <c r="Y37" i="16"/>
  <c r="F36" i="15"/>
  <c r="F56" i="15"/>
  <c r="Y57" i="16"/>
  <c r="Y30" i="16"/>
  <c r="F29" i="15"/>
  <c r="Y32" i="16"/>
  <c r="F31" i="15"/>
  <c r="Y33" i="16"/>
  <c r="F32" i="15"/>
  <c r="Y43" i="16"/>
  <c r="F42" i="15"/>
  <c r="Y38" i="16"/>
  <c r="F37" i="15"/>
  <c r="F25" i="15"/>
  <c r="Y26" i="16"/>
  <c r="Y58" i="16"/>
  <c r="F57" i="15"/>
  <c r="F38" i="15"/>
  <c r="Y39" i="16"/>
  <c r="Y61" i="16"/>
  <c r="F60" i="15"/>
  <c r="Y65" i="16"/>
  <c r="F64" i="15"/>
  <c r="Y19" i="16"/>
  <c r="F18" i="15"/>
  <c r="F27" i="15"/>
  <c r="Y28" i="16"/>
  <c r="Y31" i="16"/>
  <c r="F30" i="15"/>
  <c r="F49" i="15"/>
  <c r="Y50" i="16"/>
  <c r="F24" i="15"/>
  <c r="Y25" i="16"/>
  <c r="F50" i="15"/>
  <c r="Y51" i="16"/>
  <c r="Y17" i="16"/>
  <c r="F16" i="15"/>
  <c r="F62" i="15"/>
  <c r="Y63" i="16"/>
  <c r="F11" i="15"/>
  <c r="Y12" i="16"/>
  <c r="F59" i="15"/>
  <c r="Y60" i="16"/>
  <c r="Y9" i="16"/>
  <c r="F8" i="15"/>
  <c r="F43" i="15"/>
  <c r="Y44" i="16"/>
  <c r="T78" i="2"/>
  <c r="S2" i="2" s="1"/>
  <c r="I7" i="15"/>
  <c r="G7" i="15"/>
  <c r="I201" i="4"/>
  <c r="X18" i="2"/>
  <c r="J7" i="15"/>
  <c r="V78" i="2"/>
  <c r="F39" i="15"/>
  <c r="Y40" i="16"/>
  <c r="Y56" i="16"/>
  <c r="F55" i="15"/>
  <c r="Y45" i="16"/>
  <c r="F44" i="15"/>
  <c r="Y64" i="16"/>
  <c r="F63" i="15"/>
  <c r="F51" i="15"/>
  <c r="Y52" i="16"/>
  <c r="F12" i="15"/>
  <c r="Y13" i="16"/>
  <c r="F45" i="15"/>
  <c r="Y46" i="16"/>
  <c r="Y62" i="16"/>
  <c r="F61" i="15"/>
  <c r="F33" i="15"/>
  <c r="Y34" i="16"/>
  <c r="Y55" i="16"/>
  <c r="F54" i="15"/>
  <c r="F28" i="15"/>
  <c r="Y29" i="16"/>
  <c r="Y53" i="16"/>
  <c r="F52" i="15"/>
  <c r="F17" i="15"/>
  <c r="Y18" i="16"/>
  <c r="F40" i="15"/>
  <c r="Y41" i="16"/>
  <c r="Y10" i="16"/>
  <c r="F9" i="15"/>
  <c r="Y11" i="16"/>
  <c r="F10" i="15"/>
  <c r="F13" i="15"/>
  <c r="Y14" i="16"/>
  <c r="F22" i="15"/>
  <c r="Y23" i="16"/>
  <c r="Y59" i="16"/>
  <c r="F58" i="15"/>
  <c r="Y36" i="16"/>
  <c r="F35" i="15"/>
  <c r="F34" i="15"/>
  <c r="Y35" i="16"/>
  <c r="Y47" i="16"/>
  <c r="F46" i="15"/>
  <c r="Y27" i="16"/>
  <c r="F26" i="15"/>
  <c r="F21" i="15"/>
  <c r="Y22" i="16"/>
  <c r="Y20" i="16"/>
  <c r="F19" i="15"/>
  <c r="Y16" i="16"/>
  <c r="F15" i="15"/>
  <c r="Y49" i="16"/>
  <c r="F48" i="15"/>
  <c r="F41" i="15"/>
  <c r="Y42" i="16"/>
  <c r="F20" i="15"/>
  <c r="Y21" i="16"/>
  <c r="Y54" i="16"/>
  <c r="F53" i="15"/>
  <c r="Y24" i="16"/>
  <c r="F23" i="15"/>
  <c r="F7" i="15"/>
  <c r="Y8" i="16"/>
  <c r="Y67" i="16" s="1"/>
  <c r="Y68" i="16" s="1"/>
  <c r="Z6" i="16" s="1"/>
  <c r="AC266" i="16"/>
  <c r="AB265" i="16"/>
  <c r="AT140" i="4" l="1"/>
  <c r="BA136" i="4"/>
  <c r="AT121" i="4"/>
  <c r="AX139" i="4"/>
  <c r="AY119" i="4"/>
  <c r="AZ137" i="4"/>
  <c r="AW124" i="4"/>
  <c r="AX130" i="4"/>
  <c r="BA129" i="4"/>
  <c r="AZ120" i="4"/>
  <c r="BA123" i="4"/>
  <c r="AX134" i="4"/>
  <c r="BA132" i="4"/>
  <c r="AZ133" i="4"/>
  <c r="AW139" i="4"/>
  <c r="BA135" i="4"/>
  <c r="AZ130" i="4"/>
  <c r="AW126" i="4"/>
  <c r="BA130" i="4"/>
  <c r="AY123" i="4"/>
  <c r="AX123" i="4"/>
  <c r="AY120" i="4"/>
  <c r="AY136" i="4"/>
  <c r="AW135" i="4"/>
  <c r="AZ134" i="4"/>
  <c r="AY134" i="4"/>
  <c r="AZ124" i="4"/>
  <c r="AT120" i="4"/>
  <c r="AT133" i="4"/>
  <c r="AZ126" i="4"/>
  <c r="BA120" i="4"/>
  <c r="AY131" i="4"/>
  <c r="AW123" i="4"/>
  <c r="AX136" i="4"/>
  <c r="AY130" i="4"/>
  <c r="AX124" i="4"/>
  <c r="AW137" i="4"/>
  <c r="AX140" i="4"/>
  <c r="AY138" i="4"/>
  <c r="AY121" i="4"/>
  <c r="AT119" i="4"/>
  <c r="AX133" i="4"/>
  <c r="AY128" i="4"/>
  <c r="AZ131" i="4"/>
  <c r="AT126" i="4"/>
  <c r="AY127" i="4"/>
  <c r="BA134" i="4"/>
  <c r="AW140" i="4"/>
  <c r="AZ132" i="4"/>
  <c r="AW130" i="4"/>
  <c r="AX121" i="4"/>
  <c r="AT137" i="4"/>
  <c r="AW134" i="4"/>
  <c r="AW125" i="4"/>
  <c r="AZ122" i="4"/>
  <c r="AW120" i="4"/>
  <c r="AW131" i="4"/>
  <c r="AX129" i="4"/>
  <c r="BA128" i="4"/>
  <c r="AT136" i="4"/>
  <c r="AZ139" i="4"/>
  <c r="AZ127" i="4"/>
  <c r="AZ136" i="4"/>
  <c r="AT128" i="4"/>
  <c r="AT139" i="4"/>
  <c r="AZ119" i="4"/>
  <c r="AX126" i="4"/>
  <c r="AT125" i="4"/>
  <c r="AY132" i="4"/>
  <c r="AX131" i="4"/>
  <c r="BA140" i="4"/>
  <c r="AY140" i="4"/>
  <c r="BA122" i="4"/>
  <c r="AT138" i="4"/>
  <c r="AZ121" i="4"/>
  <c r="AX118" i="4"/>
  <c r="BA137" i="4"/>
  <c r="AW138" i="4"/>
  <c r="BA125" i="4"/>
  <c r="AT130" i="4"/>
  <c r="AY125" i="4"/>
  <c r="BA131" i="4"/>
  <c r="BA118" i="4"/>
  <c r="BA126" i="4"/>
  <c r="AY137" i="4"/>
  <c r="AZ123" i="4"/>
  <c r="AX119" i="4"/>
  <c r="AX135" i="4"/>
  <c r="AX138" i="4"/>
  <c r="AT135" i="4"/>
  <c r="AT123" i="4"/>
  <c r="AZ138" i="4"/>
  <c r="AW136" i="4"/>
  <c r="AW121" i="4"/>
  <c r="AX127" i="4"/>
  <c r="AW133" i="4"/>
  <c r="AY126" i="4"/>
  <c r="BA124" i="4"/>
  <c r="AW118" i="4"/>
  <c r="AT124" i="4"/>
  <c r="AZ135" i="4"/>
  <c r="AT127" i="4"/>
  <c r="AW127" i="4"/>
  <c r="BA138" i="4"/>
  <c r="AW132" i="4"/>
  <c r="AY133" i="4"/>
  <c r="AY129" i="4"/>
  <c r="AT134" i="4"/>
  <c r="AY118" i="4"/>
  <c r="AY139" i="4"/>
  <c r="AX120" i="4"/>
  <c r="AY135" i="4"/>
  <c r="AW129" i="4"/>
  <c r="AZ118" i="4"/>
  <c r="BA133" i="4"/>
  <c r="AY124" i="4"/>
  <c r="BA139" i="4"/>
  <c r="AT129" i="4"/>
  <c r="AY122" i="4"/>
  <c r="AZ129" i="4"/>
  <c r="AX122" i="4"/>
  <c r="AZ140" i="4"/>
  <c r="AT132" i="4"/>
  <c r="AZ125" i="4"/>
  <c r="AW122" i="4"/>
  <c r="AT118" i="4"/>
  <c r="AW119" i="4"/>
  <c r="AT131" i="4"/>
  <c r="AX125" i="4"/>
  <c r="BA119" i="4"/>
  <c r="AX128" i="4"/>
  <c r="AT122" i="4"/>
  <c r="AX137" i="4"/>
  <c r="BA127" i="4"/>
  <c r="AX132" i="4"/>
  <c r="AZ128" i="4"/>
  <c r="AW128" i="4"/>
  <c r="BA121" i="4"/>
  <c r="BA141" i="4"/>
  <c r="AY141" i="4"/>
  <c r="AW142" i="4"/>
  <c r="AX141" i="4"/>
  <c r="AT141" i="4"/>
  <c r="AW141" i="4"/>
  <c r="AZ142" i="4"/>
  <c r="AZ141" i="4"/>
  <c r="AW143" i="4"/>
  <c r="AX143" i="4"/>
  <c r="BA143" i="4"/>
  <c r="AT143" i="4"/>
  <c r="AY142" i="4"/>
  <c r="AT142" i="4"/>
  <c r="AX142" i="4"/>
  <c r="AY143" i="4"/>
  <c r="BA142" i="4"/>
  <c r="AZ144" i="4"/>
  <c r="AZ143" i="4"/>
  <c r="AX144" i="4"/>
  <c r="AW144" i="4"/>
  <c r="AT144" i="4"/>
  <c r="BA144" i="4"/>
  <c r="AY144" i="4"/>
  <c r="AW146" i="4"/>
  <c r="AX146" i="4"/>
  <c r="W3" i="2"/>
  <c r="X19" i="2" s="1"/>
  <c r="Z2" i="2" s="1"/>
  <c r="W2" i="2" s="1"/>
  <c r="V2" i="2" s="1"/>
  <c r="BC66" i="4"/>
  <c r="BC88" i="4" s="1"/>
  <c r="H2" i="16"/>
  <c r="D1" i="16" s="1"/>
  <c r="F3" i="15"/>
  <c r="AC267" i="16"/>
  <c r="AB266" i="16"/>
  <c r="G4" i="16" l="1"/>
  <c r="J2" i="2"/>
  <c r="N8" i="16" s="1"/>
  <c r="D3" i="16" s="1"/>
  <c r="BD70" i="4"/>
  <c r="J50" i="14"/>
  <c r="V3" i="2"/>
  <c r="AC268" i="16"/>
  <c r="AB267" i="16"/>
  <c r="AC269" i="16" l="1"/>
  <c r="AB268" i="16"/>
  <c r="AC270" i="16" l="1"/>
  <c r="AB269" i="16"/>
  <c r="AC271" i="16" l="1"/>
  <c r="AB270" i="16"/>
  <c r="AC272" i="16" l="1"/>
  <c r="AB271" i="16"/>
  <c r="AC273" i="16" l="1"/>
  <c r="AB272" i="16"/>
  <c r="AC274" i="16" l="1"/>
  <c r="AB273" i="16"/>
  <c r="AC275" i="16" l="1"/>
  <c r="AB274" i="16"/>
  <c r="AC276" i="16" l="1"/>
  <c r="AB275" i="16"/>
  <c r="AC277" i="16" l="1"/>
  <c r="AB276" i="16"/>
  <c r="AC278" i="16" l="1"/>
  <c r="AB277" i="16"/>
  <c r="AC279" i="16" l="1"/>
  <c r="AB278" i="16"/>
  <c r="AC280" i="16" l="1"/>
  <c r="AB279" i="16"/>
  <c r="AC281" i="16" l="1"/>
  <c r="AB280" i="16"/>
  <c r="AC282" i="16" l="1"/>
  <c r="AB281" i="16"/>
  <c r="AC283" i="16" l="1"/>
  <c r="AB282" i="16"/>
  <c r="AC284" i="16" l="1"/>
  <c r="AB283" i="16"/>
  <c r="AC285" i="16" l="1"/>
  <c r="AB284" i="16"/>
  <c r="AC286" i="16" l="1"/>
  <c r="AB285" i="16"/>
  <c r="AC287" i="16" l="1"/>
  <c r="AB286" i="16"/>
  <c r="AC288" i="16" l="1"/>
  <c r="AB287" i="16"/>
  <c r="AC289" i="16" l="1"/>
  <c r="AB288" i="16"/>
  <c r="AC290" i="16" l="1"/>
  <c r="AB289" i="16"/>
  <c r="AC291" i="16" l="1"/>
  <c r="AB290" i="16"/>
  <c r="AC292" i="16" l="1"/>
  <c r="AB291" i="16"/>
  <c r="AC293" i="16" l="1"/>
  <c r="AB292" i="16"/>
  <c r="AC294" i="16" l="1"/>
  <c r="AB293" i="16"/>
  <c r="AC295" i="16" l="1"/>
  <c r="AB294" i="16"/>
  <c r="AC296" i="16" l="1"/>
  <c r="AB295" i="16"/>
  <c r="AC297" i="16" l="1"/>
  <c r="AB296" i="16"/>
  <c r="AC298" i="16" l="1"/>
  <c r="AB297" i="16"/>
  <c r="AC299" i="16" l="1"/>
  <c r="AB298" i="16"/>
  <c r="AC300" i="16" l="1"/>
  <c r="AB299" i="16"/>
  <c r="AC301" i="16" l="1"/>
  <c r="AB300" i="16"/>
  <c r="AC302" i="16" l="1"/>
  <c r="AB301" i="16"/>
  <c r="AC303" i="16" l="1"/>
  <c r="AB302" i="16"/>
  <c r="AC304" i="16" l="1"/>
  <c r="AB303" i="16"/>
  <c r="AC305" i="16" l="1"/>
  <c r="AB304" i="16"/>
  <c r="AC306" i="16" l="1"/>
  <c r="AB305" i="16"/>
  <c r="AC307" i="16" l="1"/>
  <c r="AB306" i="16"/>
  <c r="AM5" i="1" l="1"/>
  <c r="AM6" i="1" s="1"/>
  <c r="L23" i="1" s="1"/>
  <c r="BB11" i="3" s="1"/>
  <c r="L26" i="1"/>
  <c r="AB18" i="1" s="1"/>
  <c r="E28" i="1" s="1"/>
  <c r="E29" i="1" s="1"/>
  <c r="E30" i="1" s="1"/>
  <c r="G29" i="1" s="1"/>
  <c r="AI13" i="1" l="1"/>
  <c r="E24" i="1"/>
  <c r="R56" i="1" l="1"/>
  <c r="R57" i="1" s="1"/>
  <c r="BB2" i="3"/>
  <c r="R58" i="1" l="1"/>
  <c r="M66" i="1" s="1"/>
  <c r="M68" i="1" s="1"/>
  <c r="M71" i="1" s="1"/>
  <c r="M73" i="1" s="1"/>
  <c r="M74" i="1" s="1"/>
  <c r="M76" i="1" s="1"/>
  <c r="M78" i="1" s="1"/>
  <c r="M80" i="1" s="1"/>
  <c r="M81" i="1" s="1"/>
  <c r="M83" i="1" s="1"/>
  <c r="M85" i="1" s="1"/>
  <c r="M87" i="1" s="1"/>
  <c r="M88" i="1" s="1"/>
  <c r="M90" i="1" s="1"/>
  <c r="M91" i="1" s="1"/>
  <c r="M95" i="1" s="1"/>
  <c r="E34" i="1" s="1"/>
  <c r="E33" i="1" s="1"/>
  <c r="R59" i="1"/>
  <c r="R60" i="1" s="1"/>
  <c r="L63" i="1" l="1"/>
  <c r="R61" i="1"/>
  <c r="AD6" i="1"/>
  <c r="O21" i="1" s="1"/>
  <c r="BB4" i="3" s="1"/>
  <c r="E32" i="1"/>
  <c r="E31" i="1" s="1"/>
  <c r="M65" i="1" l="1"/>
</calcChain>
</file>

<file path=xl/comments1.xml><?xml version="1.0" encoding="utf-8"?>
<comments xmlns="http://schemas.openxmlformats.org/spreadsheetml/2006/main">
  <authors>
    <author>khaled</author>
    <author>ansam khaled hadada</author>
  </authors>
  <commentList>
    <comment ref="A3" authorId="0">
      <text>
        <r>
          <rPr>
            <b/>
            <sz val="8"/>
            <color indexed="81"/>
            <rFont val="Tahoma"/>
            <family val="2"/>
          </rPr>
          <t>khaled:</t>
        </r>
        <r>
          <rPr>
            <sz val="8"/>
            <color indexed="81"/>
            <rFont val="Tahoma"/>
            <family val="2"/>
          </rPr>
          <t xml:space="preserve">
</t>
        </r>
      </text>
    </comment>
    <comment ref="O5" authorId="0">
      <text>
        <r>
          <rPr>
            <b/>
            <sz val="14"/>
            <color indexed="81"/>
            <rFont val="Tahoma"/>
            <family val="2"/>
          </rPr>
          <t xml:space="preserve">أخى العزيز:
</t>
        </r>
        <r>
          <rPr>
            <b/>
            <sz val="14"/>
            <color indexed="81"/>
            <rFont val="Roman"/>
            <family val="1"/>
            <charset val="255"/>
          </rPr>
          <t>هذه الخلية مخصصة للتحقق من أن الحصص صحيحة ظهور رقم سلبى تعنى وجود خطأ</t>
        </r>
        <r>
          <rPr>
            <sz val="14"/>
            <color indexed="81"/>
            <rFont val="Roman"/>
            <family val="1"/>
            <charset val="255"/>
          </rPr>
          <t xml:space="preserve">
</t>
        </r>
      </text>
    </comment>
    <comment ref="F9" authorId="1">
      <text>
        <r>
          <rPr>
            <sz val="14"/>
            <color indexed="81"/>
            <rFont val="Tahoma"/>
            <family val="2"/>
          </rPr>
          <t xml:space="preserve"> </t>
        </r>
        <r>
          <rPr>
            <sz val="14"/>
            <color indexed="81"/>
            <rFont val="Arial"/>
            <family val="2"/>
          </rPr>
          <t xml:space="preserve">أدخل عدد  الورثة        فى الخلية  
</t>
        </r>
      </text>
    </comment>
    <comment ref="R17" authorId="0">
      <text>
        <r>
          <rPr>
            <b/>
            <sz val="8"/>
            <color indexed="81"/>
            <rFont val="Tahoma"/>
            <family val="2"/>
          </rPr>
          <t>أ</t>
        </r>
        <r>
          <rPr>
            <b/>
            <sz val="8"/>
            <color indexed="81"/>
            <rFont val="Tahoma"/>
            <family val="2"/>
          </rPr>
          <t>خى العزيز:</t>
        </r>
        <r>
          <rPr>
            <sz val="8"/>
            <color indexed="81"/>
            <rFont val="Tahoma"/>
            <family val="2"/>
          </rPr>
          <t xml:space="preserve">
</t>
        </r>
        <r>
          <rPr>
            <sz val="8"/>
            <color indexed="81"/>
            <rFont val="Tahoma"/>
            <family val="2"/>
          </rPr>
          <t>تصحح الحلات الخاصة بالجد للحصول على مجموع الفرائض= 1</t>
        </r>
      </text>
    </comment>
  </commentList>
</comments>
</file>

<file path=xl/comments2.xml><?xml version="1.0" encoding="utf-8"?>
<comments xmlns="http://schemas.openxmlformats.org/spreadsheetml/2006/main">
  <authors>
    <author>khaled</author>
    <author>ansam khaled hadada</author>
  </authors>
  <commentList>
    <comment ref="D8" authorId="0">
      <text>
        <r>
          <rPr>
            <b/>
            <sz val="8"/>
            <color indexed="81"/>
            <rFont val="Tahoma"/>
            <family val="2"/>
          </rPr>
          <t>khaled:</t>
        </r>
        <r>
          <rPr>
            <sz val="8"/>
            <color indexed="81"/>
            <rFont val="Tahoma"/>
            <family val="2"/>
          </rPr>
          <t xml:space="preserve">
</t>
        </r>
        <r>
          <rPr>
            <sz val="8"/>
            <color indexed="81"/>
            <rFont val="Tahoma"/>
            <family val="2"/>
          </rPr>
          <t xml:space="preserve">1 - باب مِيرَاثِ الصُّلْبِ. حَدَّثَنِى يَحْيَى عَنْ مَالِكٍ الأَمْرُ الْمُجْتَمَعُ عَلَيْهِ عِنْدَنَا وَالَّذِى أَدْرَكْتُ عَلَيْهِ أَهْلَ الْعِلْمِ بِبَلَدِنَا فِى فَرَائِضِ الْمَوَارِيثِ أَنَّ مِيرَاثَ الْوَلَدِ مِنْ وَالِدِهِمْ أَوْ وَالِدَتِهِمْ أَنَّهُ إِذَا تُوُفِّىَ الأَبُ أَوِ الأُمُّ وَتَرَكَا وَلَدًا رِجَالاً وَنِسَاءً فَلِلذَّكَرِ مِثْلُ حَظِّ الأُنْثَيَيْنِ ف  - فَضْلاً إِنْ فَضَلَ فَيَقْتَسِمُونَهُ بَيْنَهُمْ لِلذَّكَرِ مِثْلُ حَظِّ وَلَكِنْ إِنْ فَضَلَ بَعْدَ فَرَائِضِ أَهْلِ الْفَرَائِضِ فَضْلٌ كَانَ ذَلِكَ الْفَضْلُ لِذَلِكَ الذَّكَرِ وَلِمَنْ هُوَ بِمَنْزِلَتِهِ وَمَنْ فَوْقَهُ مِنْ بَنَاتِ الأَبْنَاءِ لِلذَّكَرِ مِثْلُ حَظِّ الأُنْثَيَيْنِ وَلَيْسَ لِمَنْ هُوَ أَطْرَفُ مِنْهُمْ شَىْءٌ فَإِنْ لَمْ يَفْضُلْ شَىْءٌ فَلاَ شَىْءَ لَهُمْ وَذَلِكَ أَنَّ اللَّهَ تَبَارَكَ وَتَعَالَى قَالَ فِى كِتَابِهِ ( يُوصِيكُمُ اللَّهُ فِى أَوْلاَدِكُمْ لِلذَّكَرِ مِثْلُ حَظِّ الأُنْثَيَيْنِالأُنْثَيَيْنِ فَإِنْ لَمْ يَفْضُلْ شَىْءٌ فَلاَ شَىْءَ لَهُمْ  </t>
        </r>
      </text>
    </comment>
    <comment ref="AO8" authorId="1">
      <text>
        <r>
          <rPr>
            <b/>
            <sz val="9"/>
            <color indexed="81"/>
            <rFont val="Tahoma"/>
            <family val="2"/>
          </rPr>
          <t xml:space="preserve"> </t>
        </r>
        <r>
          <rPr>
            <b/>
            <sz val="14"/>
            <color indexed="81"/>
            <rFont val="Tahoma"/>
            <family val="2"/>
          </rPr>
          <t>المبرمج:
أضغط عاى أيقونة الفلتر لتقليص 
الجدول قم بأختيار حقق الشرط</t>
        </r>
        <r>
          <rPr>
            <sz val="14"/>
            <color indexed="81"/>
            <rFont val="Tahoma"/>
            <family val="2"/>
          </rPr>
          <t xml:space="preserve">
</t>
        </r>
      </text>
    </comment>
    <comment ref="D9" authorId="0">
      <text>
        <r>
          <rPr>
            <b/>
            <sz val="8"/>
            <color indexed="81"/>
            <rFont val="Tahoma"/>
            <family val="2"/>
          </rPr>
          <t>khaled:</t>
        </r>
        <r>
          <rPr>
            <sz val="8"/>
            <color indexed="81"/>
            <rFont val="Tahoma"/>
            <family val="2"/>
          </rPr>
          <t xml:space="preserve">
</t>
        </r>
        <r>
          <rPr>
            <sz val="8"/>
            <color indexed="81"/>
            <rFont val="Tahoma"/>
            <family val="2"/>
          </rPr>
          <t>فَإِنِ اجْتَمَعَ الْوَلَدُ لِلصُّلْبِ وَوَلَدُ الاِبْنِ وَكَانَ فِى الْوَلَدِ لِلصُّلْبِ ذَكَرٌ فَإِنَّهُ لاَ مِيرَاثَ مَعَهُ لأَحَدٍ مِنْ وَلَدِ الاِبْنِ فَإِنْ لَمْ يَكُنْ فِى الْوَلَدِ لِلصُّلْبِ ذَكَرٌ وَكَانَتَا ابْنَتَيْنِ فَأَكْثَرَ مِنْ ذَلِكَ مِنَ الْبَنَاتِ لِلصُّلْبِ فَإِنَّهُ لاَ مِيرَاثَ لِبَنَاتِ الاِبْنِ مَعَهُنَّ إِلاَّ أَنْ يَكُونَ مَعَ بَنَاتِ الاِبْنِ ذَكَرٌ هُوَ مِنَ الْمُتَوَفَّى بِمَنْزِلَتِهِنَّ أَوْ هُوَ أَطْرَفُ مِنْهُنَّ فَإِنَّهُ يَرُدُّ - عَلَى مَنْ هُوَ بِمَنْزِلَتِهِ وَمَنْ هُوَ فَوْقَهُ مِنْ بَنَاتِ الأَبْنَاءِ</t>
        </r>
      </text>
    </comment>
    <comment ref="D10" authorId="0">
      <text>
        <r>
          <rPr>
            <b/>
            <sz val="8"/>
            <color indexed="81"/>
            <rFont val="Tahoma"/>
            <family val="2"/>
          </rPr>
          <t>khaled:</t>
        </r>
        <r>
          <rPr>
            <sz val="8"/>
            <color indexed="81"/>
            <rFont val="Tahoma"/>
            <family val="2"/>
          </rPr>
          <t xml:space="preserve">
3 - </t>
        </r>
        <r>
          <rPr>
            <sz val="8"/>
            <color indexed="81"/>
            <rFont val="Tahoma"/>
            <family val="2"/>
          </rPr>
          <t xml:space="preserve">باب مِيرَاثِ الأَبِ وَالأُمِّ مِنْ وَلَدِهِمَا. قَالَ مَالِكٌ الأَمْرُ الْمُجْتَمَعُ عَلَيْهِ عِنْدَنَا الَّذِى لاَ اخْتِلاَفَ فِيهِ وَالَّذِى أَدْرَكْتُ عَلَيْهِ أَهْلَ الْعِلْمِ بِبَلَدِنَا أَنَّ مِيرَاثَ الأَبِ مِنِ ابْنِهِ أَوِ ابْنَتِهِ أَنَّهُ إِنْ تَرَكَ الْمُتَوَفَّى وَلَدًا أَوْ وَلَدَ ابْنٍ ذَكَرًا فَإِنَّهُ يُفْرَضُ لِلأَبِ السُّدُسُ فَرِيضَةً فَإِنْ لَمْ يَتْرُكِ الْمُتَوَفَّى وَلَدًا وَلاَ وَلَدَ ابْنٍ ذَكَرًا فَإِنَّهُ يُبَدَّأُ بِمَنْ شَرَّكَ الأَبَ مِنْ أَهْلِ الْفَرَائِضِ فَيُعْطَوْنَ فَرَائِضَهُمْ فَإِنْ فَضَلَ مِنَ الْمَالِ السُّدُسُ فَمَا فَوْقَهُ كَانَ لِلأَبِ وَإِنْ لَمْ يَفْضُلْ عَنْهُمُ السُّدُسُ فَمَا فَوْقَهُ فُرِضَ لِلأَبِ السُّدُسُ فَرِيضَةً. وَمِيرَاثُ </t>
        </r>
      </text>
    </comment>
    <comment ref="D11" authorId="0">
      <text>
        <r>
          <rPr>
            <b/>
            <sz val="8"/>
            <color indexed="81"/>
            <rFont val="Tahoma"/>
            <family val="2"/>
          </rPr>
          <t>khaled:</t>
        </r>
        <r>
          <rPr>
            <sz val="8"/>
            <color indexed="81"/>
            <rFont val="Tahoma"/>
            <family val="2"/>
          </rPr>
          <t xml:space="preserve">
1077 - ح</t>
        </r>
        <r>
          <rPr>
            <sz val="8"/>
            <color indexed="81"/>
            <rFont val="Tahoma"/>
            <family val="2"/>
          </rPr>
          <t>َدَّثَنِى يَحْيَى عَنْ مَالِكٍ عَنْ يَحْيَى بْنِ سَعِيدٍ أَنَّهُ بَلَغَهُ أَنَّ مُعَاوِيَةَ بْنَ أَبِى سُفْيَانَ كَتَبَ إِلَى زَيْدِ بْنِ ثَابِتٍ يَسْأَلُهُ عَنِ الْجَدِّ فَكَتَبَ إِلَيْهِ زَيْدُ بْنُ ثَابِتٍ إِنَّكَ كَتَبْتَ إِلَىَّ تَسْأَلُنِى عَنِ الْجَدِّ وَاللَّهُ أَعْلَمُ وَذَلِكَ مِمَّا لَمْ يَكُنْ يَقْضِى فِيهِ إِلاَّ الأُمَرَاءُ - يَعْنِى الْخُلَفَاءَ - وَقَدْ حَضَرْتُ الْخَلِيفَتَيْنِ قَبْلَكَ يُعْطِيَانِهِ النِّصْفَ مَعَ الأَخِ الْوَاحِدِ وَالثُّلُثَ مَعَ الاِثْنَيْنِ فَإِنْ كَثُرَتِ الإِخْوَةُ لَمْ يُنَقِّصُوهُ مِنَ الثُّلُثِ. 511/2 قَالَ مَالِكٌ وَالْجَدُّ وَالإِخْوَةُ لِلأَبِ وَالأُمِّ إِذَا شَرَّكَهُمْ أَحَدٌ بِفَرِيضَةٍ مُسَمَّاةٍ يُبَدَّأُ بِمَنْ شَرَّكَهُمْ مِنْ أَهْلِ الْفَرَائِضِ فَيُعْطَوْنَ فَرَائِضَهُمْ فَمَا بَقِىَ بَعْدَ ذَلِكَ لِلْجَدِّ وَالإِخْوَةِ مِنْ شَىْءٍ فَإِنَّهُ يُنْظَرُ أَىُّ ذَلِكَ أَفْضَلُ لِحَظِّ الْجَدِّ أُعْطِيَهُ الثُّلُثُ مِمَّا بَقِىَ لَهُ وَلِلإِخْوَةِ أَوْ يَكُونُ بِمَنْزِلَةِ رَجُلٍ مِنَ الإِخْوَةِ فِيمَا يَحْصُلُ لَهُ وَلَهُمْ يُقَاسِمُهُمْ بِمِثْلِ حِصَّةِ أَحَدِهِمْ أَوِ السُّدُسُ مِنْ رَأْسِ الْمَالِ كُلِّهِ أَىُّ ذَلِكَ كَانَ أَفْضَلَ لِحَظِّ الْجَدِّ أُعْطِيَهُ الْجَدُّ وَكَانَ مَا بَقِىَ بَعْدَ ذَلِكَ لِلإِخْوَةِ لِلأَبِ وَالأُمِّ لِلذَّكَرِ مِثْلُ حَظِّ الأُنْثَيَيْنِ إِلاَّ فِى فَرِيضَةٍ وَاحِدَةٍ تَكُونُ قِسْمَتُهُمْ فِيهَا عَلَى غَيْرِ ذَلِكَ وَتِلْكَ الْفَرِيضَةُ امْرَأَةٌ تُوُفِّيَتْ وَتَرَكَتْ زَوْجَهَا وَأُمَّهَا وَأُخْتَهَا لأُمِّهَا وَأَبِيهَا وَجَدَّهَا فَلِلزَّوْجِ النِّصْفُ وَلِلأُمِّ الثُّلُثُ وَلِلْجَدِّ السُّدُسُ وَلِلأُخْتِ لِلأُمِّ وَالأَبِ النِّصْفُ ثُمَّ يُجْمَعُ سُدُسُ الْجَدِّ وَنِصْفُ الأُخْتِ فَيُقْسَمُ أَثْلاَثًا لِلذَّكَرِ مِثْلُ حَظِّ الأُنْثَيَيْنِ فَيَكُونُ لِلْجَدِّ ثُلُثَاهُ وَلِلأُخْتِ ثُلُثُهُ. 512/2</t>
        </r>
      </text>
    </comment>
    <comment ref="D12" authorId="0">
      <text>
        <r>
          <rPr>
            <b/>
            <sz val="8"/>
            <color indexed="81"/>
            <rFont val="Tahoma"/>
            <family val="2"/>
          </rPr>
          <t>khaled:</t>
        </r>
        <r>
          <rPr>
            <sz val="8"/>
            <color indexed="81"/>
            <rFont val="Tahoma"/>
            <family val="2"/>
          </rPr>
          <t xml:space="preserve">
5 - باب مِيرَاثِ الإِخْوَةِ لِلأَبِ وَالأُمِّ. قَالَ مَالِكٌ الأَمْرُ الْمُجْتَمَعُ عَلَيْهِ عِنْدَنَا أَنَّ الإِخْوَةَ لِلأَبِ وَالأُمِّ لاَ يَرِثُونَ مَعَ الْوَلَدِ الذَّكَرِ شَيْئًا وَلاَ مَعَ وَلَدِ الاِبْنِ الذَّكَرِ شَيْئًا وَلاَ مَعَ الأَبِ دِنْيَا شَيْئًا وَهُمْ يَرِثُونَ مَعَ الْبَنَاتِ وَبَنَاتِ الأَبْنَاءِ - مَا لَمْ يَتْرُكِ الْمُتَوَفَّى جَدًّا أَبَا أَبٍ - مَا فَضَلَ مِنَ الْمَالِ يَكُونُونَ فِيهِ عَصَبَةً يُبْدَأُ بِمَنْ كَانَ لَهُ أَصْلُ فَرِيضَةٍ مُسَمَّاةٍ فَيُعْطَوْنَ فَرَائِضَهُمْ فَإِنْ فَضَلَ بَعْدَ ذَلِكَ فَضْلٌ كَانَ لِلإِخْوَةِ لِلأَبِ وَالأُمِّ يَقْتَسِمُونَهُ بَيْنَهُمْ عَلَى كِتَابِ اللَّهِ - ذُكْرَانًا كَانُوا أَوْ إِنَاثًا - لِلذَّكَرِ مِثْلُ حَظِّ الأُنْثَيَيْنِ فَإِنْ لَمْ يَفْضُلْ شَىْءٌ فَلاَ شَىْءَ لَهُمْ. قَالَ وَإِنْ لَمْ يَتْرُكِ الْمُتَوَفَّى أَبًا وَلاَ جَدًّا أَبَا أَبٍ وَلاَ وَلَدًا وَلاَ وَلَدَ ابْنٍ - ذَكَرًا كَانَ أَوْ أُنْثَى - فَإِنَّهُ يُفْرَضُ لِلأُخْتِ الْوَاحِدَةِ لِلأَبِ وَالأُمِّ النِّصْفُ فَإِنْ كَانَتَا اثْنَتَيْنِ فَمَا فَوْقَ ذَلِكَ مِنَ الأَخَوَاتِ لِلأَبِ وَالأُمِّ فُرِضَ لَهُمَا الثُّلُثَانِ فَإِنْ كَانَ مَعَهُمَا أَخٌ ذَكَرٌ فَلاَ فَرِيضَةَ لأَحَدٍ مِنَ الأَخَوَاتِ وَاحِدَةً كَانَتْ أَوْ أَكْثَرَ مِنْ ذَلِكَ وَيُبْدَأُ بِمَنْ شَرِكَهُمْ بِفَرِيضَةٍ مُسَمَّاةٍ فَيُعْطَوْنَ فَرَائِضَهُمْ فَمَا فَضَلَ بَعْدَ ذَلِكَ مِنْ شَىْءٍ كَانَ بَيْنَ الإِخْوَةِ لِلأَبِ وَالأُمِّ لِلذَّكَرِ مِثْلُ حَظِّ الأُنْثَيَيْنِ </t>
        </r>
      </text>
    </comment>
    <comment ref="D13" authorId="0">
      <text>
        <r>
          <rPr>
            <b/>
            <sz val="16"/>
            <color indexed="81"/>
            <rFont val="Tahoma"/>
            <family val="2"/>
          </rPr>
          <t>khaled:</t>
        </r>
        <r>
          <rPr>
            <sz val="16"/>
            <color indexed="81"/>
            <rFont val="Tahoma"/>
            <family val="2"/>
          </rPr>
          <t xml:space="preserve">
6 - باب مِيرَاثِ الإِخْوَةِ لِلأَبِ. قَالَ مَالِكٌ الأَمْرُ الْمُجْتَمَعُ عَلَيْهِ عِنْدَنَا أَنَّ مِيرَاثَ الإِخْوَةِ لِلأَبِ - إِذَا لَمْ يَكُنْ مَعَهُمْ أَحَدٌ مِنْ بَنِى الأَبِ وَالأُمِّ - كَمَنْزِلَةِ الإِخْوَةِ لِلأَبِ وَالأُمِّ سَوَاءٌ - ذَكَرُهُمْ كَذَكَرِهِمْ وَأُنْثَاهُمْ كَأُنْثَاهُمْ إِلاَّ أَنَّهُمْ لاَ يُشَرَّكُونَ مَعَ بَنِى الأُمِّ فِى الْفَرِيضَةِ الَّتِى شَرَّكَهُمْ فِيهَا بَنُو الأَبِ وَالأُمِّ لأَنَّهُمْ خَرَجُوا مِنْ وِلاَدَةِ الأُمِّ الَّتِى جَمَعَتْ أُولَئِكَ. قَالَ مَالِكٌ فَإِنِ اجْتَمَعَ الإِخْوَةُ لِلأَبِ وَالأُمِّ وَالإِخْوَةُ لِلأَبِ فَكَانَ فِى بَنِى الأَبِ وَالأُمِّ ذَكَرٌ فَلاَ مِيرَاثَ لأَحَدٍ مِنْ بَنِى الأَبِ وَإِنْ لَمْ يَكُنْ بَنُو الأَبِ وَالأُمِّ إِلاَّ امْرَأَةً وَاحِدَةً أَوْ أَكْثَرَ مِنْ ذَلِكَ مِنَ الإِنَاثِ لاَ ذَكَرَ مَعَهُنَّ فَإِنَّهُ يُفْرَضُ لِلأُخْتِ الْوَاحِدَةِ لِلأَبِ وَالأُمِّ النِّصْفُ وَيُفْرَضُ لِلأَخَوَاتِ لِلأَبِ السُّدُسُ تَتِمَّةَ الثُّلُثَيْنِ فَإِنْ كَانَ مَعَ الأَخَوَاتِ لِلأَبِ ذَكَرٌ فَلاَ فَرِيضَةَ لَهُنَّ وَيُبْدَأُ بِأَهْلِ الْفَرَائِضِ الْمُسَمَّاةِ فَيُعْطَوْنَ فَرَائِضَهُمْ فَإِنْ فَضَلَ بَعْدَ ذَلِكَ فَضْلٌ كَانَ بَيْنَ الإِخْوَةِ لِلأَبِ لِلذَّكَرِ مِثْلُ حَظِّ الأُنْثَيَيْنِ وَإِنْ لَمْ يَفْضُلْ شَىْءٌ فَلاَ شَىْءَ لَهُمْ فَإِنْ كَانَ الإِخْوَةُ لِلأَبِ وَالأُمِّ امْرَأَتَيْنِ أَوْ أَكْثَرَ مِنْ ذَلِكَ مِنَ الإِنَاثِ فُرِضَ لَهُنَّ الثُّلُثَانِ وَلاَ مِيرَاثَ مَعَهُنَّ لِلأَخَوَاتِ لِلأَبِ إِلاَّ أَنْ يَكُونَ مَعَهُنَّ أَخٌ لأَبٍ فَإِنْ كَانَ مَعَهُنَّ أَخٌ لأَبٍ بُدِئَ بِمَنْ شَرَّكَهُمْ بِفَرِيضَةٍ مُسَمَّاةٍ فَأُعْطُوا فَرَائِضَهُمْ فَإِنْ فَضَلَ بَعْدَ ذَلِكَ فَضْلٌ كَانَ بَيْنَ الإِخْوَةِ لِلأَبِ لِلذَّكَرِ مِثْلُ حَظِّ الأُنْثَيَيْنِ وَإِنْ لَمْ يَفْضُلْ شَىْءٌ فَلاَ شَىْءَ لَهُمْ وَلِبَنِى الأُمِّ مَعَ بَنِى الأَبِ وَالأُمِّ وَمَعَ بَنِى الأَبِ وَالأُمِّ وَمَعَ بَنِى الأَبِ لِلْوَاحِدِ السُّدُسُ وَلِلاِثْنَيْنِ فَصَاعِدًا الثُّلُثُ لِلذَّكَرِ مِثْلُ حَظِّ الأُنْثَى هُمْ فِيهِ بِمَنْزِلَةٍ وَاحِدَةٍ سَوَاءٌ. 510/2 </t>
        </r>
      </text>
    </comment>
    <comment ref="D14" authorId="0">
      <text>
        <r>
          <rPr>
            <b/>
            <sz val="16"/>
            <color indexed="81"/>
            <rFont val="Tahoma"/>
            <family val="2"/>
          </rPr>
          <t>khaled:</t>
        </r>
        <r>
          <rPr>
            <sz val="16"/>
            <color indexed="81"/>
            <rFont val="Tahoma"/>
            <family val="2"/>
          </rPr>
          <t xml:space="preserve">
4 - باب مِيرَاثِ الإِخْوَةِ لِلأُمِّ. قَالَ مَالِكٌ الأَمْرُ الْمُجْتَمَعُ عَلَيْهِ عِنْدَنَا أَنَّ الإِخْوَةَ لِلأُمِّ لاَ يَرِثُونَ مَعَ الْوَلَدِ وَلاَ مَعَ وَلَدِ الأَبْنَاءِ - ذُكْرَانًا كَانُوا أَوْ إِنَاثًا - شَيْئًا وَلاَ يَرِثُونَ مَعَ الأَبِ وَلاَ مَعَ الْجَدِّ أَبِى الأَبِ شَيْئًا وَأَنَّهُمْ يَرِثُونَ فِيمَا سِوَى ذَلِكَ يُفْرَضُ لِلْوَاحِدِ مِنْهُمُ السُّدُسُ - ذَكَرًا كَانَ أَوْ أُنْثَى - فَإِنْ كَانَا اثْنَيْنِ فَلِكُلِّ وَاحِدٍ مِنْهُمَا السُّدُسُ فَإِنْ كَانُوا أَكْثَرَ مِنْ ذَلِكَ فَهُمْ شُرَكَاءُ فِى الثُّلُثِ يَقْتَسِمُونَهُ بَيْنَهُمْ بِالسَّوَاءِ لِلذَّكَرِ مِثْلُ حَظِّ الأُنْثَيَيْنِ وَذَلِكَ أَنَّ اللَّهَ تَبَارَكَ وَتَعَالَى يَقُولُ فِى كِتَابِهِ (وَإِنْ كَانَ رَجُلٌ يُورَثُ كَلاَلَةً أَوِ امْرَأَةٌ وَلَهُ أَخٌ أَوْ أُخْتٌ فَلِكُلِّ وَاحِدٍ مِنْهُمَا السُّدُسُ فَإِنْ كَانُوا أَكْثَرَ مِنْ ذَلِكَ فَهُمْ شُرَكَاءُ فِى الثُّلُثِ) فَكَانَ الذَّكَرُ وَالأُنْثَى فِى هَذَا بِمَنْزِلَةٍ وَاحِدَةٍ. 508/2 </t>
        </r>
      </text>
    </comment>
    <comment ref="D21" authorId="0">
      <text>
        <r>
          <rPr>
            <b/>
            <sz val="8"/>
            <color indexed="81"/>
            <rFont val="Tahoma"/>
            <family val="2"/>
          </rPr>
          <t>khaled:</t>
        </r>
        <r>
          <rPr>
            <sz val="8"/>
            <color indexed="81"/>
            <rFont val="Tahoma"/>
            <family val="2"/>
          </rPr>
          <t xml:space="preserve">
2 - باب مِيرَاثِ الرَّجُلِ مِنِ امْرَأَتِهِ وَالْمَرْأَةِ مِنْ زِوْجِهَا. قَالَ مَالِكٌ وَمِيرَاثُ الرَّجُلِ مِنِ امْرَأَتِهِ - إِذَا لَمْ تَتْرُكْ وَلَدًا وَلاَ وَلَدَ ابْنٍ مِنْهُ أَوْ مِنْ غَيْرِهِ - النِّصْفُ فَإِنْ تَرَكَتْ وَلَدًا أَوْ وَلَدَ ابْنٍ - ذَكَرًا كَانَ أَوْ أُنْثَى - فَلِزَوْجِهَا الرُّبُعُ مِنْ بَعْدِ وَصِيَّةٍ تُوصِى بِهَا أَوْ دَيْنٍ.</t>
        </r>
      </text>
    </comment>
    <comment ref="D22" authorId="0">
      <text>
        <r>
          <rPr>
            <b/>
            <sz val="8"/>
            <color indexed="81"/>
            <rFont val="Tahoma"/>
            <family val="2"/>
          </rPr>
          <t>khaled:</t>
        </r>
        <r>
          <rPr>
            <sz val="8"/>
            <color indexed="81"/>
            <rFont val="Tahoma"/>
            <family val="2"/>
          </rPr>
          <t xml:space="preserve">
2 - باب مِيرَاثِ الرَّجُلِ مِنِ امْرَأَتِهِ وَالْمَرْأَةِ مِنْ زِوْجِهَا. قَالَ مَالِكٌ وَمِيرَاثُ الرَّجُلِ مِنِ امْرَأَتِهِ - إِذَا لَمْ تَتْرُكْ وَلَدًا وَلاَ وَلَدَ ابْنٍ مِنْهُ أَوْ مِنْ غَيْرِهِ - النِّصْفُ فَإِنْ تَرَكَتْ وَلَدًا أَوْ وَلَدَ ابْنٍ - ذَكَرًا كَانَ أَوْ أُنْثَى - فَلِزَوْجِهَا الرُّبُعُ مِنْ بَعْدِ وَصِيَّةٍ تُوصِى بِهَا أَوْ دَيْنٍ.</t>
        </r>
      </text>
    </comment>
    <comment ref="D23" authorId="0">
      <text>
        <r>
          <rPr>
            <b/>
            <sz val="8"/>
            <color indexed="81"/>
            <rFont val="Tahoma"/>
            <family val="2"/>
          </rPr>
          <t>khaled:</t>
        </r>
        <r>
          <rPr>
            <sz val="8"/>
            <color indexed="81"/>
            <rFont val="Tahoma"/>
            <family val="2"/>
          </rPr>
          <t xml:space="preserve">
</t>
        </r>
        <r>
          <rPr>
            <sz val="8"/>
            <color indexed="81"/>
            <rFont val="Tahoma"/>
            <family val="2"/>
          </rPr>
          <t xml:space="preserve">َإِنْ كُنَّ نِسَاءً فَوْقَ اثْنَتَيْنِ فَلَهُنَّ ثُلُثَا مَا تَرَكَ وَإِنْ كَانَتْ وَاحِدَةً فَلَهَا النِّصْفُ فَإِنْ شَرِكَهُمْ أَحَدٌ بِفَرِيضَةٍ مُسَمَّاةٍ وَكَانَ فِيهِمْ ذَكَرٌ بُدِئَ بِفَرِيضَةِ مَنْ شَرِكَهُمْ وَكَانَ مَا بَقِىَ بَعْدَ ذَلِكَ بَيْنَهُمْ عَلَى قَدْرِ مَوَارِيثِهِمْ وَمَنْزِلَةِ وَلَدِ الأَبْنَاءِ الذُّكُورِ إِذَا لَمْ يَكُنْ وَلَدٌ كَمَنْزِلَةِ الْوَلَدِ سَوَاءٌ ذُكُورُهُمْ كَذُكُورِهِمْ وَإِنَاثُهُمْ كَإِنَاثِهِمْ يَرِثُونَ كَمَا يَرِثُونَ وَيَحْجُبُونَ كَمَا يَحْجُبُونَ </t>
        </r>
      </text>
    </comment>
    <comment ref="D24" authorId="0">
      <text>
        <r>
          <rPr>
            <b/>
            <sz val="8"/>
            <color indexed="81"/>
            <rFont val="Tahoma"/>
            <family val="2"/>
          </rPr>
          <t>khaled:</t>
        </r>
        <r>
          <rPr>
            <sz val="8"/>
            <color indexed="81"/>
            <rFont val="Tahoma"/>
            <family val="2"/>
          </rPr>
          <t xml:space="preserve">
و</t>
        </r>
        <r>
          <rPr>
            <sz val="8"/>
            <color indexed="81"/>
            <rFont val="Tahoma"/>
            <family val="2"/>
          </rPr>
          <t>َإِنْ لَمْ يَكُنِ الْوَلَدُ لِلصُّلْبِ إِلاَّ ابْنَةً وَاحِدَةً فَلَهَا النِّصْفُ وَلاِبْنَةِ ابْنِهِ - وَاحِدَةً كَانَتْ أَوْ أَكْثَرَ مِنْ ذَلِكَ مِنْ بَنَاتِ الأَبْنَاءِ مِمَّنْ هُوَ مِنَ الْمُتَوَفَّى بِمَنْزِلَةٍ وَاحِدَةٍ - السُّدُسُ فَإِنْ كَانَ مَعَ بَنَاتِ الاِبْنِ ذَكَرٌ هُوَ مِنَ الْمُتَوَفَّى بِمَنْزِلَتِهِنَّ فَلاَ فَرِيضَةَ وَلاَ سُدُسَ لَهُنَّ</t>
        </r>
      </text>
    </comment>
    <comment ref="D25" authorId="0">
      <text>
        <r>
          <rPr>
            <b/>
            <sz val="8"/>
            <color indexed="81"/>
            <rFont val="Tahoma"/>
            <family val="2"/>
          </rPr>
          <t>khaled:</t>
        </r>
        <r>
          <rPr>
            <sz val="8"/>
            <color indexed="81"/>
            <rFont val="Tahoma"/>
            <family val="2"/>
          </rPr>
          <t xml:space="preserve">
</t>
        </r>
        <r>
          <rPr>
            <sz val="8"/>
            <color indexed="81"/>
            <rFont val="Tahoma"/>
            <family val="2"/>
          </rPr>
          <t xml:space="preserve">الأُمِّ مِنْ وَلَدِهَا إِذَا تُوُفِّىَ ابْنُهَا أَوِ ابْنَتُهَا فَتَرَكَ الْمُتَوَفَّى وَلَدًا أَوْ وَلَدَ ابْنٍ ذَكَرًا كَانَ أَوْ أُنْثَى أَوْ تَرَكَ مِنَ الإِخْوَةِ اثْنَيْنِ فَصَاعِدًا - ذُكُورًا كَانُوا أَوْ إِنَاثًا - مِنْ أَبٍ وَأُمٍّ أَوْ مِنْ أَبٍ أَوْ مِنْ أُمٍّ فَالسُّدُسُ لَهَا وَإِنْ لَمْ يَتْرُكِ الْمُتَوَفَّى وَلَدًا وَلاَ وَلَدَ ابْنٍ وَلاَ اثْنَيْنِ مِنَ الإِخْوَةِ فَصَاعِدًا فَإِنَّ لِلأُمِّ الثُّلُثَ كَامِلاً إِلاَّ فِى فَرِيضَتَيْنِ فَقَطْ وَإِحْدَى الْفَرِيضَتَيْنِ أَنْ يُتَوَفَّى رَجُلٌ وَيَتْرُكَ امْرَأَتَهُ وَأَبَوَيْهِ فَلاِمْرَأَتِهِ الرُّبُعُ وَلأُمِّهِ الثُّلُثُ مِمَّا بَقِىَ وَهُوَ الرُّبُعُ مِنْ رَأْسِ الْمَالِ وَالأُخْرَى أَنْ تُتَوَفَّىَ امْرَأَةٌ وَتَتْرُكَ زَوْجَهَا وَأَبَوَيْهَا فَيَكُونُ لِزَوْجِهَا النِّصْفُ وَلأُمِّهَا الثُّلُثُ مِمَّا بَقِىَ وَهُوَ السُّدُسُ مِنْ رَأْسِ الْمَالِ وَذَلِكَ أَنَّ اللَّهَ تَبَارَكَ وَتَعَالَى يَقُولُ فِى كِتَابِهِ (وَلأَبَوَيْهِ لِكُلِّ وَاحِدٍ مِنْهُمَا السُّدُسُ مِمَّا تَرَكَ إِنْ كَانَ لَهُ وَلَدٌ فَإِنْ لَمْ يَكُنْ لَهُ وَلَدٌ وَوَرِثَهُ أَبَوَاهُ فَلأُمِّهِ الثُّلُثُ فَإِنْ كَانَ لَهُ إِخْوَةٌ فَلأُمِّهِ السُّدُسُ) فَمَضَتِ السُّنَّةُ أَنَّ الإِخْوَةَ اثْنَانِ فَصَاعِدًا. 507/2 </t>
        </r>
      </text>
    </comment>
    <comment ref="D26" authorId="0">
      <text>
        <r>
          <rPr>
            <b/>
            <sz val="8"/>
            <color indexed="81"/>
            <rFont val="Tahoma"/>
            <family val="2"/>
          </rPr>
          <t>khaled:</t>
        </r>
        <r>
          <rPr>
            <sz val="8"/>
            <color indexed="81"/>
            <rFont val="Tahoma"/>
            <family val="2"/>
          </rPr>
          <t xml:space="preserve">
إ</t>
        </r>
        <r>
          <rPr>
            <sz val="8"/>
            <color indexed="81"/>
            <rFont val="Tahoma"/>
            <family val="2"/>
          </rPr>
          <t xml:space="preserve">ِلاَّ فِى فَرِيضَةٍ وَاحِدَةٍ فَقَطْ لَمْ يَكُنْ لَهُمْ فِيهَا شَىْءٌ فَاشْتَرَكُوا فِيهَا مَعَ بَنِى الأُمِّ فِى ثُلُثِهِمْ وَتِلْكَ الْفَرِيضَةُ هِىَ امْرَأَةٌ تُوُفِّيَتْ وَتَرَكَتْ زَوْجَهَا وَأُمَّهَا وَإِخْوَتَهَا لأُمِّهَا وَإِخْوَتَهَا لأُمِّهَا وَأَبِيهَا فَكَانَ لِزَوْجِهَا النِّصْفُ وَلأُمِّهَا السُّدُسُ وَلإِخْوَتِهَا لأُمِّهَا الثُّلُثُ فَلَمْ يَفْضُلْ شَىْءٌ بَعْدَ ذَلِكَ فَيَشْتَرِكُ بَنُو الأَبِ وَالأُمِّ فِى هَذِهِ الْفَرِيضَةِ مَعَ بَنِى الأُمِّ فِى ثُلُثِهِمْ فَيَكُونُ لِلذَّكَرِ مِثْلُ حَظِّ الأُنْثَى مِنْ أَجْلِ أَنَّهُمْ كُلَّهُمْ إِخْوَةُ الْمُتَوَفَّى لأُمِّهِ وَإِنَّمَا وَرِثُوا بِالأُمِّ وَذَلِكَ أَنَّ اللَّهَ تَبَارَكَ وَتَعَالَى قَالَ فِى كِتَابِهِ (وَإِنْ كَانَ رَجُلٌ يُورَثُ كَلاَلَةً أَوِ امْرَأَةٌ وَلَهُ أَخٌ أَوْ أُخْتٌ فَلِكُلِّ وَاحِدٍ مِنْهُمَا السُّدُسُ فَإِنْ كَانُوا أَكْثَرَ مِنْ ذَلِكَ فَهُمْ شُرَكَاءُ فِى الثُّلُثِ) فَلِذَلِكَ شُرِّكُوا فِى هَذِهِ الْفَرِيضَةِ لأَنَّهُمْ كُلَّهُمْ إِخْوَةُ الْمُتَوَفَّى لأُمِّهِ. 509/2 </t>
        </r>
      </text>
    </comment>
    <comment ref="D29" authorId="0">
      <text>
        <r>
          <rPr>
            <b/>
            <sz val="8"/>
            <color indexed="81"/>
            <rFont val="Tahoma"/>
            <family val="2"/>
          </rPr>
          <t>khaled:</t>
        </r>
        <r>
          <rPr>
            <sz val="8"/>
            <color indexed="81"/>
            <rFont val="Tahoma"/>
            <family val="2"/>
          </rPr>
          <t xml:space="preserve">
1082 - </t>
        </r>
        <r>
          <rPr>
            <sz val="8"/>
            <color indexed="81"/>
            <rFont val="Tahoma"/>
            <family val="2"/>
          </rPr>
          <t xml:space="preserve">وَحَدَّثَنِى عَنْ مَالِكٍ عَنْ عَبْدِ رَبِّهِ بْنِ سَعِيدٍ أَنَّ أَبَا بَكْرِ بْنَ عَبْدِ الرَّحْمَنِ بْنِ الْحَارِثِ بْنِ هِشَامٍ كَانَ لاَ يَفْرِضُ إِلاَّ لِلْجَدَّتَيْنِ. قَالَ مَالِكٌ الأَمْرُ الْمُجْتَمَعُ عَلَيْهِ عِنْدَنَا الَّذِى لاَ اخْتِلاَفَ فِيهِ وَالَّذِى أَدْرَكْتُ عَلَيْهِ أَهْلَ الْعِلْمِ بِبَلَدِنَا أَنَّ الْجَدَّةَ أُمَّ الأُمِّ لاَ تَرِثُ مَعَ الأُمِّ دِنْيَا شَيْئًا وَهِىَ فِيمَا سِوَى ذَلِكَ يُفْرَضُ لَهَا السُّدُسُ فَرِيضَةً وَأَنَّ الْجَدَّةَ أُمَّ الأَبِ لاَ تَرِثُ مَعَ الأُمِّ وَلاَ مَعَ الأَبِ شَيْئًا وَهِىَ فِيمَا سِوَى ذَلِكَ يُفْرَضُ لَهَا السُّدُسُ فَرِيضَةً فَإِذَا اجْتَمَعَتِ الْجَدَّتَانِ أُمُّ الأَبِ وَأُمُّ الأُمِّ وَلَيْسَ لِلْمُتَوَفَّى دُونَهُمَا أَبٌ وَلاَ أُمٌّ. قَالَ مَالِكٌ فَإِنِّى سَمِعْتُ أَنَّ أُمَّ الأُمِّ إِنْ كَانَتْ أَقْعَدَهُمَا كَانَ لَهَا السَّدُسُ دُونَ أُمِّ الأَبِ وَإِنْ كَانَتْ أُمُّ الأَبِ أَقْعَدَهُمَا أَوْ كَانَتَا فِى الْقُعْدَدِ مِنَ الْمُتَوَفَّى بِمَنْزِلَةٍ سَوَاءً فَإِنَّ السُّدُسَ بَيْنَهُمَا نِصْفَانِ. قَالَ مَالِكٌ وَلاَ مِيرَاثَ لأَحَدٍ مِنَ الْجَدَّاتِ إِلاَّ لِلْجَدَّتَيْنِ لأَنَّهُ بَلَغَنِى أَنَّ رَسُولَ اللَّهِ -صلى الله عليه وسلم- وَرَّثَ الْجَدَّةَ ثُمَّ سَأَلَ أَبُو بَكْرٍ عَنْ ذَلِكَ حَتَّى أَتَاهُ الثَّبَتُ عَنْ رَسُولِ اللَّهِ -صلى الله عليه وسلم- أَنَّهُ وَرَّثَ الْجَدَّةَ فَأَنْفَذَهُ لَهَا ثُمَّ أَتَتِ الْجَدَّةُ الأُخْرَى إِلَى عُمَرَ بْنِ الْخَطَّابِ فَقَالَ لَهَا مَا أَنَا بِزَائِدٍ فِى الْفَرَائِضِ شَيْئًا فَإِنِ اجْتَمَعْتُمَا فَهُوَ بَيْنَكُمَا وَأَيَّتُكُمَا خَلَتْ بِهِ فَهُوَ لَهَا. قَالَ مَالِكٌ ثُمَّ لَمْ نَعْلَمْ أَحَدًا وَرَّثَ غَيْرَ جَدَّتَيْنِ مُنْذُ كَانَ الإِسْلاَمُ إِلَى الْيَوْمِ. 515/2 </t>
        </r>
      </text>
    </comment>
    <comment ref="D30" authorId="0">
      <text>
        <r>
          <rPr>
            <b/>
            <sz val="8"/>
            <color indexed="81"/>
            <rFont val="Tahoma"/>
            <family val="2"/>
          </rPr>
          <t>khaled:</t>
        </r>
        <r>
          <rPr>
            <sz val="8"/>
            <color indexed="81"/>
            <rFont val="Tahoma"/>
            <family val="2"/>
          </rPr>
          <t xml:space="preserve">
</t>
        </r>
        <r>
          <rPr>
            <sz val="8"/>
            <color indexed="81"/>
            <rFont val="Tahoma"/>
            <family val="2"/>
          </rPr>
          <t xml:space="preserve">1080 - حَدَّثَنِى يَحْيَى عَنْ مَالِكٍ عَنِ ابْنِ شِهَابٍ عَنْ عُثْمَانَ بْنِ إِسْحَاقَ بْنِ خَرَشَةَ عَنْ قَبِيصَةَ بْنِ ذُؤَيْبٍ أَنَّهُ قَالَ جَاءَتِ الْجَدَّةُ إِلَى أَبِى بَكْرٍ الصِّدِّيقِ تَسْأَلُهُ مِيرَاثَهَا فَقَالَ لَهَا أَبُو بَكْرٍ مَا لَكِ فِى كِتَابِ اللَّهِ شَىْءٌ وَمَا عَلِمْتُ لَكِ فِى سُنَّةِ رَسُولِ اللَّهِ -صلى الله عليه وسلم- شَيْئًا فَارْجِعِى حَتَّى أَسْأَلَ النَّاسَ فَسَأَلَ النَّاسَ. فَقَالَ الْمُغِيرَةُ بْنُ شُعْبَةَ حَضَرْتُ رَسُولَ اللَّهِ -صلى الله عليه وسلم- أَعْطَاهَا السُّدُسَ. فَقَالَ أَبُو بَكْرٍ هَلْ مَعَكَ غَيْرُكَ فَقَامَ مُحَمَّدُ بْنُ مَسْلَمَةَ الأَنْصَارِىُّ فَقَالَ مِثْلَ مَا قَالَ الْمُغِيرَةُ فَأَنْفَذَهُ لَهَا أَبُو بَكْرٍ الصِّدِّيقُ ثُمَّ جَاءَتِ الْجَدَّةُ الأُخْرَى إِلَى عُمَرَ بْنِ الْخَطَّابِ تَسْأَلُهُ مِيرَاثَهَا فَقَالَ لَهَا مَا لَكِ فِى كِتَابِ اللَّهِ شَىْءٌ وَمَا كَانَ الْقَضَاءُ الَّذِى قُضِىَ بِهِ إِلاَّ لِغَيْرِكِ وَمَا أَنَا بِزَائِدٍ فِى الْفَرَائِضِ شَيْئًا وَلَكِنَّهُ ذَلِكَ السُّدُسُ فَإِنِ اجْتَمَعْتُمَا فَهُوَ بَيْنَكُمَا وَأَيَّتُكُمَا خَلَتْ بِهِ فَهُوَ لَهَا. </t>
        </r>
      </text>
    </comment>
    <comment ref="D31" authorId="0">
      <text>
        <r>
          <rPr>
            <b/>
            <sz val="8"/>
            <color indexed="81"/>
            <rFont val="Tahoma"/>
            <family val="2"/>
          </rPr>
          <t>khaled:</t>
        </r>
        <r>
          <rPr>
            <sz val="8"/>
            <color indexed="81"/>
            <rFont val="Tahoma"/>
            <family val="2"/>
          </rPr>
          <t xml:space="preserve">
و</t>
        </r>
        <r>
          <rPr>
            <sz val="8"/>
            <color indexed="81"/>
            <rFont val="Tahoma"/>
            <family val="2"/>
          </rPr>
          <t xml:space="preserve">َمِيرَاثُ الْمَرْأَةِ مِنْ زَوْجِهَا إِذَا لَمْ يَتْرُكْ وَلَدًا وَلاَ وَلَدَ ابْنٍ الرُّبُعُ فَإِنْ تَرَكَ وَلَدًا أَوْ وَلَدَ ابْنٍ - ذَكَرًا كَانَ أَوْ أُنْثَى - فَلاِمْرَأَتِهِ الثُّمُنُ مِنْ بَعْدِ وَصِيَّةٍ يُوصِى بِهَا أَوْ دَيْنٍ وَذَلِكَ أَنَّ اللَّهَ تَبَارَكَ وَتَعَالَى يَقُولُ فِى كِتَابِهِ (وَلَكُمْ نِصْفُ مَا تَرَكَ أَزْوَاجُكُمْ إِنْ لَمْ يَكُنْ لَهُنَّ وَلَدٌ فَإِنْ كَانَ لَهُنَّ وَلَدٌ فَلَكُمُ الرُّبُعُ مِمَّا تَرَكْنَ مِنْ بَعْدِ وَصِيَّةٍ يُوصِينَ بِهَا أَوْ دَيْنٍ وَلَهُنَّ الرُّبُعُ مِمَّا تَرَكْتُمْ إِنْ لَمْ يَكُنْ لَكُمْ وَلَدٌ فَإِنْ كَانَ لَكُمْ وَلَدٌ فَلَهُنَّ الثُّمُنُ مِمَّا تَرَكْتُمْ مِنْ بَعْدِ وَصِيَّةٍ </t>
        </r>
      </text>
    </comment>
    <comment ref="D33" authorId="0">
      <text>
        <r>
          <rPr>
            <b/>
            <sz val="16"/>
            <color indexed="81"/>
            <rFont val="Tahoma"/>
            <family val="2"/>
          </rPr>
          <t>khaled:</t>
        </r>
        <r>
          <rPr>
            <sz val="16"/>
            <color indexed="81"/>
            <rFont val="Tahoma"/>
            <family val="2"/>
          </rPr>
          <t xml:space="preserve">
وَمِيرَاثُ الْمَرْأَةِ مِنْ زَوْجِهَا إِذَا لَمْ يَتْرُكْ وَلَدًا وَلاَ وَلَدَ ابْنٍ الرُّبُعُ فَإِنْ تَرَكَ وَلَدًا أَوْ وَلَدَ ابْنٍ - ذَكَرًا كَانَ أَوْ أُنْثَى - فَلاِمْرَأَتِهِ الثُّمُنُ مِنْ بَعْدِ وَصِيَّةٍ يُوصِى بِهَا أَوْ دَيْنٍ وَذَلِكَ أَنَّ اللَّهَ تَبَارَكَ وَتَعَالَى يَقُولُ فِى كِتَابِهِ (وَلَكُمْ نِصْفُ مَا تَرَكَ أَزْوَاجُكُمْ إِنْ لَمْ يَكُنْ لَهُنَّ وَلَدٌ فَإِنْ كَانَ لَهُنَّ وَلَدٌ فَلَكُمُ الرُّبُعُ مِمَّا تَرَكْنَ مِنْ بَعْدِ وَصِيَّةٍ يُوصِينَ بِهَا أَوْ دَيْنٍ وَلَهُنَّ الرُّبُعُ مِمَّا تَرَكْتُمْ إِنْ لَمْ يَكُنْ لَكُمْ وَلَدٌ فَإِنْ كَانَ لَكُمْ وَلَدٌ فَلَهُنَّ الثُّمُنُ مِمَّا تَرَكْتُمْ مِنْ بَعْدِ وَصِيَّةٍ </t>
        </r>
      </text>
    </comment>
    <comment ref="M71" authorId="0">
      <text>
        <r>
          <rPr>
            <b/>
            <sz val="8"/>
            <color indexed="81"/>
            <rFont val="Tahoma"/>
            <family val="2"/>
          </rPr>
          <t>khaled:</t>
        </r>
        <r>
          <rPr>
            <sz val="8"/>
            <color indexed="81"/>
            <rFont val="Tahoma"/>
            <family val="2"/>
          </rPr>
          <t xml:space="preserve">
اذا أخذت الأختان الشقيقتان فأكتر الثلثين فأن الأخت لأب تسقط ألا أذا كان معها أخ لها فأنه يعصمها فيقتسمان الباقى</t>
        </r>
      </text>
    </comment>
    <comment ref="O71" authorId="0">
      <text>
        <r>
          <rPr>
            <b/>
            <sz val="8"/>
            <color indexed="81"/>
            <rFont val="Tahoma"/>
            <family val="2"/>
          </rPr>
          <t>khaled:</t>
        </r>
        <r>
          <rPr>
            <sz val="8"/>
            <color indexed="81"/>
            <rFont val="Tahoma"/>
            <family val="2"/>
          </rPr>
          <t xml:space="preserve">
اذا أخذت الأختان الشقيقتان فأكتر الثلثين فأن الأخت لأب تسقط ألا أذا كان معها أخ لها فأنه يعصمها فيقتسمان الباقى</t>
        </r>
      </text>
    </comment>
    <comment ref="M72" authorId="0">
      <text>
        <r>
          <rPr>
            <b/>
            <sz val="8"/>
            <color indexed="81"/>
            <rFont val="Tahoma"/>
            <family val="2"/>
          </rPr>
          <t>khaled:</t>
        </r>
        <r>
          <rPr>
            <sz val="8"/>
            <color indexed="81"/>
            <rFont val="Tahoma"/>
            <family val="2"/>
          </rPr>
          <t xml:space="preserve">
اذا أخذت الأخت الشقيقة الواحدة النصف  فأن الأخت لأب تأخد السدس تكملة الثلثين حتى لو عالت المسألة عند أستغراق  
الفروض   أذا كان معها أخ لها فأنه يعصمها فيقتسمان الباقى 
وأحيانا لا يبقى شىء</t>
        </r>
      </text>
    </comment>
    <comment ref="O72" authorId="0">
      <text>
        <r>
          <rPr>
            <b/>
            <sz val="8"/>
            <color indexed="81"/>
            <rFont val="Tahoma"/>
            <family val="2"/>
          </rPr>
          <t>khaled:</t>
        </r>
        <r>
          <rPr>
            <sz val="8"/>
            <color indexed="81"/>
            <rFont val="Tahoma"/>
            <family val="2"/>
          </rPr>
          <t xml:space="preserve">
اذا أخذت الأخت الشقيقة الواحدة النصف  فأن الأخت لأب تأخد السدس تكملة الثلثين حتى لو عالت المسألة عند أستغراق  
الفروض   أذا كان معها أخ لها فأنه يعصمها فيقتسمان الباقى 
وأحيانا لا يبقى شىء</t>
        </r>
      </text>
    </comment>
    <comment ref="M84" authorId="0">
      <text>
        <r>
          <rPr>
            <b/>
            <sz val="8"/>
            <color indexed="81"/>
            <rFont val="Tahoma"/>
            <family val="2"/>
          </rPr>
          <t>khaled:</t>
        </r>
        <r>
          <rPr>
            <sz val="8"/>
            <color indexed="81"/>
            <rFont val="Tahoma"/>
            <family val="2"/>
          </rPr>
          <t xml:space="preserve">
أذا أجتمعو الجدات الى تلات جدات فليس لهن الأ السدس</t>
        </r>
      </text>
    </comment>
    <comment ref="AD109" authorId="0">
      <text>
        <r>
          <rPr>
            <b/>
            <sz val="8"/>
            <color indexed="81"/>
            <rFont val="Tahoma"/>
            <family val="2"/>
          </rPr>
          <t>khaled:</t>
        </r>
        <r>
          <rPr>
            <sz val="8"/>
            <color indexed="81"/>
            <rFont val="Tahoma"/>
            <family val="2"/>
          </rPr>
          <t xml:space="preserve">
5 - باب مِيرَاثِ الإِخْوَةِ لِلأَبِ وَالأُمِّ. قَالَ مَالِكٌ الأَمْرُ الْمُجْتَمَعُ عَلَيْهِ عِنْدَنَا أَنَّ الإِخْوَةَ لِلأَبِ وَالأُمِّ لاَ يَرِثُونَ مَعَ الْوَلَدِ الذَّكَرِ شَيْئًا وَلاَ مَعَ وَلَدِ الاِبْنِ الذَّكَرِ شَيْئًا وَلاَ مَعَ الأَبِ دِنْيَا شَيْئًا وَهُمْ يَرِثُونَ مَعَ الْبَنَاتِ وَبَنَاتِ الأَبْنَاءِ - مَا لَمْ يَتْرُكِ الْمُتَوَفَّى جَدًّا أَبَا أَبٍ - مَا فَضَلَ مِنَ الْمَالِ يَكُونُونَ فِيهِ عَصَبَةً يُبْدَأُ بِمَنْ كَانَ لَهُ أَصْلُ فَرِيضَةٍ مُسَمَّاةٍ فَيُعْطَوْنَ فَرَائِضَهُمْ فَإِنْ فَضَلَ بَعْدَ ذَلِكَ فَضْلٌ كَانَ لِلإِخْوَةِ لِلأَبِ وَالأُمِّ يَقْتَسِمُونَهُ بَيْنَهُمْ عَلَى كِتَابِ اللَّهِ - ذُكْرَانًا كَانُوا أَوْ إِنَاثًا - لِلذَّكَرِ مِثْلُ حَظِّ الأُنْثَيَيْنِ فَإِنْ لَمْ يَفْضُلْ شَىْءٌ فَلاَ شَىْءَ لَهُمْ. قَالَ وَإِنْ لَمْ يَتْرُكِ الْمُتَوَفَّى أَبًا وَلاَ جَدًّا أَبَا أَبٍ وَلاَ وَلَدًا وَلاَ وَلَدَ ابْنٍ - ذَكَرًا كَانَ أَوْ أُنْثَى - فَإِنَّهُ يُفْرَضُ لِلأُخْتِ الْوَاحِدَةِ لِلأَبِ وَالأُمِّ النِّصْفُ فَإِنْ كَانَتَا اثْنَتَيْنِ فَمَا فَوْقَ ذَلِكَ مِنَ الأَخَوَاتِ لِلأَبِ وَالأُمِّ فُرِضَ لَهُمَا الثُّلُثَانِ فَإِنْ كَانَ مَعَهُمَا أَخٌ ذَكَرٌ فَلاَ فَرِيضَةَ لأَحَدٍ مِنَ الأَخَوَاتِ وَاحِدَةً كَانَتْ أَوْ أَكْثَرَ مِنْ ذَلِكَ وَيُبْدَأُ بِمَنْ شَرِكَهُمْ بِفَرِيضَةٍ مُسَمَّاةٍ فَيُعْطَوْنَ فَرَائِضَهُمْ فَمَا فَضَلَ بَعْدَ ذَلِكَ مِنْ شَىْءٍ كَانَ بَيْنَ الإِخْوَةِ لِلأَبِ وَالأُمِّ لِلذَّكَرِ مِثْلُ حَظِّ الأُنْثَيَيْنِ </t>
        </r>
      </text>
    </comment>
    <comment ref="AD110" authorId="0">
      <text>
        <r>
          <rPr>
            <b/>
            <sz val="8"/>
            <color indexed="81"/>
            <rFont val="Tahoma"/>
            <family val="2"/>
          </rPr>
          <t>khaled:</t>
        </r>
        <r>
          <rPr>
            <sz val="8"/>
            <color indexed="81"/>
            <rFont val="Tahoma"/>
            <family val="2"/>
          </rPr>
          <t xml:space="preserve">
6 - باب مِيرَاثِ الإِخْوَةِ لِلأَبِ. قَالَ مَالِكٌ الأَمْرُ الْمُجْتَمَعُ عَلَيْهِ عِنْدَنَا أَنَّ مِيرَاثَ الإِخْوَةِ لِلأَبِ - إِذَا لَمْ يَكُنْ مَعَهُمْ أَحَدٌ مِنْ بَنِى الأَبِ وَالأُمِّ - كَمَنْزِلَةِ الإِخْوَةِ لِلأَبِ وَالأُمِّ سَوَاءٌ - ذَكَرُهُمْ كَذَكَرِهِمْ وَأُنْثَاهُمْ كَأُنْثَاهُمْ إِلاَّ أَنَّهُمْ لاَ يُشَرَّكُونَ مَعَ بَنِى الأُمِّ فِى الْفَرِيضَةِ الَّتِى شَرَّكَهُمْ فِيهَا بَنُو الأَبِ وَالأُمِّ لأَنَّهُمْ خَرَجُوا مِنْ وِلاَدَةِ الأُمِّ الَّتِى جَمَعَتْ أُولَئِكَ. قَالَ مَالِكٌ فَإِنِ اجْتَمَعَ الإِخْوَةُ لِلأَبِ وَالأُمِّ وَالإِخْوَةُ لِلأَبِ فَكَانَ فِى بَنِى الأَبِ وَالأُمِّ ذَكَرٌ فَلاَ مِيرَاثَ لأَحَدٍ مِنْ بَنِى الأَبِ وَإِنْ لَمْ يَكُنْ بَنُو الأَبِ وَالأُمِّ إِلاَّ امْرَأَةً وَاحِدَةً أَوْ أَكْثَرَ مِنْ ذَلِكَ مِنَ الإِنَاثِ لاَ ذَكَرَ مَعَهُنَّ فَإِنَّهُ يُفْرَضُ لِلأُخْتِ الْوَاحِدَةِ لِلأَبِ وَالأُمِّ النِّصْفُ وَيُفْرَضُ لِلأَخَوَاتِ لِلأَبِ السُّدُسُ تَتِمَّةَ الثُّلُثَيْنِ فَإِنْ كَانَ مَعَ الأَخَوَاتِ لِلأَبِ ذَكَرٌ فَلاَ فَرِيضَةَ لَهُنَّ وَيُبْدَأُ بِأَهْلِ الْفَرَائِضِ الْمُسَمَّاةِ فَيُعْطَوْنَ فَرَائِضَهُمْ فَإِنْ فَضَلَ بَعْدَ ذَلِكَ فَضْلٌ كَانَ بَيْنَ الإِخْوَةِ لِلأَبِ لِلذَّكَرِ مِثْلُ حَظِّ الأُنْثَيَيْنِ وَإِنْ لَمْ يَفْضُلْ شَىْءٌ فَلاَ شَىْءَ لَهُمْ فَإِنْ كَانَ الإِخْوَةُ لِلأَبِ وَالأُمِّ امْرَأَتَيْنِ أَوْ أَكْثَرَ مِنْ ذَلِكَ مِنَ الإِنَاثِ فُرِضَ لَهُنَّ الثُّلُثَانِ وَلاَ مِيرَاثَ مَعَهُنَّ لِلأَخَوَاتِ لِلأَبِ إِلاَّ أَنْ يَكُونَ مَعَهُنَّ أَخٌ لأَبٍ فَإِنْ كَانَ مَعَهُنَّ أَخٌ لأَبٍ بُدِئَ بِمَنْ شَرَّكَهُمْ بِفَرِيضَةٍ مُسَمَّاةٍ فَأُعْطُوا فَرَائِضَهُمْ فَإِنْ فَضَلَ بَعْدَ ذَلِكَ فَضْلٌ كَانَ بَيْنَ الإِخْوَةِ لِلأَبِ لِلذَّكَرِ مِثْلُ حَظِّ الأُنْثَيَيْنِ وَإِنْ لَمْ يَفْضُلْ شَىْءٌ فَلاَ شَىْءَ لَهُمْ وَلِبَنِى الأُمِّ مَعَ بَنِى الأَبِ وَالأُمِّ وَمَعَ بَنِى الأَبِ وَالأُمِّ وَمَعَ بَنِى الأَبِ لِلْوَاحِدِ السُّدُسُ وَلِلاِثْنَيْنِ فَصَاعِدًا الثُّلُثُ لِلذَّكَرِ مِثْلُ حَظِّ الأُنْثَى هُمْ فِيهِ بِمَنْزِلَةٍ وَاحِدَةٍ سَوَاءٌ. 510/2 </t>
        </r>
      </text>
    </comment>
    <comment ref="AD111" authorId="0">
      <text>
        <r>
          <rPr>
            <b/>
            <sz val="8"/>
            <color indexed="81"/>
            <rFont val="Tahoma"/>
            <family val="2"/>
          </rPr>
          <t>khaled:</t>
        </r>
        <r>
          <rPr>
            <sz val="8"/>
            <color indexed="81"/>
            <rFont val="Tahoma"/>
            <family val="2"/>
          </rPr>
          <t xml:space="preserve">
4 - </t>
        </r>
        <r>
          <rPr>
            <sz val="8"/>
            <color indexed="81"/>
            <rFont val="Tahoma"/>
            <family val="2"/>
          </rPr>
          <t xml:space="preserve">باب مِيرَاثِ الإِخْوَةِ لِلأُمِّ. قَالَ مَالِكٌ الأَمْرُ الْمُجْتَمَعُ عَلَيْهِ عِنْدَنَا أَنَّ الإِخْوَةَ لِلأُمِّ لاَ يَرِثُونَ مَعَ الْوَلَدِ وَلاَ مَعَ وَلَدِ الأَبْنَاءِ - ذُكْرَانًا كَانُوا أَوْ إِنَاثًا - شَيْئًا وَلاَ يَرِثُونَ مَعَ الأَبِ وَلاَ مَعَ الْجَدِّ أَبِى الأَبِ شَيْئًا وَأَنَّهُمْ يَرِثُونَ فِيمَا سِوَى ذَلِكَ يُفْرَضُ لِلْوَاحِدِ مِنْهُمُ السُّدُسُ - ذَكَرًا كَانَ أَوْ أُنْثَى - فَإِنْ كَانَا اثْنَيْنِ فَلِكُلِّ وَاحِدٍ مِنْهُمَا السُّدُسُ فَإِنْ كَانُوا أَكْثَرَ مِنْ ذَلِكَ فَهُمْ شُرَكَاءُ فِى الثُّلُثِ يَقْتَسِمُونَهُ بَيْنَهُمْ بِالسَّوَاءِ لِلذَّكَرِ مِثْلُ حَظِّ الأُنْثَيَيْنِ وَذَلِكَ أَنَّ اللَّهَ تَبَارَكَ وَتَعَالَى يَقُولُ فِى كِتَابِهِ (وَإِنْ كَانَ رَجُلٌ يُورَثُ كَلاَلَةً أَوِ امْرَأَةٌ وَلَهُ أَخٌ أَوْ أُخْتٌ فَلِكُلِّ وَاحِدٍ مِنْهُمَا السُّدُسُ فَإِنْ كَانُوا أَكْثَرَ مِنْ ذَلِكَ فَهُمْ شُرَكَاءُ فِى الثُّلُثِ) فَكَانَ الذَّكَرُ وَالأُنْثَى فِى هَذَا بِمَنْزِلَةٍ وَاحِدَةٍ. 508/2 </t>
        </r>
      </text>
    </comment>
  </commentList>
</comments>
</file>

<file path=xl/comments3.xml><?xml version="1.0" encoding="utf-8"?>
<comments xmlns="http://schemas.openxmlformats.org/spreadsheetml/2006/main">
  <authors>
    <author>khaled</author>
  </authors>
  <commentList>
    <comment ref="K17" authorId="0">
      <text>
        <r>
          <rPr>
            <b/>
            <sz val="8"/>
            <color indexed="81"/>
            <rFont val="Tahoma"/>
            <family val="2"/>
          </rPr>
          <t>khaled:</t>
        </r>
        <r>
          <rPr>
            <sz val="8"/>
            <color indexed="81"/>
            <rFont val="Tahoma"/>
            <family val="2"/>
          </rPr>
          <t xml:space="preserve">
الفرائض</t>
        </r>
      </text>
    </comment>
  </commentList>
</comments>
</file>

<file path=xl/comments4.xml><?xml version="1.0" encoding="utf-8"?>
<comments xmlns="http://schemas.openxmlformats.org/spreadsheetml/2006/main">
  <authors>
    <author>ansam khaled hadada</author>
  </authors>
  <commentList>
    <comment ref="L7" authorId="0">
      <text>
        <r>
          <rPr>
            <b/>
            <sz val="9"/>
            <color indexed="81"/>
            <rFont val="Tahoma"/>
            <family val="2"/>
          </rPr>
          <t>ansam khaled hadada:</t>
        </r>
        <r>
          <rPr>
            <sz val="9"/>
            <color indexed="81"/>
            <rFont val="Tahoma"/>
            <family val="2"/>
          </rPr>
          <t xml:space="preserve">
</t>
        </r>
      </text>
    </comment>
  </commentList>
</comments>
</file>

<file path=xl/sharedStrings.xml><?xml version="1.0" encoding="utf-8"?>
<sst xmlns="http://schemas.openxmlformats.org/spreadsheetml/2006/main" count="1685" uniqueCount="846">
  <si>
    <t>الجدة(أم  الأم)</t>
  </si>
  <si>
    <t>الجدة(أم الأب)</t>
  </si>
  <si>
    <t>الوارث</t>
  </si>
  <si>
    <t>العدد</t>
  </si>
  <si>
    <t>الأب</t>
  </si>
  <si>
    <t>السدس</t>
  </si>
  <si>
    <t>أبن الأبن ويرث بالتعصيب</t>
  </si>
  <si>
    <t>الجد(أب الأب) ويرث بالفرض والتعصيب</t>
  </si>
  <si>
    <t>الأخوة(ذكور)من لأب والأم ويرث بالتعصيب</t>
  </si>
  <si>
    <t>الأخوة(ذكور)من ألأب  ويرث بالتعصيب</t>
  </si>
  <si>
    <t>الأخوة(ذكور)من الأم ويرث بالفرض</t>
  </si>
  <si>
    <t xml:space="preserve">أبن الأخ الشقيق ويرث بالتعصيب </t>
  </si>
  <si>
    <t xml:space="preserve">أبن الأخ لأب ويرث بالتعصيب </t>
  </si>
  <si>
    <t xml:space="preserve">العم الشقيق ويرث بالتعصيب </t>
  </si>
  <si>
    <t xml:space="preserve">العم لأب ويرث بالتعصيب </t>
  </si>
  <si>
    <t xml:space="preserve"> أبن العم الشقيق ويرث بالتعصيب </t>
  </si>
  <si>
    <t xml:space="preserve"> أبن العم لأب ويرث بالتعصيب </t>
  </si>
  <si>
    <t>رقم</t>
  </si>
  <si>
    <t>الوارثون من الرجـــــــــــــــــال</t>
  </si>
  <si>
    <t>المعتقة</t>
  </si>
  <si>
    <t>البنت ولاتحجب بحال</t>
  </si>
  <si>
    <t>بنت الأبن</t>
  </si>
  <si>
    <t>الأم ولا تحجب حجب حرمان بحال</t>
  </si>
  <si>
    <t xml:space="preserve">الأخت الشقيقة من الأب والأم </t>
  </si>
  <si>
    <t xml:space="preserve">الأخت من الأم </t>
  </si>
  <si>
    <t>الوارثون من النساء</t>
  </si>
  <si>
    <t>الزوجة ولاتحجب بحال وترث بالفرض</t>
  </si>
  <si>
    <t>الربع</t>
  </si>
  <si>
    <t>الثمن</t>
  </si>
  <si>
    <t>الثلث</t>
  </si>
  <si>
    <t>النصف</t>
  </si>
  <si>
    <t>حالات الأبن</t>
  </si>
  <si>
    <t>الأنفراد</t>
  </si>
  <si>
    <t>يأخد المال كله</t>
  </si>
  <si>
    <t xml:space="preserve">معه ذكور فقط أو أناث فقط أو ذكور وأناث معا </t>
  </si>
  <si>
    <t>يقسمون المال للذكر مثل حظ الأنتيين</t>
  </si>
  <si>
    <t>أن يكون معه صاحب فرض</t>
  </si>
  <si>
    <t>يأخد الباقى بعد أصحاب الفروض</t>
  </si>
  <si>
    <t>أن يكون معه صاحب فرض وأخوته</t>
  </si>
  <si>
    <t>يقتسم المال معهم بعد أصحاب ذوى الفروض</t>
  </si>
  <si>
    <t>حالات البنت</t>
  </si>
  <si>
    <t>الأنفراد ولم يكن معها معصب سواء أكان معها أصحاب فروض أخرون أم لا</t>
  </si>
  <si>
    <t xml:space="preserve">أذا تعددت ولم يكن معها معصب سواء أكان معها أصحاب فروض أخرون أم لا </t>
  </si>
  <si>
    <t>تأخد الثلثين فرضا</t>
  </si>
  <si>
    <t>تأخد النصف كاملا فرضا</t>
  </si>
  <si>
    <t>حالات بنت الأبن</t>
  </si>
  <si>
    <t>الأنفراد ولم يكن معها معصب(أخوها أو أبن عمها المساوى لها) سواء أكان معها أصحاب فروض أخرون أم لا</t>
  </si>
  <si>
    <t>لهن الثلثين فرضا</t>
  </si>
  <si>
    <t xml:space="preserve">أذا كان معها معصب من أخ أو أبن عم مساوى لها </t>
  </si>
  <si>
    <t>يقتسمون المال معهم للذكر مثل حظ الأنثيين بعد أصحاب ذوى الفروض</t>
  </si>
  <si>
    <t xml:space="preserve">  واحدة أو متعددة مع البنت الواحدة وعدم المعصب المساوى لها</t>
  </si>
  <si>
    <t>المال كله</t>
  </si>
  <si>
    <t>أذا كان للميت فرع وارث ذكر</t>
  </si>
  <si>
    <t xml:space="preserve">أذا كان للميت فرع وارث أنتى </t>
  </si>
  <si>
    <t>الأم ولها أربع حالات</t>
  </si>
  <si>
    <t>أذا كان للميت فرع وارث ذكر أو أنثى</t>
  </si>
  <si>
    <t xml:space="preserve">أذا كان ليس للميت فرع وارث ذكر أو انثى وليس لهاأخوة أتنان فأكتر ذكورا أو أناثا أشقاء أو لأب أو لأم </t>
  </si>
  <si>
    <t>معناها تغر العالم بمخالفتها لمل يتبادر للذهن</t>
  </si>
  <si>
    <t>الغروان(الأب-الأم)</t>
  </si>
  <si>
    <t>الزوجة</t>
  </si>
  <si>
    <t>للزوج فرع وارث</t>
  </si>
  <si>
    <t>الأخ الشقيق</t>
  </si>
  <si>
    <t xml:space="preserve">الأنفراد  </t>
  </si>
  <si>
    <t xml:space="preserve"> أقتسمو المال على الرؤوس</t>
  </si>
  <si>
    <t>الأخت الشقيقة</t>
  </si>
  <si>
    <t xml:space="preserve">أذا  معها مثلها جهة وقربا وقوة أذا لم يعصبهن أخ لها أو أكثر أو جد فى بعض الحالات </t>
  </si>
  <si>
    <t xml:space="preserve">الأنفراد  أ ذا لم يعصبهن أخ لها أو أكثر أو جد فى بعض الحالات </t>
  </si>
  <si>
    <t xml:space="preserve">الثلثان </t>
  </si>
  <si>
    <t>تأخذ ما بقى مع الشقيق للذكر مثل حظ الأنثيين</t>
  </si>
  <si>
    <t>عدد الحصص</t>
  </si>
  <si>
    <t>أبن أبن الأبن ويرث بالتعصيب</t>
  </si>
  <si>
    <t xml:space="preserve"> عاصبة تأخذ ما بقى  </t>
  </si>
  <si>
    <t>أذا أنفردت أو تعددت ومعها أخ شقيق أو أكثر وليس معهم صاحب فرض</t>
  </si>
  <si>
    <t>يقتسمون المال</t>
  </si>
  <si>
    <t>أذا كان مع من ذكر صاحب أو أصحاب فرض</t>
  </si>
  <si>
    <t>يقتسمون المال بعد أصحاب الفروض</t>
  </si>
  <si>
    <t>الأخت للأب</t>
  </si>
  <si>
    <t xml:space="preserve">كانت مع أخت شقيقة واحدة </t>
  </si>
  <si>
    <t>السدس تكملة الثلثين</t>
  </si>
  <si>
    <t xml:space="preserve">الأخت من ألأب  </t>
  </si>
  <si>
    <t>يقتسمان الباقى</t>
  </si>
  <si>
    <t>الأخ والأخت للأم</t>
  </si>
  <si>
    <t xml:space="preserve">الأنفراد   ولا تؤتر الذكورة ولا الأنوثة </t>
  </si>
  <si>
    <t>أذا تعددو أتنين أو أكثر</t>
  </si>
  <si>
    <t>الجدة للأم</t>
  </si>
  <si>
    <t>الجدة للأب</t>
  </si>
  <si>
    <t>نصف السدس</t>
  </si>
  <si>
    <t>أبن الأخ الشقيق</t>
  </si>
  <si>
    <t>الغروان</t>
  </si>
  <si>
    <t>الأخ لأب</t>
  </si>
  <si>
    <t>أبن الأخ لأب</t>
  </si>
  <si>
    <t>العم الشقيق</t>
  </si>
  <si>
    <t>العم لأب</t>
  </si>
  <si>
    <t>أبن العم الشقيق</t>
  </si>
  <si>
    <t>أبن العم لأب</t>
  </si>
  <si>
    <t>e11</t>
  </si>
  <si>
    <t>e12</t>
  </si>
  <si>
    <t>e13</t>
  </si>
  <si>
    <t>e14</t>
  </si>
  <si>
    <t>e15</t>
  </si>
  <si>
    <t>e16</t>
  </si>
  <si>
    <t>e17</t>
  </si>
  <si>
    <t>e18</t>
  </si>
  <si>
    <t>e20</t>
  </si>
  <si>
    <t xml:space="preserve">الحالة العامة </t>
  </si>
  <si>
    <t>ذوى العصبة</t>
  </si>
  <si>
    <t>الجد</t>
  </si>
  <si>
    <t>أذا كان معه فرع وارث ذكرا</t>
  </si>
  <si>
    <t>أذا كان معه فرع وارث أنتى فأكتر</t>
  </si>
  <si>
    <t>أذا كان معه أخوة أشقاء أو لأب ولا يوجد أصحاب فرض</t>
  </si>
  <si>
    <t>يقاسم الأخوة يأخد الأكتر من نصيبه ولا ينقص عن الثلث</t>
  </si>
  <si>
    <t xml:space="preserve">يقاسم الأخوة بعد أخذ أصحاب الفروض </t>
  </si>
  <si>
    <t>ثلث ما بقى بعد أصحاب الفروض</t>
  </si>
  <si>
    <t>الحجب</t>
  </si>
  <si>
    <t xml:space="preserve"> </t>
  </si>
  <si>
    <t>أصحاب الفرائض</t>
  </si>
  <si>
    <t>الذكور</t>
  </si>
  <si>
    <t>الأناث</t>
  </si>
  <si>
    <t>الأشقاء ذكور</t>
  </si>
  <si>
    <t>الأشقاء أناث</t>
  </si>
  <si>
    <t>على الرؤوس</t>
  </si>
  <si>
    <t>الأخوات من الأب</t>
  </si>
  <si>
    <t xml:space="preserve">الأخوة من الأب </t>
  </si>
  <si>
    <t>الأنثى</t>
  </si>
  <si>
    <t>الذكر</t>
  </si>
  <si>
    <t xml:space="preserve">أذا كان ليس للميت فرع وارث  ذكر </t>
  </si>
  <si>
    <t xml:space="preserve"> اخد مابقى بعد أصحاب الفروض تعصيبا</t>
  </si>
  <si>
    <t>أذا كان مع من ذكر  صاحب أو أصحاب فرض ومعها جد</t>
  </si>
  <si>
    <t>الأعادة للأب والجد</t>
  </si>
  <si>
    <t>للأب</t>
  </si>
  <si>
    <t>للجد</t>
  </si>
  <si>
    <t>أصحاب الفروض</t>
  </si>
  <si>
    <t>فرض</t>
  </si>
  <si>
    <t>تعصيب</t>
  </si>
  <si>
    <t>فرضا</t>
  </si>
  <si>
    <t>تعصيبا</t>
  </si>
  <si>
    <t>فضلة</t>
  </si>
  <si>
    <t>الفريضة</t>
  </si>
  <si>
    <t>مجمـــــــــــــــــوع الفرائض</t>
  </si>
  <si>
    <t xml:space="preserve">أذا كان ليس  للميت فرع وارث ذكر أو انثى ولها أخوة أتنان فأكتر ذكورا أو أناثا أشقاء أو لأب أو لأم </t>
  </si>
  <si>
    <t>العصية</t>
  </si>
  <si>
    <t>فريضة مستغرقة</t>
  </si>
  <si>
    <t>فريضة تامة</t>
  </si>
  <si>
    <t>الأب ولايحجب بحال ويرث بالفرض والتعصيب</t>
  </si>
  <si>
    <t>أبن أبن الأبن</t>
  </si>
  <si>
    <t>الجد(أب الأب)</t>
  </si>
  <si>
    <t>الزوج</t>
  </si>
  <si>
    <t>الزوجات</t>
  </si>
  <si>
    <t>الأبناء (ذكور)</t>
  </si>
  <si>
    <t>أبناء الأبناء(ذكور)</t>
  </si>
  <si>
    <t xml:space="preserve">الأخوة(ذكور)من ألأب  </t>
  </si>
  <si>
    <t xml:space="preserve">الأخوة(أناث)من ألأب  </t>
  </si>
  <si>
    <t xml:space="preserve">الأخوة(ذكور)من الأم </t>
  </si>
  <si>
    <t xml:space="preserve">الأخوة(أناث) من الأم </t>
  </si>
  <si>
    <t>الأم</t>
  </si>
  <si>
    <t>أصل المسألة</t>
  </si>
  <si>
    <t>الوارثون</t>
  </si>
  <si>
    <t>تصحيح المسألة</t>
  </si>
  <si>
    <t>حصص  كل وارث</t>
  </si>
  <si>
    <t>دينار ليبى</t>
  </si>
  <si>
    <t xml:space="preserve">عدد الحصص </t>
  </si>
  <si>
    <t>أعداد: المهندس خـــــــالد الطـــاهر حدادة</t>
  </si>
  <si>
    <t>المقاسمة</t>
  </si>
  <si>
    <t>ثلث الباقى</t>
  </si>
  <si>
    <t>الأخوة مع الجد (الأعــــــــــــــادة)</t>
  </si>
  <si>
    <t xml:space="preserve">  </t>
  </si>
  <si>
    <t>أختر حالة السدس</t>
  </si>
  <si>
    <t>أختر حالة المقاسمة</t>
  </si>
  <si>
    <t>أختر حالة ثلث الباقى</t>
  </si>
  <si>
    <t>العصبة</t>
  </si>
  <si>
    <t>مجموع الحصص</t>
  </si>
  <si>
    <t>معالجة التتصحيح</t>
  </si>
  <si>
    <t xml:space="preserve">  الحصص بعد التصحيح</t>
  </si>
  <si>
    <t xml:space="preserve"> عدد  الحصص  بعد التصحيح</t>
  </si>
  <si>
    <t>القيمة النقدية(التركة)</t>
  </si>
  <si>
    <t>القيمة النقدية المستحقة لكل وارث</t>
  </si>
  <si>
    <t>الأعادة الجد مع الأخوة</t>
  </si>
  <si>
    <t>أبن الأبن الأبن ولو سفل</t>
  </si>
  <si>
    <t xml:space="preserve">أبن الأبن  </t>
  </si>
  <si>
    <t>المنلسخة الأولى</t>
  </si>
  <si>
    <t>المنلسخة الثانية</t>
  </si>
  <si>
    <t>المناسخة الثالثة</t>
  </si>
  <si>
    <t>المنلسخة الرابعة</t>
  </si>
  <si>
    <t>المنلسخة الخامسة</t>
  </si>
  <si>
    <t>المنلسخة السادسة</t>
  </si>
  <si>
    <t>ضع فريضة المتوفى التانى فى المربع الأصفر</t>
  </si>
  <si>
    <t>أبناء  أبناء الأبناء(ذكور)</t>
  </si>
  <si>
    <t xml:space="preserve">أبن الأخ الشقيق  </t>
  </si>
  <si>
    <t xml:space="preserve">الأبن ولايحجب  </t>
  </si>
  <si>
    <t xml:space="preserve">أبن الأخ لأب  </t>
  </si>
  <si>
    <t xml:space="preserve">العم الشقيق  </t>
  </si>
  <si>
    <t xml:space="preserve">العم لأب </t>
  </si>
  <si>
    <t xml:space="preserve"> أبن العم لأب  </t>
  </si>
  <si>
    <t xml:space="preserve">الزوج  </t>
  </si>
  <si>
    <t xml:space="preserve"> المعتق </t>
  </si>
  <si>
    <t xml:space="preserve"> أبن العم الشقيق </t>
  </si>
  <si>
    <t>الأخوة(ذكور)الأشقاء</t>
  </si>
  <si>
    <t xml:space="preserve">الأخوة(ذكور)من ألأب   </t>
  </si>
  <si>
    <t>الأخوة(ذكور) الأشقاء</t>
  </si>
  <si>
    <t>أولا : مـن الـقـرآن الكـريـم</t>
  </si>
  <si>
    <t>ثانيا : مـن السنة النبوية</t>
  </si>
  <si>
    <t>( 2 ) وعـن جابر قال : ( جاءت امرأة سعد بن الربيع إلى رسول الله صلى الله عليه وسلم بابنتيها مـن سعد , فقالت : يا رسول الله هاتان ابنتا سعد بن الربيع , قتل أبوهما معك في أحـد شهيدا وإن عمهما أخـذ مالهما فلم يدع لهما مالا , ولا ينكحان إلا بمال , فقال : يقضي الله في ذلك , فنزلت آيـة الميراث , فأرسـل رسول الله صلى الله عليه وسـلم إلـى عـمهما فقـال : أعـط بنتي سـعد الثلثين وأمهما الثمن , وما بقي فهو لك ) رواه الخمسة إلا النسائي .</t>
  </si>
  <si>
    <t>ثالثا : الإجماع</t>
  </si>
  <si>
    <t>أما الإجماع فقد حصل مـن صحابة رسول الله صلى الله عليه وسلم بتوريث الجد عند عدم الأب , وكذا نصيب ابن الابن , ونصيب الأخت لأب .</t>
  </si>
  <si>
    <t>رابعا : اجتهاد الصحابة</t>
  </si>
  <si>
    <t>أما اجتهاد الصحابة : فقد ثبت اجتهاد الصحابة رضي الله تعالى عنهم فـي مسـائل كثيرة منها ميراث الجـد والإخـوة وميراث الجدة , والعول والرد .</t>
  </si>
  <si>
    <t>علم الفرائض</t>
  </si>
  <si>
    <t>أدلة الإرث</t>
  </si>
  <si>
    <t xml:space="preserve">  قول الله تعالى : ( للرجال نصيب مما تـرك الوالدان والأقربون وللنساء نصـيب مما تـرك الوالدان والأقربون مما قـل منه أو كثر نصيبا مفروضا وإذا حضر القسمة أولوا القربى واليتامى والمساكين فارزقوهم منه وقولوا لهم قولا معروفا ) سورة النساء آية : 7-8 .</t>
  </si>
  <si>
    <t xml:space="preserve">  قول الله تعالى : ( والذين آمنوا مـن بعد وهاجروا وجاهدوا معكم فأولئك منكم وأولوا الأرحام بعضـهم أولى ببعض فـي كتاب الله إن الله بكل شيء عليم ) سورة الأنفال آية : 75 .</t>
  </si>
  <si>
    <t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t>
  </si>
  <si>
    <t xml:space="preserve">  قول الله تعالى : ( يستفتونك قـل الله يفتيكم في الكلالـة , إن امرؤ هلك ليس له ولد وله أخـت فلها نصف ما ترك وهو يرثها إن لم يكن لها ولـد , فإن كانتا اثنتين فلهما الثلثان مما تـرك , وإن كانوا إخوة رجالا ونسـاء فللذكر مثل حـظ الأنثيين , يبين الله لكم أن تضلوا والله بكل شيء عليم ) سورة النساء آية : 176 .</t>
  </si>
  <si>
    <t xml:space="preserve">  عـن ابـن عـباس عـن النبـي صلى الله عليه وسلم قـال : ( ألحقوا الفرائض بأهلها , فما بقي فلأولى رجل ذكر ) متفق عليه .</t>
  </si>
  <si>
    <t xml:space="preserve">  وعـن زيد بن ثابت : ( أنـه سـئل عـن زوج وأخـت لأبوين , فأعـطى الزوج النصـف , والأخـت النصف , وقال حـضرت رسول الله صلى الله عليه وسلم قضى بذلك ) رواه أحمد بن حنبل .</t>
  </si>
  <si>
    <t xml:space="preserve">  وعـن أبي هريرة أن النبـي صلى الله عليه وسـلم قال : ( مـا مـن مؤمـن إلا وأنـا أولـى بـه فـي الدنيا والآخـرة , واقرءوا - إن شـئتم - النبي أولى بالمؤمنين من أنفسهم - فأيما مؤمن مات وترك مالا فليرثه عصبته مـن كانوا , فإن ترك دينا أو ضياعا فليأتني وأنا مولاه ) متفق عليه .</t>
  </si>
  <si>
    <t xml:space="preserve">  وعـن علي رضـي الله عنه قال : ( إنكم تقرءون هـذه الآية من بعد وصـية يوصـي بها أو ديـن وإن رسول الله صلى الله عليه وسلم قضى بالدين قبل الوصية ) رواه أحمد والترمذي وابن ماجة .</t>
  </si>
  <si>
    <t xml:space="preserve">  وعـن هزيل بن شرحبيل قال : ( سئل أبو موسى عـن بنـت وابنة ابـن وأخـت فقال : للابنة النصـف , وللأخـت النصـف , فسأل ابن مسعود وأخـبره بقـول أبي موسى , فقـال : لقـد ضـللت إذا وما أنـا مـن المهتدين , أقضي فيها بما قضـى النبي صلى الله عليه وسلم للبنت النصـف , ولابنة الابن السـدس تكملة الثلثين وما بقي فللأخـت ) وزاد أحـمد والبخاري : ( فأتينا أبا موسى فأخـبرناه بقـول ابـن مسـعود فقال لا تسألوني ما دام هـذا الحبر فيكم ) رواه الجماعة إلا مسلما والنسائي .</t>
  </si>
  <si>
    <t xml:space="preserve">  وعـن الأسود : ( أن معاذ بن جبل ورث أخـتا وابنـة , جـعل لكل واحـدة منهما النصف وهو باليمن , ونبي الله صلى الله عليه وسلم يومئذ حـي ) رواه أبو داود والبخاري بمعناه .</t>
  </si>
  <si>
    <t xml:space="preserve">  وعـن قبيصة بن ذؤيب قال : ( جـاءت الجـدة إلى أبـي بكـر فسألته ميراثها , فقال : مالك في كتاب الله شـيء , وما علمت لك في سنة رسـول الله صلى الله عليه وسلم شـيء , فارجعي حتى أسأل الناس فسأل الناس , فقال المغيرة بن شعبة : حضرت رسـول الله صلى الله عليه وسلم أعطاها السـدس , فقال : هـل معك غيرك ? فقام محمد بن مسلمة الأنصاري فقال مثـل ما قال المغيرة بن شعبة , فأنفذه لها أبو بكر , قال : ثم جاءت الجـدة الأخرى إلى عمر فسألته ميراثها فقال : ما لك في كتاب الله شيء ولكن هو ذاك السدس فإن اجتمعتما فهو بينكما وأيكما خلت به فهو لها ) رواه الخمسة إلا النسائي وصححه الترمذي .</t>
  </si>
  <si>
    <t xml:space="preserve">  وعـن عبد الرحمن بن يزيد قال : ( أعطى رسول الله صلى الله عليه وسلم ثلاث جـدات السدس , اثنتين مـن قبل الأب , وواحدة مـن قبل الأم ) رواه الدارقطني هكذا مرسلا.</t>
  </si>
  <si>
    <t xml:space="preserve">  وعـن عبادة بـن الصامـت : ( أن النبي صلى الله عليه وسـلم قضـى للجدتين مـن الميراث بالسدس بينهما ) رواه عبد الله بن أحمد فـي المسند .</t>
  </si>
  <si>
    <t xml:space="preserve"> وعـن القاسم بن محمد قال : ( جاءت الجدتان إلى أبي بكر الصـديق فأراد أن يجعل السدس للتي مـن قبل الأم فقال له رجل من الأنصار أما إنك تترك التي لو ماتت وهو حـي كان إياها ترث , فجعل السدس بينهما قال ماذا ? قال السدس ) رواه مالك في الموطأ .</t>
  </si>
  <si>
    <t xml:space="preserve"> وعـن عمران بن حصين : ( أن رجلا أتـى النبي صلى الله عليه وسلم فقال : إن ابني مـات فما لي مـن ميراثه ? قال : قال السدس فلما أدبر دعاه فقال : لك سدس آخر , فلما أدبر دعاه فقال : إن السدس الآخر طعمة ) رواه أحمد وأبو داود والترمذي وصححه .</t>
  </si>
  <si>
    <t xml:space="preserve">  وعـن المقدام بن معدي كرب عـن النبي صـلى الله عليه وسلم قال : ( من ترك مالا فلورثته , وأنا وارث مـن لا وارث لـه أعـقل عنـه وأرثه , والخال وارث مـن لا وارث لـه , يعقل عنه ويرثـه ) رواه أحمد وأبو داود .</t>
  </si>
  <si>
    <t xml:space="preserve">  وعـن ابن عباس قال : قال رسـول الله صلى الله عليه وسلم : ( لا مساعاة فـي الإسلام مـن ساعى فـي الجاهلية فقد ألحقته بعصبته ومن ادعى ولدا مـن غير رشدة فلا يرث ولا يورث ) رواه أحمد وأبو داود .</t>
  </si>
  <si>
    <t xml:space="preserve">  وعـن أبي أمامـة بن سهـل : ( أن رجلا رمـى رجلا بسـهم فقتلـه وليس له وارث إلا خـال , فكتب فـي ذلك أبو عبيدة بن الجراح إلى عمـر , فكتب عمـر : إن النبي صـلى الله عليه وسـلم قال : اللـه ورسوله مولى من لا مولى له , والخال وارث من لا وارث له ) رواه أحمد وابن ماجة والترمذي .</t>
  </si>
  <si>
    <t xml:space="preserve">  وعـن عمرو بن شعيب عن أبيه عن جده أن النبي صلى الله عليه وسلم قال : ( أيما رجـل عاهر بحرة أو أمة فالولد ولد زنى لا يرث ولا يورث ) رواه الترمذي .</t>
  </si>
  <si>
    <t xml:space="preserve">  وعـن عمرو بن شعيب عـن أبيـه عـن جـده عـن النبي صلى الله عليه وسلم : ( أنه جعل ميراث ابن الملاعنة لأمه ولورثتها من بعدها ) رواه أبو داود .</t>
  </si>
  <si>
    <t xml:space="preserve">  وعـن أبي هريرة عن النبي صلى الله عليه وسلم قال : ( إذا استهل المولود ورث ) رواه أبو داود .</t>
  </si>
  <si>
    <t xml:space="preserve">  وعـن سعيد بن المسيب عن جابر بن عبد الله والمسور بن مخرمة قالا ( قضـى رسول الله صلى الله عليه وآله وسلم : لا يـرث الصبي حتى يستهل ) .</t>
  </si>
  <si>
    <t xml:space="preserve">  قال : قال رسـول الله صـلى الله عليه وسـلم : ( مـن تـرك مـالا فلورثته ) رواه أحمد وأبو داود .</t>
  </si>
  <si>
    <t xml:space="preserve">  وعـن أسامة بن زيد عـن النبي صلى الله عليه وسلم قال : (لا يرث المسلم الكافر , ولا الكافر المسلم ) وفي رواية ( قال يا رسـول الله , أتنزل غـدا في دارك بمكة ? قال : وهـل ترك لنا عقيل مـن رباع أو دور , وكان عقيل ورث أبا طالب هو وطالب , ولم يرث جعفر ولا علي شيئا لأنهما كانا مسلمين وكـان عقيل وطالب كافرين ) رواه الجماعة إلا مسلما .</t>
  </si>
  <si>
    <t xml:space="preserve">  وعـن عبد الله بن عمرو أن النبي صـلى الله عليه وسلم قال : ( لا يتوارث أهل ملتين شتى ) رواه أحمد وأبو داود وابن ماجة .</t>
  </si>
  <si>
    <t xml:space="preserve">  قول الله تعالى : ( يوصـيكم الله فـي أولادكـم للذكـر مثـل حـظ الأنثيين , فإن كـن نسـاء فـوق اثنتين فلهن ثلثا ما تـرك , وإن كانت واحدة فلها النصف ولأبويه لكل واحد منهما السدس مما تــرك إن كان له ولد فإن لم يكن له ولد وورثه أبواه فلأمـه الثلث فإن كان له إخوة فلأمه السدس من بعد وصـية يوصي بها أو دين آباؤكم وأبناؤكم لا تدرون أيهم أقـرب لكم نفعا فريضة مـن الله إن الله كان عليما حكيما ) سورة النساء آية : 11 .</t>
  </si>
  <si>
    <t>أصحاب الفروض هم الورثة الذين حدد القرآن الكريم أو السنة النبوية أو إجماع الفقهاء نصيبهم في التركة.</t>
  </si>
  <si>
    <t>والفروض لغة : جمع فرض وهو القطع والتقدير .</t>
  </si>
  <si>
    <t>واصطلاحا : ما يثبت بدليل مقطوع به , وهو سهم مقدر للوارث في التركة والفرض والسهم مترادفان .</t>
  </si>
  <si>
    <t>أنواع أصحاب الفروض</t>
  </si>
  <si>
    <t>وأصحاب الفروض نوعان</t>
  </si>
  <si>
    <t>النوع الأول : فروض سببية</t>
  </si>
  <si>
    <t>السبب لغة : الذريعة , والطريق , وكل ما يتوصل به إلى غيره .</t>
  </si>
  <si>
    <t>واصطلاحا : ربط إرث الشخص من غيره بقيام القرابة بينهما أو الزوجية الصحيحة .</t>
  </si>
  <si>
    <t>وأصحاب الفروض السببية اثنين : الزوج والزوجة .</t>
  </si>
  <si>
    <t>النوع الثاني : فروض نسبية</t>
  </si>
  <si>
    <t>وهم عشرة ثلاثة من الرجال وسبعة من النساء .</t>
  </si>
  <si>
    <t>أما الرجال فالأب والجد الصحيح والأخ لأم .</t>
  </si>
  <si>
    <t>وأما النساء فالبنت وبنت الابن والأم والجدة الصحيحة والأخت الشقيقة والأخت لأب والأخت لأم</t>
  </si>
  <si>
    <t>أصناف أصحاب الفروض</t>
  </si>
  <si>
    <t>لا يحجب حجب حرمان مطلقا , وله حالتان هما :</t>
  </si>
  <si>
    <t>لا تحجب حجب حرمان مطلقا , ولها حالتان هما :</t>
  </si>
  <si>
    <t>والزوجات والواحدة يشتركن في الربع والثمن لقوله تعالى "ولهن" وهو اسم جمع وعليه الإجماع .</t>
  </si>
  <si>
    <t>لا يحجب حجب حرمان مطلقا , وله ثلاثة أحوال في الميراث هي :</t>
  </si>
  <si>
    <t>يحجب في حياة الأب ولا يرث إلا بعد وفاته وله خمسة أحوال هي :</t>
  </si>
  <si>
    <t>ميراث الإخوة والأخوات لأم</t>
  </si>
  <si>
    <t>يحجبون حجب حرمان بالفرع الوارث مطلقا ذكرا أو أنثى وإن نزل , ويحجبون بالأب أو الجد , ولهما حالتان هما :</t>
  </si>
  <si>
    <t>لا تحجب حجب حرمان مطلقا , وأحوالها في الميراث ثلاثة هي :</t>
  </si>
  <si>
    <t>الجدة الصحيحة لأم</t>
  </si>
  <si>
    <t>تحجب بالأم ولها حالتان هما :</t>
  </si>
  <si>
    <t>الجدة الصحيحة لأب</t>
  </si>
  <si>
    <t>تحجب بالأم فقط عند الحنابلة , وبالأم أو بالأب في باقي المذاهب</t>
  </si>
  <si>
    <t>بنات الصلب</t>
  </si>
  <si>
    <t>بنات الابن</t>
  </si>
  <si>
    <t>يحجبون بالبنتين الصلبيتين وبالابن , وأحوالهن في الميراث هي :</t>
  </si>
  <si>
    <t>الأخوات الشقيقات</t>
  </si>
  <si>
    <t>الأخت لأب</t>
  </si>
  <si>
    <t>العصبات</t>
  </si>
  <si>
    <t>العصبة لغة : الإحاطة والشمول وأبناء الرجل وقرابته لأبيه .</t>
  </si>
  <si>
    <t>اصطلاحا : كل من حاز جميع التركة إذا انفرد بها , أو حاز ما أبقاه أصحاب الفروض منها .</t>
  </si>
  <si>
    <t>أقسامها</t>
  </si>
  <si>
    <t>القسم الأول : العصبة بالنفس</t>
  </si>
  <si>
    <t>وهو كل قريب مذكر لا ينتسب للميت بأنثى لوحدها .</t>
  </si>
  <si>
    <t>كيف ترث العصبة بالنفس :</t>
  </si>
  <si>
    <t>جهة البنوة تقدم على جهة الأبوة , فإذا لم توجد انتقلت التركة إلى جهة الأبوة فإذا لم توجد انتقلت إلى جهة الأخوة وهي مقدمة على جهة العمومة , فإذا لم يوجد إلا العمومة استحقوا التركة أو ما بقى منها وإذا كان الورثة عصبات متحدين في الجهة كان أحقهم بالإرث أقربهم إلى الميت درجة , فيقدم الابن على ابن الابن , والأب على الجد , والأخ على ابن الأخ والعم على ابن العم , وعم الميت على عم أبيه وهكذا .</t>
  </si>
  <si>
    <t>فإن تساووا في الدرجة كان أحقهم بالإرث أقواهم قرابة , كالأخ الشقيق يقدم على الأخ لأب , وابن الأخ الشقيق يقدم على ابن الأخ لأب , والعم الشقيق يقدم على العم لأب , فإن تساووا في الجهة والدرجة وقوة القرابة استحق الجميع على السواء , والدليل على توريث العصبة النسبية قول الرسول صلى الله عليه وسلم : ( ألحقوا الفرائض بأهلها , فما بقي فلأولى رجل ذكر ) .</t>
  </si>
  <si>
    <t>والعصبة بالنفس تنحصر في أربعة أصناف وهم :</t>
  </si>
  <si>
    <t>وهم فروع الميت ثم فروع فروعه ( أي أولاده الذكور ثم أولاد أولاده الذكور ... ألخ ) .</t>
  </si>
  <si>
    <t>أصول الميت وهو الأب ثم الجد الصحيح .</t>
  </si>
  <si>
    <t>وهم فروع أب الميت , وهم أخوته الذكور ثم بنوهم , يقدم منهم الأشقاء .</t>
  </si>
  <si>
    <t>هم فروع الجد الصحيح وهم الأعمام ثم بنوهم ( الذكور ) وإن نزلوا يقدم منهم الأعمام لأبوين ثم الأعمام لأب ثم بنوهم لأبوين ( الذكور ) ثم بنو الأعمام لأب ( الذكور ) .</t>
  </si>
  <si>
    <t>القسم الثاني : العصبة بالغير</t>
  </si>
  <si>
    <t>وهي كل أنثى احتاجت في عصوبتها إلى الغير وشاركت ذلك الغير في تلك العصوبة , وتنحصر في الإناث التي فرضهن ( النصف ) عند الانفراد وثلثان عند الاجتماع وهن أربع :-</t>
  </si>
  <si>
    <t>البنت ولها فرض النصف إذا انفردت أو الثلثان إذا كانت أكثر من واحدة أما إذا كان معها ابن ( أحد أشقائها ) فإنها ترث بالتعصيب للذكر مثل حظ الأنثيين .</t>
  </si>
  <si>
    <t>تعصب مع ابن الابن المحاذي لها مطلقا , أو النازل عنها إذا احتاجت إليه .</t>
  </si>
  <si>
    <t>تعصيبها مع الأخ الشقيق .</t>
  </si>
  <si>
    <t>تعصيبها مع الأخ لأب وهي أبعد الإناث ميراثا , ولا ترث بعدها بنت الأخ ولا تكون عصبة مع أخيها , وكذا بنت الأخ لأب , ولا تكون العمة عصبة مع العم , ولا بنات الأعمام عصبة مع أخواتهن .</t>
  </si>
  <si>
    <t>القسم الثالث : العصبة مع الغير</t>
  </si>
  <si>
    <t>وهي كل أنثى احتاجت في عصوبتها إلى الغير , ولم يشاركها ذلك الغير في تلك العصوبة وهن اثنتان :-</t>
  </si>
  <si>
    <t>تعصيب الأخت الشقيقة أو الأخوات الشقيقات مع البنت أو بنت الابن أو معهما , ويكون لهن الباقي من التركة بعد أصحاب الفروض .</t>
  </si>
  <si>
    <t>تعصب الأخت لأب أو الأخوات لأب مع البنت , أو بنت الابن أو معهما , ويكون لهن الباقي من التركة بعد أصحاب الفروض .</t>
  </si>
  <si>
    <t>أصحاب الرد</t>
  </si>
  <si>
    <t>الرد لغة : الرفض , والإعادة .</t>
  </si>
  <si>
    <t>اصطلاحا : إعادة ما فضل عن ذوي الفروض من سهام التركة إليهم بنسبة سهامهم , إن لم يكن للميت عاصب .</t>
  </si>
  <si>
    <t>أصحاب الرد من الورثة ثمانية :</t>
  </si>
  <si>
    <t>قاعدة الرد :</t>
  </si>
  <si>
    <t>لا تخلو المسألة الإرثية الردية من أن لا يكون فيها ( من لا يرد عليه ) كالزوج والزوجة , أو يكون فيها هذا الصنف .</t>
  </si>
  <si>
    <t>أولا : أن لا يكون فيها ( من لا يرد عليه )</t>
  </si>
  <si>
    <t>ثانيا : أن يكون في الورثة ( من لا يرد عليه ) وتحته حالتان :</t>
  </si>
  <si>
    <t>الحالة الأولى : أن يكون معهم ممن يرد عليه صنف واحد وهنا يأخذ من لا يرد عليه سهمه المقدر له , والباقي يوزع على من يرد عليهم ويقسم بينهم على عدد رءوسهم إن تعددوا , وتجعل المسألة من مخرج فرض من لا يرد عليه .</t>
  </si>
  <si>
    <t>الحالة الثانية : أن يكون من يرد عليهم أكثر من صنف واحد ( أي مع من لا يرد عليهم ) فالقاعدة هنا أن نجعل أصل المسألة مخرج نصيب من نصيب من لا يرد عليه ويعطى فرضه ثم نقسم الباقي على من يرد عليه بنسبة سهامهم , وإذا احتاج الأمر إلى تصحيح المسألة بين السهام وعدد الرءوس فنتبع الطرق التي ذكرناها في تصحيح المسائل الإرثية .</t>
  </si>
  <si>
    <t> ذوو الأرحام</t>
  </si>
  <si>
    <t>ذوو الأرحام لغة : مطلق القرابة .</t>
  </si>
  <si>
    <t>اصطلاحا : كل قريب ليس بصاحب فرض ولا عصبة .</t>
  </si>
  <si>
    <t>ذوو الأرحام أربعة أصناف مرتبة كما يلي :</t>
  </si>
  <si>
    <t> أصناف ذوي الأرحام</t>
  </si>
  <si>
    <t>فروع الميت الذين يدلون إليه بواسطة الأنثى , وهم أولاد البنت وأولاد بنات الابن وإن نزلوا .</t>
  </si>
  <si>
    <t>قواعد توريث الصنف الأول :</t>
  </si>
  <si>
    <t>أصول الميت سواء كانوا رجالا توسطت بينهم وبين الميت أنثى ( وهم الأجداد الرحميون ) أو نساء توسط بينهن وبين الميت جد رحمي ( وهن الجدات غير الثابتات ) وإن علا هؤلاء .</t>
  </si>
  <si>
    <t>قواعد توريث الصنف الثاني :</t>
  </si>
  <si>
    <t>فروع أبوي الميت وهم :</t>
  </si>
  <si>
    <t>قواعد توريث الصنف الثالث :</t>
  </si>
  <si>
    <t>الصنف الثالث من ذوي الأرحام هم : فروع أبوي الميت ( وهم الإخوة والأخوات ) .</t>
  </si>
  <si>
    <t>فروع أحد أجداد الميت أو جداته ممن ليسوا أصحاب فروض ولا عصبة , كالأعمام لأم والعمات لأب وأم أو لأب أو لأم , والأخوال والخالات مطلقا , وفروع هؤلاء جميعا .</t>
  </si>
  <si>
    <t>وينقسم الصنف الرابع إلى المراتب الآتية :</t>
  </si>
  <si>
    <t>المرتبة الأولى : فرع الجد الأول .</t>
  </si>
  <si>
    <t>المرتبة الثانية : فرع الجد الثاني .</t>
  </si>
  <si>
    <t>المرتبة الثالثة : فرع الجد الثالث .</t>
  </si>
  <si>
    <t>المرتبة الأولى : فرع الجد الأول</t>
  </si>
  <si>
    <t>فرع الجد الأول للميت , أو الجدة الأولى له , وأولادهما وأولاد أولادهما ومن يتفرع منهما , كعمة الميت , وعمه لأمه , وخاله وخالته , وأولادهم مهما نزلوا .</t>
  </si>
  <si>
    <t>الطبقة الأولى :-</t>
  </si>
  <si>
    <t>عمة الميت وعمه لأمه وخاله وخالته يعتبرون الطبقة الأولى من هذه المرتبة .</t>
  </si>
  <si>
    <t>الطبقة الثانية :-</t>
  </si>
  <si>
    <t>وأولادهم المباشرون يعتبرون : الطبقة الثانية من هذه المرتبة كابن عم الميت لأمه , وابن عمته , وابن خالته مطلقا .</t>
  </si>
  <si>
    <t>الطبقة الثالثة :-</t>
  </si>
  <si>
    <t>كابن أو بنت ابن عم الميت لأمه , وابن أو بنت ابن خاله , وابن أو بنت ابن عمته مطلقا , وابن أو بنت ابن خالته مطلقا , وهكذا نزولا بحيث تعتبر كل درجة نازلة من فروع هذه المرتبة طبقة .</t>
  </si>
  <si>
    <t>المرتبة الثانية : فرع الجد الثاني</t>
  </si>
  <si>
    <t>فروع الجد الثاني للميت وفروع الجدة الثانية له , كعمة أبيه , وعم أبيه لأمه , وخال أبيه , وخالة أبيه , وأولادهم مهما نزلوا .</t>
  </si>
  <si>
    <t>عمة أب الميت , وعم أبيه لأمه , وخال أبيه , وخالة أبيه .</t>
  </si>
  <si>
    <t>أولاد الطبقة الأولى من هذه المرتبة وأولادهم المباشرون كابن أو بنت عم أب الميت , أمه , وابن أو بنت عمة أب الميت مطلقا , وابن أو بنت خال أب الميت مطلقا , وابن أو بنت خالة أب الميت مطلقا .</t>
  </si>
  <si>
    <t>وأولاد أولادهم كابن أو بنت ابن عم أب الميت , وابن أو بنت ابن عمة أب الميت مطلقا ,وابن أو بنت ابن خال أب الميت , وابن أو بنت ابن خالة أب الميت مطلقا وهكذا نزولا بحيث تعتبر كل درجة نازلة من فروع هذه المرتبة طبقة .</t>
  </si>
  <si>
    <t>المرتبة الثالثة : فرع الجد الثالث</t>
  </si>
  <si>
    <t>الطبقة الأولى من هذه المرتبة :- فروع الجد الثالث للميت , وفروع الجدة الثالثة للميت , كعمة أب أب الميت , وعم أب أب الميت لأمه , وخال أب أب الميت , وخالة أب أب الميت مطلقا , وهكذا ثم عمة أب أب الميت , وعم أب أب الميت لأمه , وخال أب أب الميت , وخالة أب أب الميت .</t>
  </si>
  <si>
    <t>وأولاد هؤلاء المباشرون .</t>
  </si>
  <si>
    <t>وأولاد أولادهم نزولا , بحيث تعتبر كل درجة نازلة من فروع هذه المرتبة طبقة , وهكذا إلى ما لا نهاية صعودا ونزولا .</t>
  </si>
  <si>
    <t xml:space="preserve">الرد على الزوج </t>
  </si>
  <si>
    <t>الرد على أحد الزوجين :</t>
  </si>
  <si>
    <t>هو رد ما فضل من سهام التركة عن ذوي الفروض وعند عدم وجود عاصب للميت أو أحد من ذوي رحم إلى الزوج أو الزوجة - وهو مذهب عثمان بن عفان رضي الله عنه - .</t>
  </si>
  <si>
    <t>والرد على أحد الزوجين يعتبر مرتبة تالية للإرث بعد ذوي الأرحام , ولكنه مقدم على إرث كل من :</t>
  </si>
  <si>
    <t>فلا حظ لأحد هذه الأنواع - بهذا الترتيب - مع وجود أحد الزوجين , بل يرد الزائد على أحدهما .</t>
  </si>
  <si>
    <t>المقر له بالنسب على الغير</t>
  </si>
  <si>
    <t>هو من أقر له المورث بالنسب على غيره فقال هذا أخي أو ابن ابني أو عمي , ولم يثبت نسبه بهذا الإقرار .</t>
  </si>
  <si>
    <t>هي أن يقول المورث لشخص آخر أنت أخي , أو أنت ابن ابني , أو أنت عمي .</t>
  </si>
  <si>
    <t>الإقرار حجة قاصرة على المقر ولذلك لا يثبت بهذا الإقرار نسب المقر له لعدم توفر نصاب الشهادة ولكن يرث المقر له من المقر ويشاركه حصته الإرثية .</t>
  </si>
  <si>
    <t>لكي يرث المقر له بالنسب على الغير يجب أن تتوفر له الشروط التالية :</t>
  </si>
  <si>
    <t>مرتبته بين المستحقين للتركة هي السادسة حيث يرث بعد أهل الفروض والعصبة والرد على أهل الفروض وذوي الأرحام والرد على أحد الزوجين فإن وجد أحد من هؤلاء لا إرث له .</t>
  </si>
  <si>
    <t>الموصى له بما زاد على الثلث</t>
  </si>
  <si>
    <t>الوصية لغة : من الإيصاء وهو الوصل والعهد للغير بشيء .</t>
  </si>
  <si>
    <t>واصطلاحا : تمليك مضاف إلى ما بعد الموت عن طريق التبرع .</t>
  </si>
  <si>
    <t>الموصى له بما زاد على الثلث هو ثاني الأشخاص الذين تنتقل إليهم التركة حين فقد الورثة , فإذا مات شخص وليس له وارث , ولا مقر له بالنسب على الغير وكان قد أوصى لإنسان بكل ماله , أو بما زاد على ثلث ماله , استحق الموصى له حينئذ المال كله في حال الوصية بكل المال , أو ما زاد على الثلث , في حال الوصية له بذلك , إذا لم يتعلق بالتركة حق لأحد لأن منعه من استحقاق الوصية بأكثر من الثلث إنما كان لمصلحة الورثة كما في الحديث : ( إنك أن تذر ورثتك أغنياء خير من أن تدعهم عالة يتكففون الناس ) وحيث لم يوجد ورثة في هذه الحالة , فقد استحق ما أوصى له به .</t>
  </si>
  <si>
    <t>بيت المال</t>
  </si>
  <si>
    <t>تصرف التركة بعد وضعها في بيت المال على الجهات التالية :</t>
  </si>
  <si>
    <t xml:space="preserve">  النصف إن لم يكن لزوجته المتوفاة ولد أو ولد ابن وإن نزل .</t>
  </si>
  <si>
    <t xml:space="preserve">  الربع إن كان لزوجته المتوفاة ولد أو ولد ابن وإن نزل ذكرا كان أو أنثى , منه أو من غيره .</t>
  </si>
  <si>
    <t xml:space="preserve">  الربع إن لم يكن لزوجها المتوفى ولد أو ولد ابن وإن نزل .</t>
  </si>
  <si>
    <t xml:space="preserve">  الثمن إن كان لزوجها المتوفى ولد أو ولد ابن وإن نزل .</t>
  </si>
  <si>
    <t xml:space="preserve">  السدس عند وجود الفرع الوارث المذكر .</t>
  </si>
  <si>
    <t xml:space="preserve">  السدس الفرض والتعصيب عند وجود الفرع الوارث المؤنث .</t>
  </si>
  <si>
    <t xml:space="preserve">  التعصيب عند عدم وجود فرع وارث أصلا ذكرا كان أو أنثى .</t>
  </si>
  <si>
    <t xml:space="preserve">  السدس فرضا مع الفرع المذكر , كالابن وابن الابن وإن نزل .</t>
  </si>
  <si>
    <t xml:space="preserve">  السدس فرضا والباقي بالتعصيب مع الفرع الوارث المؤنث .</t>
  </si>
  <si>
    <t xml:space="preserve">  كل التركة إذا لم يكن معه أحد من الورثة .</t>
  </si>
  <si>
    <t xml:space="preserve">  بالتعصيب فقط إذا لم يكن معه فرع وارث مطلقا ذكرا أو أنثى أو الباقي من التركة بعد أصحاب الفروض .</t>
  </si>
  <si>
    <t xml:space="preserve">  السدس للمنفرد منهم ذكرا كان أو أنثى .</t>
  </si>
  <si>
    <t xml:space="preserve">  الثلث للاثنين فصاعدا ذكورهم وإناثهم في القسمة والاستحقاق على السواء ولا يفرق بينهما في القسمة إلا في المسألة المشركة .</t>
  </si>
  <si>
    <t xml:space="preserve">  السدس إذا كان للميت فرع وارث مهما نزل , أو كان له اثنان فأكثر من الإخوة أو الأخوات من أي جهة كانوا .</t>
  </si>
  <si>
    <t xml:space="preserve">  ثلث الكل عند عدم الفرع الوارث أو اثنين من الإخوة والأخوات من أية جهة كانوا .</t>
  </si>
  <si>
    <t xml:space="preserve">  ثلث الباقي بعد فرض أحد الزوجين مع الأب بخلاف الجد إذ لها معه ثلث الكل .</t>
  </si>
  <si>
    <t xml:space="preserve">  السدس سواء كانت لأب أو لأم وسواء كانت واحدة أو أكثر .</t>
  </si>
  <si>
    <t xml:space="preserve">  يقسم السدس على الجدات سواء لأب أو لأم .</t>
  </si>
  <si>
    <t xml:space="preserve">  ولها السدس إن كانت واحدة .</t>
  </si>
  <si>
    <t xml:space="preserve">  النصف للبنت الواحدة .</t>
  </si>
  <si>
    <t xml:space="preserve">  الثلثان للاثنتين فأكثر .</t>
  </si>
  <si>
    <t xml:space="preserve">  تعصيبهن بالابن .</t>
  </si>
  <si>
    <t xml:space="preserve">  النصف للواحدة في عدم وجود بنات من صلب الميت .</t>
  </si>
  <si>
    <t xml:space="preserve">  الثلثان للاثنتين فأكثر في عدم وجود بنات من صلب الميت .</t>
  </si>
  <si>
    <t xml:space="preserve">  السدس مع البنت الصلبية الواحدة تكملة للثلثين .</t>
  </si>
  <si>
    <t xml:space="preserve">  تعصيب بنات الابن بأخيهن أو ابن أخيهن وإن نزل (القريب المبارك).</t>
  </si>
  <si>
    <t xml:space="preserve">  النصف للأخت الواحدة .</t>
  </si>
  <si>
    <t xml:space="preserve">  الثلثان للأختين فصاعدا .</t>
  </si>
  <si>
    <t xml:space="preserve">  الباقي تعصيبا مع أخوتهن للذكر مثل حظ الأنثيين</t>
  </si>
  <si>
    <t xml:space="preserve">  أن يصرن عصبة مع البنت أو بنت الابن ( أي يأخذن الباقي ) عملا بالحديث الشريف : ( اجعلوا الأخوات مع البنات عصبة ) .</t>
  </si>
  <si>
    <t xml:space="preserve">  النصف للأخت لأب الواحدة .</t>
  </si>
  <si>
    <t xml:space="preserve">  الباقي بالتعصيب مع إخوتهن للذكر مثل حظ الأنثيين .</t>
  </si>
  <si>
    <t xml:space="preserve">  صيرورتهن عصبة مع البنت أو بنت الابن .</t>
  </si>
  <si>
    <t xml:space="preserve">  للأخت لأب مع الأخت الشقيقة السدس تكملة للثلثين .</t>
  </si>
  <si>
    <t xml:space="preserve">  البنوة :</t>
  </si>
  <si>
    <t xml:space="preserve">  الأبوة :</t>
  </si>
  <si>
    <t xml:space="preserve">  الأخوة :</t>
  </si>
  <si>
    <t xml:space="preserve">  العمومة :</t>
  </si>
  <si>
    <t xml:space="preserve">  البنت :</t>
  </si>
  <si>
    <t xml:space="preserve">  بنت الابن :</t>
  </si>
  <si>
    <t xml:space="preserve">  الأخت الشقيقة :</t>
  </si>
  <si>
    <t xml:space="preserve">  الأخت لأب :</t>
  </si>
  <si>
    <t xml:space="preserve">  واحد من الذكور هو : الأخ لأم .</t>
  </si>
  <si>
    <t xml:space="preserve">  وسبع من الإناث هن :</t>
  </si>
  <si>
    <t xml:space="preserve">  البنت .</t>
  </si>
  <si>
    <t xml:space="preserve">  بنت الابن وإن نزل أبوها .</t>
  </si>
  <si>
    <t xml:space="preserve">  الأخت الشقيقة .</t>
  </si>
  <si>
    <t xml:space="preserve">  الأخت لأب .</t>
  </si>
  <si>
    <t xml:space="preserve">  الأخت لأم .</t>
  </si>
  <si>
    <t xml:space="preserve">  الأم .</t>
  </si>
  <si>
    <t xml:space="preserve">  الجدة الصحيحة .</t>
  </si>
  <si>
    <t xml:space="preserve">  فإن كان الورثة صنفا واحدا فأصل المسألة من عدد رءوسهم .</t>
  </si>
  <si>
    <t xml:space="preserve">  وإن كان الورثة صنفين فأكثر فأصل المسألة ( مجموع السهام التي يستحقونها ) .</t>
  </si>
  <si>
    <t xml:space="preserve">  ترتيبهم :</t>
  </si>
  <si>
    <t xml:space="preserve">  أولاد البنات .</t>
  </si>
  <si>
    <t xml:space="preserve">  الجد الرحمي .</t>
  </si>
  <si>
    <t xml:space="preserve">  فروع الأب .</t>
  </si>
  <si>
    <t xml:space="preserve">  فروع الجد .</t>
  </si>
  <si>
    <t xml:space="preserve">  قواعد عامة لتوريثهم :</t>
  </si>
  <si>
    <t xml:space="preserve">  إذا ترك الميت واحدا فحسب من ذوي الأرحام , حاز المال كله من أي صنف كان رجلا أو امرأة , أو حاز الباقي بعد أصحاب الفروض والعصبات .</t>
  </si>
  <si>
    <t xml:space="preserve">  أما إذا كان ذوو الأرحام من أصناف متعددة , قدم الصنف الأول على الثاني , والثاني على الثالث , والثالث على الرابع , كترتيب العصبات تماما.</t>
  </si>
  <si>
    <t xml:space="preserve">  إذا كان الوارثون من ذوي الأرحام كلهم من صنف واحد , كان توريثهم وفق القواعد التالية :</t>
  </si>
  <si>
    <t xml:space="preserve">  أولاهم بالميراث أقربهم درجة إلى الميت .</t>
  </si>
  <si>
    <t xml:space="preserve">  وإن استووا في الدرجة , فولد صاحب الفرض أولى من ولد ذي الرحم .</t>
  </si>
  <si>
    <t xml:space="preserve">  أما إن كانوا متساوين في الدرجة ويدلون كلهم بصاحب فرض أو بذي رحم , كان المال بينهم جميعا للذكر مثل حظ الأنثيين .</t>
  </si>
  <si>
    <t xml:space="preserve">  الصنف الأول : </t>
  </si>
  <si>
    <t xml:space="preserve">  كل الميراث للوارث الواحد فقط إذا انفرد ولا يوجد معه صاحب فرض أو عصبة نسبية .</t>
  </si>
  <si>
    <t xml:space="preserve">  الباقي بعد نصيب أحد الزوجين ولا يوجد صاحب فرض أو عصبة نسبية .</t>
  </si>
  <si>
    <t xml:space="preserve">  إن كانوا أكثر من واحد , فأولاهم بالميراث أقربهم إلى الميت كبنت البنت فإنها أولى من بنت بنت الابن وهذا قول أهل القرابة .</t>
  </si>
  <si>
    <t xml:space="preserve">  الصنف الثاني : </t>
  </si>
  <si>
    <t xml:space="preserve">  إذا تعدد أصحاب هذا الصنف قدم أقربهم إلى الميت درجة .</t>
  </si>
  <si>
    <t xml:space="preserve">  إذا استووا في الدرجة , قدم من يدلى إلى الميت بصاحب فرض على من يدلى إليه بصاحب رحم .</t>
  </si>
  <si>
    <t xml:space="preserve">  إذا استووا في الدرجة والإدلاء بصاحب فرض أو الإدلاء بذي رحم ينظر :</t>
  </si>
  <si>
    <t xml:space="preserve">  فإن كانوا جميعا من جانب الأب أو من جانب الأم اشتركوا في الميراث للذكر مثل حظ الأنثيين .</t>
  </si>
  <si>
    <t xml:space="preserve">  وإن كانوا مع استوائهم في الدرجة والإدلاء مختلفين في الخير , فبعضهم من جهة الأب وبعضهم من جهة الأم كان لقرابة الأب الثلثان ولقرابة الأم الثلث .</t>
  </si>
  <si>
    <t xml:space="preserve">  الصنف الثالث : </t>
  </si>
  <si>
    <t xml:space="preserve">  أولاد الأخوات مطلقا سواء كن شقيقات أو لأب أو لأم وإن نزلوا .</t>
  </si>
  <si>
    <t xml:space="preserve">  أولاد الإخوة لأم وإن نزلوا , أما أولاد الإخوة الأشقاء أو الإخوة لأب الذكور فهم عصبة .</t>
  </si>
  <si>
    <t xml:space="preserve">  إذا تعدد ذوو الأرحام من هذا الصنف كان أولاهم بالميراث أقربهم درجة إلى الميت .</t>
  </si>
  <si>
    <t xml:space="preserve">  وإن تساووا في الدرجة قدم ولد العصبة على ولد ذي الرحم .</t>
  </si>
  <si>
    <t xml:space="preserve">  وإن كانوا متساوين في الدرجة وكانوا جميعا أولاد عصبة أو كانوا جميعا أولاد ذي رحم , قدم الأقوى قرابة , فمن كان أصله لأبوين حجب من كان أصله لأحدهما ومن كان أصله لأب حجب من كان أصله لأم .</t>
  </si>
  <si>
    <t xml:space="preserve">  الطبقة الأولى من كل مرتبة من مراتب هذا الصنف إذا وجد فيها متعددون , وكانوا كلهم من جانب الأب فقط كالعمات أو من جانب الأم فقط كالخالات , قدم الأقوى قرابة ذكرا كان أو أنثى .</t>
  </si>
  <si>
    <t xml:space="preserve">  إن كان المتعددون من طبقة واحدة متساوين في قوة القرابة , اشتركوا في الإرث , للذكر مثل حظ الأنثيين .</t>
  </si>
  <si>
    <t xml:space="preserve">  إذا كان أفراد الطبقة الواحدة من أية مرتبة مختلفين , فبعضهم كان من جهة الأب , وبعضهم كان من جهة الأم , قسم المال أثلاثا ثم يوزع نصيب كل فريق بين أفراده بحسب قوة القرابة , فإن استووا في القرابة قسم المال بينهم للذكر مثل حظ الأنثيين .</t>
  </si>
  <si>
    <t xml:space="preserve">  في الطبقة النازلة من كل مرتبة من مراتب هذا الصنف يقدم الأقرب منهم درجة على الأبعد , ولو كان أحدهما من قرابة الأب والآخر من قرابة الأم .</t>
  </si>
  <si>
    <t xml:space="preserve">  وإذا استووا في الدرجة , وكانوا جميعا من جانب واحد قدم ولد العصبة على ولد ذي الرحم .</t>
  </si>
  <si>
    <t xml:space="preserve">  فإن كانوا جميعا مع استوائهم في الدرجة , أولاد عصبة أو أولاد ذي رحم , قدم الأقوى قرابة .</t>
  </si>
  <si>
    <t xml:space="preserve">  إذا كانوا متساوين في الدرجة ولكنهم اختلفوا في جانب القرابة , فبعضهم من جهة الأب , وبعضهم من جهة الأم , كان ثلثا التركة لفريق الأب وثلثها الآخر لفريق الأم ثم يقسم نصيب كل فريق بين أفراده بحيث يقدم ولد ذي العصبة على ولد ذي الرحم , ثم يقدم الأقوى قرابة على الأضعف .</t>
  </si>
  <si>
    <t xml:space="preserve">  الصنف الرابع : </t>
  </si>
  <si>
    <t xml:space="preserve">  المقر له بنسب على الغير .</t>
  </si>
  <si>
    <t xml:space="preserve">  الموصى له بما زاد على الثلث .</t>
  </si>
  <si>
    <t xml:space="preserve">  بيت المال .</t>
  </si>
  <si>
    <t xml:space="preserve">  صورة الإقرار بالنسب على الغير :</t>
  </si>
  <si>
    <t xml:space="preserve">  حكم الإقرار بالنسب على الغير :</t>
  </si>
  <si>
    <t xml:space="preserve">  شروط الإقرار بالنسب على الغير :</t>
  </si>
  <si>
    <t xml:space="preserve">  أن يكون المقر له مجهول النسب .</t>
  </si>
  <si>
    <t xml:space="preserve">  أن يصدق المقر له المقر في هذا الإقرار إن كان مميزا .</t>
  </si>
  <si>
    <t xml:space="preserve">  أن يموت المقر مصرا على إقراره .</t>
  </si>
  <si>
    <t xml:space="preserve">  ألا يثبت نسب المقر له بطريق من طرق إثبات النسب الشرعية.</t>
  </si>
  <si>
    <t xml:space="preserve">  مرتبة المقر له بالنسب على الغير الإرثية :</t>
  </si>
  <si>
    <t xml:space="preserve">  تؤول التركة إلى بيت المال إذا لم يوجد وارث أصلا ولا مقر له بالنسب على الغير , ولا موصى له بما زاد على الثلث , فتوضع التركة فيه على أنها مال ضائع ليس له مالك .</t>
  </si>
  <si>
    <t xml:space="preserve">  كيف تصرف التركة من بيت المال ؟</t>
  </si>
  <si>
    <t xml:space="preserve">  إعالة الفقراء ومداواتهم والقيام بحاجاتهم .</t>
  </si>
  <si>
    <t xml:space="preserve">  الإنفاق على اليتامى واللقطاء الذين لا مال لهم .</t>
  </si>
  <si>
    <t xml:space="preserve">  الإنفاق على الضعفاء وذوي الحاجات .</t>
  </si>
  <si>
    <t xml:space="preserve">  النفقات العامة التي يحتاج إليها المجتمع , كالطرق والآبار والمساجد والجهاد ودور العلم وما إلى ذلك مما يعم نفعه .</t>
  </si>
  <si>
    <t>وهـو المـيـت الـذي يسـتحـق غيـره أن يـرث منـه .</t>
  </si>
  <si>
    <t>وهـو ينتـمي إلى المـيـت بسبب مـن أسـباب الإرث .</t>
  </si>
  <si>
    <t>وهـو مـا يـورث عـن المـيـت ويسـمى ميراثا وإرثا وتـركـة .</t>
  </si>
  <si>
    <t>والتركـة فـي اللغـة : ما يتركـه الشـخـص ويبقيـه .</t>
  </si>
  <si>
    <t>واصـطلاحـا : ما يتركـه الشـخـص بعد موتـه مـن أموال وحـقـوق .</t>
  </si>
  <si>
    <t>أركان الإرث</t>
  </si>
  <si>
    <t xml:space="preserve">  المــورث</t>
  </si>
  <si>
    <t xml:space="preserve">  الــوارث</t>
  </si>
  <si>
    <t xml:space="preserve">  التـركـة</t>
  </si>
  <si>
    <t>شروط الإرث</t>
  </si>
  <si>
    <t>موت المورث</t>
  </si>
  <si>
    <t>هـو مفارقته الحياة فعلا , ويثبت ذلك برؤيـة أو سمـاع أو بحـكم القاضي بناء على البينة من شهود ومستندات .</t>
  </si>
  <si>
    <t>يثبت بحكم القاضـي المقـر مـوت المـورث اجـتهادا أو بنـاء على القرائن والأحوال المرجحة موته بعد التحري عنه</t>
  </si>
  <si>
    <t>كالجنين الذي ينفصل عن أمه ميتا بالاعتداء عليها , فيحكم بأنه كان حـيا قبل الاعتداء عليها وأنـه مات نتيجة الاعتداء , ولذلك تورث عنه غرته التي قدرها الشارع بعشر الدية كاملة .</t>
  </si>
  <si>
    <t>حياة الوارث</t>
  </si>
  <si>
    <t>حياة حقيقية</t>
  </si>
  <si>
    <t>تثبت حـياة الوارث حقيقة بالمشاهدة والبينة فـي محـل القضاء .</t>
  </si>
  <si>
    <t>حياة تقديرية</t>
  </si>
  <si>
    <t>تثبت حياته تقديرا بأن يولد حيا بعد مـوت مورثـه مـع تحقق وجـوده قبـل الوفاة , كالحمل الذي حملت به أمه قبل وفاة أبيه ثم تم ميلاده حيا بعد الوفاة , فهذا من الورثة تقديرا عند موت أبيه.</t>
  </si>
  <si>
    <t xml:space="preserve">  الموت الحقيقي</t>
  </si>
  <si>
    <t xml:space="preserve">  موت المورث حكما</t>
  </si>
  <si>
    <t xml:space="preserve">  موت المورث تقديرا</t>
  </si>
  <si>
    <t> أسباب الإرث</t>
  </si>
  <si>
    <t>الزواج الصحيح</t>
  </si>
  <si>
    <t>ولو كان مـن غير دخول أو خلوة , فمتى تم عقد الزواج صحيحا فقد وجد سبب التوارث بين الزوجين ما دامت الزوجية قائمة , فإذا وقع الطلاق فلا توارث بين الزوجين إلا في الحالات التالية :</t>
  </si>
  <si>
    <t>متى تم عقد الزواج صحيحا ولو كان مـن غير دخول أو خلوة فقد وجد سبب التوارث بين الزوجين فإذا مات أحد الزوجين قبل الدخول فإن كلا منهما يرث الآخر كما في حالة بعد الدخول .</t>
  </si>
  <si>
    <t>فإنها ترث مـن مطلقها إذا مات وهـي فـي عدتها , لأن الزوجية لا تزال قائمة بينهما .</t>
  </si>
  <si>
    <t>المعتدة من طلاق بائن لا ترث ولكنها ترث فـي طلاق الفرار ( وهو طلاق المريض لزوجته فرارا من إرثها ) , فإذا مات وهي في عدتها ورثت منه ولو كان طلاقه لها بائنا .</t>
  </si>
  <si>
    <t>وعليه فلا يـرث الزوجان مـن بعضهما فـي الزواج الباطل , كـزواج المتعـة والزواج المؤقـت , وكـذلك لا توارث بينهما فـي الـزواج الفاسد , كالزواج مـن غير شـهود , ولو بعـد الدخول أو الخلوة .</t>
  </si>
  <si>
    <t>القرابـة</t>
  </si>
  <si>
    <t>وهي أقوى أسباب الميراث , وتشمل :-</t>
  </si>
  <si>
    <t>كالأبناء وينقسمون إلى :</t>
  </si>
  <si>
    <t>لـغـــة : جمع عين , وتعني سيد القوم وخيارهم .</t>
  </si>
  <si>
    <t>اصطلاحا : أبناء الرجل الواحد مـن زوجة واحدة .</t>
  </si>
  <si>
    <t>لـغـــة : الشرب أو السقي مرة بعد مرة .</t>
  </si>
  <si>
    <t>اصطلاحا : أبناء الرجل الواحد من أمهات شتى .</t>
  </si>
  <si>
    <t>لـغـــة : الاختلاف وتغير اللون .</t>
  </si>
  <si>
    <t>اصطلاحا : أبناء المرأة من آباء شتى .</t>
  </si>
  <si>
    <t>كالأب والجد .</t>
  </si>
  <si>
    <t>كالإخوة والأعمام وأولادهم .</t>
  </si>
  <si>
    <t>المـوالاة</t>
  </si>
  <si>
    <t>وتسمى القرابة الحكمية وتعـرف بالعصوبة السببية , وهـي سبب مـن أسـباب إرث المعتـق لعتيقه مكافأة لـه عـلى تحـرير مملوكـه مـن العبودية .</t>
  </si>
  <si>
    <t xml:space="preserve">  عقد زواج فقط</t>
  </si>
  <si>
    <t xml:space="preserve">  المعتدة من طلاق رجعي</t>
  </si>
  <si>
    <t xml:space="preserve">  المعتدة من طلاق بائن وقع في مرض الموت</t>
  </si>
  <si>
    <t xml:space="preserve">  الفروع</t>
  </si>
  <si>
    <t xml:space="preserve">  بـنو الأعيـان</t>
  </si>
  <si>
    <t xml:space="preserve">  بنـو العـلات</t>
  </si>
  <si>
    <t xml:space="preserve">  بنـو الأخـياف</t>
  </si>
  <si>
    <t xml:space="preserve">  الأصـول</t>
  </si>
  <si>
    <t xml:space="preserve">  الحواشـي</t>
  </si>
  <si>
    <t>موانع الإرث</t>
  </si>
  <si>
    <t>موانع أصلية</t>
  </si>
  <si>
    <t>إذا قتل الوارث مورثه فإنه لا يرث منه , إذ قد يقصد من ذلك استعجال إرثـه فيعاقب بحرمانه منـه , ودليل ذلك قـول الرسـول صلى الله عليه وسلم : ( ليـس لقاتل ميـراث ) , رواه مالـك وأحـمد وغيرهما , وقـول النبي عليه الصلاة والسلام : ( لا يـرث القاتل شيئا ) , رواه أبـو داود .</t>
  </si>
  <si>
    <t>ويروي الإمام أحـمد بن حنبل بإسناده عـن النبي صلى الله عليه وسـلم أنه قال : ( من قتل قتيلا فإنه لا يرثه وإن لم يكن له وارث غيره ).</t>
  </si>
  <si>
    <t>والقتل المانع من الميراث بالطبع هو القتل المتعمد ظلما وعدوانا سواء كان القاتل هو المباشر للقتل أو كان المتسبب فيه.</t>
  </si>
  <si>
    <t>أجـمع العلماء على أن المسلم لا يرث مـن غير المسلم , وكذلك لا يرث غير المسلم من المسلم . لقول النبي صلى الله عليه وسلم , فيما رواه أحـمد وأبو داود : ( لا يتوارث أهـل ملتين شـيئا ) .</t>
  </si>
  <si>
    <t>ولأن الإرث يبنى على الولاية والنصرة , ولا يتحقق ذلك مع اختلاف العقيدة .</t>
  </si>
  <si>
    <t>ويراد بها خـروج المسلم عن دينه وإعلانه الكفر به طائعا مختارا , أعاذنا الله من ذلك , والردة تمنع الإرث , فلا يرث المرتد مـن غيره لا مسلما ولا غير مسلم لأنه فـي حكم الميت , لقول الرسول صلى الله عليه وسلم : ( من بدل دينه فاقتلوه ) .</t>
  </si>
  <si>
    <t>والميت لا يرث والدليل على ذلك إجماع الفقهاء , أما أمواله فلورثته المسلمين من بعده .</t>
  </si>
  <si>
    <t>موانع تبعية</t>
  </si>
  <si>
    <t>ترجع الموانع التبعية إلى فقدان سبب من أسباب الإرث , أو فقدان شـرط من شروطه , وهـي أربعة :-</t>
  </si>
  <si>
    <t>فلو غـرق جماعة فـي سفينة واحـدة , وفيهم أقارب كولد وأبيـه مثلا , ولـم يعرف منهم المتأخر فـي الوفاة , فإنه لا توارث بينهم , لأن من شروط الإرث تحقق حياة الوارث عند وفاة المورث .</t>
  </si>
  <si>
    <t>كما لو أرضعت امرأة صبيا مـع ولدها وماتت ولم يعرف أيهما ابنها , فلا يرثها أي منهما , لعدم تحقق النسب في كل واحد منهما .</t>
  </si>
  <si>
    <t>إذا رمى زوج زوجته بالزنا , ونفي نسـب ابنها إليه وحكم القاضي بنفي النسب بعد الملاعنة , فإن هـذا الولد لا يرث مـن الزوج رغم أنه جاء على فراش الزوجية الصحيح , وذلك لانتفاء نسـبه عنه , ولكنه يرث مـن أمه ( الزوجة ) وهي ترثه لتحقق نسبه إليها.</t>
  </si>
  <si>
    <t>لا يرث ولد الزنا مـن الزوج ولو اعترف به رغم أن أمه ولدته وهي على عصمة هذا الزوج , ولكنه يرث منها وهي ترثه لتحقق نسبه إليها , وذلك لأن الزنى طريق غير مشروع للولادة ولا مثبت للنسب .</t>
  </si>
  <si>
    <t xml:space="preserve">  القتل</t>
  </si>
  <si>
    <t xml:space="preserve">  اختلاف الدين</t>
  </si>
  <si>
    <t xml:space="preserve">  الـردة</t>
  </si>
  <si>
    <t xml:space="preserve">  جهالة تاريخ الموت</t>
  </si>
  <si>
    <t xml:space="preserve">  جهالة الوارث</t>
  </si>
  <si>
    <t xml:space="preserve">  اللعان</t>
  </si>
  <si>
    <t xml:space="preserve">  الزنا</t>
  </si>
  <si>
    <t>عدد الحصص لكل وريث</t>
  </si>
  <si>
    <t xml:space="preserve">الورثــــــــــــــة </t>
  </si>
  <si>
    <t xml:space="preserve">  يقاسم الإخوة الأشقاء أو لأب - في غير المذهب الحنفي - كأنه أخ لهم  أو ثلث المال بعد أصحاب الفروض أو نصيبه عن سدس المال كله أيهما أفضل أعطى له </t>
  </si>
  <si>
    <t>فريضة ناقصة:الفريضة أقل من عدد الحصص فترد باقى الحصص على سهام الفريضة بأستتناء الزوج و الزوجة فلا يرد عليهم</t>
  </si>
  <si>
    <t>"تنبيــــــه:  حالة ثلث الباقى تطبق فى حالات الجد مع الأخوة  "</t>
  </si>
  <si>
    <t>"تتساوى المقاسمة مع ثلث الباقى"</t>
  </si>
  <si>
    <t>"تتساوى السدس مع ثلث الباقى"</t>
  </si>
  <si>
    <t>"يتساوى السدس مع المقاسمة"</t>
  </si>
  <si>
    <t>"تتساوى السدس مع المقاسمة مع ثلث الباقى"</t>
  </si>
  <si>
    <r>
      <t xml:space="preserve">أذاكانت مع البنت أو البنات أو بنت الأبن أو بنات الأبن فأنها تصير عاصبة  </t>
    </r>
    <r>
      <rPr>
        <b/>
        <sz val="14"/>
        <color indexed="8"/>
        <rFont val="Calibri"/>
        <family val="2"/>
      </rPr>
      <t>@أن كان معها أخ شقيق تقتسم المال معه</t>
    </r>
  </si>
  <si>
    <t>ليس للزوج فرع وارث</t>
  </si>
  <si>
    <t>الحصص</t>
  </si>
  <si>
    <t>للزوجة فرع وارث</t>
  </si>
  <si>
    <t>الحالة</t>
  </si>
  <si>
    <t>التحقيق</t>
  </si>
  <si>
    <t>أذا كان معه أخوة أشقاء أو لأب  أو جميعا</t>
  </si>
  <si>
    <t>ليس للزوجة  فرع وارث</t>
  </si>
  <si>
    <t xml:space="preserve">أذا  معه أو معهم صاحب فرض  وأذا وجدوا كلهم فالترتيب بينهم من ناحية الحهة والقرب والقوة </t>
  </si>
  <si>
    <t xml:space="preserve"> أخذ أو أخذوا ما بقى أن يبقى شىء للذكر مثل حظ الأنثيين</t>
  </si>
  <si>
    <t>أخد أو أخذو ما بقى أن بقى شىء</t>
  </si>
  <si>
    <t xml:space="preserve">أذا تعددت أو أنفردت وكان معها أبن أو أكثر,كان معها معصب سواء أكان معها أصحاب فروض أخرون أم لا </t>
  </si>
  <si>
    <t>الأب وله أربعة حالات</t>
  </si>
  <si>
    <t xml:space="preserve">السدس فرضا  </t>
  </si>
  <si>
    <t>المتوفى من الورثة</t>
  </si>
  <si>
    <t>المناسخات/ أسم المتوفى</t>
  </si>
  <si>
    <t>أسم المتوفى الأصلى</t>
  </si>
  <si>
    <t>يقتسم المال معهم بعد أصحاب ذوى الفروض للذكر مثل حظ الأنتيين وأن كانو ذكورا فقط تقسم التركة على الرؤوس</t>
  </si>
  <si>
    <t>أن يكون  أو يكونو معهم صاحب فرض ولهم أخوة ذكورا أو أناثا أو الأتنين</t>
  </si>
  <si>
    <t xml:space="preserve"> الباقى تعصيبا</t>
  </si>
  <si>
    <t xml:space="preserve">أذا أنفرد أو معه مثله جهة وقربا وقوة  </t>
  </si>
  <si>
    <t>أذا كان معها أبن أبن أبن أى أسفل منها فأنه يعصبها أذا لم بكن لها نصيب فى الثلثين  أو لم يكن لها نصيب مثل النصف أذا أنفردت أو السدس تكملة الثلثين أذا كانت مع البنت الواحدة من الصلب</t>
  </si>
  <si>
    <t xml:space="preserve">يأخد الباقى بعد أصحاب الفروض    </t>
  </si>
  <si>
    <t>ثلث الباقى  أحظ للجد من المقاسمة وسدس الكل</t>
  </si>
  <si>
    <t>المتوفى</t>
  </si>
  <si>
    <t>تحجب بالفرع الوارث المذكر , أو الأب   , والأخ الشقيق ,   الأختين الشقيقتين    , والأخت الشقيقة مع البنت أو البنات أو بنات الأبن, , وأحوالهن في الميراث هي :</t>
  </si>
  <si>
    <t>أذا كان معه أم فقط أو زوج أو زوجة</t>
  </si>
  <si>
    <t xml:space="preserve"> الباقى للجد تعصيبا</t>
  </si>
  <si>
    <t xml:space="preserve">السدس  </t>
  </si>
  <si>
    <t>الأعادة "الجد مع الأخوة والأخوات"</t>
  </si>
  <si>
    <t>شرح الفريضـــــــــة</t>
  </si>
  <si>
    <t>بيت المسلمين</t>
  </si>
  <si>
    <t>بيت مال المسلمين</t>
  </si>
  <si>
    <t>الأخوة الأشقاء</t>
  </si>
  <si>
    <t>الأخوات الأشقاء</t>
  </si>
  <si>
    <t>الأخوة للأب</t>
  </si>
  <si>
    <t xml:space="preserve"> لأخوات للأب</t>
  </si>
  <si>
    <t xml:space="preserve">تقتسم المال معهم بعد أصحاب ذوى الفروض للذكر مثل حظ الأنتيين  </t>
  </si>
  <si>
    <t xml:space="preserve">   أفضلية سدس كل المال ولو أدى الى العول</t>
  </si>
  <si>
    <t xml:space="preserve">  ذوي الأرحام فى بعض المذاهب</t>
  </si>
  <si>
    <t>كالأخوال وبني البنات فى بعض المذاهب .</t>
  </si>
  <si>
    <t>يقتسمون الباقى للذكر مثل حظ الأنتيين</t>
  </si>
  <si>
    <t>الجدة للأم: أن أجتمعت مع الجدة للأب</t>
  </si>
  <si>
    <t>الجدة للأب:أن أجتمعت مع الجدة للأم</t>
  </si>
  <si>
    <t xml:space="preserve">طريقة عمل المنظومة </t>
  </si>
  <si>
    <t>نستعرض هنا بعض الحالات الخاصة التي يقوم البرنامج بحسابها:</t>
  </si>
  <si>
    <t>وهي: زوج وأم وأخوان لأم وأخ شقيق أو أكثر.</t>
  </si>
  <si>
    <t>سبب التسمية</t>
  </si>
  <si>
    <t>سميت بالحمارية: لقول الإخوة الأشقاء لعمر بن الخطاب رضي الله عنه حينما أراد أن يحرمهم هب أن أبانا كان حمارا ألسنا أبناء أم واحدة ؟</t>
  </si>
  <si>
    <t>وسميت باليمية أو الحجرية: لأنه روى أنهم قالوا له هب أبانا حجرا في اليم ألسنا أبناء أم واحدة ؟</t>
  </si>
  <si>
    <t>وسميت بالعمرية: لأن عمر رضي الله عنه قد أشرك الأشقاء مع الإخوة لأم في حصتهم من الميراث وهي الثلث.</t>
  </si>
  <si>
    <t>قسمتها</t>
  </si>
  <si>
    <t>(أ) تقسيمها على رأي عمر رضي الله عنه: وقد أخذ به المذهب المالكي والشافعي.</t>
  </si>
  <si>
    <t>للزوج النصف وسهمه (9) وللأم السدس وسهمها (3) ويشترك الإخوة الثلاثة في الثلث وسهم كل واحد منهم (2) وتصح المسألة من (18).</t>
  </si>
  <si>
    <t>(ب) رأي من خالف عمر رضي الله عنه: وقد أخذ به الحنابلة والأحناف.</t>
  </si>
  <si>
    <t>للزوج النصف وسهمه (3) وللأم السدس وسهمها (1) وللإخوة لأم الثلث وسهم كل واحد منهما (1) وتصح من (6) ولا يبقى للأشقاء ما يرثونه.</t>
  </si>
  <si>
    <t>وهي اجتماع:</t>
  </si>
  <si>
    <t>(1) زوج وأب وأم</t>
  </si>
  <si>
    <t>(2) زوجة وأب وأم</t>
  </si>
  <si>
    <t>وتعطى الأم في هاتين المسألتين ثلث الباقي لا ثلث التركة.</t>
  </si>
  <si>
    <t>سميتا بالعمريتين: لأن عمر رضي الله عنه قضى فيها بذلك ووافقه على ذلك زيد بن ثابت وعثمان بن عفان وعبد الله بن مسعود رضي الله عنهم ولكن خالفه فيها عبد الله بن عباس رضي الله عنه.</t>
  </si>
  <si>
    <t>(أ) رأي عمر رضي الله عنه: وقد أخذ به أئمة المذاهب الأربعة.</t>
  </si>
  <si>
    <t>(1) في الأولى: للزوج النصف وسهمه (3) وثلثا الباقي للأب وسهمه 2 وثلث الباقي بعد الزوج للأم وسهمها (1) والمسألة من (6).</t>
  </si>
  <si>
    <t>(2) في الثانية: للزوجة الربع وسهمها (1) وثلث الباقي للأم وسهمها (1) والباقي للأب وسهمه (2) والمسألة من (4).</t>
  </si>
  <si>
    <t>(ب) تقسيمهما على رأي عبد الله بن عباس رضي الله عنهما:</t>
  </si>
  <si>
    <t>(1) في الأولى: للزوج النصف وسهمه (3) وثلث الكل للأم وسهمها (2) والباقي للأب وسهمه (1) والمسألة من (6).</t>
  </si>
  <si>
    <t>(2) في الثانية: للزوجة الربع وسهمها (3) وثلث الكل للأم وسهمها (4) والباقي للأب وسهمه (5) والمسألة من (12).</t>
  </si>
  <si>
    <t>وهي: زوج وأم وأختان لأم وأختان شقيقتان.</t>
  </si>
  <si>
    <t>للزوج النصف وللأم السدس وللأختين لأم الثلث وللأختين الشقيقتين الثلثان.</t>
  </si>
  <si>
    <t>سميت بأم الفروخ: لأنها أكثر المسائل عولا , فشبهت بالدجاجة مع أفراخها.</t>
  </si>
  <si>
    <t>وسميت بالشريحية: لأن شريحا القاضي أول من قضى بها.</t>
  </si>
  <si>
    <t>للزوج النصف وسهمه (3) والسدس للأم وسهمها (1) وللأخوات لأم الثلث وسهم كل واحدة منهم (1) وللأخوات الشقيقات الثلثان وسهم كل واحدة منهما (2) والمسألة من (6) وتعول إلى (10). ولا اختلاف بين أئمة المذاهب الأربعة في سهام هذه المسألة.</t>
  </si>
  <si>
    <t>وهي اجتماع: زوجة وأب وأم وبنتين.</t>
  </si>
  <si>
    <t>سميت بالمنبرية: لأن عليا رضي الله عنه كان يخطب على المنبر وقد بدأ خطبته بقوله: الحمد لله الذي يجزي كل نفس بما تسعى ثم سئل عن هذه المسألة فأجاب على الفور: صار ثمنها تسعا ثم استمر في خطبته فكان ذلك من نباهته وحضور بديهته رضي الله عنه.</t>
  </si>
  <si>
    <t>للزوجة الثمن وسهمها (3) وللأب السدس وسهمه (4) وللأم السدس وسهمها (4) وللبنات الثلثان وسهم كل واحدة منهما (8) والمسألة من (24) وتعول إلى (27).</t>
  </si>
  <si>
    <t>ولا اختلاف بين أئمة المذاهب الأربعة في سهام هذه المسألة.</t>
  </si>
  <si>
    <t>وهي: جد وأم وأخت.</t>
  </si>
  <si>
    <t>سميت بالخرقاء: لأن الأقوال قد خرقتها.</t>
  </si>
  <si>
    <t>وسميت بالعثمانية: لأنها وقعت في زمن عثمان رضي الله عنه.</t>
  </si>
  <si>
    <t>وسميت بالمسدسة: لأن الأقوال فيها ستة.</t>
  </si>
  <si>
    <t>اختلف فيها الصحابة على ستة أقوال:</t>
  </si>
  <si>
    <t>(1) تقسيمها على رأي أبي بكر رضي الله عنه: وقد أخذ به الأحناف: للأم الثلث وللجد الباقي ولا شيء للأخت.</t>
  </si>
  <si>
    <t>(2) تقسيمها على رأي زيد رضي الله عنه: وقد أخذ به باقي المذاهب: للأم الثلث والثلثان الباقيان بين الجد والأخت.</t>
  </si>
  <si>
    <t>(3) تقسيمها على رأي علي رضي الله عنه: للأم الثلث وللجد السدس وللأخت النصف.</t>
  </si>
  <si>
    <t>(4) تقسيمها على رأي عمر وابنه عبد الله رضي الله عنهما: للأخت النصف وللأم ثلث الباقي وللجد الباقي.</t>
  </si>
  <si>
    <t>(5) لابن مسعود رضي الله عنه رأيان: الأول للأم الثلث وللجد الباقي, والثاني للأم الثلث والباقي مناصفة بين الجد والأخت.</t>
  </si>
  <si>
    <t>(6) تقسيمها على رأي عثمان رضي الله عنه: المال بينهم أثلاثا لكل واحد منهم الثلث.</t>
  </si>
  <si>
    <t>وهما مسألتان:</t>
  </si>
  <si>
    <t>(1) زوج وأخت شقيقة.</t>
  </si>
  <si>
    <t>(2) زوج وأخت لأب.</t>
  </si>
  <si>
    <t>سميتا باليتيمتين: لأن في هاتين المسألتين يأخذ الزوج النصف والأخت النصف وليس في الفرائض كلها مسألة يورث فيها المال بفرضين متساويين إلا في هاتين المسألتين.</t>
  </si>
  <si>
    <t>وهي: جدة وزوجة وبنتان واثنا عشر أخا وأخت شقيقة واحدة.</t>
  </si>
  <si>
    <t>سميت بالدينارية: لأن الأخت الشقيقة أعطيت دينارا واحدا من كل التركة التي بلغت ستمائة دينار.</t>
  </si>
  <si>
    <t>وسميت بالداودية: لأن داود الطائي سئل عنها فقسمها على هذا النحو.</t>
  </si>
  <si>
    <t>للزوجة الثمن وسهمها (75) وللجدة السدس وسهمها (100) وللبنتين الثلثان وسهم كل واحدة منهما (200) والباقي لاثني عشر أخا ولهم (24) سهما لكل واحد منهم (2) وسهم (1) للأخت الشقيقة والمسألة من (600).</t>
  </si>
  <si>
    <t>وهي: جد وزوج وأم وأخت لأب أو لأبوين.</t>
  </si>
  <si>
    <t>سميت بالأكدرية: نسبة إلى امرأة من بني الأكدر وقعت لها هذه الحادثة أو لأنها كدرت على زيد بن ثابت رضي الله عنه مذهبه من ثلاثة أوجه:</t>
  </si>
  <si>
    <t>(أ) أعال بالجد.</t>
  </si>
  <si>
    <t>(ب) وفرض للأخت.</t>
  </si>
  <si>
    <t>(ج) وجمع سهام الفرض وقسمها على التعصيب.</t>
  </si>
  <si>
    <t>اختلف فيها فقهاء الصحابة:</t>
  </si>
  <si>
    <t>(أ) رأي أبي بكر وابن عباس رضي الله عنهما: وقد أخذ به الأحناف: للزوج النصف وللأم الثلث وللجد الباقي ولا شيء للأخت.</t>
  </si>
  <si>
    <t>(ب) تقسيمها على رأي زيد رضي الله عنه: وقد أخذ به مالك والشافعي وأحمد والجمهور: وتصح من (27) للزوج النصف وللأخت النصف وللأم الثلث وللجد السدس وتعول إلى (9) ثم تجمع سهام الجد والأخت وتقسم للذكر مثل حظ الأنثيين</t>
  </si>
  <si>
    <t>(ج) تقسيمها على رأي عمر وابن مسعود رضي الله عنهما: للزوج النصف وللأخت النصف وللأم السدس وللجد السدس وتعول إلى (8).</t>
  </si>
  <si>
    <t>وهي: جدتان وثلاث زوجات وأربع أخوات لأم وثماني أخوات لأبوين.</t>
  </si>
  <si>
    <t>سميت بأم الأرامل: لأن الورثة فيها كلهن من النساء.</t>
  </si>
  <si>
    <t>الربع للثلاث زوجات وسهم كل واحدة منهن (1) وللجدتان السدس وسهم كل واحدة منهن (1) والثلث للأربع أخوات لأم وسهم كل واحدة منهن (1) والثلثان للثماني أخوات لأبوين وسهم كل واحدة منهن (1) والمسألة من (12) وتعول إلى (17). ولا اختلاف بين أئمة المذاهب الأربعة في سهام هذه المسألة. ويلغز في هذه المسألة فيقال مات وترك (17) دينارا و (17) امرأة أصاب كل امرأة دينار واحد فمن ورثته ?.</t>
  </si>
  <si>
    <t>وهي: زوج وست أخوات متفرقات.</t>
  </si>
  <si>
    <t>سميت بالمروانية: لأنها وقعت في زمن مروان بن الحكم.</t>
  </si>
  <si>
    <t>وسميت بالغراء: لاشتهارها بين العلماء كالنجم الأغر.</t>
  </si>
  <si>
    <t>للزوج النصف وسهمه (3) وللأختين الشقيقتين الثلثان وسهم كل واحدة منهما (2) والأختين لأب لا ترثان شيئا والثلث الباقي للأختين لأم وسهم كل واحدة منهما (1) والمسألة من (6) وتعول إلى (9). ولا اختلاف بين أئمة المذاهب الأربعة في سهام هذه المسألة.</t>
  </si>
  <si>
    <t>وهي: أب وأم وبنتان ماتت إحداهما وخلفت بقية هؤلاء الورثة. والجواب فيها يختلف باختلاف الميت الأول.</t>
  </si>
  <si>
    <t>سميت بالمأمونية: لأن المأمون أراد أن يولي قضاء البصرة رجلا ذا دراية وعلم , فأحضر بين يديه يحيى بن أكثم رضي الله عنه , فامتحنه بهذه المسألة , فقال يحيى رضي الله عنه: أخبرني يا أمير المؤمنين عن الميت الأول أرجل هو أم امرأة , فعرف أنه أهل للقضاء , وولاه قضاء البصرة على المذهب الحنفي.</t>
  </si>
  <si>
    <t>(أ) لو أن الميت الأول ذكر فالمسألة من (6) للأبوين السدسان وللبنتين الثلثان , ثم إذا ماتت إحدى البنتين خلفت أختا وجدة صحيحة لها السدس وسهمها (1) وجدا صحيحا له الباقي وسهمه (5).</t>
  </si>
  <si>
    <t>(ب) أما لو كان أنثى لصحت المسألة من (18) ولا يرث الجد أبو الأم شيئا فتأخذ الجدة سهما والأخت ثلاثة ثم يرد الباقي عليهما بالنسبة.</t>
  </si>
  <si>
    <t>وهي: زوج وأم وأخت شقيقة.</t>
  </si>
  <si>
    <t>للزوج النصف وللأم الثلث وللأخت الشقيقة النصف أصلها من (6) وتعول إلى (8) وهي أول مسألة عالت في الإسلام.</t>
  </si>
  <si>
    <t>سميت بالمباهلة: لأن ابن عباس رضي الله عنه خالف فيها رأي عمر رضي الله عنه بعد موته بأن أعطى الزوج النصف وأعطى الأم الثلث والباقي ردا , وقال في ذلك من شاء باهلته بأن الذي أحصى رملا عالج عددا لم يجعل في المال نصفا ونصفا وثلثا.</t>
  </si>
  <si>
    <t>(ب) تقسيمها على رأي ابن عباس رضي الله عنه: للزوج النصف وسهمه (1) والباقي (+) الثلث للأم وسهمها (1) فرضا وردا ولا شيء للأخت الشقيقة والمسألة من (2).</t>
  </si>
  <si>
    <t>وهي: جد وزوج وأم وأخوان لأم وإخوة لأب.</t>
  </si>
  <si>
    <t>سميت بالمالكية: لأن مالكا رضي الله عنه خالف فيها رأي الآخرين.</t>
  </si>
  <si>
    <t>(أ) تقسيمها على رأي زيد رضي الله عنه: وقد أخذ به الشافعي: للزوج النصف وللأم السدس وللجد السدس وللإخوة لأب السدس ولا شيء للإخوة لأم لأن الجد يحجبهم.</t>
  </si>
  <si>
    <t>(ب) تقسيمها على رأي مالك رضي الله عنه: الباقي للجد ولا شيء لكل الإخوة فالجد يقول لهم لو كنتم دوني ما ورثتم لفراغ التركة ,فلما حجبت أنا الإخوة لأم كنت أحق بسهمهم.</t>
  </si>
  <si>
    <t>وهي: جد وزوج وأم وإخوة لأم وإخوة أشقاء.</t>
  </si>
  <si>
    <t>سميت بشبه المالكية: لأن مالكا رضي الله عنه نحا فيها نحو المسألة المالكية (التي نسبت إليه).</t>
  </si>
  <si>
    <t>(أ) تقسيمها على رأي زيد رضي الله عنه: وأخذ به الشافعي: الجد يأخذ السدس من رأس المال فرضا وللأم السدس والزوج النصف والباقي للعصبة وهم الأشقاء ولا شيء للإخوة لأم فالجد يحجبهم.</t>
  </si>
  <si>
    <t>(ب) تقسيمها على رأي مالك رضي الله عنه: يرجع الباقي إلى الجد ولا شيء للإخوة الأشقاء ولا للإخوة للأم.</t>
  </si>
  <si>
    <t>وهي: بنتان وبنت ابن وابن ابن ابن.</t>
  </si>
  <si>
    <t>سميت بالقريب المبارك: لأنه لولا وجود ابن ابن الابن لما ورثت بنت الابن لكونها محجوبة بالبنتين فكان لها قريبا مباركا.</t>
  </si>
  <si>
    <t>الثلثان للبنتين وسهم كل واحدة منهما (3) والباقي بالمفاضلة لبنت الابن وسهمها (1) وابن ابن الابن وسهمه (2) والمسألة من (3) وتصح من (9).</t>
  </si>
  <si>
    <t>وهي: أختان شقيقتان وأخت لأب وأخ لأب.</t>
  </si>
  <si>
    <t>سميت بالأخ المبارك: لأن لولاه لما ورثت الأخت لأب لسقوطها بالشقيقتين.</t>
  </si>
  <si>
    <t>للشقيقتين الثلثان وسهم كل واحدة منهما (3) والثلث الباقي يقسم بين الأخ لأب وسهمه (2) والأخت لأب وسهمها (1) والمسألة من (9).</t>
  </si>
  <si>
    <t>وهي: زوج وأخت شقيقة وأخت لأب وأخ لأب.</t>
  </si>
  <si>
    <t>سميت بالأخ المشئوم: لأن لولاه لأخذت الأخت لأب السدس تكملة للثلثين بدلا من أن تسقط مع أخيها لأبيها الذي لم يبق له شيء بعد أصحاب الفروض فكان بالنسبة لها أخا مشئوما.</t>
  </si>
  <si>
    <t>للزوج النصف وسهمه (1) وللشقيقة النصف وسهمها (1) والأخت لأب والأخ لأب لا شيء والمسألة من (2).</t>
  </si>
  <si>
    <t>وهي: زوج وأب وأم وبنت وبنت ابن وابن ابن.</t>
  </si>
  <si>
    <t>سميت بالقريب المشئوم: لأنه لولا وجود ابن الابن لورثت بنت الابن السدس تكملة للثلثين وتعول المسألة إلى (15) فكان لها قريبا مشئوما.</t>
  </si>
  <si>
    <t>للزوج الربع وسهمه (3) وللأم السدس وسهمها (2) وللأب السدس وسهمه (2) وللبنت النصف وسهمها (6) ولبنت الابن وابن الابن لا شيء والمسألة تصح من (12) وتعول من (13).</t>
  </si>
  <si>
    <t>وهي: جد وأم وأخت شقيقة وأخ لأب وأخت لأب.</t>
  </si>
  <si>
    <t>سميت بالمختصرة: لأنها من المسائل القليلة التي يختصر فيها التصحيح إلى رقم أصغر لو قاسم الجد الإخوة لصحت من (36) ويبقى سهمان على (3) فتصح من (108) ثم ترجع بالاختصار إلى (54).</t>
  </si>
  <si>
    <t>تصح المسألة من (18) للأم السدس وسهمها (3) وللجد ثلث الباقي وسهمه (5) وللأخت النصف وسهمها (9) ثم يقسم سهم على ثلاثة للأخ وللأخت لأب فتصبح من (54).</t>
  </si>
  <si>
    <t>وقد قضى بها الشافعية والمالكية والحنابلة.</t>
  </si>
  <si>
    <t xml:space="preserve">  تقسيمها على رأي عمر رضي الله عنه: وقد أخذت به المذاهب الأربعة: للزوج النصف وسهمه (3) وللأم الثلث وسهمها (2) وللأخت الشقيقة النصف وسهمها (3) والمسألة من (6) وتعول إلى(8)  .</t>
  </si>
  <si>
    <t xml:space="preserve"> المنبرية</t>
  </si>
  <si>
    <t xml:space="preserve"> أم الفروخ</t>
  </si>
  <si>
    <t xml:space="preserve">  العمريتان</t>
  </si>
  <si>
    <t xml:space="preserve">  المشركة أو المشتركة</t>
  </si>
  <si>
    <t xml:space="preserve">  الخرقاء</t>
  </si>
  <si>
    <t xml:space="preserve"> . اليتيمتان </t>
  </si>
  <si>
    <t xml:space="preserve"> . الدينارية</t>
  </si>
  <si>
    <t xml:space="preserve"> . الأكدرية</t>
  </si>
  <si>
    <t xml:space="preserve"> . أم الأرامل</t>
  </si>
  <si>
    <t xml:space="preserve"> . المروانية</t>
  </si>
  <si>
    <t xml:space="preserve"> . المأمونية</t>
  </si>
  <si>
    <t xml:space="preserve"> . المباهلة</t>
  </si>
  <si>
    <t xml:space="preserve"> . المالكية</t>
  </si>
  <si>
    <t xml:space="preserve"> . شبه المالكية </t>
  </si>
  <si>
    <t xml:space="preserve"> . القريب المبارك</t>
  </si>
  <si>
    <t xml:space="preserve"> . مسألة الأخ المبارك</t>
  </si>
  <si>
    <t xml:space="preserve"> . الأخ المشئوم</t>
  </si>
  <si>
    <t xml:space="preserve"> . القريب المشئوم</t>
  </si>
  <si>
    <t xml:space="preserve"> . مختصرة زيد رضي الله عنه</t>
  </si>
  <si>
    <t>الفروق بين المذاهب في علم الفرائض</t>
  </si>
  <si>
    <t xml:space="preserve">                        الموضوع                                 الحنفي       المالكي       الشافعي       الحنبلي</t>
  </si>
  <si>
    <t>1-تشريك الأشقاء مع الأخوة لأم في المشتركة------    لا           نعم           نعم             لا</t>
  </si>
  <si>
    <t>2- الأب والجد يحجبان الجدات المدليات بهما-------  نعم          نعم           نعم             لا</t>
  </si>
  <si>
    <t>3- الجد يحجب الأخوة------------------  نعم           لا             لا              لا</t>
  </si>
  <si>
    <t xml:space="preserve">4- العدد الأعظمي للجدات الوارثات---------- غير محدد        2           غير محدد       3   </t>
  </si>
  <si>
    <t>5- الجدة القربى من الأب تحجب البعدى من الأم----    نعم           لا             لا             نعم</t>
  </si>
  <si>
    <t>6- الرد على ذوي الفروض---------------    نعم           لا             لا             نعم</t>
  </si>
  <si>
    <t xml:space="preserve">7- توريث ذوي الأرحام اذا انتظم بيت المال------     نعم           لا             لا             نعم    </t>
  </si>
  <si>
    <t xml:space="preserve">8- توريث ذوي الأرحام اذا لم ينتظم بيت المال-----     نعم           نعم           نعم           نعم    </t>
  </si>
  <si>
    <t>9- طريقة توريث ذوي الأرحام ------------     قرابة         تنـزيل      تنـزيل      تنـزيل</t>
  </si>
  <si>
    <t>10- في الأكدرية ترث الأخت-------------    لا              نعم            نعم           لا</t>
  </si>
  <si>
    <t>في الرد</t>
  </si>
  <si>
    <t>ـــ عند أبي حنيفة وأحمد ذوو الفروض يحجبون بيت المال.</t>
  </si>
  <si>
    <t xml:space="preserve">         بيت مال منتظم فنرد على ذوي الفروض.</t>
  </si>
  <si>
    <t>في توريث الأخوة مع الجد:</t>
  </si>
  <si>
    <t xml:space="preserve">   لا يرث الأخوة لأب مع الأخوة الأشقاء بوجود الجد إلا في حالة واحدة:</t>
  </si>
  <si>
    <r>
      <t xml:space="preserve">       بوجود </t>
    </r>
    <r>
      <rPr>
        <b/>
        <u/>
        <sz val="16"/>
        <color indexed="8"/>
        <rFont val="Traditional Arabic"/>
        <family val="1"/>
      </rPr>
      <t>شقيقة واحدة</t>
    </r>
    <r>
      <rPr>
        <b/>
        <sz val="16"/>
        <color indexed="8"/>
        <rFont val="Traditional Arabic"/>
        <family val="1"/>
      </rPr>
      <t xml:space="preserve"> فقط   وأن يبقى بعد حصة الجد ونصف الشقيقة شيء.</t>
    </r>
  </si>
  <si>
    <t xml:space="preserve">أذا كان مع الأ خت أو الأخوات للأب  أخ  لأب أو أكثر </t>
  </si>
  <si>
    <t xml:space="preserve">من فريضة الى أخرى والطباعة والعرض ودقة الحسابات وغيرها من المزايا </t>
  </si>
  <si>
    <t>ما بقى بعد أصحاب الفروض (للذكر مثل حظ الأنثيين )</t>
  </si>
  <si>
    <t>تقاسم الأخت الشقيقة والأخوات الشقيقات الأخوة والجد( أن كانت المقاسمة أحظ للجد )للذكرمثل حظ الأنثيين ,أويعطى ثلث الباقى أن كان أحظ للجد(ويعاد لها  أو لهن حصة الأخوة من الأب حتى تحصل أو تحصلن على فرضهن( أن لم يكن معها أو معهن أخوة أشقاء)فأن بقى شىء فهو للأخوة للأب</t>
  </si>
  <si>
    <t>تحجب بالفرع المذكر   وبالأب . و بالجد عند الأحناف , وأحوالهن في الميراث هي :</t>
  </si>
  <si>
    <t xml:space="preserve">أذا كان وحده </t>
  </si>
  <si>
    <t>ليس للميت فرع وارث ذكر أو أنثى وليس هناك من أصحاب الفروض ألا الزوج أوالزوجة ,والأم  ولا أخوة متعددون</t>
  </si>
  <si>
    <t>لللأم ثلث الباقى وللأب الباقى بغد أصحاب الفروض</t>
  </si>
  <si>
    <t>ليس للميت فرع وارث ذكر أو أنثى وليس هناك من أصحاب الفروض مع الأب ألا الزوج أوالزوجة ولا أخوة متعددون</t>
  </si>
  <si>
    <t>للأم ثلث الباقى بعد أخد الزوج أو الزوجة حصته</t>
  </si>
  <si>
    <t>يقتسمون المال  الباقى بعد أصحاب الفروض للذكر مثل حظ الأنثيين</t>
  </si>
  <si>
    <t>تحرم من الميراث بعصوبتها مع اخيها</t>
  </si>
  <si>
    <t>kh8420@outlook.com</t>
  </si>
  <si>
    <t>ـــ عند مالك والشافعي ذوو الفروض يأخذون فروضهم والباقي لبيت المال المنتظم، وإذا لم يوجد بيت مال منتظم فترد على ذوي الفروض.</t>
  </si>
  <si>
    <t>الأسهم</t>
  </si>
  <si>
    <t>مقامات الكسور الشاذة</t>
  </si>
  <si>
    <t>أسم الوارث</t>
  </si>
  <si>
    <t>فى حالة الأجازة</t>
  </si>
  <si>
    <t>فى حالة عدم الأجازة</t>
  </si>
  <si>
    <t>أصحاب الوصايا</t>
  </si>
  <si>
    <t>الفريضة بعدالوصية</t>
  </si>
  <si>
    <t>أجازو الوصية</t>
  </si>
  <si>
    <t xml:space="preserve">لم يجيزو الوصية </t>
  </si>
  <si>
    <t>&lt;------------الكسر</t>
  </si>
  <si>
    <t xml:space="preserve"> وصية ثلث المال فى حالة عدم الأجازة</t>
  </si>
  <si>
    <t>القاسم المشترك الأكبر</t>
  </si>
  <si>
    <t>التصحيح الأول</t>
  </si>
  <si>
    <t>التصحيح التانى</t>
  </si>
  <si>
    <t>المال أو التركة</t>
  </si>
  <si>
    <t xml:space="preserve"> =LOOKUP(G41,C38:C43,E38:J38)</t>
  </si>
  <si>
    <t xml:space="preserve">  الفريضة</t>
  </si>
  <si>
    <t>عدد الورثة</t>
  </si>
  <si>
    <t>أخت لأم</t>
  </si>
  <si>
    <t>أخ لأم</t>
  </si>
  <si>
    <t>الحصص لكل وارث</t>
  </si>
  <si>
    <t xml:space="preserve">ضع رقم واحد للأجازة وصفر فى حالة عدم الأجازة للورثة و(2) فى حالة أختلاف أجازة الورثة </t>
  </si>
  <si>
    <t>فريضة الورثة</t>
  </si>
  <si>
    <t>الحصص لكل الورثة</t>
  </si>
  <si>
    <t xml:space="preserve">ضع رقم واحد للأجازة وصفر فى حالة عدم الأجازة للورثة  </t>
  </si>
  <si>
    <t>أجازو لهم بالوصية</t>
  </si>
  <si>
    <t xml:space="preserve">لم يجيزو لهم بالوصية </t>
  </si>
  <si>
    <t xml:space="preserve"> أضغط للرجوع الى ورقة التقرير النهائى</t>
  </si>
  <si>
    <t>أضغط للرجوع الى ورقة أدخال البيانات</t>
  </si>
  <si>
    <t>ضع رقم واحد للأجازة وصفر فى حالة عدم الأجازة للوصية المبينة أعلاه</t>
  </si>
  <si>
    <r>
      <t xml:space="preserve">    الحصص لكل وارث   </t>
    </r>
    <r>
      <rPr>
        <b/>
        <sz val="9"/>
        <color indexed="8"/>
        <rFont val="Corbel"/>
        <family val="2"/>
      </rPr>
      <t xml:space="preserve">  فقط عند عدم أختلاف أجازة الورثة </t>
    </r>
  </si>
  <si>
    <t>الصفة</t>
  </si>
  <si>
    <t>أسماء الموصى لهم</t>
  </si>
  <si>
    <t>الموصى له الأول</t>
  </si>
  <si>
    <t>الموصى له الثانى</t>
  </si>
  <si>
    <t>الموصى له الثالث</t>
  </si>
  <si>
    <t>الموصى له الرابع</t>
  </si>
  <si>
    <t>ابن</t>
  </si>
  <si>
    <t xml:space="preserve">بنت  </t>
  </si>
  <si>
    <t xml:space="preserve">الأم  </t>
  </si>
  <si>
    <t>ابن ابن</t>
  </si>
  <si>
    <t xml:space="preserve"> أخ شقيق</t>
  </si>
  <si>
    <t>اخ لأب</t>
  </si>
  <si>
    <t>اخ لأم</t>
  </si>
  <si>
    <t>ابن اخ</t>
  </si>
  <si>
    <t>ابن أخ لأب</t>
  </si>
  <si>
    <t>اخت من الأب</t>
  </si>
  <si>
    <t>أخت من الأم</t>
  </si>
  <si>
    <t>زوجة</t>
  </si>
  <si>
    <t>ابن ابن ابن</t>
  </si>
  <si>
    <t xml:space="preserve"> أخت الشقيقة</t>
  </si>
  <si>
    <r>
      <t xml:space="preserve">أذاكانت مع البنت أو البنات أو بنت الأبن أو بنات الأبن فأنها تصير عاصبة  </t>
    </r>
    <r>
      <rPr>
        <b/>
        <sz val="14"/>
        <color indexed="8"/>
        <rFont val="Calibri"/>
        <family val="2"/>
      </rPr>
      <t>@أن كان معها أخ لأب تقتسم المال معه</t>
    </r>
  </si>
  <si>
    <t>التركة</t>
  </si>
  <si>
    <t>صفة الوارث</t>
  </si>
  <si>
    <t>عدد الأسهم</t>
  </si>
  <si>
    <t xml:space="preserve"> مجموع الأسهم</t>
  </si>
  <si>
    <t>الوصية النقدية</t>
  </si>
  <si>
    <t>الديون</t>
  </si>
  <si>
    <t>وصى المورث ب(  كسور  )</t>
  </si>
  <si>
    <t xml:space="preserve">وصى المورث ب ( قيمة مالية ) </t>
  </si>
  <si>
    <t>الموصى له نقدا</t>
  </si>
  <si>
    <t>أذاكانت مع البنت أو البنات أو بنت الأبن أو بنات الأبن فأنها تصير عاصبة  @أن كان معها أخ شقيق تقتسم المال معه</t>
  </si>
  <si>
    <t>يشركو او يشركن اولاد الأم فى ثلثهم</t>
  </si>
  <si>
    <t>اخوات أشقاء مع أخوة اشقاء وأخوة لأم وليس فى الفريضة الأ الزوج والأم أو الجدات</t>
  </si>
  <si>
    <t>فرض سدس المال للجد</t>
  </si>
  <si>
    <t>مقاسمة الأخوة مع الجد</t>
  </si>
  <si>
    <t>ثلث باقى المال للجد</t>
  </si>
  <si>
    <t>يقاسموا الأخوة للأب الأخوة الأشقاء والجد (أن كانت المقاسمة أحظ للجد) أو يعطى ثلث الباقى أن كان أحظ للجد وتعاد حصتهم الى الأخوة الأشقاء أو( الأخوات الأشقاء حتى يتحصلن على فرضهن فما بقى  بعد فرض الشقيقات يقاسمونه الأخوة للأب)</t>
  </si>
  <si>
    <t>ما بقى للأخوة للأب أن بقى شىء للذكر مثل حظ الأنثيين أن كانو معهم أخوات لأب أو جد</t>
  </si>
  <si>
    <t>ما بقى للأخوات للأب أن بقى شى للذكر مثل حظ الأنثيين أن كانومعهم أخوة لأب أو جد</t>
  </si>
  <si>
    <t xml:space="preserve">أذا كان معه فرع وارث أنتى  </t>
  </si>
  <si>
    <t>6ـ يمكن الأطلاع على شرح الحالات بورقة شرح الحالة</t>
  </si>
  <si>
    <t xml:space="preserve">   7ـ أن هذا البرنامج يمتاز عن البرامج الأخرى كونه معد بالأكسل بالتالى فهو يتمتع بعديد المزايا كالسرعة والتنقل</t>
  </si>
  <si>
    <t>8ـالبرنامج محمى بكلمة السر والمستخدم مخول فقط للعمل فى الخلايا المسموح بها لحماية المنظومة</t>
  </si>
  <si>
    <t xml:space="preserve">  9ـ البرنامج مزود بخاصية المراجعة التلقائية للحسابات</t>
  </si>
  <si>
    <t xml:space="preserve">   2ـ يقوم البرنامج بأختيار  الحالة المناسبة للجد  و يعطيك الخيار الأفضل</t>
  </si>
  <si>
    <t>الموصى له االتانى</t>
  </si>
  <si>
    <t xml:space="preserve"> 4ـ للحصول على شر ح الفريضة أختر ورقة شرح الحـــالة </t>
  </si>
  <si>
    <t>تأخذ ما بقى  , أن كان معها   أخ لأب للذكر مثل حظ الأنثيين</t>
  </si>
  <si>
    <t>الأولاد(ذكور)</t>
  </si>
  <si>
    <t>البنات</t>
  </si>
  <si>
    <t>بنات الأبنــاء</t>
  </si>
  <si>
    <t>الأخوة(أناث)االشقيقات</t>
  </si>
  <si>
    <t>الأخوة لأم  فى مسألة المشتركة</t>
  </si>
  <si>
    <t>حالة الأخ المبارك</t>
  </si>
  <si>
    <t>حالة الأخ المشؤوم</t>
  </si>
  <si>
    <t>ملاحظـــــــــــات:</t>
  </si>
  <si>
    <t xml:space="preserve"> يطلب عدم حدف أى ورقة من الورقات الملحقة بهذا الملف حيث سيترتب عن ذلك دمار شامل للنظام</t>
  </si>
  <si>
    <t>أخدت الأحكام الفقهية فى هذا البرنامج من كتاب فضيلة الدكتور حمزة فارس "الوصايا والمواريث فقها وعملا" والذى يدرس فى المعاهد والجامعات الليبية</t>
  </si>
  <si>
    <t xml:space="preserve">5ـ يمكن سحب أو تنسيق الجدول والبيانات كما يمكن أدراج النتيجة ضمن ورقة رسمية للفريضة الشرعية من خلال الورقة الغير محمية </t>
  </si>
  <si>
    <t xml:space="preserve"> الفريضة</t>
  </si>
  <si>
    <t>وصف الحالة</t>
  </si>
  <si>
    <t>أستحقاق الورثة</t>
  </si>
  <si>
    <t xml:space="preserve">  تقسيمها على رأي عمر وابن مسعود رضي الله عنهما: للزوج النصف وللأخت النصف وللأم السدس وللجد السدس  ).</t>
  </si>
  <si>
    <t xml:space="preserve">  تقسيمها على رأي ابن عباس رضي الله عنه: للزوج النصف وسهمه (1) والباقي (+) الثلث للأم وسهمها (1) فرضا وردا ولا شيء للأخت الشقيقة والمسألة من (2).</t>
  </si>
  <si>
    <t>الوصـــــــــــــــــــــــــــــــــــــايا</t>
  </si>
  <si>
    <t>ما بقى بعد أصحاب الفروض( للذكر مثل حظ الأنثيين مع  الشقيقات ) ويعاد نصيب أخوة الأب للأخوة الأشقاء للذكر مثل حظ الأنتيين</t>
  </si>
  <si>
    <t>يقاسم  الأخ الشقيق والأخوة الأشقاء الجد كأخيهم مع الأخوات الشقيقات والأخوة للأب (أن كانت المقاسمة أحظ للجد )أو يعطى ثلث الباقى أن كان أحظ للجد من المقاسمة وسدس الكل  ويعاد نصيب الأخوة للأب على الأخوة الأشقاء</t>
  </si>
  <si>
    <t>تأخذ  أو يأخذن ما بقى  ان كان سدس الكل أو ثلث الباقى أفضل للجد , أو المقاسمة للذكر مثل حظ الأنثيين ان كانت  أفضلية المقاسمة للجد</t>
  </si>
  <si>
    <r>
      <t xml:space="preserve"> أذا  معها مثلها جهة وقربا وقوة أذا لم يعصبهن أخ لها أو أكثر ومعها  جد</t>
    </r>
    <r>
      <rPr>
        <b/>
        <sz val="14"/>
        <color indexed="8"/>
        <rFont val="Calibri"/>
        <family val="2"/>
      </rPr>
      <t xml:space="preserve"> </t>
    </r>
  </si>
  <si>
    <t>يقتسمون المال بعد أصحاب الفروض أن كانت المقاسمة أفضل للجد أو الباقى ان كان  أفضلية السدس أو ثلث الباقى للجد</t>
  </si>
  <si>
    <t>1/300</t>
  </si>
  <si>
    <t>1ـ ضع البيانات عدد الورثــــــة فى الخلايا المخصصة للعدد بورقة  أدخـــــــــــــــال البيانات</t>
  </si>
  <si>
    <t xml:space="preserve">10ـ البرنامج قادر على حساب الوصايا   ضع الوصايا فى ورقة البيانات تم اتبع نفس الخطوات لأجازة الوصايا التى تتجاوز الثلث أنتقل الى ورقة أجازة الوصايا   ـ ـ </t>
  </si>
  <si>
    <t xml:space="preserve"> 11ـ يمكن عمل مناسخات للفرائض يدويا</t>
  </si>
  <si>
    <t>هلك  شعبان عن  أبنائه محمد وسالم وخيرى وبناته علئشة وكوثر وأمنة وأمه رقية  وأبوه صالح  وزوجته منى وأخته الشقيقة كميلة  تم مات أبوه وترك ما ذكر وزوجتيه رقية ومريم  تم توفت الأم   وتركت ما ذكر  فقط تم توفى سالم وترك 4 بنات وزوجة وما ذكر تم توفت كوثر وتركت زوجا وأبنتين  وما ذكر</t>
  </si>
  <si>
    <t xml:space="preserve">الحصص  </t>
  </si>
  <si>
    <t>حصص الورثة مع الوصايا</t>
  </si>
  <si>
    <t>جامعة الرد</t>
  </si>
  <si>
    <t xml:space="preserve">مسألة :             حمل أذا ولد ذكرا أخذ دينارا واحدا وأن ولدت أنتى أخذت ثلاث دنانير  من الورثة؟ </t>
  </si>
  <si>
    <t xml:space="preserve">    3ـ ستظهر لك النتائج الاجمالية بورقة أدخال البيانـــات لمعرفة النتائج تفصيلا أنتقل الى ورقة التركة والوصايا   </t>
  </si>
  <si>
    <t>هذا البرنامج أعتمد رأى الجمهور فى حساب الميراث  الشرعى فأن كان من المذاهب الأخرى ما يختلف عن رأى الجمهور ستجد ملاحظة بالخصوص بورقة شرح الحالة تبين وجه الأختلاف</t>
  </si>
  <si>
    <t>الأسهم لكل الورثة</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</si>
</sst>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 ???/???"/>
    <numFmt numFmtId="165" formatCode="0.000_ ;\-0.000\ "/>
    <numFmt numFmtId="166" formatCode="0.0000000E+00"/>
    <numFmt numFmtId="167" formatCode="0.000000000000"/>
    <numFmt numFmtId="168" formatCode="0.000000000000000000000000000000"/>
    <numFmt numFmtId="169" formatCode="0_ ;\-0\ "/>
    <numFmt numFmtId="170" formatCode="0.0000000000000000"/>
    <numFmt numFmtId="171" formatCode="0.0000000000000000000000000000"/>
    <numFmt numFmtId="172" formatCode="0.000000000000000000"/>
    <numFmt numFmtId="173" formatCode="0.000%"/>
    <numFmt numFmtId="174" formatCode="[$-1010000]d/m/yyyy;@"/>
    <numFmt numFmtId="175" formatCode="0.000"/>
    <numFmt numFmtId="176" formatCode="[$د.ل.‏-1001]\ #,##0.00_-"/>
    <numFmt numFmtId="177" formatCode="[$د.ل.‏-1001]\ #,##0_-"/>
    <numFmt numFmtId="178" formatCode="[$د.ل.‏-1001]#,##0.00_-"/>
  </numFmts>
  <fonts count="176">
    <font>
      <sz val="11"/>
      <color theme="1"/>
      <name val="Corbel"/>
      <family val="2"/>
      <charset val="178"/>
      <scheme val="minor"/>
    </font>
    <font>
      <b/>
      <sz val="16"/>
      <name val="Arial"/>
      <family val="2"/>
    </font>
    <font>
      <sz val="8"/>
      <color indexed="81"/>
      <name val="Tahoma"/>
      <family val="2"/>
    </font>
    <font>
      <b/>
      <sz val="8"/>
      <color indexed="81"/>
      <name val="Tahoma"/>
      <family val="2"/>
    </font>
    <font>
      <b/>
      <sz val="14"/>
      <color indexed="81"/>
      <name val="Tahoma"/>
      <family val="2"/>
    </font>
    <font>
      <b/>
      <sz val="11"/>
      <name val="Arial"/>
      <family val="2"/>
    </font>
    <font>
      <sz val="16"/>
      <color indexed="81"/>
      <name val="Tahoma"/>
      <family val="2"/>
    </font>
    <font>
      <b/>
      <sz val="9"/>
      <color indexed="81"/>
      <name val="Tahoma"/>
      <family val="2"/>
    </font>
    <font>
      <b/>
      <sz val="16"/>
      <color indexed="81"/>
      <name val="Tahoma"/>
      <family val="2"/>
    </font>
    <font>
      <b/>
      <sz val="14"/>
      <name val="Arial"/>
      <family val="2"/>
    </font>
    <font>
      <b/>
      <sz val="14"/>
      <name val="Andalus"/>
      <family val="1"/>
    </font>
    <font>
      <b/>
      <sz val="14"/>
      <color indexed="8"/>
      <name val="Calibri"/>
      <family val="2"/>
    </font>
    <font>
      <b/>
      <sz val="10"/>
      <name val="Arial"/>
      <family val="2"/>
    </font>
    <font>
      <b/>
      <sz val="14"/>
      <color indexed="81"/>
      <name val="Roman"/>
      <family val="1"/>
      <charset val="255"/>
    </font>
    <font>
      <sz val="14"/>
      <color indexed="81"/>
      <name val="Roman"/>
      <family val="1"/>
      <charset val="255"/>
    </font>
    <font>
      <sz val="14"/>
      <color indexed="81"/>
      <name val="Tahoma"/>
      <family val="2"/>
    </font>
    <font>
      <b/>
      <sz val="12"/>
      <name val="Arial"/>
      <family val="2"/>
    </font>
    <font>
      <b/>
      <sz val="16"/>
      <color indexed="8"/>
      <name val="Traditional Arabic"/>
      <family val="1"/>
    </font>
    <font>
      <b/>
      <u/>
      <sz val="16"/>
      <color indexed="8"/>
      <name val="Traditional Arabic"/>
      <family val="1"/>
    </font>
    <font>
      <sz val="14"/>
      <color indexed="12"/>
      <name val="Arial"/>
      <family val="2"/>
    </font>
    <font>
      <b/>
      <sz val="9"/>
      <color indexed="8"/>
      <name val="Corbel"/>
      <family val="2"/>
    </font>
    <font>
      <b/>
      <u/>
      <sz val="12"/>
      <name val="Corbel"/>
      <family val="2"/>
    </font>
    <font>
      <sz val="11"/>
      <color theme="1"/>
      <name val="Corbel"/>
      <family val="2"/>
      <charset val="178"/>
      <scheme val="minor"/>
    </font>
    <font>
      <sz val="12"/>
      <color theme="1"/>
      <name val="Corbel"/>
      <family val="2"/>
      <scheme val="minor"/>
    </font>
    <font>
      <b/>
      <sz val="14"/>
      <color rgb="FFFA7D00"/>
      <name val="Corbel"/>
      <family val="2"/>
      <charset val="178"/>
      <scheme val="minor"/>
    </font>
    <font>
      <b/>
      <sz val="11"/>
      <color theme="0"/>
      <name val="Corbel"/>
      <family val="2"/>
      <charset val="178"/>
      <scheme val="minor"/>
    </font>
    <font>
      <b/>
      <sz val="15"/>
      <color theme="3"/>
      <name val="Corbel"/>
      <family val="2"/>
      <charset val="178"/>
      <scheme val="minor"/>
    </font>
    <font>
      <b/>
      <sz val="11"/>
      <color theme="3"/>
      <name val="Corbel"/>
      <family val="2"/>
      <charset val="178"/>
      <scheme val="minor"/>
    </font>
    <font>
      <u/>
      <sz val="8.4499999999999993"/>
      <color theme="10"/>
      <name val="Corbel"/>
      <family val="2"/>
      <charset val="178"/>
    </font>
    <font>
      <sz val="11"/>
      <color rgb="FF3F3F76"/>
      <name val="Corbel"/>
      <family val="2"/>
      <charset val="178"/>
      <scheme val="minor"/>
    </font>
    <font>
      <b/>
      <sz val="14"/>
      <color rgb="FF3F3F3F"/>
      <name val="Corbel"/>
      <family val="2"/>
      <charset val="178"/>
      <scheme val="minor"/>
    </font>
    <font>
      <b/>
      <sz val="12"/>
      <color theme="1"/>
      <name val="Corbel"/>
      <family val="2"/>
      <scheme val="minor"/>
    </font>
    <font>
      <sz val="11"/>
      <color rgb="FFFF0000"/>
      <name val="Corbel"/>
      <family val="2"/>
      <charset val="178"/>
      <scheme val="minor"/>
    </font>
    <font>
      <b/>
      <sz val="11"/>
      <color theme="1"/>
      <name val="Corbel"/>
      <family val="2"/>
      <scheme val="minor"/>
    </font>
    <font>
      <b/>
      <sz val="14"/>
      <color theme="1"/>
      <name val="Corbel"/>
      <family val="2"/>
      <scheme val="minor"/>
    </font>
    <font>
      <b/>
      <sz val="18"/>
      <color theme="1"/>
      <name val="Corbel"/>
      <family val="2"/>
      <scheme val="minor"/>
    </font>
    <font>
      <b/>
      <sz val="16"/>
      <color theme="1"/>
      <name val="Corbel"/>
      <family val="2"/>
      <scheme val="minor"/>
    </font>
    <font>
      <sz val="16"/>
      <color rgb="FFFF0000"/>
      <name val="Corbel"/>
      <family val="2"/>
      <charset val="178"/>
      <scheme val="minor"/>
    </font>
    <font>
      <b/>
      <sz val="10"/>
      <color theme="1"/>
      <name val="Corbel"/>
      <family val="2"/>
      <charset val="178"/>
      <scheme val="minor"/>
    </font>
    <font>
      <sz val="10"/>
      <color theme="1"/>
      <name val="Corbel"/>
      <family val="2"/>
      <charset val="178"/>
      <scheme val="minor"/>
    </font>
    <font>
      <sz val="11"/>
      <color theme="1"/>
      <name val="Andalus"/>
      <family val="1"/>
    </font>
    <font>
      <sz val="11"/>
      <color theme="1"/>
      <name val="Arial"/>
      <family val="2"/>
    </font>
    <font>
      <b/>
      <sz val="14"/>
      <color theme="1"/>
      <name val="Andalus"/>
      <family val="1"/>
    </font>
    <font>
      <b/>
      <sz val="11"/>
      <color theme="1"/>
      <name val="Arial"/>
      <family val="2"/>
    </font>
    <font>
      <sz val="14"/>
      <color theme="4" tint="-0.249977111117893"/>
      <name val="Arial"/>
      <family val="2"/>
    </font>
    <font>
      <b/>
      <sz val="14"/>
      <color rgb="FFFF0000"/>
      <name val="Corbel"/>
      <family val="2"/>
      <scheme val="minor"/>
    </font>
    <font>
      <sz val="11"/>
      <color theme="0"/>
      <name val="Corbel"/>
      <family val="2"/>
      <charset val="178"/>
      <scheme val="minor"/>
    </font>
    <font>
      <b/>
      <sz val="20"/>
      <color theme="8" tint="-0.249977111117893"/>
      <name val="Andalus"/>
      <family val="1"/>
    </font>
    <font>
      <b/>
      <sz val="14"/>
      <color theme="4" tint="-0.249977111117893"/>
      <name val="Arial"/>
      <family val="2"/>
    </font>
    <font>
      <sz val="18"/>
      <color theme="5" tint="-0.249977111117893"/>
      <name val="Andalus"/>
      <family val="1"/>
    </font>
    <font>
      <b/>
      <sz val="18"/>
      <color rgb="FFFF0000"/>
      <name val="Andalus"/>
      <family val="1"/>
    </font>
    <font>
      <b/>
      <sz val="12"/>
      <color theme="1"/>
      <name val="Corbel"/>
      <family val="2"/>
      <charset val="178"/>
      <scheme val="minor"/>
    </font>
    <font>
      <sz val="14"/>
      <color rgb="FFFF0000"/>
      <name val="Corbel"/>
      <family val="2"/>
      <charset val="178"/>
      <scheme val="minor"/>
    </font>
    <font>
      <sz val="14"/>
      <color theme="8" tint="-0.499984740745262"/>
      <name val="Corbel"/>
      <family val="2"/>
      <charset val="178"/>
      <scheme val="minor"/>
    </font>
    <font>
      <b/>
      <sz val="24"/>
      <color rgb="FFFF0000"/>
      <name val="Corbel"/>
      <family val="2"/>
      <scheme val="minor"/>
    </font>
    <font>
      <b/>
      <sz val="11"/>
      <name val="Corbel"/>
      <family val="2"/>
      <scheme val="minor"/>
    </font>
    <font>
      <sz val="14"/>
      <color theme="1"/>
      <name val="Corbel"/>
      <family val="2"/>
      <charset val="178"/>
      <scheme val="minor"/>
    </font>
    <font>
      <b/>
      <sz val="11"/>
      <color rgb="FFFFFFFF"/>
      <name val="Corbel"/>
      <family val="2"/>
      <charset val="178"/>
      <scheme val="minor"/>
    </font>
    <font>
      <sz val="20"/>
      <color theme="1"/>
      <name val="Corbel"/>
      <family val="2"/>
      <charset val="178"/>
      <scheme val="minor"/>
    </font>
    <font>
      <sz val="16"/>
      <color theme="1"/>
      <name val="Corbel"/>
      <family val="2"/>
      <charset val="178"/>
      <scheme val="minor"/>
    </font>
    <font>
      <b/>
      <sz val="20"/>
      <color theme="1"/>
      <name val="Andalus"/>
      <family val="1"/>
    </font>
    <font>
      <sz val="18"/>
      <color rgb="FFFF0000"/>
      <name val="Corbel"/>
      <family val="2"/>
      <charset val="178"/>
      <scheme val="minor"/>
    </font>
    <font>
      <b/>
      <sz val="14"/>
      <color theme="8" tint="-0.249977111117893"/>
      <name val="Andalus"/>
      <family val="1"/>
    </font>
    <font>
      <b/>
      <sz val="18"/>
      <color rgb="FFFF0000"/>
      <name val="Corbel"/>
      <family val="2"/>
      <scheme val="minor"/>
    </font>
    <font>
      <b/>
      <sz val="16"/>
      <color rgb="FFFF0000"/>
      <name val="Arial"/>
      <family val="2"/>
    </font>
    <font>
      <b/>
      <sz val="24"/>
      <color rgb="FF800000"/>
      <name val="Traditional Arabic"/>
      <family val="1"/>
    </font>
    <font>
      <b/>
      <sz val="15"/>
      <color rgb="FFFF0000"/>
      <name val="Traditional Arabic"/>
      <family val="1"/>
    </font>
    <font>
      <b/>
      <sz val="15"/>
      <color rgb="FF0050FF"/>
      <name val="Traditional Arabic"/>
      <family val="1"/>
    </font>
    <font>
      <b/>
      <sz val="20"/>
      <color rgb="FFFF0000"/>
      <name val="Traditional Arabic"/>
      <family val="1"/>
    </font>
    <font>
      <b/>
      <sz val="15"/>
      <color rgb="FF008000"/>
      <name val="Traditional Arabic"/>
      <family val="1"/>
    </font>
    <font>
      <b/>
      <sz val="15"/>
      <color rgb="FF800000"/>
      <name val="Traditional Arabic"/>
      <family val="1"/>
    </font>
    <font>
      <b/>
      <sz val="14"/>
      <name val="Corbel"/>
      <family val="2"/>
      <scheme val="minor"/>
    </font>
    <font>
      <sz val="16"/>
      <color theme="1"/>
      <name val="Corbel"/>
      <family val="2"/>
      <scheme val="minor"/>
    </font>
    <font>
      <sz val="11"/>
      <name val="Corbel"/>
      <family val="2"/>
      <charset val="178"/>
      <scheme val="minor"/>
    </font>
    <font>
      <b/>
      <sz val="24"/>
      <name val="Corbel"/>
      <family val="2"/>
      <scheme val="minor"/>
    </font>
    <font>
      <b/>
      <sz val="14"/>
      <color rgb="FFFF0000"/>
      <name val="Corbel"/>
      <family val="2"/>
      <charset val="178"/>
      <scheme val="minor"/>
    </font>
    <font>
      <b/>
      <sz val="14"/>
      <color theme="1"/>
      <name val="Corbel"/>
      <family val="2"/>
      <charset val="178"/>
      <scheme val="minor"/>
    </font>
    <font>
      <b/>
      <sz val="14"/>
      <color rgb="FF00B050"/>
      <name val="Corbel"/>
      <family val="2"/>
      <charset val="178"/>
      <scheme val="minor"/>
    </font>
    <font>
      <b/>
      <sz val="14"/>
      <color theme="9" tint="-0.249977111117893"/>
      <name val="Corbel"/>
      <family val="2"/>
      <scheme val="minor"/>
    </font>
    <font>
      <b/>
      <sz val="14"/>
      <color theme="3" tint="-0.249977111117893"/>
      <name val="Corbel"/>
      <family val="2"/>
      <charset val="178"/>
      <scheme val="minor"/>
    </font>
    <font>
      <b/>
      <sz val="14"/>
      <color rgb="FFFFFF00"/>
      <name val="Corbel"/>
      <family val="2"/>
      <scheme val="minor"/>
    </font>
    <font>
      <b/>
      <sz val="14"/>
      <name val="Corbel"/>
      <family val="2"/>
      <charset val="178"/>
      <scheme val="minor"/>
    </font>
    <font>
      <b/>
      <sz val="16"/>
      <color rgb="FFFF0000"/>
      <name val="Corbel"/>
      <family val="2"/>
      <scheme val="minor"/>
    </font>
    <font>
      <b/>
      <sz val="16"/>
      <name val="Corbel"/>
      <family val="2"/>
      <scheme val="minor"/>
    </font>
    <font>
      <b/>
      <sz val="20"/>
      <color rgb="FFFF0000"/>
      <name val="Corbel"/>
      <family val="2"/>
      <scheme val="minor"/>
    </font>
    <font>
      <b/>
      <sz val="14"/>
      <color rgb="FF00B050"/>
      <name val="Corbel"/>
      <family val="2"/>
      <scheme val="minor"/>
    </font>
    <font>
      <b/>
      <sz val="11"/>
      <color rgb="FFFF0000"/>
      <name val="Corbel"/>
      <family val="2"/>
      <scheme val="minor"/>
    </font>
    <font>
      <sz val="9"/>
      <color theme="1"/>
      <name val="Corbel"/>
      <family val="2"/>
      <charset val="178"/>
      <scheme val="minor"/>
    </font>
    <font>
      <b/>
      <sz val="9"/>
      <color theme="1"/>
      <name val="Corbel"/>
      <family val="2"/>
      <charset val="178"/>
      <scheme val="minor"/>
    </font>
    <font>
      <b/>
      <sz val="9"/>
      <color rgb="FFFF0000"/>
      <name val="Corbel"/>
      <family val="2"/>
      <charset val="178"/>
      <scheme val="minor"/>
    </font>
    <font>
      <b/>
      <sz val="9"/>
      <color rgb="FF00B050"/>
      <name val="Corbel"/>
      <family val="2"/>
      <charset val="178"/>
      <scheme val="minor"/>
    </font>
    <font>
      <sz val="9"/>
      <color rgb="FFFF0000"/>
      <name val="Corbel"/>
      <family val="2"/>
      <charset val="178"/>
      <scheme val="minor"/>
    </font>
    <font>
      <sz val="12"/>
      <color theme="1"/>
      <name val="Corbel"/>
      <family val="2"/>
      <charset val="178"/>
      <scheme val="minor"/>
    </font>
    <font>
      <b/>
      <sz val="12"/>
      <color rgb="FF3F3F76"/>
      <name val="Arial"/>
      <family val="2"/>
    </font>
    <font>
      <sz val="10"/>
      <color theme="1"/>
      <name val="Arial"/>
      <family val="2"/>
    </font>
    <font>
      <b/>
      <sz val="16"/>
      <color rgb="FF3F3F76"/>
      <name val="Arial"/>
      <family val="2"/>
    </font>
    <font>
      <b/>
      <sz val="16"/>
      <color theme="0"/>
      <name val="Arial"/>
      <family val="2"/>
    </font>
    <font>
      <b/>
      <sz val="14"/>
      <color theme="0"/>
      <name val="Arial"/>
      <family val="2"/>
    </font>
    <font>
      <b/>
      <sz val="16"/>
      <color theme="1"/>
      <name val="Arial"/>
      <family val="2"/>
    </font>
    <font>
      <b/>
      <sz val="14"/>
      <color theme="3" tint="-0.249977111117893"/>
      <name val="Arial"/>
      <family val="2"/>
    </font>
    <font>
      <b/>
      <sz val="16"/>
      <color theme="1"/>
      <name val="Andalus"/>
      <family val="1"/>
    </font>
    <font>
      <b/>
      <sz val="14"/>
      <color rgb="FF800000"/>
      <name val="Corbel"/>
      <family val="2"/>
      <scheme val="minor"/>
    </font>
    <font>
      <b/>
      <sz val="14"/>
      <color rgb="FF009900"/>
      <name val="Corbel"/>
      <family val="2"/>
      <scheme val="minor"/>
    </font>
    <font>
      <b/>
      <sz val="14"/>
      <color rgb="FF800000"/>
      <name val="Andalus"/>
      <family val="1"/>
    </font>
    <font>
      <b/>
      <u/>
      <sz val="16"/>
      <color rgb="FF008000"/>
      <name val="Traditional Arabic"/>
      <family val="1"/>
    </font>
    <font>
      <b/>
      <sz val="16"/>
      <color rgb="FF000000"/>
      <name val="Traditional Arabic"/>
      <family val="1"/>
    </font>
    <font>
      <b/>
      <u/>
      <sz val="16"/>
      <color rgb="FF000000"/>
      <name val="Traditional Arabic"/>
      <family val="1"/>
    </font>
    <font>
      <b/>
      <sz val="12"/>
      <color rgb="FF3F3F3F"/>
      <name val="Corbel"/>
      <family val="2"/>
      <charset val="178"/>
      <scheme val="minor"/>
    </font>
    <font>
      <sz val="18"/>
      <color theme="1"/>
      <name val="Corbel"/>
      <family val="2"/>
      <charset val="178"/>
      <scheme val="minor"/>
    </font>
    <font>
      <b/>
      <sz val="12"/>
      <color theme="3" tint="0.39997558519241921"/>
      <name val="Corbel"/>
      <family val="2"/>
      <scheme val="minor"/>
    </font>
    <font>
      <b/>
      <sz val="12"/>
      <color theme="0"/>
      <name val="Corbel"/>
      <family val="2"/>
      <scheme val="minor"/>
    </font>
    <font>
      <b/>
      <sz val="12"/>
      <name val="Corbel"/>
      <family val="2"/>
      <scheme val="minor"/>
    </font>
    <font>
      <sz val="11"/>
      <name val="Corbel"/>
      <family val="2"/>
      <scheme val="minor"/>
    </font>
    <font>
      <b/>
      <sz val="10"/>
      <color theme="1"/>
      <name val="Corbel"/>
      <family val="2"/>
      <scheme val="minor"/>
    </font>
    <font>
      <b/>
      <sz val="11"/>
      <color theme="3" tint="0.39997558519241921"/>
      <name val="Corbel"/>
      <family val="2"/>
      <scheme val="minor"/>
    </font>
    <font>
      <b/>
      <sz val="12"/>
      <color rgb="FF3F3F76"/>
      <name val="Corbel"/>
      <family val="2"/>
      <scheme val="minor"/>
    </font>
    <font>
      <b/>
      <sz val="10"/>
      <color rgb="FF3F3F3F"/>
      <name val="Corbel"/>
      <family val="2"/>
      <charset val="178"/>
      <scheme val="minor"/>
    </font>
    <font>
      <b/>
      <sz val="8"/>
      <color rgb="FF3F3F3F"/>
      <name val="Corbel"/>
      <family val="2"/>
      <charset val="178"/>
      <scheme val="minor"/>
    </font>
    <font>
      <b/>
      <u/>
      <sz val="12"/>
      <color theme="10"/>
      <name val="Corbel"/>
      <family val="2"/>
    </font>
    <font>
      <b/>
      <sz val="12"/>
      <color rgb="FFFF0000"/>
      <name val="Arial"/>
      <family val="2"/>
    </font>
    <font>
      <b/>
      <sz val="14"/>
      <color theme="1"/>
      <name val="Arial"/>
      <family val="2"/>
    </font>
    <font>
      <b/>
      <sz val="14"/>
      <color rgb="FFFF0000"/>
      <name val="Arial"/>
      <family val="2"/>
    </font>
    <font>
      <b/>
      <sz val="11"/>
      <color rgb="FFFF0000"/>
      <name val="Arial"/>
      <family val="2"/>
    </font>
    <font>
      <b/>
      <u/>
      <sz val="11"/>
      <color theme="10"/>
      <name val="Corbel"/>
      <family val="2"/>
    </font>
    <font>
      <b/>
      <sz val="18"/>
      <color theme="1"/>
      <name val="Corbel"/>
      <family val="2"/>
      <charset val="178"/>
      <scheme val="minor"/>
    </font>
    <font>
      <b/>
      <sz val="20"/>
      <color theme="1"/>
      <name val="Britannic Bold"/>
      <family val="2"/>
    </font>
    <font>
      <sz val="9"/>
      <color indexed="81"/>
      <name val="Tahoma"/>
      <family val="2"/>
    </font>
    <font>
      <b/>
      <sz val="18"/>
      <name val="Corbel"/>
      <family val="2"/>
      <scheme val="minor"/>
    </font>
    <font>
      <b/>
      <sz val="12"/>
      <color rgb="FF3F3F3F"/>
      <name val="Arial"/>
      <family val="2"/>
    </font>
    <font>
      <b/>
      <u/>
      <sz val="10"/>
      <color theme="10"/>
      <name val="Arial"/>
      <family val="2"/>
    </font>
    <font>
      <b/>
      <sz val="10"/>
      <color rgb="FF3F3F3F"/>
      <name val="Arial"/>
      <family val="2"/>
    </font>
    <font>
      <b/>
      <sz val="14"/>
      <color rgb="FFFA7D00"/>
      <name val="Arial"/>
      <family val="2"/>
    </font>
    <font>
      <b/>
      <sz val="14"/>
      <color rgb="FF3F3F3F"/>
      <name val="Arial"/>
      <family val="2"/>
    </font>
    <font>
      <b/>
      <sz val="12"/>
      <color theme="1"/>
      <name val="Arial"/>
      <family val="2"/>
    </font>
    <font>
      <b/>
      <sz val="10"/>
      <color theme="1"/>
      <name val="Arial"/>
      <family val="2"/>
    </font>
    <font>
      <b/>
      <sz val="11"/>
      <color rgb="FF3F3F76"/>
      <name val="Arial"/>
      <family val="2"/>
    </font>
    <font>
      <b/>
      <sz val="11"/>
      <color rgb="FF3F3F3F"/>
      <name val="Arial"/>
      <family val="2"/>
    </font>
    <font>
      <b/>
      <sz val="10"/>
      <color rgb="FF3F3F76"/>
      <name val="Arial"/>
      <family val="2"/>
    </font>
    <font>
      <b/>
      <sz val="10"/>
      <color rgb="FFFF0000"/>
      <name val="Arial"/>
      <family val="2"/>
    </font>
    <font>
      <b/>
      <sz val="10"/>
      <color rgb="FFFA7D00"/>
      <name val="Arial"/>
      <family val="2"/>
    </font>
    <font>
      <b/>
      <u/>
      <sz val="11"/>
      <color theme="10"/>
      <name val="Arial"/>
      <family val="2"/>
    </font>
    <font>
      <b/>
      <sz val="11"/>
      <color rgb="FFFA7D00"/>
      <name val="Arial"/>
      <family val="2"/>
    </font>
    <font>
      <b/>
      <sz val="16"/>
      <color theme="1"/>
      <name val="Britannic Bold"/>
      <family val="2"/>
    </font>
    <font>
      <b/>
      <sz val="20"/>
      <name val="Arial"/>
      <family val="2"/>
    </font>
    <font>
      <sz val="10"/>
      <color theme="1"/>
      <name val="Andalus"/>
      <family val="1"/>
    </font>
    <font>
      <b/>
      <sz val="10"/>
      <color theme="3"/>
      <name val="Corbel"/>
      <family val="2"/>
      <charset val="178"/>
      <scheme val="minor"/>
    </font>
    <font>
      <b/>
      <sz val="10"/>
      <color rgb="FFFF0000"/>
      <name val="Corbel"/>
      <family val="2"/>
      <scheme val="minor"/>
    </font>
    <font>
      <b/>
      <sz val="10"/>
      <color theme="5" tint="-0.24994659260841701"/>
      <name val="Arial"/>
      <family val="2"/>
    </font>
    <font>
      <u/>
      <sz val="10"/>
      <color theme="10"/>
      <name val="Corbel"/>
      <family val="2"/>
      <charset val="178"/>
    </font>
    <font>
      <b/>
      <sz val="10"/>
      <color theme="0"/>
      <name val="Corbel"/>
      <family val="2"/>
      <scheme val="minor"/>
    </font>
    <font>
      <b/>
      <sz val="10"/>
      <color rgb="FF00B0F0"/>
      <name val="Arial"/>
      <family val="2"/>
    </font>
    <font>
      <b/>
      <sz val="10"/>
      <color theme="3"/>
      <name val="Arial"/>
      <family val="2"/>
    </font>
    <font>
      <b/>
      <sz val="10"/>
      <color theme="0"/>
      <name val="Arial"/>
      <family val="2"/>
    </font>
    <font>
      <sz val="10"/>
      <name val="Arial"/>
      <family val="2"/>
    </font>
    <font>
      <b/>
      <sz val="10"/>
      <color rgb="FF2814BA"/>
      <name val="Arial"/>
      <family val="2"/>
    </font>
    <font>
      <sz val="14"/>
      <color indexed="81"/>
      <name val="Arial"/>
      <family val="2"/>
    </font>
    <font>
      <b/>
      <sz val="12"/>
      <color rgb="FFCC0099"/>
      <name val="Arial"/>
      <family val="2"/>
    </font>
    <font>
      <b/>
      <sz val="12"/>
      <color theme="0"/>
      <name val="Corbel"/>
      <family val="2"/>
      <charset val="178"/>
      <scheme val="minor"/>
    </font>
    <font>
      <b/>
      <sz val="12"/>
      <color theme="0"/>
      <name val="Arial"/>
      <family val="2"/>
    </font>
    <font>
      <b/>
      <sz val="16"/>
      <color theme="6" tint="-0.499984740745262"/>
      <name val="Arial"/>
      <family val="2"/>
    </font>
    <font>
      <sz val="12"/>
      <color theme="1"/>
      <name val="Arial"/>
      <family val="2"/>
    </font>
    <font>
      <b/>
      <sz val="11"/>
      <color rgb="FF2814BA"/>
      <name val="Arial"/>
      <family val="2"/>
    </font>
    <font>
      <b/>
      <sz val="12"/>
      <color rgb="FF00B050"/>
      <name val="Corbel"/>
      <family val="2"/>
      <scheme val="minor"/>
    </font>
    <font>
      <sz val="12"/>
      <color rgb="FF3F3F76"/>
      <name val="Corbel"/>
      <family val="2"/>
      <scheme val="minor"/>
    </font>
    <font>
      <b/>
      <sz val="12"/>
      <color rgb="FF2814BA"/>
      <name val="Arial"/>
      <family val="2"/>
    </font>
    <font>
      <b/>
      <sz val="20"/>
      <color theme="1"/>
      <name val="Corbel"/>
      <family val="2"/>
      <scheme val="minor"/>
    </font>
    <font>
      <b/>
      <sz val="22"/>
      <color theme="1"/>
      <name val="Corbel"/>
      <family val="2"/>
      <scheme val="minor"/>
    </font>
    <font>
      <b/>
      <sz val="18"/>
      <color rgb="FF0050FF"/>
      <name val="Traditional Arabic"/>
      <family val="1"/>
    </font>
    <font>
      <b/>
      <sz val="18"/>
      <color rgb="FFFF0000"/>
      <name val="Traditional Arabic"/>
      <family val="1"/>
    </font>
    <font>
      <b/>
      <sz val="22"/>
      <color rgb="FF0050FF"/>
      <name val="Traditional Arabic"/>
      <family val="1"/>
    </font>
    <font>
      <b/>
      <sz val="10"/>
      <color theme="1"/>
      <name val="Britannic Bold"/>
      <family val="2"/>
    </font>
    <font>
      <sz val="11"/>
      <color rgb="FF333333"/>
      <name val="Tahoma"/>
      <family val="2"/>
    </font>
    <font>
      <b/>
      <sz val="11"/>
      <color rgb="FF333333"/>
      <name val="Tahoma"/>
      <family val="2"/>
    </font>
    <font>
      <b/>
      <sz val="14"/>
      <color rgb="FFFFFFCC"/>
      <name val="Corbel"/>
      <family val="2"/>
      <scheme val="minor"/>
    </font>
    <font>
      <b/>
      <sz val="12"/>
      <name val="Corbel"/>
      <family val="2"/>
    </font>
    <font>
      <b/>
      <sz val="11"/>
      <color theme="0"/>
      <name val="Corbel"/>
      <family val="2"/>
      <scheme val="minor"/>
    </font>
  </fonts>
  <fills count="62">
    <fill>
      <patternFill patternType="none"/>
    </fill>
    <fill>
      <patternFill patternType="gray125"/>
    </fill>
    <fill>
      <patternFill patternType="solid">
        <fgColor rgb="FFF2F2F2"/>
      </patternFill>
    </fill>
    <fill>
      <patternFill patternType="solid">
        <fgColor rgb="FFA5A5A5"/>
      </patternFill>
    </fill>
    <fill>
      <patternFill patternType="solid">
        <fgColor rgb="FFFFCC99"/>
      </patternFill>
    </fill>
    <fill>
      <patternFill patternType="solid">
        <fgColor rgb="FFFFFFCC"/>
      </patternFill>
    </fill>
    <fill>
      <patternFill patternType="solid">
        <fgColor theme="7" tint="0.59999389629810485"/>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rgb="FFFF000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59999389629810485"/>
        <bgColor rgb="FFFF0000"/>
      </patternFill>
    </fill>
    <fill>
      <patternFill patternType="solid">
        <fgColor theme="3" tint="0.79998168889431442"/>
        <bgColor indexed="64"/>
      </patternFill>
    </fill>
    <fill>
      <patternFill patternType="solid">
        <fgColor indexed="65"/>
        <bgColor rgb="FFFF0000"/>
      </patternFill>
    </fill>
    <fill>
      <patternFill patternType="solid">
        <fgColor theme="4" tint="0.79998168889431442"/>
        <bgColor indexed="64"/>
      </patternFill>
    </fill>
    <fill>
      <patternFill patternType="solid">
        <fgColor rgb="FFFDD9FD"/>
        <bgColor indexed="64"/>
      </patternFill>
    </fill>
    <fill>
      <patternFill patternType="solid">
        <fgColor theme="5" tint="0.59999389629810485"/>
        <bgColor indexed="64"/>
      </patternFill>
    </fill>
    <fill>
      <patternFill patternType="solid">
        <fgColor rgb="FFFDFAD9"/>
        <bgColor indexed="64"/>
      </patternFill>
    </fill>
    <fill>
      <patternFill patternType="solid">
        <fgColor theme="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theme="3" tint="0.39997558519241921"/>
        <bgColor indexed="64"/>
      </patternFill>
    </fill>
    <fill>
      <patternFill patternType="solid">
        <fgColor rgb="FF00B050"/>
        <bgColor indexed="64"/>
      </patternFill>
    </fill>
    <fill>
      <patternFill patternType="solid">
        <fgColor theme="6" tint="0.39997558519241921"/>
        <bgColor indexed="64"/>
      </patternFill>
    </fill>
    <fill>
      <patternFill patternType="solid">
        <fgColor rgb="FFFF99CC"/>
        <bgColor indexed="64"/>
      </patternFill>
    </fill>
    <fill>
      <patternFill patternType="solid">
        <fgColor rgb="FFFFCCCC"/>
        <bgColor indexed="64"/>
      </patternFill>
    </fill>
    <fill>
      <gradientFill degree="90">
        <stop position="0">
          <color theme="0"/>
        </stop>
        <stop position="1">
          <color rgb="FFFFFF00"/>
        </stop>
      </gradientFill>
    </fill>
    <fill>
      <gradientFill degree="90">
        <stop position="0">
          <color rgb="FFFF0000"/>
        </stop>
        <stop position="1">
          <color theme="0"/>
        </stop>
      </gradientFill>
    </fill>
    <fill>
      <patternFill patternType="solid">
        <fgColor theme="0" tint="-4.9989318521683403E-2"/>
        <bgColor indexed="64"/>
      </patternFill>
    </fill>
    <fill>
      <gradientFill degree="90">
        <stop position="0">
          <color theme="0"/>
        </stop>
        <stop position="1">
          <color rgb="FFFF0000"/>
        </stop>
      </gradientFill>
    </fill>
    <fill>
      <gradientFill degree="90">
        <stop position="0">
          <color theme="0"/>
        </stop>
        <stop position="1">
          <color rgb="FFC00000"/>
        </stop>
      </gradientFill>
    </fill>
    <fill>
      <gradientFill degree="90">
        <stop position="0">
          <color theme="0"/>
        </stop>
        <stop position="1">
          <color rgb="FFB1FC4E"/>
        </stop>
      </gradientFill>
    </fill>
    <fill>
      <gradientFill degree="90">
        <stop position="0">
          <color theme="0"/>
        </stop>
        <stop position="1">
          <color rgb="FF00B0F0"/>
        </stop>
      </gradientFill>
    </fill>
    <fill>
      <gradientFill degree="90">
        <stop position="0">
          <color theme="0"/>
        </stop>
        <stop position="1">
          <color rgb="FF00B050"/>
        </stop>
      </gradientFill>
    </fill>
    <fill>
      <gradientFill degree="90">
        <stop position="0">
          <color theme="0"/>
        </stop>
        <stop position="1">
          <color rgb="FFFF99CC"/>
        </stop>
      </gradientFill>
    </fill>
    <fill>
      <patternFill patternType="solid">
        <fgColor rgb="FF92D050"/>
        <bgColor indexed="64"/>
      </patternFill>
    </fill>
    <fill>
      <patternFill patternType="solid">
        <fgColor rgb="FFD3FBE6"/>
        <bgColor indexed="64"/>
      </patternFill>
    </fill>
    <fill>
      <patternFill patternType="solid">
        <fgColor theme="1"/>
        <bgColor indexed="64"/>
      </patternFill>
    </fill>
    <fill>
      <gradientFill degree="90">
        <stop position="0">
          <color theme="0"/>
        </stop>
        <stop position="1">
          <color rgb="FF99CCFF"/>
        </stop>
      </gradientFill>
    </fill>
    <fill>
      <gradientFill degree="90">
        <stop position="0">
          <color theme="0"/>
        </stop>
        <stop position="1">
          <color theme="5" tint="0.80001220740379042"/>
        </stop>
      </gradientFill>
    </fill>
    <fill>
      <gradientFill degree="90">
        <stop position="0">
          <color theme="0"/>
        </stop>
        <stop position="1">
          <color theme="3" tint="0.59999389629810485"/>
        </stop>
      </gradientFill>
    </fill>
    <fill>
      <patternFill patternType="solid">
        <fgColor theme="0" tint="-0.14999847407452621"/>
        <bgColor indexed="64"/>
      </patternFill>
    </fill>
    <fill>
      <patternFill patternType="solid">
        <fgColor rgb="FF00B0F0"/>
        <bgColor indexed="64"/>
      </patternFill>
    </fill>
    <fill>
      <patternFill patternType="solid">
        <fgColor rgb="FFFFC000"/>
        <bgColor indexed="64"/>
      </patternFill>
    </fill>
    <fill>
      <patternFill patternType="solid">
        <fgColor theme="2"/>
        <bgColor indexed="9"/>
      </patternFill>
    </fill>
    <fill>
      <gradientFill degree="90">
        <stop position="0">
          <color theme="0"/>
        </stop>
        <stop position="1">
          <color rgb="FFFF66CC"/>
        </stop>
      </gradientFill>
    </fill>
    <fill>
      <patternFill patternType="solid">
        <fgColor theme="0"/>
        <bgColor auto="1"/>
      </patternFill>
    </fill>
    <fill>
      <patternFill patternType="solid">
        <fgColor theme="8" tint="0.79998168889431442"/>
        <bgColor auto="1"/>
      </patternFill>
    </fill>
    <fill>
      <patternFill patternType="solid">
        <fgColor theme="5" tint="0.39997558519241921"/>
        <bgColor indexed="64"/>
      </patternFill>
    </fill>
    <fill>
      <gradientFill degree="90">
        <stop position="0">
          <color theme="0"/>
        </stop>
        <stop position="1">
          <color theme="6" tint="0.59999389629810485"/>
        </stop>
      </gradientFill>
    </fill>
    <fill>
      <patternFill patternType="solid">
        <fgColor rgb="FFCCFFFF"/>
        <bgColor indexed="64"/>
      </patternFill>
    </fill>
    <fill>
      <patternFill patternType="solid">
        <fgColor rgb="FFCCFFFF"/>
        <bgColor auto="1"/>
      </patternFill>
    </fill>
    <fill>
      <patternFill patternType="solid">
        <fgColor theme="4" tint="0.79998168889431442"/>
        <bgColor theme="4" tint="0.79998168889431442"/>
      </patternFill>
    </fill>
    <fill>
      <patternFill patternType="solid">
        <fgColor theme="4"/>
        <bgColor theme="4"/>
      </patternFill>
    </fill>
    <fill>
      <patternFill patternType="solid">
        <fgColor theme="4" tint="0.59999389629810485"/>
        <bgColor theme="4" tint="0.59999389629810485"/>
      </patternFill>
    </fill>
  </fills>
  <borders count="28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double">
        <color indexed="64"/>
      </left>
      <right style="double">
        <color indexed="64"/>
      </right>
      <top style="double">
        <color indexed="64"/>
      </top>
      <bottom style="double">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double">
        <color indexed="64"/>
      </left>
      <right style="double">
        <color indexed="64"/>
      </right>
      <top style="medium">
        <color indexed="64"/>
      </top>
      <bottom style="double">
        <color indexed="64"/>
      </bottom>
      <diagonal/>
    </border>
    <border>
      <left/>
      <right style="double">
        <color indexed="64"/>
      </right>
      <top/>
      <bottom/>
      <diagonal/>
    </border>
    <border>
      <left/>
      <right/>
      <top/>
      <bottom style="thin">
        <color indexed="64"/>
      </bottom>
      <diagonal/>
    </border>
    <border>
      <left/>
      <right style="double">
        <color indexed="64"/>
      </right>
      <top style="medium">
        <color indexed="64"/>
      </top>
      <bottom style="double">
        <color indexed="64"/>
      </bottom>
      <diagonal/>
    </border>
    <border>
      <left style="double">
        <color indexed="64"/>
      </left>
      <right style="double">
        <color indexed="64"/>
      </right>
      <top style="thick">
        <color indexed="64"/>
      </top>
      <bottom style="double">
        <color indexed="64"/>
      </bottom>
      <diagonal/>
    </border>
    <border>
      <left style="double">
        <color indexed="64"/>
      </left>
      <right style="thick">
        <color indexed="64"/>
      </right>
      <top style="thick">
        <color indexed="64"/>
      </top>
      <bottom style="double">
        <color indexed="64"/>
      </bottom>
      <diagonal/>
    </border>
    <border>
      <left style="double">
        <color indexed="64"/>
      </left>
      <right style="double">
        <color indexed="64"/>
      </right>
      <top style="thick">
        <color indexed="64"/>
      </top>
      <bottom/>
      <diagonal/>
    </border>
    <border>
      <left style="double">
        <color indexed="64"/>
      </left>
      <right/>
      <top style="thick">
        <color indexed="64"/>
      </top>
      <bottom/>
      <diagonal/>
    </border>
    <border>
      <left/>
      <right style="medium">
        <color indexed="64"/>
      </right>
      <top style="thin">
        <color indexed="64"/>
      </top>
      <bottom style="medium">
        <color indexed="64"/>
      </bottom>
      <diagonal/>
    </border>
    <border>
      <left style="double">
        <color indexed="64"/>
      </left>
      <right/>
      <top style="thick">
        <color indexed="64"/>
      </top>
      <bottom style="double">
        <color indexed="64"/>
      </bottom>
      <diagonal/>
    </border>
    <border>
      <left style="double">
        <color indexed="64"/>
      </left>
      <right style="thick">
        <color indexed="64"/>
      </right>
      <top style="thick">
        <color indexed="64"/>
      </top>
      <bottom/>
      <diagonal/>
    </border>
    <border>
      <left/>
      <right style="double">
        <color indexed="64"/>
      </right>
      <top style="medium">
        <color indexed="64"/>
      </top>
      <bottom/>
      <diagonal/>
    </border>
    <border>
      <left style="double">
        <color indexed="64"/>
      </left>
      <right style="double">
        <color indexed="64"/>
      </right>
      <top style="medium">
        <color indexed="64"/>
      </top>
      <bottom/>
      <diagonal/>
    </border>
    <border>
      <left/>
      <right/>
      <top style="thick">
        <color indexed="64"/>
      </top>
      <bottom/>
      <diagonal/>
    </border>
    <border>
      <left style="medium">
        <color indexed="64"/>
      </left>
      <right style="medium">
        <color indexed="64"/>
      </right>
      <top/>
      <bottom/>
      <diagonal/>
    </border>
    <border>
      <left style="double">
        <color indexed="64"/>
      </left>
      <right style="thick">
        <color indexed="64"/>
      </right>
      <top style="double">
        <color indexed="64"/>
      </top>
      <bottom style="double">
        <color indexed="64"/>
      </bottom>
      <diagonal/>
    </border>
    <border>
      <left style="double">
        <color indexed="64"/>
      </left>
      <right style="double">
        <color indexed="64"/>
      </right>
      <top style="double">
        <color indexed="64"/>
      </top>
      <bottom style="thick">
        <color indexed="64"/>
      </bottom>
      <diagonal/>
    </border>
    <border>
      <left style="double">
        <color indexed="64"/>
      </left>
      <right style="thick">
        <color indexed="64"/>
      </right>
      <top style="double">
        <color indexed="64"/>
      </top>
      <bottom style="thick">
        <color indexed="64"/>
      </bottom>
      <diagonal/>
    </border>
    <border>
      <left style="thick">
        <color indexed="64"/>
      </left>
      <right style="double">
        <color indexed="64"/>
      </right>
      <top style="thick">
        <color indexed="64"/>
      </top>
      <bottom style="double">
        <color indexed="64"/>
      </bottom>
      <diagonal/>
    </border>
    <border>
      <left style="thick">
        <color indexed="64"/>
      </left>
      <right style="double">
        <color indexed="64"/>
      </right>
      <top style="double">
        <color indexed="64"/>
      </top>
      <bottom style="double">
        <color indexed="64"/>
      </bottom>
      <diagonal/>
    </border>
    <border>
      <left style="thick">
        <color indexed="64"/>
      </left>
      <right style="double">
        <color indexed="64"/>
      </right>
      <top style="double">
        <color indexed="64"/>
      </top>
      <bottom style="thick">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double">
        <color indexed="64"/>
      </right>
      <top style="thick">
        <color indexed="64"/>
      </top>
      <bottom/>
      <diagonal/>
    </border>
    <border>
      <left/>
      <right/>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7F7F7F"/>
      </left>
      <right style="double">
        <color rgb="FF7F7F7F"/>
      </right>
      <top style="double">
        <color rgb="FF7F7F7F"/>
      </top>
      <bottom style="double">
        <color rgb="FF7F7F7F"/>
      </bottom>
      <diagonal/>
    </border>
    <border>
      <left/>
      <right style="double">
        <color rgb="FF7F7F7F"/>
      </right>
      <top style="double">
        <color rgb="FF7F7F7F"/>
      </top>
      <bottom style="double">
        <color rgb="FF7F7F7F"/>
      </bottom>
      <diagonal/>
    </border>
    <border>
      <left/>
      <right style="double">
        <color rgb="FF7F7F7F"/>
      </right>
      <top style="double">
        <color rgb="FF7F7F7F"/>
      </top>
      <bottom/>
      <diagonal/>
    </border>
    <border>
      <left style="double">
        <color rgb="FF7F7F7F"/>
      </left>
      <right style="double">
        <color rgb="FF7F7F7F"/>
      </right>
      <top style="double">
        <color rgb="FF7F7F7F"/>
      </top>
      <bottom/>
      <diagonal/>
    </border>
    <border>
      <left style="double">
        <color rgb="FF7F7F7F"/>
      </left>
      <right style="double">
        <color rgb="FF7F7F7F"/>
      </right>
      <top style="double">
        <color rgb="FF7F7F7F"/>
      </top>
      <bottom style="double">
        <color indexed="64"/>
      </bottom>
      <diagonal/>
    </border>
    <border>
      <left/>
      <right/>
      <top style="thick">
        <color rgb="FF3F3F3F"/>
      </top>
      <bottom/>
      <diagonal/>
    </border>
    <border>
      <left style="thin">
        <color indexed="64"/>
      </left>
      <right style="thin">
        <color indexed="64"/>
      </right>
      <top style="thick">
        <color rgb="FF3F3F3F"/>
      </top>
      <bottom style="thin">
        <color indexed="64"/>
      </bottom>
      <diagonal/>
    </border>
    <border>
      <left style="thick">
        <color rgb="FF3F3F3F"/>
      </left>
      <right style="double">
        <color indexed="64"/>
      </right>
      <top style="thick">
        <color indexed="64"/>
      </top>
      <bottom/>
      <diagonal/>
    </border>
    <border>
      <left style="thin">
        <color rgb="FF3F3F3F"/>
      </left>
      <right style="thin">
        <color rgb="FF3F3F3F"/>
      </right>
      <top style="thin">
        <color rgb="FF3F3F3F"/>
      </top>
      <bottom style="thick">
        <color rgb="FF3F3F3F"/>
      </bottom>
      <diagonal/>
    </border>
    <border>
      <left style="thick">
        <color rgb="FF3F3F3F"/>
      </left>
      <right style="thin">
        <color rgb="FF3F3F3F"/>
      </right>
      <top/>
      <bottom style="thin">
        <color rgb="FF3F3F3F"/>
      </bottom>
      <diagonal/>
    </border>
    <border>
      <left style="thick">
        <color rgb="FF3F3F3F"/>
      </left>
      <right style="thin">
        <color rgb="FF3F3F3F"/>
      </right>
      <top style="thin">
        <color rgb="FF3F3F3F"/>
      </top>
      <bottom style="thin">
        <color rgb="FF3F3F3F"/>
      </bottom>
      <diagonal/>
    </border>
    <border>
      <left style="thick">
        <color rgb="FF3F3F3F"/>
      </left>
      <right style="thin">
        <color rgb="FF3F3F3F"/>
      </right>
      <top style="thin">
        <color rgb="FF3F3F3F"/>
      </top>
      <bottom style="thick">
        <color rgb="FF3F3F3F"/>
      </bottom>
      <diagonal/>
    </border>
    <border>
      <left style="double">
        <color rgb="FF3F3F3F"/>
      </left>
      <right style="double">
        <color rgb="FF3F3F3F"/>
      </right>
      <top style="thick">
        <color rgb="FF3F3F3F"/>
      </top>
      <bottom style="double">
        <color rgb="FF3F3F3F"/>
      </bottom>
      <diagonal/>
    </border>
    <border>
      <left style="double">
        <color rgb="FF3F3F3F"/>
      </left>
      <right style="thick">
        <color rgb="FF3F3F3F"/>
      </right>
      <top style="thick">
        <color rgb="FF3F3F3F"/>
      </top>
      <bottom style="double">
        <color rgb="FF3F3F3F"/>
      </bottom>
      <diagonal/>
    </border>
    <border>
      <left style="thick">
        <color rgb="FF3F3F3F"/>
      </left>
      <right style="double">
        <color rgb="FF3F3F3F"/>
      </right>
      <top style="double">
        <color rgb="FF3F3F3F"/>
      </top>
      <bottom style="double">
        <color rgb="FF3F3F3F"/>
      </bottom>
      <diagonal/>
    </border>
    <border>
      <left style="double">
        <color rgb="FF3F3F3F"/>
      </left>
      <right style="thick">
        <color rgb="FF3F3F3F"/>
      </right>
      <top style="double">
        <color rgb="FF3F3F3F"/>
      </top>
      <bottom style="double">
        <color rgb="FF3F3F3F"/>
      </bottom>
      <diagonal/>
    </border>
    <border>
      <left style="double">
        <color rgb="FF3F3F3F"/>
      </left>
      <right style="double">
        <color rgb="FF3F3F3F"/>
      </right>
      <top style="double">
        <color rgb="FF3F3F3F"/>
      </top>
      <bottom style="thick">
        <color rgb="FF3F3F3F"/>
      </bottom>
      <diagonal/>
    </border>
    <border>
      <left style="double">
        <color rgb="FF3F3F3F"/>
      </left>
      <right style="thick">
        <color rgb="FF3F3F3F"/>
      </right>
      <top style="double">
        <color rgb="FF3F3F3F"/>
      </top>
      <bottom style="thick">
        <color rgb="FF3F3F3F"/>
      </bottom>
      <diagonal/>
    </border>
    <border>
      <left style="thick">
        <color rgb="FF3F3F3F"/>
      </left>
      <right style="double">
        <color rgb="FF3F3F3F"/>
      </right>
      <top style="thick">
        <color rgb="FF3F3F3F"/>
      </top>
      <bottom style="double">
        <color rgb="FF3F3F3F"/>
      </bottom>
      <diagonal/>
    </border>
    <border>
      <left style="thick">
        <color rgb="FF3F3F3F"/>
      </left>
      <right style="double">
        <color rgb="FF3F3F3F"/>
      </right>
      <top style="double">
        <color rgb="FF3F3F3F"/>
      </top>
      <bottom style="thick">
        <color indexed="64"/>
      </bottom>
      <diagonal/>
    </border>
    <border>
      <left style="double">
        <color rgb="FF3F3F3F"/>
      </left>
      <right style="double">
        <color rgb="FF3F3F3F"/>
      </right>
      <top style="double">
        <color rgb="FF3F3F3F"/>
      </top>
      <bottom style="thick">
        <color indexed="64"/>
      </bottom>
      <diagonal/>
    </border>
    <border>
      <left style="double">
        <color rgb="FF3F3F3F"/>
      </left>
      <right style="thick">
        <color rgb="FF3F3F3F"/>
      </right>
      <top style="double">
        <color rgb="FF3F3F3F"/>
      </top>
      <bottom style="thick">
        <color indexed="64"/>
      </bottom>
      <diagonal/>
    </border>
    <border>
      <left/>
      <right style="thin">
        <color rgb="FF3F3F3F"/>
      </right>
      <top style="thin">
        <color rgb="FF3F3F3F"/>
      </top>
      <bottom style="thin">
        <color rgb="FF3F3F3F"/>
      </bottom>
      <diagonal/>
    </border>
    <border>
      <left style="thin">
        <color rgb="FF3F3F3F"/>
      </left>
      <right style="thick">
        <color rgb="FF3F3F3F"/>
      </right>
      <top/>
      <bottom style="thin">
        <color rgb="FF3F3F3F"/>
      </bottom>
      <diagonal/>
    </border>
    <border>
      <left/>
      <right style="thick">
        <color rgb="FF3F3F3F"/>
      </right>
      <top style="thick">
        <color rgb="FF3F3F3F"/>
      </top>
      <bottom/>
      <diagonal/>
    </border>
    <border>
      <left style="thin">
        <color rgb="FF3F3F3F"/>
      </left>
      <right style="thin">
        <color rgb="FF3F3F3F"/>
      </right>
      <top style="thick">
        <color rgb="FF3F3F3F"/>
      </top>
      <bottom/>
      <diagonal/>
    </border>
    <border>
      <left style="thin">
        <color indexed="64"/>
      </left>
      <right style="medium">
        <color indexed="64"/>
      </right>
      <top style="thick">
        <color rgb="FF3F3F3F"/>
      </top>
      <bottom/>
      <diagonal/>
    </border>
    <border>
      <left style="thin">
        <color indexed="64"/>
      </left>
      <right style="thin">
        <color indexed="64"/>
      </right>
      <top style="thick">
        <color rgb="FF3F3F3F"/>
      </top>
      <bottom/>
      <diagonal/>
    </border>
    <border>
      <left style="thin">
        <color indexed="64"/>
      </left>
      <right/>
      <top style="thick">
        <color rgb="FF3F3F3F"/>
      </top>
      <bottom/>
      <diagonal/>
    </border>
    <border>
      <left style="thin">
        <color rgb="FFB2B2B2"/>
      </left>
      <right style="thin">
        <color rgb="FFB2B2B2"/>
      </right>
      <top style="thick">
        <color rgb="FF3F3F3F"/>
      </top>
      <bottom style="thin">
        <color rgb="FFB2B2B2"/>
      </bottom>
      <diagonal/>
    </border>
    <border>
      <left style="thick">
        <color indexed="64"/>
      </left>
      <right style="thick">
        <color rgb="FF3F3F3F"/>
      </right>
      <top style="thick">
        <color indexed="64"/>
      </top>
      <bottom style="double">
        <color indexed="64"/>
      </bottom>
      <diagonal/>
    </border>
    <border>
      <left/>
      <right/>
      <top/>
      <bottom style="thick">
        <color rgb="FF3F3F3F"/>
      </bottom>
      <diagonal/>
    </border>
    <border>
      <left style="thin">
        <color rgb="FF3F3F3F"/>
      </left>
      <right style="thick">
        <color rgb="FF3F3F3F"/>
      </right>
      <top/>
      <bottom style="thick">
        <color rgb="FF3F3F3F"/>
      </bottom>
      <diagonal/>
    </border>
    <border>
      <left style="thin">
        <color rgb="FF3F3F3F"/>
      </left>
      <right style="thin">
        <color rgb="FF3F3F3F"/>
      </right>
      <top/>
      <bottom style="thin">
        <color rgb="FF3F3F3F"/>
      </bottom>
      <diagonal/>
    </border>
    <border>
      <left/>
      <right style="thin">
        <color rgb="FF3F3F3F"/>
      </right>
      <top style="thick">
        <color rgb="FF3F3F3F"/>
      </top>
      <bottom style="thin">
        <color rgb="FF3F3F3F"/>
      </bottom>
      <diagonal/>
    </border>
    <border>
      <left style="thin">
        <color rgb="FF3F3F3F"/>
      </left>
      <right style="thin">
        <color rgb="FF3F3F3F"/>
      </right>
      <top style="thick">
        <color rgb="FF3F3F3F"/>
      </top>
      <bottom style="thin">
        <color rgb="FF3F3F3F"/>
      </bottom>
      <diagonal/>
    </border>
    <border>
      <left style="thin">
        <color rgb="FF3F3F3F"/>
      </left>
      <right style="thin">
        <color rgb="FF3F3F3F"/>
      </right>
      <top style="thick">
        <color rgb="FF3F3F3F"/>
      </top>
      <bottom style="thick">
        <color rgb="FF3F3F3F"/>
      </bottom>
      <diagonal/>
    </border>
    <border>
      <left style="thin">
        <color rgb="FF7F7F7F"/>
      </left>
      <right style="thin">
        <color rgb="FF7F7F7F"/>
      </right>
      <top style="thick">
        <color rgb="FF3F3F3F"/>
      </top>
      <bottom style="thick">
        <color rgb="FF3F3F3F"/>
      </bottom>
      <diagonal/>
    </border>
    <border>
      <left/>
      <right/>
      <top style="thick">
        <color rgb="FF3F3F3F"/>
      </top>
      <bottom style="thick">
        <color rgb="FF3F3F3F"/>
      </bottom>
      <diagonal/>
    </border>
    <border>
      <left style="thin">
        <color indexed="64"/>
      </left>
      <right style="medium">
        <color indexed="64"/>
      </right>
      <top style="thick">
        <color rgb="FF3F3F3F"/>
      </top>
      <bottom style="thick">
        <color rgb="FF3F3F3F"/>
      </bottom>
      <diagonal/>
    </border>
    <border>
      <left style="thin">
        <color indexed="64"/>
      </left>
      <right style="thin">
        <color indexed="64"/>
      </right>
      <top style="thick">
        <color rgb="FF3F3F3F"/>
      </top>
      <bottom style="thick">
        <color rgb="FF3F3F3F"/>
      </bottom>
      <diagonal/>
    </border>
    <border>
      <left style="thin">
        <color indexed="64"/>
      </left>
      <right/>
      <top style="thick">
        <color rgb="FF3F3F3F"/>
      </top>
      <bottom style="thick">
        <color rgb="FF3F3F3F"/>
      </bottom>
      <diagonal/>
    </border>
    <border>
      <left style="thin">
        <color indexed="64"/>
      </left>
      <right style="thick">
        <color rgb="FF3F3F3F"/>
      </right>
      <top style="thick">
        <color rgb="FF3F3F3F"/>
      </top>
      <bottom style="thick">
        <color rgb="FF3F3F3F"/>
      </bottom>
      <diagonal/>
    </border>
    <border>
      <left/>
      <right style="thin">
        <color rgb="FF7F7F7F"/>
      </right>
      <top style="thick">
        <color rgb="FF3F3F3F"/>
      </top>
      <bottom style="thick">
        <color rgb="FF3F3F3F"/>
      </bottom>
      <diagonal/>
    </border>
    <border>
      <left style="thin">
        <color rgb="FF3F3F3F"/>
      </left>
      <right/>
      <top style="thin">
        <color rgb="FF3F3F3F"/>
      </top>
      <bottom style="thin">
        <color rgb="FF3F3F3F"/>
      </bottom>
      <diagonal/>
    </border>
    <border>
      <left style="thin">
        <color rgb="FF3F3F3F"/>
      </left>
      <right/>
      <top style="thin">
        <color rgb="FF3F3F3F"/>
      </top>
      <bottom style="thick">
        <color rgb="FF3F3F3F"/>
      </bottom>
      <diagonal/>
    </border>
    <border>
      <left style="thin">
        <color rgb="FF3F3F3F"/>
      </left>
      <right/>
      <top/>
      <bottom style="thin">
        <color rgb="FF3F3F3F"/>
      </bottom>
      <diagonal/>
    </border>
    <border>
      <left style="thin">
        <color rgb="FF3F3F3F"/>
      </left>
      <right style="thick">
        <color rgb="FF3F3F3F"/>
      </right>
      <top style="thin">
        <color rgb="FF3F3F3F"/>
      </top>
      <bottom style="thin">
        <color rgb="FF3F3F3F"/>
      </bottom>
      <diagonal/>
    </border>
    <border>
      <left style="thin">
        <color rgb="FF3F3F3F"/>
      </left>
      <right style="thin">
        <color rgb="FF3F3F3F"/>
      </right>
      <top style="thin">
        <color rgb="FF3F3F3F"/>
      </top>
      <bottom style="thick">
        <color indexed="64"/>
      </bottom>
      <diagonal/>
    </border>
    <border>
      <left style="thick">
        <color rgb="FF3F3F3F"/>
      </left>
      <right style="thin">
        <color rgb="FF3F3F3F"/>
      </right>
      <top style="thick">
        <color rgb="FF3F3F3F"/>
      </top>
      <bottom/>
      <diagonal/>
    </border>
    <border>
      <left style="thin">
        <color rgb="FF3F3F3F"/>
      </left>
      <right style="thin">
        <color rgb="FF3F3F3F"/>
      </right>
      <top/>
      <bottom/>
      <diagonal/>
    </border>
    <border>
      <left style="thin">
        <color rgb="FF3F3F3F"/>
      </left>
      <right style="thin">
        <color rgb="FF3F3F3F"/>
      </right>
      <top/>
      <bottom style="thick">
        <color rgb="FF3F3F3F"/>
      </bottom>
      <diagonal/>
    </border>
    <border>
      <left style="double">
        <color rgb="FF3F3F3F"/>
      </left>
      <right/>
      <top style="double">
        <color rgb="FF3F3F3F"/>
      </top>
      <bottom style="double">
        <color rgb="FF3F3F3F"/>
      </bottom>
      <diagonal/>
    </border>
    <border>
      <left style="double">
        <color rgb="FF3F3F3F"/>
      </left>
      <right/>
      <top style="double">
        <color rgb="FF3F3F3F"/>
      </top>
      <bottom style="thick">
        <color indexed="64"/>
      </bottom>
      <diagonal/>
    </border>
    <border>
      <left style="double">
        <color rgb="FF3F3F3F"/>
      </left>
      <right/>
      <top style="thick">
        <color rgb="FF3F3F3F"/>
      </top>
      <bottom style="double">
        <color rgb="FF3F3F3F"/>
      </bottom>
      <diagonal/>
    </border>
    <border>
      <left style="double">
        <color indexed="64"/>
      </left>
      <right/>
      <top style="thick">
        <color indexed="64"/>
      </top>
      <bottom style="thick">
        <color rgb="FF3F3F3F"/>
      </bottom>
      <diagonal/>
    </border>
    <border>
      <left style="thick">
        <color rgb="FF3F3F3F"/>
      </left>
      <right style="double">
        <color indexed="64"/>
      </right>
      <top style="thick">
        <color indexed="64"/>
      </top>
      <bottom style="double">
        <color indexed="64"/>
      </bottom>
      <diagonal/>
    </border>
    <border>
      <left style="thick">
        <color rgb="FF3F3F3F"/>
      </left>
      <right style="double">
        <color indexed="64"/>
      </right>
      <top style="double">
        <color indexed="64"/>
      </top>
      <bottom style="double">
        <color indexed="64"/>
      </bottom>
      <diagonal/>
    </border>
    <border>
      <left style="thick">
        <color rgb="FF3F3F3F"/>
      </left>
      <right style="double">
        <color indexed="64"/>
      </right>
      <top style="double">
        <color indexed="64"/>
      </top>
      <bottom style="thick">
        <color indexed="64"/>
      </bottom>
      <diagonal/>
    </border>
    <border>
      <left style="thick">
        <color rgb="FF3F3F3F"/>
      </left>
      <right/>
      <top style="thick">
        <color rgb="FF3F3F3F"/>
      </top>
      <bottom style="thick">
        <color rgb="FF3F3F3F"/>
      </bottom>
      <diagonal/>
    </border>
    <border>
      <left style="thick">
        <color rgb="FF3F3F3F"/>
      </left>
      <right style="thick">
        <color rgb="FF3F3F3F"/>
      </right>
      <top style="thick">
        <color rgb="FF3F3F3F"/>
      </top>
      <bottom style="thick">
        <color rgb="FF3F3F3F"/>
      </bottom>
      <diagonal/>
    </border>
    <border>
      <left style="thin">
        <color rgb="FF7F7F7F"/>
      </left>
      <right style="thin">
        <color rgb="FF7F7F7F"/>
      </right>
      <top style="thick">
        <color rgb="FF3F3F3F"/>
      </top>
      <bottom/>
      <diagonal/>
    </border>
    <border>
      <left style="thin">
        <color rgb="FF7F7F7F"/>
      </left>
      <right style="thick">
        <color rgb="FF3F3F3F"/>
      </right>
      <top style="thick">
        <color rgb="FF3F3F3F"/>
      </top>
      <bottom/>
      <diagonal/>
    </border>
    <border>
      <left/>
      <right style="double">
        <color rgb="FF3F3F3F"/>
      </right>
      <top style="thick">
        <color rgb="FF3F3F3F"/>
      </top>
      <bottom style="double">
        <color rgb="FF3F3F3F"/>
      </bottom>
      <diagonal/>
    </border>
    <border>
      <left style="thin">
        <color rgb="FF3F3F3F"/>
      </left>
      <right style="thin">
        <color rgb="FF3F3F3F"/>
      </right>
      <top style="thin">
        <color rgb="FF3F3F3F"/>
      </top>
      <bottom/>
      <diagonal/>
    </border>
    <border>
      <left style="thick">
        <color rgb="FF3F3F3F"/>
      </left>
      <right/>
      <top style="thick">
        <color indexed="64"/>
      </top>
      <bottom style="thick">
        <color rgb="FF3F3F3F"/>
      </bottom>
      <diagonal/>
    </border>
    <border>
      <left/>
      <right/>
      <top style="thick">
        <color indexed="64"/>
      </top>
      <bottom style="thick">
        <color rgb="FF3F3F3F"/>
      </bottom>
      <diagonal/>
    </border>
    <border>
      <left/>
      <right style="thick">
        <color indexed="64"/>
      </right>
      <top style="thick">
        <color indexed="64"/>
      </top>
      <bottom style="thick">
        <color rgb="FF3F3F3F"/>
      </bottom>
      <diagonal/>
    </border>
    <border>
      <left style="thick">
        <color rgb="FF3F3F3F"/>
      </left>
      <right style="thick">
        <color rgb="FF3F3F3F"/>
      </right>
      <top style="thick">
        <color rgb="FF3F3F3F"/>
      </top>
      <bottom/>
      <diagonal/>
    </border>
    <border>
      <left style="thick">
        <color rgb="FF3F3F3F"/>
      </left>
      <right style="thick">
        <color rgb="FF3F3F3F"/>
      </right>
      <top/>
      <bottom/>
      <diagonal/>
    </border>
    <border>
      <left style="thick">
        <color rgb="FF3F3F3F"/>
      </left>
      <right style="thick">
        <color rgb="FF3F3F3F"/>
      </right>
      <top/>
      <bottom style="thick">
        <color indexed="64"/>
      </bottom>
      <diagonal/>
    </border>
    <border>
      <left style="thin">
        <color rgb="FFB2B2B2"/>
      </left>
      <right/>
      <top style="thin">
        <color rgb="FFB2B2B2"/>
      </top>
      <bottom/>
      <diagonal/>
    </border>
    <border>
      <left/>
      <right style="thin">
        <color rgb="FFB2B2B2"/>
      </right>
      <top style="thin">
        <color rgb="FFB2B2B2"/>
      </top>
      <bottom/>
      <diagonal/>
    </border>
    <border>
      <left style="thin">
        <color rgb="FFB2B2B2"/>
      </left>
      <right/>
      <top/>
      <bottom/>
      <diagonal/>
    </border>
    <border>
      <left/>
      <right style="thin">
        <color rgb="FFB2B2B2"/>
      </right>
      <top/>
      <bottom/>
      <diagonal/>
    </border>
    <border>
      <left style="thin">
        <color rgb="FFB2B2B2"/>
      </left>
      <right/>
      <top/>
      <bottom style="thin">
        <color rgb="FFB2B2B2"/>
      </bottom>
      <diagonal/>
    </border>
    <border>
      <left/>
      <right style="thin">
        <color rgb="FFB2B2B2"/>
      </right>
      <top/>
      <bottom style="thin">
        <color rgb="FFB2B2B2"/>
      </bottom>
      <diagonal/>
    </border>
    <border>
      <left/>
      <right style="double">
        <color indexed="64"/>
      </right>
      <top style="thick">
        <color indexed="64"/>
      </top>
      <bottom style="thick">
        <color rgb="FF3F3F3F"/>
      </bottom>
      <diagonal/>
    </border>
    <border>
      <left style="thin">
        <color rgb="FF3F3F3F"/>
      </left>
      <right/>
      <top style="thin">
        <color rgb="FF3F3F3F"/>
      </top>
      <bottom style="thick">
        <color indexed="64"/>
      </bottom>
      <diagonal/>
    </border>
    <border>
      <left/>
      <right style="thin">
        <color rgb="FF3F3F3F"/>
      </right>
      <top style="thin">
        <color rgb="FF3F3F3F"/>
      </top>
      <bottom style="thick">
        <color indexed="64"/>
      </bottom>
      <diagonal/>
    </border>
    <border>
      <left style="thick">
        <color indexed="64"/>
      </left>
      <right style="thick">
        <color rgb="FF3F3F3F"/>
      </right>
      <top style="double">
        <color indexed="64"/>
      </top>
      <bottom style="double">
        <color indexed="64"/>
      </bottom>
      <diagonal/>
    </border>
    <border>
      <left style="thick">
        <color indexed="64"/>
      </left>
      <right style="thick">
        <color rgb="FF3F3F3F"/>
      </right>
      <top style="double">
        <color indexed="64"/>
      </top>
      <bottom style="thick">
        <color indexed="64"/>
      </bottom>
      <diagonal/>
    </border>
    <border>
      <left style="thick">
        <color rgb="FF3F3F3F"/>
      </left>
      <right/>
      <top style="thick">
        <color rgb="FF3F3F3F"/>
      </top>
      <bottom/>
      <diagonal/>
    </border>
    <border>
      <left style="thick">
        <color rgb="FF3F3F3F"/>
      </left>
      <right/>
      <top/>
      <bottom/>
      <diagonal/>
    </border>
    <border>
      <left/>
      <right style="thick">
        <color rgb="FF3F3F3F"/>
      </right>
      <top/>
      <bottom/>
      <diagonal/>
    </border>
    <border>
      <left style="thick">
        <color rgb="FF3F3F3F"/>
      </left>
      <right/>
      <top/>
      <bottom style="thick">
        <color indexed="64"/>
      </bottom>
      <diagonal/>
    </border>
    <border>
      <left/>
      <right style="thick">
        <color rgb="FF3F3F3F"/>
      </right>
      <top/>
      <bottom style="thick">
        <color indexed="64"/>
      </bottom>
      <diagonal/>
    </border>
    <border>
      <left/>
      <right/>
      <top/>
      <bottom style="thin">
        <color rgb="FFB2B2B2"/>
      </bottom>
      <diagonal/>
    </border>
    <border>
      <left style="thin">
        <color rgb="FFB2B2B2"/>
      </left>
      <right/>
      <top style="thick">
        <color rgb="FF3F3F3F"/>
      </top>
      <bottom style="thin">
        <color rgb="FF3F3F3F"/>
      </bottom>
      <diagonal/>
    </border>
    <border>
      <left/>
      <right/>
      <top style="thick">
        <color rgb="FF3F3F3F"/>
      </top>
      <bottom style="thin">
        <color rgb="FF3F3F3F"/>
      </bottom>
      <diagonal/>
    </border>
    <border>
      <left/>
      <right style="thick">
        <color rgb="FF3F3F3F"/>
      </right>
      <top style="thick">
        <color rgb="FF3F3F3F"/>
      </top>
      <bottom style="thin">
        <color rgb="FF3F3F3F"/>
      </bottom>
      <diagonal/>
    </border>
    <border>
      <left/>
      <right style="thin">
        <color rgb="FFB2B2B2"/>
      </right>
      <top style="thick">
        <color rgb="FF3F3F3F"/>
      </top>
      <bottom style="thin">
        <color rgb="FF3F3F3F"/>
      </bottom>
      <diagonal/>
    </border>
    <border>
      <left/>
      <right style="thin">
        <color rgb="FF3F3F3F"/>
      </right>
      <top style="thick">
        <color rgb="FF3F3F3F"/>
      </top>
      <bottom style="thick">
        <color rgb="FF3F3F3F"/>
      </bottom>
      <diagonal/>
    </border>
    <border>
      <left style="thick">
        <color indexed="64"/>
      </left>
      <right style="thick">
        <color rgb="FF3F3F3F"/>
      </right>
      <top style="double">
        <color indexed="64"/>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indexed="64"/>
      </left>
      <right/>
      <top style="thick">
        <color rgb="FF3F3F3F"/>
      </top>
      <bottom style="thick">
        <color rgb="FF3F3F3F"/>
      </bottom>
      <diagonal/>
    </border>
    <border>
      <left style="thick">
        <color rgb="FF3F3F3F"/>
      </left>
      <right/>
      <top style="double">
        <color rgb="FF3F3F3F"/>
      </top>
      <bottom style="double">
        <color rgb="FF3F3F3F"/>
      </bottom>
      <diagonal/>
    </border>
    <border>
      <left style="thick">
        <color rgb="FF3F3F3F"/>
      </left>
      <right style="thick">
        <color rgb="FF3F3F3F"/>
      </right>
      <top style="double">
        <color rgb="FF3F3F3F"/>
      </top>
      <bottom style="thick">
        <color rgb="FF3F3F3F"/>
      </bottom>
      <diagonal/>
    </border>
    <border>
      <left/>
      <right/>
      <top/>
      <bottom style="double">
        <color indexed="64"/>
      </bottom>
      <diagonal/>
    </border>
    <border>
      <left style="thick">
        <color rgb="FF3F3F3F"/>
      </left>
      <right style="thick">
        <color auto="1"/>
      </right>
      <top style="thick">
        <color auto="1"/>
      </top>
      <bottom style="thick">
        <color auto="1"/>
      </bottom>
      <diagonal/>
    </border>
    <border>
      <left style="thick">
        <color auto="1"/>
      </left>
      <right style="thick">
        <color auto="1"/>
      </right>
      <top style="thick">
        <color auto="1"/>
      </top>
      <bottom/>
      <diagonal/>
    </border>
    <border>
      <left style="double">
        <color rgb="FF7F7F7F"/>
      </left>
      <right/>
      <top style="double">
        <color rgb="FF7F7F7F"/>
      </top>
      <bottom style="double">
        <color rgb="FF7F7F7F"/>
      </bottom>
      <diagonal/>
    </border>
    <border>
      <left/>
      <right style="thin">
        <color indexed="64"/>
      </right>
      <top style="double">
        <color rgb="FF7F7F7F"/>
      </top>
      <bottom style="double">
        <color rgb="FF7F7F7F"/>
      </bottom>
      <diagonal/>
    </border>
    <border>
      <left style="thin">
        <color indexed="64"/>
      </left>
      <right style="thin">
        <color indexed="64"/>
      </right>
      <top style="double">
        <color rgb="FF7F7F7F"/>
      </top>
      <bottom style="double">
        <color rgb="FF7F7F7F"/>
      </bottom>
      <diagonal/>
    </border>
    <border>
      <left/>
      <right/>
      <top style="thick">
        <color auto="1"/>
      </top>
      <bottom style="thick">
        <color auto="1"/>
      </bottom>
      <diagonal/>
    </border>
    <border>
      <left style="double">
        <color rgb="FF3F3F3F"/>
      </left>
      <right/>
      <top style="double">
        <color rgb="FF3F3F3F"/>
      </top>
      <bottom/>
      <diagonal/>
    </border>
    <border>
      <left/>
      <right/>
      <top style="double">
        <color rgb="FF3F3F3F"/>
      </top>
      <bottom/>
      <diagonal/>
    </border>
    <border>
      <left/>
      <right style="double">
        <color rgb="FF3F3F3F"/>
      </right>
      <top style="double">
        <color rgb="FF3F3F3F"/>
      </top>
      <bottom/>
      <diagonal/>
    </border>
    <border>
      <left style="double">
        <color rgb="FF3F3F3F"/>
      </left>
      <right/>
      <top/>
      <bottom style="double">
        <color rgb="FF3F3F3F"/>
      </bottom>
      <diagonal/>
    </border>
    <border>
      <left/>
      <right/>
      <top/>
      <bottom style="double">
        <color rgb="FF3F3F3F"/>
      </bottom>
      <diagonal/>
    </border>
    <border>
      <left/>
      <right style="double">
        <color rgb="FF3F3F3F"/>
      </right>
      <top/>
      <bottom style="double">
        <color rgb="FF3F3F3F"/>
      </bottom>
      <diagonal/>
    </border>
    <border>
      <left style="medium">
        <color indexed="64"/>
      </left>
      <right/>
      <top/>
      <bottom style="thin">
        <color rgb="FFB2B2B2"/>
      </bottom>
      <diagonal/>
    </border>
    <border>
      <left/>
      <right/>
      <top style="thin">
        <color indexed="64"/>
      </top>
      <bottom/>
      <diagonal/>
    </border>
    <border>
      <left/>
      <right style="medium">
        <color indexed="64"/>
      </right>
      <top style="thin">
        <color indexed="64"/>
      </top>
      <bottom/>
      <diagonal/>
    </border>
    <border>
      <left/>
      <right style="double">
        <color rgb="FF7F7F7F"/>
      </right>
      <top style="double">
        <color rgb="FF7F7F7F"/>
      </top>
      <bottom style="double">
        <color indexed="64"/>
      </bottom>
      <diagonal/>
    </border>
    <border>
      <left style="medium">
        <color indexed="64"/>
      </left>
      <right/>
      <top/>
      <bottom style="thick">
        <color indexed="64"/>
      </bottom>
      <diagonal/>
    </border>
    <border>
      <left/>
      <right style="medium">
        <color indexed="64"/>
      </right>
      <top/>
      <bottom style="thick">
        <color indexed="64"/>
      </bottom>
      <diagonal/>
    </border>
    <border>
      <left style="thick">
        <color rgb="FF3F3F3F"/>
      </left>
      <right style="thick">
        <color indexed="64"/>
      </right>
      <top style="thick">
        <color indexed="64"/>
      </top>
      <bottom style="double">
        <color indexed="64"/>
      </bottom>
      <diagonal/>
    </border>
    <border>
      <left style="thin">
        <color rgb="FF7F7F7F"/>
      </left>
      <right style="thick">
        <color indexed="64"/>
      </right>
      <top style="thin">
        <color rgb="FF7F7F7F"/>
      </top>
      <bottom style="thin">
        <color rgb="FF7F7F7F"/>
      </bottom>
      <diagonal/>
    </border>
    <border>
      <left style="thick">
        <color indexed="64"/>
      </left>
      <right/>
      <top style="double">
        <color indexed="64"/>
      </top>
      <bottom/>
      <diagonal/>
    </border>
    <border>
      <left style="thick">
        <color indexed="64"/>
      </left>
      <right/>
      <top/>
      <bottom/>
      <diagonal/>
    </border>
    <border>
      <left/>
      <right style="thick">
        <color indexed="64"/>
      </right>
      <top/>
      <bottom/>
      <diagonal/>
    </border>
    <border>
      <left style="thick">
        <color indexed="64"/>
      </left>
      <right style="double">
        <color indexed="64"/>
      </right>
      <top/>
      <bottom/>
      <diagonal/>
    </border>
    <border>
      <left style="thick">
        <color rgb="FF3F3F3F"/>
      </left>
      <right style="double">
        <color indexed="64"/>
      </right>
      <top/>
      <bottom/>
      <diagonal/>
    </border>
    <border>
      <left style="thick">
        <color rgb="FF3F3F3F"/>
      </left>
      <right style="thick">
        <color indexed="64"/>
      </right>
      <top/>
      <bottom/>
      <diagonal/>
    </border>
    <border>
      <left style="thick">
        <color indexed="64"/>
      </left>
      <right style="double">
        <color indexed="64"/>
      </right>
      <top/>
      <bottom style="thick">
        <color indexed="64"/>
      </bottom>
      <diagonal/>
    </border>
    <border>
      <left style="thick">
        <color rgb="FF3F3F3F"/>
      </left>
      <right style="double">
        <color indexed="64"/>
      </right>
      <top/>
      <bottom style="thick">
        <color indexed="64"/>
      </bottom>
      <diagonal/>
    </border>
    <border>
      <left style="thick">
        <color rgb="FF3F3F3F"/>
      </left>
      <right style="thick">
        <color indexed="64"/>
      </right>
      <top/>
      <bottom style="thick">
        <color indexed="64"/>
      </bottom>
      <diagonal/>
    </border>
    <border>
      <left style="medium">
        <color indexed="64"/>
      </left>
      <right style="double">
        <color indexed="64"/>
      </right>
      <top style="medium">
        <color indexed="64"/>
      </top>
      <bottom style="medium">
        <color indexed="64"/>
      </bottom>
      <diagonal/>
    </border>
    <border>
      <left style="thick">
        <color rgb="FF3F3F3F"/>
      </left>
      <right style="double">
        <color indexed="64"/>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style="double">
        <color indexed="64"/>
      </left>
      <right style="thick">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right/>
      <top style="double">
        <color indexed="64"/>
      </top>
      <bottom style="double">
        <color indexed="64"/>
      </bottom>
      <diagonal/>
    </border>
    <border>
      <left style="thick">
        <color indexed="64"/>
      </left>
      <right style="double">
        <color indexed="64"/>
      </right>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thick">
        <color indexed="64"/>
      </top>
      <bottom style="double">
        <color indexed="64"/>
      </bottom>
      <diagonal/>
    </border>
    <border>
      <left/>
      <right style="thick">
        <color indexed="64"/>
      </right>
      <top style="thick">
        <color indexed="64"/>
      </top>
      <bottom style="double">
        <color indexed="64"/>
      </bottom>
      <diagonal/>
    </border>
    <border>
      <left style="thick">
        <color indexed="64"/>
      </left>
      <right/>
      <top style="double">
        <color indexed="64"/>
      </top>
      <bottom style="double">
        <color indexed="64"/>
      </bottom>
      <diagonal/>
    </border>
    <border>
      <left/>
      <right style="thick">
        <color indexed="64"/>
      </right>
      <top style="double">
        <color indexed="64"/>
      </top>
      <bottom style="double">
        <color indexed="64"/>
      </bottom>
      <diagonal/>
    </border>
    <border>
      <left style="thick">
        <color indexed="64"/>
      </left>
      <right/>
      <top style="double">
        <color indexed="64"/>
      </top>
      <bottom style="thick">
        <color indexed="64"/>
      </bottom>
      <diagonal/>
    </border>
    <border>
      <left/>
      <right/>
      <top style="double">
        <color indexed="64"/>
      </top>
      <bottom style="thick">
        <color indexed="64"/>
      </bottom>
      <diagonal/>
    </border>
    <border>
      <left/>
      <right style="thick">
        <color indexed="64"/>
      </right>
      <top style="double">
        <color indexed="64"/>
      </top>
      <bottom style="thick">
        <color indexed="64"/>
      </bottom>
      <diagonal/>
    </border>
    <border>
      <left style="thick">
        <color indexed="64"/>
      </left>
      <right/>
      <top style="thick">
        <color indexed="64"/>
      </top>
      <bottom style="double">
        <color indexed="64"/>
      </bottom>
      <diagonal/>
    </border>
    <border>
      <left/>
      <right/>
      <top style="double">
        <color indexed="64"/>
      </top>
      <bottom/>
      <diagonal/>
    </border>
    <border>
      <left/>
      <right style="thick">
        <color indexed="64"/>
      </right>
      <top style="double">
        <color indexed="64"/>
      </top>
      <bottom/>
      <diagonal/>
    </border>
    <border>
      <left/>
      <right/>
      <top style="double">
        <color indexed="64"/>
      </top>
      <bottom style="medium">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style="thick">
        <color indexed="64"/>
      </right>
      <top/>
      <bottom/>
      <diagonal/>
    </border>
    <border>
      <left style="thin">
        <color theme="0"/>
      </left>
      <right style="thick">
        <color indexed="64"/>
      </right>
      <top/>
      <bottom style="thick">
        <color indexed="64"/>
      </bottom>
      <diagonal/>
    </border>
    <border>
      <left style="thin">
        <color theme="0"/>
      </left>
      <right/>
      <top/>
      <bottom/>
      <diagonal/>
    </border>
    <border>
      <left style="thin">
        <color theme="0"/>
      </left>
      <right/>
      <top/>
      <bottom style="thick">
        <color indexed="64"/>
      </bottom>
      <diagonal/>
    </border>
    <border>
      <left style="thick">
        <color indexed="64"/>
      </left>
      <right style="thin">
        <color theme="0"/>
      </right>
      <top style="thick">
        <color indexed="64"/>
      </top>
      <bottom style="thin">
        <color theme="0"/>
      </bottom>
      <diagonal/>
    </border>
    <border>
      <left style="thin">
        <color theme="0"/>
      </left>
      <right/>
      <top style="thick">
        <color indexed="64"/>
      </top>
      <bottom/>
      <diagonal/>
    </border>
    <border>
      <left/>
      <right style="thin">
        <color theme="0"/>
      </right>
      <top style="thick">
        <color indexed="64"/>
      </top>
      <bottom style="thin">
        <color theme="0"/>
      </bottom>
      <diagonal/>
    </border>
    <border>
      <left style="thin">
        <color theme="0"/>
      </left>
      <right style="thick">
        <color indexed="64"/>
      </right>
      <top style="thick">
        <color indexed="64"/>
      </top>
      <bottom/>
      <diagonal/>
    </border>
    <border>
      <left style="thick">
        <color indexed="64"/>
      </left>
      <right style="thin">
        <color theme="0"/>
      </right>
      <top style="thin">
        <color theme="0"/>
      </top>
      <bottom style="thin">
        <color theme="0"/>
      </bottom>
      <diagonal/>
    </border>
    <border>
      <left style="thick">
        <color indexed="64"/>
      </left>
      <right style="thin">
        <color theme="0"/>
      </right>
      <top style="thin">
        <color theme="0"/>
      </top>
      <bottom style="thick">
        <color indexed="64"/>
      </bottom>
      <diagonal/>
    </border>
    <border>
      <left/>
      <right style="thin">
        <color theme="0"/>
      </right>
      <top style="thin">
        <color theme="0"/>
      </top>
      <bottom style="thick">
        <color indexed="64"/>
      </bottom>
      <diagonal/>
    </border>
    <border>
      <left style="thick">
        <color indexed="64"/>
      </left>
      <right style="thin">
        <color theme="0"/>
      </right>
      <top style="thick">
        <color indexed="64"/>
      </top>
      <bottom style="thick">
        <color theme="0"/>
      </bottom>
      <diagonal/>
    </border>
    <border>
      <left/>
      <right style="thin">
        <color theme="0"/>
      </right>
      <top style="thick">
        <color indexed="64"/>
      </top>
      <bottom style="thick">
        <color theme="0"/>
      </bottom>
      <diagonal/>
    </border>
    <border>
      <left style="thin">
        <color rgb="FF7F7F7F"/>
      </left>
      <right style="thin">
        <color rgb="FF7F7F7F"/>
      </right>
      <top style="thin">
        <color rgb="FF7F7F7F"/>
      </top>
      <bottom style="thick">
        <color indexed="64"/>
      </bottom>
      <diagonal/>
    </border>
    <border>
      <left style="thin">
        <color rgb="FF7F7F7F"/>
      </left>
      <right style="thick">
        <color indexed="64"/>
      </right>
      <top style="thin">
        <color rgb="FF7F7F7F"/>
      </top>
      <bottom style="thick">
        <color indexed="64"/>
      </bottom>
      <diagonal/>
    </border>
    <border>
      <left/>
      <right/>
      <top style="medium">
        <color rgb="FFF5F1EA"/>
      </top>
      <bottom/>
      <diagonal/>
    </border>
    <border>
      <left style="double">
        <color rgb="FF3F3F3F"/>
      </left>
      <right/>
      <top style="double">
        <color rgb="FF3F3F3F"/>
      </top>
      <bottom style="thick">
        <color rgb="FF3F3F3F"/>
      </bottom>
      <diagonal/>
    </border>
    <border>
      <left/>
      <right style="thin">
        <color theme="0"/>
      </right>
      <top/>
      <bottom/>
      <diagonal/>
    </border>
    <border>
      <left/>
      <right style="thin">
        <color theme="0"/>
      </right>
      <top/>
      <bottom style="thin">
        <color theme="0"/>
      </bottom>
      <diagonal/>
    </border>
    <border>
      <left style="thin">
        <color rgb="FF3F3F3F"/>
      </left>
      <right/>
      <top style="thin">
        <color rgb="FF3F3F3F"/>
      </top>
      <bottom/>
      <diagonal/>
    </border>
    <border>
      <left/>
      <right style="thin">
        <color rgb="FF3F3F3F"/>
      </right>
      <top style="thin">
        <color rgb="FF3F3F3F"/>
      </top>
      <bottom/>
      <diagonal/>
    </border>
    <border>
      <left style="medium">
        <color indexed="64"/>
      </left>
      <right style="thin">
        <color theme="0"/>
      </right>
      <top style="medium">
        <color indexed="64"/>
      </top>
      <bottom style="thick">
        <color theme="0"/>
      </bottom>
      <diagonal/>
    </border>
    <border>
      <left/>
      <right style="thin">
        <color theme="0"/>
      </right>
      <top style="medium">
        <color indexed="64"/>
      </top>
      <bottom style="thick">
        <color theme="0"/>
      </bottom>
      <diagonal/>
    </border>
    <border>
      <left style="thin">
        <color theme="0"/>
      </left>
      <right style="thin">
        <color theme="0"/>
      </right>
      <top style="medium">
        <color indexed="64"/>
      </top>
      <bottom style="thick">
        <color theme="0"/>
      </bottom>
      <diagonal/>
    </border>
    <border>
      <left style="double">
        <color indexed="64"/>
      </left>
      <right/>
      <top style="medium">
        <color indexed="64"/>
      </top>
      <bottom/>
      <diagonal/>
    </border>
    <border>
      <left style="medium">
        <color indexed="64"/>
      </left>
      <right style="thin">
        <color theme="0"/>
      </right>
      <top style="thin">
        <color theme="0"/>
      </top>
      <bottom style="thin">
        <color theme="0"/>
      </bottom>
      <diagonal/>
    </border>
    <border>
      <left style="double">
        <color indexed="64"/>
      </left>
      <right style="medium">
        <color indexed="64"/>
      </right>
      <top style="double">
        <color indexed="64"/>
      </top>
      <bottom style="double">
        <color indexed="64"/>
      </bottom>
      <diagonal/>
    </border>
    <border>
      <left style="medium">
        <color indexed="64"/>
      </left>
      <right style="thin">
        <color theme="0"/>
      </right>
      <top style="thin">
        <color theme="0"/>
      </top>
      <bottom/>
      <diagonal/>
    </border>
    <border>
      <left style="medium">
        <color indexed="64"/>
      </left>
      <right style="thin">
        <color theme="0"/>
      </right>
      <top style="thin">
        <color theme="0"/>
      </top>
      <bottom style="medium">
        <color indexed="64"/>
      </bottom>
      <diagonal/>
    </border>
    <border>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double">
        <color rgb="FF3F3F3F"/>
      </left>
      <right/>
      <top style="double">
        <color rgb="FF3F3F3F"/>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style="medium">
        <color indexed="64"/>
      </right>
      <top style="double">
        <color indexed="64"/>
      </top>
      <bottom style="medium">
        <color indexed="64"/>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style="thick">
        <color auto="1"/>
      </right>
      <top/>
      <bottom style="thick">
        <color auto="1"/>
      </bottom>
      <diagonal/>
    </border>
    <border>
      <left/>
      <right/>
      <top/>
      <bottom style="thick">
        <color theme="0"/>
      </bottom>
      <diagonal/>
    </border>
    <border>
      <left/>
      <right style="thick">
        <color rgb="FF3F3F3F"/>
      </right>
      <top style="double">
        <color rgb="FF3F3F3F"/>
      </top>
      <bottom style="double">
        <color rgb="FF3F3F3F"/>
      </bottom>
      <diagonal/>
    </border>
  </borders>
  <cellStyleXfs count="10">
    <xf numFmtId="0" fontId="0" fillId="0" borderId="0"/>
    <xf numFmtId="0" fontId="24" fillId="2" borderId="84" applyNumberFormat="0" applyAlignment="0" applyProtection="0"/>
    <xf numFmtId="0" fontId="25" fillId="3" borderId="85" applyNumberFormat="0" applyAlignment="0" applyProtection="0"/>
    <xf numFmtId="0" fontId="26" fillId="0" borderId="86" applyNumberFormat="0" applyFill="0" applyAlignment="0" applyProtection="0"/>
    <xf numFmtId="0" fontId="27" fillId="0" borderId="0" applyNumberFormat="0" applyFill="0" applyBorder="0" applyAlignment="0" applyProtection="0"/>
    <xf numFmtId="0" fontId="28" fillId="0" borderId="0" applyNumberFormat="0" applyFill="0" applyBorder="0" applyAlignment="0" applyProtection="0">
      <alignment vertical="top"/>
      <protection locked="0"/>
    </xf>
    <xf numFmtId="0" fontId="29" fillId="4" borderId="84" applyNumberFormat="0" applyAlignment="0" applyProtection="0"/>
    <xf numFmtId="0" fontId="22" fillId="5" borderId="87" applyNumberFormat="0" applyFont="0" applyAlignment="0" applyProtection="0"/>
    <xf numFmtId="0" fontId="30" fillId="2" borderId="88" applyNumberFormat="0" applyAlignment="0" applyProtection="0"/>
    <xf numFmtId="0" fontId="32" fillId="0" borderId="0" applyNumberFormat="0" applyFill="0" applyBorder="0" applyAlignment="0" applyProtection="0"/>
  </cellStyleXfs>
  <cellXfs count="1424">
    <xf numFmtId="0" fontId="0" fillId="0" borderId="0" xfId="0"/>
    <xf numFmtId="164" fontId="0" fillId="0" borderId="0" xfId="0" applyNumberFormat="1"/>
    <xf numFmtId="0" fontId="33" fillId="0" borderId="1" xfId="0" applyFont="1" applyBorder="1"/>
    <xf numFmtId="0" fontId="0" fillId="0" borderId="1" xfId="0" applyBorder="1"/>
    <xf numFmtId="0" fontId="34" fillId="6" borderId="1" xfId="0" applyFont="1" applyFill="1" applyBorder="1" applyAlignment="1">
      <alignment horizontal="center"/>
    </xf>
    <xf numFmtId="0" fontId="0" fillId="7" borderId="1" xfId="0" applyFill="1" applyBorder="1"/>
    <xf numFmtId="0" fontId="0" fillId="8" borderId="1" xfId="0" applyFill="1" applyBorder="1"/>
    <xf numFmtId="12" fontId="33" fillId="0" borderId="1" xfId="0" applyNumberFormat="1" applyFont="1" applyBorder="1"/>
    <xf numFmtId="0" fontId="35" fillId="0" borderId="0" xfId="0" applyFont="1"/>
    <xf numFmtId="0" fontId="36" fillId="0" borderId="0" xfId="0" applyFont="1" applyAlignment="1">
      <alignment horizontal="center"/>
    </xf>
    <xf numFmtId="164" fontId="33" fillId="0" borderId="1" xfId="0" applyNumberFormat="1" applyFont="1" applyBorder="1" applyAlignment="1">
      <alignment horizontal="center"/>
    </xf>
    <xf numFmtId="12" fontId="33" fillId="0" borderId="0" xfId="0" applyNumberFormat="1" applyFont="1" applyBorder="1"/>
    <xf numFmtId="0" fontId="37" fillId="0" borderId="1" xfId="0" applyFont="1" applyBorder="1"/>
    <xf numFmtId="164" fontId="0" fillId="0" borderId="2" xfId="0" applyNumberFormat="1" applyBorder="1"/>
    <xf numFmtId="164" fontId="0" fillId="0" borderId="3" xfId="0" applyNumberFormat="1" applyBorder="1"/>
    <xf numFmtId="164" fontId="33" fillId="0" borderId="4" xfId="0" applyNumberFormat="1" applyFont="1" applyBorder="1" applyAlignment="1">
      <alignment horizontal="center"/>
    </xf>
    <xf numFmtId="164" fontId="33" fillId="0" borderId="5" xfId="0" applyNumberFormat="1" applyFont="1" applyBorder="1" applyAlignment="1">
      <alignment horizontal="center"/>
    </xf>
    <xf numFmtId="13" fontId="0" fillId="0" borderId="0" xfId="0" applyNumberFormat="1"/>
    <xf numFmtId="12" fontId="38" fillId="0" borderId="1" xfId="0" applyNumberFormat="1" applyFont="1" applyBorder="1" applyAlignment="1">
      <alignment horizontal="justify" vertical="justify" wrapText="1"/>
    </xf>
    <xf numFmtId="0" fontId="39" fillId="0" borderId="0" xfId="0" applyFont="1" applyAlignment="1">
      <alignment horizontal="justify" vertical="justify" wrapText="1"/>
    </xf>
    <xf numFmtId="0" fontId="39" fillId="0" borderId="6" xfId="0" applyFont="1" applyBorder="1" applyAlignment="1">
      <alignment horizontal="justify" vertical="justify" wrapText="1"/>
    </xf>
    <xf numFmtId="0" fontId="36" fillId="9" borderId="7" xfId="0" applyFont="1" applyFill="1" applyBorder="1"/>
    <xf numFmtId="164" fontId="34" fillId="9" borderId="1" xfId="0" applyNumberFormat="1" applyFont="1" applyFill="1" applyBorder="1"/>
    <xf numFmtId="164" fontId="34" fillId="0" borderId="0" xfId="0" applyNumberFormat="1" applyFont="1"/>
    <xf numFmtId="0" fontId="36" fillId="9" borderId="8" xfId="0" applyFont="1" applyFill="1" applyBorder="1"/>
    <xf numFmtId="0" fontId="0" fillId="0" borderId="9" xfId="0" applyBorder="1"/>
    <xf numFmtId="164" fontId="0" fillId="0" borderId="9" xfId="0" applyNumberFormat="1" applyBorder="1"/>
    <xf numFmtId="0" fontId="0" fillId="0" borderId="6" xfId="0" applyBorder="1"/>
    <xf numFmtId="0" fontId="0" fillId="0" borderId="0" xfId="0" applyBorder="1"/>
    <xf numFmtId="0" fontId="0" fillId="0" borderId="10" xfId="0" applyBorder="1"/>
    <xf numFmtId="0" fontId="0" fillId="0" borderId="11" xfId="0" applyBorder="1"/>
    <xf numFmtId="0" fontId="0" fillId="0" borderId="12" xfId="0" applyBorder="1"/>
    <xf numFmtId="164" fontId="34" fillId="8" borderId="0" xfId="0" applyNumberFormat="1" applyFont="1" applyFill="1"/>
    <xf numFmtId="164" fontId="0" fillId="8" borderId="0" xfId="0" applyNumberFormat="1" applyFill="1"/>
    <xf numFmtId="0" fontId="0" fillId="9" borderId="0" xfId="0" applyFill="1"/>
    <xf numFmtId="0" fontId="0" fillId="9" borderId="13" xfId="0" applyFill="1" applyBorder="1"/>
    <xf numFmtId="0" fontId="0" fillId="10" borderId="0" xfId="0" applyFill="1"/>
    <xf numFmtId="164" fontId="37" fillId="0" borderId="14" xfId="0" applyNumberFormat="1" applyFont="1" applyBorder="1" applyAlignment="1">
      <alignment horizontal="center"/>
    </xf>
    <xf numFmtId="0" fontId="0" fillId="11" borderId="0" xfId="0" applyFill="1"/>
    <xf numFmtId="0" fontId="0" fillId="11" borderId="0" xfId="0" applyFill="1" applyBorder="1"/>
    <xf numFmtId="164" fontId="0" fillId="11" borderId="0" xfId="0" applyNumberFormat="1" applyFill="1"/>
    <xf numFmtId="0" fontId="40" fillId="11" borderId="0" xfId="0" applyFont="1" applyFill="1"/>
    <xf numFmtId="164" fontId="42" fillId="11" borderId="15" xfId="0" applyNumberFormat="1" applyFont="1" applyFill="1" applyBorder="1" applyAlignment="1">
      <alignment horizontal="center"/>
    </xf>
    <xf numFmtId="0" fontId="43" fillId="11" borderId="0" xfId="0" applyFont="1" applyFill="1" applyBorder="1" applyAlignment="1"/>
    <xf numFmtId="0" fontId="31" fillId="9" borderId="1" xfId="0" applyFont="1" applyFill="1" applyBorder="1"/>
    <xf numFmtId="0" fontId="0" fillId="12" borderId="0" xfId="0" applyFill="1"/>
    <xf numFmtId="0" fontId="40" fillId="12" borderId="0" xfId="0" applyFont="1" applyFill="1"/>
    <xf numFmtId="164" fontId="0" fillId="12" borderId="0" xfId="0" applyNumberFormat="1" applyFill="1"/>
    <xf numFmtId="164" fontId="39" fillId="12" borderId="0" xfId="0" applyNumberFormat="1" applyFont="1" applyFill="1" applyAlignment="1">
      <alignment horizontal="justify" vertical="justify" wrapText="1"/>
    </xf>
    <xf numFmtId="0" fontId="0" fillId="12" borderId="0" xfId="0" applyFill="1" applyAlignment="1">
      <alignment horizontal="center"/>
    </xf>
    <xf numFmtId="0" fontId="0" fillId="12" borderId="0" xfId="0" applyFill="1" applyBorder="1"/>
    <xf numFmtId="164" fontId="0" fillId="12" borderId="0" xfId="0" applyNumberFormat="1" applyFill="1" applyBorder="1"/>
    <xf numFmtId="12" fontId="0" fillId="12" borderId="0" xfId="0" applyNumberFormat="1" applyFill="1"/>
    <xf numFmtId="0" fontId="0" fillId="12" borderId="0" xfId="0" applyFill="1" applyAlignment="1"/>
    <xf numFmtId="167" fontId="44" fillId="11" borderId="0" xfId="0" applyNumberFormat="1" applyFont="1" applyFill="1" applyBorder="1" applyAlignment="1">
      <alignment horizontal="center"/>
    </xf>
    <xf numFmtId="0" fontId="45" fillId="0" borderId="0" xfId="0" applyFont="1" applyAlignment="1">
      <alignment horizontal="center" vertical="center" wrapText="1"/>
    </xf>
    <xf numFmtId="0" fontId="45" fillId="0" borderId="0" xfId="0" applyFont="1" applyAlignment="1">
      <alignment horizontal="center" vertical="center"/>
    </xf>
    <xf numFmtId="0" fontId="46" fillId="11" borderId="0" xfId="0" applyFont="1" applyFill="1"/>
    <xf numFmtId="164" fontId="47" fillId="11" borderId="16" xfId="0" applyNumberFormat="1" applyFont="1" applyFill="1" applyBorder="1" applyAlignment="1"/>
    <xf numFmtId="164" fontId="48" fillId="0" borderId="4" xfId="0" applyNumberFormat="1" applyFont="1" applyBorder="1" applyAlignment="1">
      <alignment horizontal="center" vertical="center" shrinkToFit="1"/>
    </xf>
    <xf numFmtId="164" fontId="48" fillId="0" borderId="1" xfId="0" applyNumberFormat="1" applyFont="1" applyBorder="1" applyAlignment="1">
      <alignment horizontal="center" vertical="center" shrinkToFit="1"/>
    </xf>
    <xf numFmtId="0" fontId="49" fillId="11" borderId="0" xfId="0" applyFont="1" applyFill="1" applyBorder="1"/>
    <xf numFmtId="164" fontId="48" fillId="0" borderId="17" xfId="0" applyNumberFormat="1" applyFont="1" applyBorder="1" applyAlignment="1">
      <alignment horizontal="center" vertical="center" shrinkToFit="1"/>
    </xf>
    <xf numFmtId="164" fontId="48" fillId="0" borderId="2" xfId="0" applyNumberFormat="1" applyFont="1" applyBorder="1" applyAlignment="1">
      <alignment horizontal="center" vertical="center" shrinkToFit="1"/>
    </xf>
    <xf numFmtId="164" fontId="48" fillId="0" borderId="3" xfId="0" applyNumberFormat="1" applyFont="1" applyBorder="1" applyAlignment="1">
      <alignment horizontal="center" vertical="center" shrinkToFit="1"/>
    </xf>
    <xf numFmtId="164" fontId="48" fillId="0" borderId="18" xfId="0" applyNumberFormat="1" applyFont="1" applyBorder="1" applyAlignment="1">
      <alignment horizontal="center" vertical="center" shrinkToFit="1"/>
    </xf>
    <xf numFmtId="164" fontId="48" fillId="0" borderId="19" xfId="0" applyNumberFormat="1" applyFont="1" applyBorder="1" applyAlignment="1">
      <alignment horizontal="center" vertical="center" shrinkToFit="1"/>
    </xf>
    <xf numFmtId="164" fontId="48" fillId="0" borderId="20" xfId="0" applyNumberFormat="1" applyFont="1" applyBorder="1" applyAlignment="1">
      <alignment horizontal="center" vertical="center" shrinkToFit="1"/>
    </xf>
    <xf numFmtId="164" fontId="48" fillId="0" borderId="21" xfId="0" applyNumberFormat="1" applyFont="1" applyBorder="1" applyAlignment="1">
      <alignment horizontal="center" vertical="center" shrinkToFit="1"/>
    </xf>
    <xf numFmtId="164" fontId="48" fillId="0" borderId="22" xfId="0" applyNumberFormat="1" applyFont="1" applyBorder="1" applyAlignment="1">
      <alignment horizontal="center" vertical="center" shrinkToFit="1"/>
    </xf>
    <xf numFmtId="164" fontId="48" fillId="0" borderId="5" xfId="0" applyNumberFormat="1" applyFont="1" applyBorder="1" applyAlignment="1">
      <alignment horizontal="center" vertical="center" shrinkToFit="1"/>
    </xf>
    <xf numFmtId="164" fontId="48" fillId="0" borderId="15" xfId="0" applyNumberFormat="1" applyFont="1" applyBorder="1" applyAlignment="1">
      <alignment horizontal="center" vertical="center" shrinkToFit="1"/>
    </xf>
    <xf numFmtId="164" fontId="50" fillId="11" borderId="0" xfId="0" applyNumberFormat="1" applyFont="1" applyFill="1" applyBorder="1" applyAlignment="1">
      <alignment horizontal="center"/>
    </xf>
    <xf numFmtId="0" fontId="51" fillId="11" borderId="0" xfId="0" applyFont="1" applyFill="1" applyBorder="1" applyAlignment="1">
      <alignment horizontal="center" vertical="center" wrapText="1"/>
    </xf>
    <xf numFmtId="0" fontId="52" fillId="11" borderId="0" xfId="0" applyFont="1" applyFill="1" applyBorder="1" applyAlignment="1">
      <alignment horizontal="center" vertical="center"/>
    </xf>
    <xf numFmtId="0" fontId="53" fillId="11" borderId="0" xfId="0" applyFont="1" applyFill="1" applyBorder="1" applyAlignment="1">
      <alignment horizontal="center" vertical="center"/>
    </xf>
    <xf numFmtId="0" fontId="51" fillId="11" borderId="0" xfId="0" applyFont="1" applyFill="1" applyBorder="1" applyAlignment="1">
      <alignment horizontal="center" vertical="center"/>
    </xf>
    <xf numFmtId="0" fontId="54" fillId="11" borderId="0" xfId="0" applyFont="1" applyFill="1" applyAlignment="1">
      <alignment horizontal="center"/>
    </xf>
    <xf numFmtId="1" fontId="55" fillId="12" borderId="0" xfId="0" applyNumberFormat="1" applyFont="1" applyFill="1"/>
    <xf numFmtId="0" fontId="46" fillId="0" borderId="0" xfId="0" applyFont="1"/>
    <xf numFmtId="0" fontId="34" fillId="11" borderId="0" xfId="0" applyFont="1" applyFill="1"/>
    <xf numFmtId="0" fontId="36" fillId="9" borderId="13" xfId="0" applyFont="1" applyFill="1" applyBorder="1"/>
    <xf numFmtId="0" fontId="0" fillId="13" borderId="0" xfId="0" applyFill="1"/>
    <xf numFmtId="0" fontId="50" fillId="11" borderId="0" xfId="0" applyNumberFormat="1" applyFont="1" applyFill="1" applyBorder="1" applyAlignment="1">
      <alignment horizontal="center"/>
    </xf>
    <xf numFmtId="0" fontId="34" fillId="12" borderId="23" xfId="0" applyFont="1" applyFill="1" applyBorder="1"/>
    <xf numFmtId="0" fontId="0" fillId="12" borderId="24" xfId="0" applyFill="1" applyBorder="1"/>
    <xf numFmtId="0" fontId="0" fillId="12" borderId="1" xfId="0" applyFill="1" applyBorder="1" applyAlignment="1">
      <alignment horizontal="center" vertical="center" wrapText="1"/>
    </xf>
    <xf numFmtId="164" fontId="0" fillId="12" borderId="1" xfId="0" applyNumberFormat="1" applyFill="1" applyBorder="1" applyAlignment="1">
      <alignment horizontal="center" vertical="center" wrapText="1"/>
    </xf>
    <xf numFmtId="0" fontId="32" fillId="12" borderId="1" xfId="0" applyFont="1" applyFill="1" applyBorder="1" applyAlignment="1">
      <alignment horizontal="center" vertical="center" wrapText="1"/>
    </xf>
    <xf numFmtId="166" fontId="0" fillId="12" borderId="1" xfId="0" applyNumberFormat="1" applyFill="1" applyBorder="1" applyAlignment="1">
      <alignment horizontal="center" vertical="center" wrapText="1"/>
    </xf>
    <xf numFmtId="0" fontId="56" fillId="12" borderId="1" xfId="0" applyFont="1" applyFill="1" applyBorder="1" applyAlignment="1">
      <alignment horizontal="center" vertical="center" wrapText="1"/>
    </xf>
    <xf numFmtId="0" fontId="40" fillId="12" borderId="1" xfId="0" applyFont="1" applyFill="1" applyBorder="1" applyAlignment="1">
      <alignment horizontal="center" vertical="center" wrapText="1"/>
    </xf>
    <xf numFmtId="0" fontId="33" fillId="12" borderId="1" xfId="0" applyFont="1" applyFill="1" applyBorder="1" applyAlignment="1">
      <alignment horizontal="center" vertical="center" wrapText="1"/>
    </xf>
    <xf numFmtId="0" fontId="57" fillId="12" borderId="1" xfId="0" applyFont="1" applyFill="1" applyBorder="1" applyAlignment="1">
      <alignment horizontal="center" vertical="center" wrapText="1"/>
    </xf>
    <xf numFmtId="0" fontId="34" fillId="12" borderId="1" xfId="0" applyFont="1" applyFill="1" applyBorder="1" applyAlignment="1">
      <alignment horizontal="center" vertical="center" wrapText="1"/>
    </xf>
    <xf numFmtId="164" fontId="58" fillId="12" borderId="0" xfId="0" applyNumberFormat="1" applyFont="1" applyFill="1"/>
    <xf numFmtId="0" fontId="0" fillId="9" borderId="1" xfId="0" applyFill="1" applyBorder="1" applyAlignment="1">
      <alignment horizontal="center" vertical="center" wrapText="1"/>
    </xf>
    <xf numFmtId="0" fontId="59" fillId="0" borderId="0" xfId="0" applyFont="1"/>
    <xf numFmtId="0" fontId="46" fillId="11" borderId="0" xfId="0" applyFont="1" applyFill="1" applyBorder="1"/>
    <xf numFmtId="0" fontId="35" fillId="11" borderId="0" xfId="0" applyFont="1" applyFill="1" applyAlignment="1">
      <alignment horizontal="center"/>
    </xf>
    <xf numFmtId="0" fontId="34" fillId="11" borderId="0" xfId="0" applyFont="1" applyFill="1" applyAlignment="1">
      <alignment horizontal="center"/>
    </xf>
    <xf numFmtId="0" fontId="35" fillId="11" borderId="0" xfId="0" applyFont="1" applyFill="1" applyAlignment="1"/>
    <xf numFmtId="0" fontId="46" fillId="0" borderId="0" xfId="0" applyFont="1" applyFill="1"/>
    <xf numFmtId="0" fontId="60" fillId="11" borderId="0" xfId="0" applyFont="1" applyFill="1"/>
    <xf numFmtId="0" fontId="35" fillId="11" borderId="0" xfId="0" applyFont="1" applyFill="1" applyBorder="1"/>
    <xf numFmtId="0" fontId="61" fillId="0" borderId="0" xfId="0" applyFont="1"/>
    <xf numFmtId="0" fontId="54" fillId="11" borderId="0" xfId="0" applyFont="1" applyFill="1" applyAlignment="1"/>
    <xf numFmtId="0" fontId="54" fillId="11" borderId="0" xfId="0" applyFont="1" applyFill="1" applyBorder="1" applyAlignment="1"/>
    <xf numFmtId="0" fontId="62" fillId="11" borderId="25" xfId="0" applyFont="1" applyFill="1" applyBorder="1" applyAlignment="1">
      <alignment horizontal="center"/>
    </xf>
    <xf numFmtId="0" fontId="56" fillId="11" borderId="0" xfId="0" applyFont="1" applyFill="1"/>
    <xf numFmtId="164" fontId="48" fillId="11" borderId="18" xfId="0" applyNumberFormat="1" applyFont="1" applyFill="1" applyBorder="1" applyAlignment="1">
      <alignment horizontal="center" vertical="center" shrinkToFit="1"/>
    </xf>
    <xf numFmtId="164" fontId="48" fillId="11" borderId="4" xfId="0" applyNumberFormat="1" applyFont="1" applyFill="1" applyBorder="1" applyAlignment="1">
      <alignment horizontal="center" vertical="center" shrinkToFit="1"/>
    </xf>
    <xf numFmtId="164" fontId="48" fillId="11" borderId="2" xfId="0" applyNumberFormat="1" applyFont="1" applyFill="1" applyBorder="1" applyAlignment="1">
      <alignment horizontal="center" vertical="center" shrinkToFit="1"/>
    </xf>
    <xf numFmtId="164" fontId="48" fillId="11" borderId="19" xfId="0" applyNumberFormat="1" applyFont="1" applyFill="1" applyBorder="1" applyAlignment="1">
      <alignment horizontal="center" vertical="center" shrinkToFit="1"/>
    </xf>
    <xf numFmtId="0" fontId="0" fillId="11" borderId="26" xfId="0" applyFill="1" applyBorder="1"/>
    <xf numFmtId="0" fontId="0" fillId="11" borderId="27" xfId="0" applyFill="1" applyBorder="1"/>
    <xf numFmtId="168" fontId="0" fillId="11" borderId="27" xfId="0" applyNumberFormat="1" applyFill="1" applyBorder="1"/>
    <xf numFmtId="0" fontId="0" fillId="11" borderId="28" xfId="0" applyFill="1" applyBorder="1"/>
    <xf numFmtId="0" fontId="63" fillId="11" borderId="0" xfId="0" applyFont="1" applyFill="1" applyAlignment="1"/>
    <xf numFmtId="0" fontId="64" fillId="14" borderId="14" xfId="9" applyFont="1" applyFill="1" applyBorder="1" applyAlignment="1">
      <alignment vertical="center" wrapText="1"/>
    </xf>
    <xf numFmtId="0" fontId="64" fillId="14" borderId="9" xfId="9" applyFont="1" applyFill="1" applyBorder="1" applyAlignment="1">
      <alignment vertical="center" wrapText="1"/>
    </xf>
    <xf numFmtId="0" fontId="64" fillId="14" borderId="6" xfId="9" applyFont="1" applyFill="1" applyBorder="1" applyAlignment="1">
      <alignment vertical="center" wrapText="1"/>
    </xf>
    <xf numFmtId="0" fontId="64" fillId="14" borderId="29" xfId="9" applyFont="1" applyFill="1" applyBorder="1" applyAlignment="1">
      <alignment vertical="center" wrapText="1"/>
    </xf>
    <xf numFmtId="0" fontId="64" fillId="14" borderId="0" xfId="9" applyFont="1" applyFill="1" applyBorder="1" applyAlignment="1">
      <alignment vertical="center" wrapText="1"/>
    </xf>
    <xf numFmtId="0" fontId="64" fillId="14" borderId="10" xfId="9" applyFont="1" applyFill="1" applyBorder="1" applyAlignment="1">
      <alignment vertical="center" wrapText="1"/>
    </xf>
    <xf numFmtId="0" fontId="64" fillId="14" borderId="30" xfId="9" applyFont="1" applyFill="1" applyBorder="1" applyAlignment="1">
      <alignment vertical="center" wrapText="1"/>
    </xf>
    <xf numFmtId="0" fontId="64" fillId="14" borderId="11" xfId="9" applyFont="1" applyFill="1" applyBorder="1" applyAlignment="1">
      <alignment vertical="center" wrapText="1"/>
    </xf>
    <xf numFmtId="0" fontId="64" fillId="14" borderId="12" xfId="9" applyFont="1" applyFill="1" applyBorder="1" applyAlignment="1">
      <alignment vertical="center" wrapText="1"/>
    </xf>
    <xf numFmtId="0" fontId="65" fillId="11" borderId="0" xfId="0" applyFont="1" applyFill="1" applyBorder="1"/>
    <xf numFmtId="0" fontId="66" fillId="11" borderId="0" xfId="0" applyFont="1" applyFill="1" applyBorder="1" applyAlignment="1">
      <alignment horizontal="right"/>
    </xf>
    <xf numFmtId="0" fontId="67" fillId="11" borderId="0" xfId="0" applyFont="1" applyFill="1" applyBorder="1" applyAlignment="1">
      <alignment horizontal="right" wrapText="1"/>
    </xf>
    <xf numFmtId="0" fontId="68" fillId="11" borderId="0" xfId="0" applyFont="1" applyFill="1"/>
    <xf numFmtId="0" fontId="69" fillId="11" borderId="0" xfId="0" applyFont="1" applyFill="1" applyBorder="1" applyAlignment="1">
      <alignment horizontal="right"/>
    </xf>
    <xf numFmtId="0" fontId="33" fillId="11" borderId="31" xfId="0" applyFont="1" applyFill="1" applyBorder="1" applyAlignment="1">
      <alignment horizontal="center" vertical="center"/>
    </xf>
    <xf numFmtId="0" fontId="33" fillId="11" borderId="1" xfId="0" applyFont="1" applyFill="1" applyBorder="1" applyAlignment="1">
      <alignment horizontal="center" vertical="center"/>
    </xf>
    <xf numFmtId="0" fontId="0" fillId="11" borderId="1" xfId="0" applyFill="1" applyBorder="1"/>
    <xf numFmtId="0" fontId="67" fillId="11" borderId="0" xfId="0" applyFont="1" applyFill="1"/>
    <xf numFmtId="0" fontId="69" fillId="11" borderId="0" xfId="0" applyFont="1" applyFill="1"/>
    <xf numFmtId="0" fontId="70" fillId="11" borderId="0" xfId="0" applyFont="1" applyFill="1"/>
    <xf numFmtId="0" fontId="67" fillId="11" borderId="0" xfId="0" applyFont="1" applyFill="1" applyAlignment="1">
      <alignment wrapText="1"/>
    </xf>
    <xf numFmtId="170" fontId="0" fillId="12" borderId="0" xfId="0" applyNumberFormat="1" applyFill="1"/>
    <xf numFmtId="170" fontId="71" fillId="12" borderId="0" xfId="0" applyNumberFormat="1" applyFont="1" applyFill="1" applyAlignment="1">
      <alignment horizontal="center"/>
    </xf>
    <xf numFmtId="0" fontId="0" fillId="12" borderId="0" xfId="0" applyFill="1" applyAlignment="1">
      <alignment horizontal="center"/>
    </xf>
    <xf numFmtId="171" fontId="0" fillId="12" borderId="1" xfId="0" applyNumberFormat="1" applyFill="1" applyBorder="1" applyAlignment="1">
      <alignment horizontal="center" vertical="center" wrapText="1"/>
    </xf>
    <xf numFmtId="172" fontId="0" fillId="12" borderId="1" xfId="0" applyNumberFormat="1" applyFill="1" applyBorder="1" applyAlignment="1">
      <alignment horizontal="center" vertical="center" wrapText="1"/>
    </xf>
    <xf numFmtId="13" fontId="0" fillId="12" borderId="1" xfId="0" applyNumberFormat="1" applyFill="1" applyBorder="1" applyAlignment="1">
      <alignment horizontal="center" vertical="center" wrapText="1"/>
    </xf>
    <xf numFmtId="13" fontId="33" fillId="9" borderId="1" xfId="0" applyNumberFormat="1" applyFont="1" applyFill="1" applyBorder="1" applyAlignment="1">
      <alignment horizontal="center" vertical="center" wrapText="1"/>
    </xf>
    <xf numFmtId="0" fontId="73" fillId="0" borderId="1" xfId="0" applyFont="1" applyBorder="1"/>
    <xf numFmtId="0" fontId="73" fillId="11" borderId="1" xfId="0" applyFont="1" applyFill="1" applyBorder="1"/>
    <xf numFmtId="0" fontId="74" fillId="0" borderId="1" xfId="0" applyFont="1" applyBorder="1" applyAlignment="1"/>
    <xf numFmtId="1" fontId="9" fillId="0" borderId="1" xfId="0" applyNumberFormat="1" applyFont="1" applyFill="1" applyBorder="1" applyAlignment="1">
      <alignment horizontal="center" vertical="center" shrinkToFit="1" readingOrder="2"/>
    </xf>
    <xf numFmtId="0" fontId="73" fillId="0" borderId="1" xfId="0" applyFont="1" applyFill="1" applyBorder="1"/>
    <xf numFmtId="164" fontId="9" fillId="0" borderId="1" xfId="0" applyNumberFormat="1" applyFont="1" applyFill="1" applyBorder="1" applyAlignment="1">
      <alignment vertical="center" wrapText="1"/>
    </xf>
    <xf numFmtId="164" fontId="9" fillId="0" borderId="1" xfId="0" applyNumberFormat="1" applyFont="1" applyFill="1" applyBorder="1" applyAlignment="1">
      <alignment horizontal="center"/>
    </xf>
    <xf numFmtId="164" fontId="9" fillId="0" borderId="1" xfId="0" applyNumberFormat="1" applyFont="1" applyFill="1" applyBorder="1" applyAlignment="1">
      <alignment horizontal="center" vertical="center" shrinkToFit="1"/>
    </xf>
    <xf numFmtId="0" fontId="10" fillId="0" borderId="1" xfId="4" applyFont="1" applyFill="1" applyBorder="1" applyAlignment="1">
      <alignment horizontal="center"/>
    </xf>
    <xf numFmtId="1" fontId="9" fillId="0" borderId="1" xfId="0" applyNumberFormat="1" applyFont="1" applyFill="1" applyBorder="1" applyAlignment="1">
      <alignment shrinkToFit="1"/>
    </xf>
    <xf numFmtId="12" fontId="0" fillId="11" borderId="0" xfId="0" applyNumberFormat="1" applyFill="1" applyBorder="1"/>
    <xf numFmtId="164" fontId="0" fillId="9" borderId="1" xfId="0" applyNumberFormat="1" applyFill="1" applyBorder="1" applyAlignment="1">
      <alignment horizontal="center" vertical="center" wrapText="1"/>
    </xf>
    <xf numFmtId="0" fontId="31" fillId="0" borderId="32" xfId="0" applyFont="1" applyBorder="1" applyAlignment="1">
      <alignment vertical="center" wrapText="1"/>
    </xf>
    <xf numFmtId="0" fontId="31" fillId="0" borderId="33" xfId="0" applyFont="1" applyBorder="1" applyAlignment="1">
      <alignment vertical="center" wrapText="1"/>
    </xf>
    <xf numFmtId="12" fontId="31" fillId="0" borderId="33" xfId="0" applyNumberFormat="1" applyFont="1" applyBorder="1" applyAlignment="1">
      <alignment vertical="center" wrapText="1"/>
    </xf>
    <xf numFmtId="0" fontId="31" fillId="0" borderId="33" xfId="0" applyFont="1" applyBorder="1"/>
    <xf numFmtId="0" fontId="31" fillId="0" borderId="33" xfId="0" applyFont="1" applyFill="1" applyBorder="1" applyAlignment="1">
      <alignment vertical="center" wrapText="1"/>
    </xf>
    <xf numFmtId="0" fontId="31" fillId="0" borderId="34" xfId="0" applyFont="1" applyBorder="1" applyAlignment="1">
      <alignment vertical="center" wrapText="1"/>
    </xf>
    <xf numFmtId="164" fontId="34" fillId="0" borderId="1" xfId="0" applyNumberFormat="1" applyFont="1" applyBorder="1" applyAlignment="1">
      <alignment horizontal="center"/>
    </xf>
    <xf numFmtId="0" fontId="75" fillId="0" borderId="1" xfId="0" applyFont="1" applyBorder="1" applyAlignment="1">
      <alignment horizontal="center"/>
    </xf>
    <xf numFmtId="0" fontId="34" fillId="0" borderId="1" xfId="0" applyFont="1" applyBorder="1" applyAlignment="1">
      <alignment horizontal="center"/>
    </xf>
    <xf numFmtId="0" fontId="45" fillId="15" borderId="21" xfId="0" applyFont="1" applyFill="1" applyBorder="1" applyAlignment="1">
      <alignment horizontal="center"/>
    </xf>
    <xf numFmtId="164" fontId="76" fillId="9" borderId="1" xfId="0" applyNumberFormat="1" applyFont="1" applyFill="1" applyBorder="1" applyAlignment="1">
      <alignment horizontal="center" vertical="center" wrapText="1"/>
    </xf>
    <xf numFmtId="164" fontId="45" fillId="0" borderId="1" xfId="0" applyNumberFormat="1" applyFont="1" applyBorder="1" applyAlignment="1">
      <alignment horizontal="center"/>
    </xf>
    <xf numFmtId="164" fontId="76" fillId="0" borderId="1" xfId="0" applyNumberFormat="1" applyFont="1" applyBorder="1" applyAlignment="1">
      <alignment horizontal="center" vertical="center" wrapText="1"/>
    </xf>
    <xf numFmtId="0" fontId="45" fillId="15" borderId="15" xfId="0" applyFont="1" applyFill="1" applyBorder="1" applyAlignment="1">
      <alignment horizontal="center"/>
    </xf>
    <xf numFmtId="0" fontId="34" fillId="9" borderId="17" xfId="0" applyFont="1" applyFill="1" applyBorder="1" applyAlignment="1">
      <alignment horizontal="center" vertical="center" wrapText="1"/>
    </xf>
    <xf numFmtId="0" fontId="34" fillId="0" borderId="20" xfId="0" applyFont="1" applyBorder="1" applyAlignment="1">
      <alignment horizontal="center" vertical="center" wrapText="1"/>
    </xf>
    <xf numFmtId="0" fontId="34" fillId="0" borderId="1" xfId="0" applyFont="1" applyBorder="1" applyAlignment="1">
      <alignment horizontal="center" vertical="center" wrapText="1"/>
    </xf>
    <xf numFmtId="0" fontId="76" fillId="0" borderId="1" xfId="0" applyFont="1" applyBorder="1" applyAlignment="1">
      <alignment horizontal="center" vertical="justify" wrapText="1"/>
    </xf>
    <xf numFmtId="0" fontId="76" fillId="11" borderId="1" xfId="0" applyFont="1" applyFill="1" applyBorder="1" applyAlignment="1">
      <alignment horizontal="center" vertical="justify" wrapText="1"/>
    </xf>
    <xf numFmtId="0" fontId="77" fillId="0" borderId="1" xfId="0" applyFont="1" applyBorder="1" applyAlignment="1">
      <alignment horizontal="center" vertical="justify" wrapText="1"/>
    </xf>
    <xf numFmtId="0" fontId="76" fillId="0" borderId="1" xfId="0" applyFont="1" applyBorder="1" applyAlignment="1">
      <alignment horizontal="center"/>
    </xf>
    <xf numFmtId="164" fontId="75" fillId="16" borderId="1" xfId="0" applyNumberFormat="1" applyFont="1" applyFill="1" applyBorder="1" applyAlignment="1">
      <alignment horizontal="center" vertical="justify" wrapText="1"/>
    </xf>
    <xf numFmtId="0" fontId="75" fillId="17" borderId="1" xfId="0" applyFont="1" applyFill="1" applyBorder="1" applyAlignment="1">
      <alignment horizontal="center" vertical="justify" wrapText="1"/>
    </xf>
    <xf numFmtId="164" fontId="76" fillId="17" borderId="1" xfId="0" applyNumberFormat="1" applyFont="1" applyFill="1" applyBorder="1" applyAlignment="1">
      <alignment horizontal="center" vertical="justify" wrapText="1"/>
    </xf>
    <xf numFmtId="164" fontId="77" fillId="16" borderId="1" xfId="0" applyNumberFormat="1" applyFont="1" applyFill="1" applyBorder="1" applyAlignment="1">
      <alignment horizontal="center" vertical="justify" wrapText="1"/>
    </xf>
    <xf numFmtId="0" fontId="77" fillId="16" borderId="1" xfId="0" applyNumberFormat="1" applyFont="1" applyFill="1" applyBorder="1" applyAlignment="1">
      <alignment horizontal="center" vertical="justify" wrapText="1"/>
    </xf>
    <xf numFmtId="164" fontId="76" fillId="0" borderId="1" xfId="0" applyNumberFormat="1" applyFont="1" applyBorder="1" applyAlignment="1">
      <alignment horizontal="center"/>
    </xf>
    <xf numFmtId="0" fontId="76" fillId="0" borderId="1" xfId="0" applyFont="1" applyBorder="1" applyAlignment="1">
      <alignment horizontal="center" vertical="center" wrapText="1"/>
    </xf>
    <xf numFmtId="164" fontId="75" fillId="17" borderId="1" xfId="0" applyNumberFormat="1" applyFont="1" applyFill="1" applyBorder="1" applyAlignment="1">
      <alignment horizontal="center" vertical="justify" wrapText="1"/>
    </xf>
    <xf numFmtId="164" fontId="77" fillId="0" borderId="1" xfId="0" applyNumberFormat="1" applyFont="1" applyBorder="1" applyAlignment="1">
      <alignment horizontal="center" vertical="justify" wrapText="1"/>
    </xf>
    <xf numFmtId="0" fontId="34" fillId="9" borderId="20" xfId="0" applyFont="1" applyFill="1" applyBorder="1" applyAlignment="1">
      <alignment horizontal="center" vertical="center" wrapText="1"/>
    </xf>
    <xf numFmtId="0" fontId="76" fillId="17" borderId="1" xfId="0" applyFont="1" applyFill="1" applyBorder="1" applyAlignment="1">
      <alignment horizontal="center" vertical="justify" wrapText="1"/>
    </xf>
    <xf numFmtId="0" fontId="75" fillId="16" borderId="1" xfId="0" applyNumberFormat="1" applyFont="1" applyFill="1" applyBorder="1" applyAlignment="1">
      <alignment horizontal="center" vertical="justify" wrapText="1"/>
    </xf>
    <xf numFmtId="0" fontId="78" fillId="11" borderId="1" xfId="0" applyFont="1" applyFill="1" applyBorder="1" applyAlignment="1">
      <alignment horizontal="center"/>
    </xf>
    <xf numFmtId="0" fontId="45" fillId="8" borderId="1" xfId="0" applyFont="1" applyFill="1" applyBorder="1" applyAlignment="1">
      <alignment horizontal="center" vertical="center" wrapText="1"/>
    </xf>
    <xf numFmtId="0" fontId="76" fillId="16" borderId="1" xfId="0" applyFont="1" applyFill="1" applyBorder="1" applyAlignment="1">
      <alignment horizontal="center" vertical="justify" wrapText="1"/>
    </xf>
    <xf numFmtId="0" fontId="79" fillId="16" borderId="1" xfId="0" applyNumberFormat="1" applyFont="1" applyFill="1" applyBorder="1" applyAlignment="1">
      <alignment horizontal="center" vertical="justify" wrapText="1"/>
    </xf>
    <xf numFmtId="164" fontId="79" fillId="17" borderId="1" xfId="0" applyNumberFormat="1" applyFont="1" applyFill="1" applyBorder="1" applyAlignment="1">
      <alignment horizontal="center" vertical="justify" wrapText="1"/>
    </xf>
    <xf numFmtId="12" fontId="76" fillId="0" borderId="1" xfId="0" applyNumberFormat="1" applyFont="1" applyBorder="1" applyAlignment="1">
      <alignment horizontal="center"/>
    </xf>
    <xf numFmtId="0" fontId="34" fillId="0" borderId="20" xfId="0" applyFont="1" applyBorder="1" applyAlignment="1">
      <alignment horizontal="center"/>
    </xf>
    <xf numFmtId="164" fontId="79" fillId="16" borderId="1" xfId="0" applyNumberFormat="1" applyFont="1" applyFill="1" applyBorder="1" applyAlignment="1">
      <alignment horizontal="center" vertical="justify" wrapText="1"/>
    </xf>
    <xf numFmtId="0" fontId="34" fillId="9" borderId="20" xfId="0" applyFont="1" applyFill="1" applyBorder="1" applyAlignment="1">
      <alignment horizontal="center"/>
    </xf>
    <xf numFmtId="164" fontId="76" fillId="16" borderId="1" xfId="0" applyNumberFormat="1" applyFont="1" applyFill="1" applyBorder="1" applyAlignment="1">
      <alignment horizontal="center" vertical="justify" wrapText="1"/>
    </xf>
    <xf numFmtId="0" fontId="76" fillId="9" borderId="1" xfId="0" applyFont="1" applyFill="1" applyBorder="1" applyAlignment="1">
      <alignment horizontal="center"/>
    </xf>
    <xf numFmtId="1" fontId="76" fillId="0" borderId="1" xfId="0" applyNumberFormat="1" applyFont="1" applyBorder="1" applyAlignment="1">
      <alignment horizontal="center"/>
    </xf>
    <xf numFmtId="0" fontId="76" fillId="0" borderId="1" xfId="0" applyFont="1" applyBorder="1" applyAlignment="1">
      <alignment horizontal="center" wrapText="1"/>
    </xf>
    <xf numFmtId="0" fontId="76" fillId="7" borderId="1" xfId="0" applyFont="1" applyFill="1" applyBorder="1" applyAlignment="1">
      <alignment horizontal="center"/>
    </xf>
    <xf numFmtId="0" fontId="34" fillId="0" borderId="1" xfId="0" applyFont="1" applyBorder="1" applyAlignment="1">
      <alignment horizontal="center" wrapText="1"/>
    </xf>
    <xf numFmtId="164" fontId="75" fillId="0" borderId="1" xfId="0" applyNumberFormat="1" applyFont="1" applyBorder="1" applyAlignment="1">
      <alignment horizontal="center" vertical="justify" wrapText="1"/>
    </xf>
    <xf numFmtId="164" fontId="76" fillId="9" borderId="1" xfId="0" applyNumberFormat="1" applyFont="1" applyFill="1" applyBorder="1" applyAlignment="1">
      <alignment horizontal="center"/>
    </xf>
    <xf numFmtId="164" fontId="77" fillId="18" borderId="1" xfId="0" applyNumberFormat="1" applyFont="1" applyFill="1" applyBorder="1" applyAlignment="1">
      <alignment horizontal="center" vertical="justify" wrapText="1"/>
    </xf>
    <xf numFmtId="12" fontId="34" fillId="19" borderId="20" xfId="0" applyNumberFormat="1" applyFont="1" applyFill="1" applyBorder="1" applyAlignment="1">
      <alignment horizontal="center" vertical="justify" wrapText="1"/>
    </xf>
    <xf numFmtId="12" fontId="34" fillId="19" borderId="1" xfId="0" applyNumberFormat="1" applyFont="1" applyFill="1" applyBorder="1" applyAlignment="1">
      <alignment horizontal="center" vertical="justify" wrapText="1"/>
    </xf>
    <xf numFmtId="164" fontId="76" fillId="0" borderId="1" xfId="0" applyNumberFormat="1" applyFont="1" applyBorder="1" applyAlignment="1">
      <alignment horizontal="center" vertical="justify" wrapText="1"/>
    </xf>
    <xf numFmtId="164" fontId="76" fillId="19" borderId="1" xfId="0" applyNumberFormat="1" applyFont="1" applyFill="1" applyBorder="1" applyAlignment="1">
      <alignment horizontal="center" vertical="justify" wrapText="1"/>
    </xf>
    <xf numFmtId="164" fontId="77" fillId="11" borderId="1" xfId="0" applyNumberFormat="1" applyFont="1" applyFill="1" applyBorder="1" applyAlignment="1">
      <alignment horizontal="center" vertical="justify" wrapText="1"/>
    </xf>
    <xf numFmtId="164" fontId="80" fillId="13" borderId="1" xfId="0" applyNumberFormat="1" applyFont="1" applyFill="1" applyBorder="1" applyAlignment="1">
      <alignment horizontal="center"/>
    </xf>
    <xf numFmtId="0" fontId="76" fillId="14" borderId="1" xfId="0" applyFont="1" applyFill="1" applyBorder="1" applyAlignment="1">
      <alignment horizontal="center"/>
    </xf>
    <xf numFmtId="0" fontId="76" fillId="10" borderId="1" xfId="0" applyFont="1" applyFill="1" applyBorder="1" applyAlignment="1">
      <alignment horizontal="center"/>
    </xf>
    <xf numFmtId="0" fontId="81" fillId="20" borderId="1" xfId="0" applyFont="1" applyFill="1" applyBorder="1" applyAlignment="1">
      <alignment horizontal="center"/>
    </xf>
    <xf numFmtId="164" fontId="76" fillId="14" borderId="1" xfId="0" applyNumberFormat="1" applyFont="1" applyFill="1" applyBorder="1" applyAlignment="1">
      <alignment horizontal="center"/>
    </xf>
    <xf numFmtId="164" fontId="76" fillId="10" borderId="1" xfId="0" applyNumberFormat="1" applyFont="1" applyFill="1" applyBorder="1" applyAlignment="1">
      <alignment horizontal="center"/>
    </xf>
    <xf numFmtId="164" fontId="81" fillId="20" borderId="1" xfId="0" applyNumberFormat="1" applyFont="1" applyFill="1" applyBorder="1" applyAlignment="1">
      <alignment horizontal="center"/>
    </xf>
    <xf numFmtId="164" fontId="76" fillId="20" borderId="1" xfId="0" applyNumberFormat="1" applyFont="1" applyFill="1" applyBorder="1" applyAlignment="1">
      <alignment horizontal="center"/>
    </xf>
    <xf numFmtId="164" fontId="76" fillId="21" borderId="1" xfId="0" applyNumberFormat="1" applyFont="1" applyFill="1" applyBorder="1" applyAlignment="1">
      <alignment horizontal="center"/>
    </xf>
    <xf numFmtId="0" fontId="76" fillId="22" borderId="1" xfId="0" applyFont="1" applyFill="1" applyBorder="1" applyAlignment="1">
      <alignment horizontal="center"/>
    </xf>
    <xf numFmtId="0" fontId="76" fillId="20" borderId="1" xfId="0" applyFont="1" applyFill="1" applyBorder="1" applyAlignment="1">
      <alignment horizontal="center"/>
    </xf>
    <xf numFmtId="0" fontId="76" fillId="21" borderId="1" xfId="0" applyFont="1" applyFill="1" applyBorder="1" applyAlignment="1">
      <alignment horizontal="center"/>
    </xf>
    <xf numFmtId="164" fontId="76" fillId="0" borderId="1" xfId="0" applyNumberFormat="1" applyFont="1" applyBorder="1" applyAlignment="1">
      <alignment horizontal="center" vertical="top"/>
    </xf>
    <xf numFmtId="0" fontId="34" fillId="0" borderId="22" xfId="0" applyFont="1" applyBorder="1" applyAlignment="1">
      <alignment horizontal="center" vertical="center" wrapText="1"/>
    </xf>
    <xf numFmtId="0" fontId="34" fillId="0" borderId="5" xfId="0" applyFont="1" applyBorder="1" applyAlignment="1">
      <alignment horizontal="center" vertical="center" wrapText="1"/>
    </xf>
    <xf numFmtId="164" fontId="75" fillId="16" borderId="5" xfId="0" applyNumberFormat="1" applyFont="1" applyFill="1" applyBorder="1" applyAlignment="1">
      <alignment horizontal="center" vertical="justify" wrapText="1"/>
    </xf>
    <xf numFmtId="164" fontId="75" fillId="17" borderId="5" xfId="0" applyNumberFormat="1" applyFont="1" applyFill="1" applyBorder="1" applyAlignment="1">
      <alignment horizontal="center" vertical="justify" wrapText="1"/>
    </xf>
    <xf numFmtId="164" fontId="76" fillId="17" borderId="5" xfId="0" applyNumberFormat="1" applyFont="1" applyFill="1" applyBorder="1" applyAlignment="1">
      <alignment horizontal="center" vertical="justify" wrapText="1"/>
    </xf>
    <xf numFmtId="164" fontId="77" fillId="16" borderId="5" xfId="0" applyNumberFormat="1" applyFont="1" applyFill="1" applyBorder="1" applyAlignment="1">
      <alignment horizontal="center" vertical="justify" wrapText="1"/>
    </xf>
    <xf numFmtId="0" fontId="77" fillId="16" borderId="5" xfId="0" applyNumberFormat="1" applyFont="1" applyFill="1" applyBorder="1" applyAlignment="1">
      <alignment horizontal="center" vertical="justify" wrapText="1"/>
    </xf>
    <xf numFmtId="0" fontId="76" fillId="0" borderId="5" xfId="0" applyFont="1" applyBorder="1" applyAlignment="1">
      <alignment horizontal="center"/>
    </xf>
    <xf numFmtId="0" fontId="76" fillId="9" borderId="5" xfId="0" applyFont="1" applyFill="1" applyBorder="1" applyAlignment="1">
      <alignment horizontal="center"/>
    </xf>
    <xf numFmtId="0" fontId="31" fillId="0" borderId="35" xfId="0" applyFont="1" applyBorder="1" applyAlignment="1">
      <alignment vertical="center" wrapText="1"/>
    </xf>
    <xf numFmtId="0" fontId="82" fillId="0" borderId="7" xfId="0" applyFont="1" applyBorder="1" applyAlignment="1"/>
    <xf numFmtId="0" fontId="82" fillId="0" borderId="36" xfId="0" applyFont="1" applyBorder="1" applyAlignment="1"/>
    <xf numFmtId="0" fontId="56" fillId="0" borderId="0" xfId="0" applyFont="1"/>
    <xf numFmtId="0" fontId="34" fillId="14" borderId="2" xfId="0" applyFont="1" applyFill="1" applyBorder="1" applyAlignment="1">
      <alignment horizontal="center" vertical="center" wrapText="1"/>
    </xf>
    <xf numFmtId="0" fontId="34" fillId="14" borderId="2" xfId="0" applyFont="1" applyFill="1" applyBorder="1" applyAlignment="1">
      <alignment horizontal="center"/>
    </xf>
    <xf numFmtId="0" fontId="83" fillId="9" borderId="13" xfId="0" applyFont="1" applyFill="1" applyBorder="1" applyAlignment="1">
      <alignment horizontal="center"/>
    </xf>
    <xf numFmtId="0" fontId="34" fillId="0" borderId="37" xfId="0" applyFont="1" applyBorder="1" applyAlignment="1">
      <alignment horizontal="center"/>
    </xf>
    <xf numFmtId="0" fontId="34" fillId="0" borderId="38" xfId="0" applyFont="1" applyBorder="1" applyAlignment="1">
      <alignment horizontal="center"/>
    </xf>
    <xf numFmtId="0" fontId="34" fillId="0" borderId="18" xfId="0" applyFont="1" applyBorder="1" applyAlignment="1">
      <alignment horizontal="center" vertical="center" wrapText="1"/>
    </xf>
    <xf numFmtId="0" fontId="34" fillId="0" borderId="4" xfId="0" applyFont="1" applyBorder="1" applyAlignment="1">
      <alignment horizontal="center" vertical="center" wrapText="1"/>
    </xf>
    <xf numFmtId="0" fontId="34" fillId="9" borderId="1" xfId="0" applyFont="1" applyFill="1" applyBorder="1" applyAlignment="1">
      <alignment horizontal="center"/>
    </xf>
    <xf numFmtId="0" fontId="42" fillId="23" borderId="20" xfId="0" applyFont="1" applyFill="1" applyBorder="1" applyAlignment="1">
      <alignment horizontal="center"/>
    </xf>
    <xf numFmtId="0" fontId="42" fillId="11" borderId="18" xfId="0" applyFont="1" applyFill="1" applyBorder="1"/>
    <xf numFmtId="0" fontId="76" fillId="0" borderId="20" xfId="0" applyFont="1" applyBorder="1"/>
    <xf numFmtId="0" fontId="42" fillId="23" borderId="39" xfId="0" applyFont="1" applyFill="1" applyBorder="1" applyAlignment="1">
      <alignment horizontal="center"/>
    </xf>
    <xf numFmtId="0" fontId="45" fillId="0" borderId="40" xfId="0" applyFont="1" applyBorder="1" applyAlignment="1"/>
    <xf numFmtId="0" fontId="45" fillId="0" borderId="9" xfId="0" applyFont="1" applyBorder="1" applyAlignment="1"/>
    <xf numFmtId="0" fontId="45" fillId="0" borderId="6" xfId="0" applyFont="1" applyBorder="1" applyAlignment="1"/>
    <xf numFmtId="0" fontId="67" fillId="11" borderId="13" xfId="0" applyFont="1" applyFill="1" applyBorder="1" applyAlignment="1">
      <alignment vertical="center" wrapText="1"/>
    </xf>
    <xf numFmtId="0" fontId="84" fillId="0" borderId="11" xfId="0" applyFont="1" applyBorder="1" applyAlignment="1">
      <alignment horizontal="center"/>
    </xf>
    <xf numFmtId="0" fontId="45" fillId="0" borderId="11" xfId="0" applyFont="1" applyBorder="1" applyAlignment="1"/>
    <xf numFmtId="0" fontId="76" fillId="0" borderId="31" xfId="0" applyFont="1" applyBorder="1" applyAlignment="1">
      <alignment horizontal="center"/>
    </xf>
    <xf numFmtId="164" fontId="79" fillId="16" borderId="41" xfId="0" applyNumberFormat="1" applyFont="1" applyFill="1" applyBorder="1" applyAlignment="1">
      <alignment horizontal="center" vertical="justify" wrapText="1"/>
    </xf>
    <xf numFmtId="0" fontId="45" fillId="15" borderId="1" xfId="0" applyFont="1" applyFill="1" applyBorder="1" applyAlignment="1">
      <alignment horizontal="center"/>
    </xf>
    <xf numFmtId="164" fontId="42" fillId="23" borderId="42" xfId="0" applyNumberFormat="1" applyFont="1" applyFill="1" applyBorder="1" applyAlignment="1"/>
    <xf numFmtId="164" fontId="46" fillId="0" borderId="6" xfId="0" applyNumberFormat="1" applyFont="1" applyBorder="1"/>
    <xf numFmtId="164" fontId="85" fillId="11" borderId="0" xfId="0" applyNumberFormat="1" applyFont="1" applyFill="1"/>
    <xf numFmtId="0" fontId="34" fillId="0" borderId="1" xfId="0" applyFont="1" applyBorder="1"/>
    <xf numFmtId="0" fontId="0" fillId="0" borderId="0" xfId="0" applyFill="1" applyBorder="1"/>
    <xf numFmtId="0" fontId="0" fillId="0" borderId="0" xfId="0" applyAlignment="1">
      <alignment horizontal="center" vertical="center" shrinkToFit="1"/>
    </xf>
    <xf numFmtId="0" fontId="40" fillId="11" borderId="0" xfId="0" applyFont="1" applyFill="1" applyAlignment="1">
      <alignment horizontal="center" vertical="center" shrinkToFit="1"/>
    </xf>
    <xf numFmtId="0" fontId="42" fillId="11" borderId="0" xfId="0" applyFont="1" applyFill="1" applyBorder="1" applyAlignment="1">
      <alignment horizontal="center" vertical="center" shrinkToFit="1"/>
    </xf>
    <xf numFmtId="0" fontId="0" fillId="11" borderId="0" xfId="0" applyFill="1" applyAlignment="1">
      <alignment horizontal="center" vertical="center" shrinkToFit="1"/>
    </xf>
    <xf numFmtId="164" fontId="50" fillId="11" borderId="13" xfId="0" applyNumberFormat="1" applyFont="1" applyFill="1" applyBorder="1" applyAlignment="1">
      <alignment horizontal="center" vertical="center" shrinkToFit="1"/>
    </xf>
    <xf numFmtId="164" fontId="0" fillId="0" borderId="0" xfId="0" applyNumberFormat="1" applyAlignment="1">
      <alignment horizontal="center" vertical="center" shrinkToFit="1"/>
    </xf>
    <xf numFmtId="0" fontId="10" fillId="0" borderId="1" xfId="4" applyFont="1" applyFill="1" applyBorder="1" applyAlignment="1">
      <alignment horizontal="center" vertical="center" shrinkToFit="1"/>
    </xf>
    <xf numFmtId="0" fontId="73" fillId="0" borderId="1" xfId="0" applyFont="1" applyFill="1" applyBorder="1" applyAlignment="1">
      <alignment horizontal="center" vertical="center" shrinkToFit="1"/>
    </xf>
    <xf numFmtId="1" fontId="9" fillId="0" borderId="1" xfId="0" applyNumberFormat="1" applyFont="1" applyFill="1" applyBorder="1" applyAlignment="1">
      <alignment horizontal="center" vertical="center" shrinkToFit="1"/>
    </xf>
    <xf numFmtId="0" fontId="74" fillId="0" borderId="1" xfId="0" applyFont="1" applyBorder="1" applyAlignment="1">
      <alignment horizontal="center" vertical="center" shrinkToFit="1"/>
    </xf>
    <xf numFmtId="0" fontId="48" fillId="0" borderId="0" xfId="0" applyNumberFormat="1" applyFont="1" applyBorder="1" applyAlignment="1">
      <alignment horizontal="center" vertical="center" shrinkToFit="1"/>
    </xf>
    <xf numFmtId="164" fontId="48" fillId="0" borderId="43" xfId="0" applyNumberFormat="1" applyFont="1" applyBorder="1" applyAlignment="1">
      <alignment horizontal="center" vertical="center" shrinkToFit="1"/>
    </xf>
    <xf numFmtId="164" fontId="48" fillId="0" borderId="0" xfId="0" applyNumberFormat="1" applyFont="1" applyBorder="1" applyAlignment="1">
      <alignment horizontal="center" vertical="center" shrinkToFit="1"/>
    </xf>
    <xf numFmtId="164" fontId="59" fillId="0" borderId="0" xfId="0" applyNumberFormat="1" applyFont="1" applyAlignment="1">
      <alignment horizontal="center" vertical="center" shrinkToFit="1"/>
    </xf>
    <xf numFmtId="1" fontId="10" fillId="0" borderId="1" xfId="4" applyNumberFormat="1" applyFont="1" applyFill="1" applyBorder="1" applyAlignment="1">
      <alignment horizontal="center" vertical="center" shrinkToFit="1"/>
    </xf>
    <xf numFmtId="164" fontId="48" fillId="0" borderId="44" xfId="0" applyNumberFormat="1" applyFont="1" applyBorder="1" applyAlignment="1">
      <alignment horizontal="center" vertical="center" shrinkToFit="1"/>
    </xf>
    <xf numFmtId="0" fontId="48" fillId="11" borderId="0" xfId="0" applyNumberFormat="1" applyFont="1" applyFill="1" applyBorder="1" applyAlignment="1">
      <alignment horizontal="center" vertical="center" shrinkToFit="1"/>
    </xf>
    <xf numFmtId="164" fontId="48" fillId="11" borderId="44" xfId="0" applyNumberFormat="1" applyFont="1" applyFill="1" applyBorder="1" applyAlignment="1">
      <alignment horizontal="center" vertical="center" shrinkToFit="1"/>
    </xf>
    <xf numFmtId="164" fontId="48" fillId="11" borderId="0" xfId="0" applyNumberFormat="1" applyFont="1" applyFill="1" applyBorder="1" applyAlignment="1">
      <alignment horizontal="center" vertical="center" shrinkToFit="1"/>
    </xf>
    <xf numFmtId="164" fontId="59" fillId="11" borderId="0" xfId="0" applyNumberFormat="1" applyFont="1" applyFill="1" applyAlignment="1">
      <alignment horizontal="center" vertical="center" shrinkToFit="1"/>
    </xf>
    <xf numFmtId="0" fontId="0" fillId="0" borderId="0" xfId="0" applyBorder="1" applyAlignment="1">
      <alignment horizontal="center" vertical="center" shrinkToFit="1"/>
    </xf>
    <xf numFmtId="164" fontId="48" fillId="0" borderId="12" xfId="0" applyNumberFormat="1" applyFont="1" applyBorder="1" applyAlignment="1">
      <alignment horizontal="center" vertical="center" shrinkToFit="1"/>
    </xf>
    <xf numFmtId="174" fontId="0" fillId="12" borderId="0" xfId="0" applyNumberFormat="1" applyFill="1"/>
    <xf numFmtId="0" fontId="0" fillId="25" borderId="0" xfId="0" applyFill="1"/>
    <xf numFmtId="0" fontId="35" fillId="11" borderId="0" xfId="0" applyFont="1" applyFill="1" applyBorder="1" applyAlignment="1"/>
    <xf numFmtId="0" fontId="34" fillId="11" borderId="0" xfId="0" applyFont="1" applyFill="1" applyBorder="1" applyAlignment="1">
      <alignment horizontal="center"/>
    </xf>
    <xf numFmtId="1" fontId="0" fillId="0" borderId="0" xfId="0" applyNumberFormat="1"/>
    <xf numFmtId="164" fontId="34" fillId="10" borderId="45" xfId="0" applyNumberFormat="1" applyFont="1" applyFill="1" applyBorder="1"/>
    <xf numFmtId="164" fontId="34" fillId="10" borderId="46" xfId="0" applyNumberFormat="1" applyFont="1" applyFill="1" applyBorder="1"/>
    <xf numFmtId="164" fontId="34" fillId="10" borderId="29" xfId="0" applyNumberFormat="1" applyFont="1" applyFill="1" applyBorder="1" applyAlignment="1">
      <alignment horizontal="center" vertical="center"/>
    </xf>
    <xf numFmtId="1" fontId="34" fillId="0" borderId="0" xfId="0" applyNumberFormat="1" applyFont="1" applyFill="1" applyBorder="1"/>
    <xf numFmtId="0" fontId="0" fillId="15" borderId="0" xfId="0" applyFill="1"/>
    <xf numFmtId="2" fontId="0" fillId="0" borderId="0" xfId="0" applyNumberFormat="1"/>
    <xf numFmtId="0" fontId="84" fillId="0" borderId="0" xfId="0" applyFont="1" applyBorder="1" applyAlignment="1">
      <alignment horizontal="center"/>
    </xf>
    <xf numFmtId="0" fontId="0" fillId="0" borderId="35" xfId="0" applyBorder="1"/>
    <xf numFmtId="0" fontId="34" fillId="0" borderId="35" xfId="0" applyFont="1" applyBorder="1"/>
    <xf numFmtId="0" fontId="0" fillId="9" borderId="31" xfId="0" applyFill="1" applyBorder="1" applyAlignment="1"/>
    <xf numFmtId="0" fontId="0" fillId="0" borderId="35" xfId="0" applyFill="1" applyBorder="1" applyAlignment="1"/>
    <xf numFmtId="0" fontId="31" fillId="0" borderId="35" xfId="0" applyFont="1" applyFill="1" applyBorder="1"/>
    <xf numFmtId="0" fontId="31" fillId="0" borderId="48" xfId="0" applyFont="1" applyBorder="1"/>
    <xf numFmtId="0" fontId="0" fillId="9" borderId="48" xfId="0" applyFill="1" applyBorder="1" applyAlignment="1"/>
    <xf numFmtId="0" fontId="31" fillId="9" borderId="48" xfId="0" applyFont="1" applyFill="1" applyBorder="1" applyAlignment="1">
      <alignment vertical="center" wrapText="1"/>
    </xf>
    <xf numFmtId="0" fontId="86" fillId="0" borderId="0" xfId="0" applyFont="1"/>
    <xf numFmtId="0" fontId="31" fillId="0" borderId="49" xfId="0" applyFont="1" applyBorder="1" applyAlignment="1">
      <alignment vertical="center" wrapText="1"/>
    </xf>
    <xf numFmtId="0" fontId="87" fillId="0" borderId="0" xfId="0" applyFont="1"/>
    <xf numFmtId="0" fontId="87" fillId="0" borderId="38" xfId="0" applyFont="1" applyBorder="1"/>
    <xf numFmtId="0" fontId="87" fillId="0" borderId="1" xfId="0" applyFont="1" applyBorder="1"/>
    <xf numFmtId="164" fontId="87" fillId="0" borderId="0" xfId="0" applyNumberFormat="1" applyFont="1"/>
    <xf numFmtId="0" fontId="88" fillId="0" borderId="51" xfId="0" applyFont="1" applyBorder="1" applyAlignment="1">
      <alignment horizontal="center"/>
    </xf>
    <xf numFmtId="0" fontId="87" fillId="0" borderId="17" xfId="0" applyFont="1" applyBorder="1"/>
    <xf numFmtId="164" fontId="88" fillId="0" borderId="1" xfId="0" applyNumberFormat="1" applyFont="1" applyBorder="1" applyAlignment="1">
      <alignment horizontal="center"/>
    </xf>
    <xf numFmtId="0" fontId="87" fillId="0" borderId="2" xfId="0" applyFont="1" applyBorder="1"/>
    <xf numFmtId="164" fontId="89" fillId="0" borderId="0" xfId="0" applyNumberFormat="1" applyFont="1" applyAlignment="1">
      <alignment horizontal="center"/>
    </xf>
    <xf numFmtId="0" fontId="88" fillId="0" borderId="48" xfId="0" applyFont="1" applyBorder="1" applyAlignment="1">
      <alignment horizontal="center"/>
    </xf>
    <xf numFmtId="0" fontId="87" fillId="0" borderId="20" xfId="0" applyFont="1" applyBorder="1"/>
    <xf numFmtId="164" fontId="88" fillId="0" borderId="2" xfId="0" applyNumberFormat="1" applyFont="1" applyBorder="1" applyAlignment="1">
      <alignment horizontal="center"/>
    </xf>
    <xf numFmtId="164" fontId="87" fillId="9" borderId="0" xfId="0" applyNumberFormat="1" applyFont="1" applyFill="1"/>
    <xf numFmtId="0" fontId="88" fillId="0" borderId="52" xfId="0" applyFont="1" applyBorder="1" applyAlignment="1">
      <alignment horizontal="center"/>
    </xf>
    <xf numFmtId="0" fontId="88" fillId="0" borderId="1" xfId="0" applyFont="1" applyBorder="1" applyAlignment="1">
      <alignment horizontal="center"/>
    </xf>
    <xf numFmtId="164" fontId="87" fillId="9" borderId="1" xfId="0" applyNumberFormat="1" applyFont="1" applyFill="1" applyBorder="1"/>
    <xf numFmtId="164" fontId="87" fillId="9" borderId="53" xfId="0" applyNumberFormat="1" applyFont="1" applyFill="1" applyBorder="1"/>
    <xf numFmtId="0" fontId="87" fillId="6" borderId="1" xfId="0" applyFont="1" applyFill="1" applyBorder="1"/>
    <xf numFmtId="164" fontId="87" fillId="9" borderId="8" xfId="0" applyNumberFormat="1" applyFont="1" applyFill="1" applyBorder="1"/>
    <xf numFmtId="0" fontId="87" fillId="9" borderId="0" xfId="0" applyFont="1" applyFill="1"/>
    <xf numFmtId="164" fontId="87" fillId="0" borderId="54" xfId="0" applyNumberFormat="1" applyFont="1" applyBorder="1"/>
    <xf numFmtId="164" fontId="87" fillId="0" borderId="3" xfId="0" applyNumberFormat="1" applyFont="1" applyBorder="1"/>
    <xf numFmtId="0" fontId="87" fillId="6" borderId="1" xfId="0" applyFont="1" applyFill="1" applyBorder="1" applyAlignment="1">
      <alignment horizontal="center"/>
    </xf>
    <xf numFmtId="164" fontId="87" fillId="6" borderId="0" xfId="0" applyNumberFormat="1" applyFont="1" applyFill="1" applyAlignment="1">
      <alignment horizontal="center"/>
    </xf>
    <xf numFmtId="0" fontId="88" fillId="6" borderId="1" xfId="0" applyFont="1" applyFill="1" applyBorder="1" applyAlignment="1">
      <alignment horizontal="center"/>
    </xf>
    <xf numFmtId="0" fontId="88" fillId="0" borderId="16" xfId="0" applyFont="1" applyBorder="1" applyAlignment="1">
      <alignment horizontal="center"/>
    </xf>
    <xf numFmtId="0" fontId="87" fillId="0" borderId="22" xfId="0" applyFont="1" applyBorder="1"/>
    <xf numFmtId="0" fontId="88" fillId="6" borderId="5" xfId="0" applyFont="1" applyFill="1" applyBorder="1" applyAlignment="1">
      <alignment horizontal="center"/>
    </xf>
    <xf numFmtId="164" fontId="87" fillId="6" borderId="5" xfId="0" applyNumberFormat="1" applyFont="1" applyFill="1" applyBorder="1"/>
    <xf numFmtId="0" fontId="87" fillId="0" borderId="55" xfId="0" applyFont="1" applyBorder="1"/>
    <xf numFmtId="0" fontId="88" fillId="0" borderId="0" xfId="0" applyFont="1"/>
    <xf numFmtId="0" fontId="88" fillId="0" borderId="0" xfId="0" applyFont="1" applyAlignment="1"/>
    <xf numFmtId="0" fontId="87" fillId="7" borderId="0" xfId="0" applyFont="1" applyFill="1"/>
    <xf numFmtId="0" fontId="88" fillId="0" borderId="38" xfId="0" applyFont="1" applyBorder="1" applyAlignment="1">
      <alignment horizontal="center" textRotation="90"/>
    </xf>
    <xf numFmtId="0" fontId="88" fillId="0" borderId="45" xfId="0" applyFont="1" applyBorder="1" applyAlignment="1">
      <alignment horizontal="center"/>
    </xf>
    <xf numFmtId="0" fontId="87" fillId="0" borderId="45" xfId="0" applyFont="1" applyBorder="1"/>
    <xf numFmtId="164" fontId="87" fillId="0" borderId="45" xfId="0" applyNumberFormat="1" applyFont="1" applyBorder="1"/>
    <xf numFmtId="0" fontId="88" fillId="0" borderId="0" xfId="0" applyFont="1" applyAlignment="1">
      <alignment horizontal="center"/>
    </xf>
    <xf numFmtId="164" fontId="90" fillId="0" borderId="17" xfId="0" applyNumberFormat="1" applyFont="1" applyBorder="1"/>
    <xf numFmtId="164" fontId="90" fillId="0" borderId="56" xfId="0" applyNumberFormat="1" applyFont="1" applyBorder="1"/>
    <xf numFmtId="164" fontId="87" fillId="0" borderId="2" xfId="0" applyNumberFormat="1" applyFont="1" applyBorder="1"/>
    <xf numFmtId="13" fontId="87" fillId="0" borderId="0" xfId="0" applyNumberFormat="1" applyFont="1"/>
    <xf numFmtId="164" fontId="90" fillId="0" borderId="20" xfId="0" applyNumberFormat="1" applyFont="1" applyBorder="1" applyAlignment="1">
      <alignment horizontal="center"/>
    </xf>
    <xf numFmtId="164" fontId="90" fillId="0" borderId="41" xfId="0" applyNumberFormat="1" applyFont="1" applyBorder="1" applyAlignment="1">
      <alignment horizontal="center"/>
    </xf>
    <xf numFmtId="164" fontId="88" fillId="0" borderId="21" xfId="0" applyNumberFormat="1" applyFont="1" applyBorder="1" applyAlignment="1">
      <alignment horizontal="center"/>
    </xf>
    <xf numFmtId="0" fontId="87" fillId="9" borderId="25" xfId="0" applyFont="1" applyFill="1" applyBorder="1"/>
    <xf numFmtId="0" fontId="87" fillId="9" borderId="57" xfId="0" applyFont="1" applyFill="1" applyBorder="1"/>
    <xf numFmtId="164" fontId="87" fillId="0" borderId="1" xfId="0" applyNumberFormat="1" applyFont="1" applyBorder="1"/>
    <xf numFmtId="164" fontId="90" fillId="0" borderId="22" xfId="0" applyNumberFormat="1" applyFont="1" applyBorder="1" applyAlignment="1">
      <alignment horizontal="center"/>
    </xf>
    <xf numFmtId="164" fontId="90" fillId="0" borderId="58" xfId="0" applyNumberFormat="1" applyFont="1" applyBorder="1" applyAlignment="1">
      <alignment horizontal="center"/>
    </xf>
    <xf numFmtId="164" fontId="88" fillId="0" borderId="5" xfId="0" applyNumberFormat="1" applyFont="1" applyBorder="1" applyAlignment="1">
      <alignment horizontal="center"/>
    </xf>
    <xf numFmtId="164" fontId="88" fillId="0" borderId="15" xfId="0" applyNumberFormat="1" applyFont="1" applyBorder="1" applyAlignment="1">
      <alignment horizontal="center"/>
    </xf>
    <xf numFmtId="0" fontId="90" fillId="0" borderId="4" xfId="0" applyFont="1" applyBorder="1" applyAlignment="1">
      <alignment horizontal="center"/>
    </xf>
    <xf numFmtId="164" fontId="88" fillId="0" borderId="4" xfId="0" applyNumberFormat="1" applyFont="1" applyBorder="1" applyAlignment="1">
      <alignment horizontal="center"/>
    </xf>
    <xf numFmtId="0" fontId="87" fillId="0" borderId="14" xfId="0" applyFont="1" applyBorder="1"/>
    <xf numFmtId="0" fontId="87" fillId="0" borderId="9" xfId="0" applyFont="1" applyBorder="1"/>
    <xf numFmtId="164" fontId="87" fillId="0" borderId="9" xfId="0" applyNumberFormat="1" applyFont="1" applyBorder="1"/>
    <xf numFmtId="0" fontId="87" fillId="0" borderId="6" xfId="0" applyFont="1" applyBorder="1"/>
    <xf numFmtId="164" fontId="88" fillId="0" borderId="0" xfId="0" applyNumberFormat="1" applyFont="1"/>
    <xf numFmtId="0" fontId="87" fillId="0" borderId="29" xfId="0" applyFont="1" applyBorder="1"/>
    <xf numFmtId="0" fontId="87" fillId="0" borderId="0" xfId="0" applyFont="1" applyBorder="1"/>
    <xf numFmtId="0" fontId="87" fillId="0" borderId="10" xfId="0" applyFont="1" applyBorder="1"/>
    <xf numFmtId="0" fontId="87" fillId="26" borderId="0" xfId="0" applyFont="1" applyFill="1"/>
    <xf numFmtId="0" fontId="87" fillId="0" borderId="30" xfId="0" applyFont="1" applyBorder="1"/>
    <xf numFmtId="0" fontId="87" fillId="0" borderId="11" xfId="0" applyFont="1" applyBorder="1"/>
    <xf numFmtId="0" fontId="87" fillId="0" borderId="12" xfId="0" applyFont="1" applyBorder="1"/>
    <xf numFmtId="0" fontId="89" fillId="9" borderId="8" xfId="0" applyFont="1" applyFill="1" applyBorder="1"/>
    <xf numFmtId="0" fontId="88" fillId="9" borderId="7" xfId="0" applyFont="1" applyFill="1" applyBorder="1"/>
    <xf numFmtId="164" fontId="88" fillId="9" borderId="1" xfId="0" applyNumberFormat="1" applyFont="1" applyFill="1" applyBorder="1"/>
    <xf numFmtId="164" fontId="89" fillId="9" borderId="1" xfId="0" applyNumberFormat="1" applyFont="1" applyFill="1" applyBorder="1"/>
    <xf numFmtId="164" fontId="87" fillId="8" borderId="1" xfId="0" applyNumberFormat="1" applyFont="1" applyFill="1" applyBorder="1"/>
    <xf numFmtId="0" fontId="87" fillId="9" borderId="7" xfId="0" applyFont="1" applyFill="1" applyBorder="1"/>
    <xf numFmtId="0" fontId="87" fillId="9" borderId="8" xfId="0" applyFont="1" applyFill="1" applyBorder="1"/>
    <xf numFmtId="164" fontId="87" fillId="9" borderId="41" xfId="0" applyNumberFormat="1" applyFont="1" applyFill="1" applyBorder="1"/>
    <xf numFmtId="164" fontId="89" fillId="0" borderId="1" xfId="0" applyNumberFormat="1" applyFont="1" applyBorder="1" applyAlignment="1">
      <alignment horizontal="center"/>
    </xf>
    <xf numFmtId="0" fontId="89" fillId="0" borderId="1" xfId="0" applyFont="1" applyBorder="1" applyAlignment="1">
      <alignment horizontal="center"/>
    </xf>
    <xf numFmtId="0" fontId="88" fillId="0" borderId="7" xfId="0" applyFont="1" applyBorder="1"/>
    <xf numFmtId="164" fontId="88" fillId="0" borderId="8" xfId="0" applyNumberFormat="1" applyFont="1" applyBorder="1"/>
    <xf numFmtId="164" fontId="87" fillId="27" borderId="0" xfId="0" applyNumberFormat="1" applyFont="1" applyFill="1"/>
    <xf numFmtId="0" fontId="89" fillId="0" borderId="0" xfId="0" applyFont="1"/>
    <xf numFmtId="164" fontId="88" fillId="28" borderId="0" xfId="0" applyNumberFormat="1" applyFont="1" applyFill="1"/>
    <xf numFmtId="164" fontId="88" fillId="8" borderId="0" xfId="0" applyNumberFormat="1" applyFont="1" applyFill="1"/>
    <xf numFmtId="164" fontId="87" fillId="8" borderId="0" xfId="0" applyNumberFormat="1" applyFont="1" applyFill="1"/>
    <xf numFmtId="175" fontId="87" fillId="0" borderId="0" xfId="0" applyNumberFormat="1" applyFont="1"/>
    <xf numFmtId="0" fontId="87" fillId="18" borderId="0" xfId="0" applyFont="1" applyFill="1"/>
    <xf numFmtId="0" fontId="88" fillId="9" borderId="13" xfId="0" applyFont="1" applyFill="1" applyBorder="1"/>
    <xf numFmtId="164" fontId="92" fillId="0" borderId="0" xfId="0" applyNumberFormat="1" applyFont="1" applyAlignment="1"/>
    <xf numFmtId="0" fontId="0" fillId="29" borderId="0" xfId="0" applyFill="1"/>
    <xf numFmtId="0" fontId="87" fillId="12" borderId="0" xfId="0" applyFont="1" applyFill="1"/>
    <xf numFmtId="0" fontId="58" fillId="12" borderId="0" xfId="0" applyFont="1" applyFill="1"/>
    <xf numFmtId="0" fontId="36" fillId="14" borderId="17" xfId="0" applyFont="1" applyFill="1" applyBorder="1" applyAlignment="1">
      <alignment horizontal="center" vertical="center" wrapText="1"/>
    </xf>
    <xf numFmtId="0" fontId="36" fillId="14" borderId="2" xfId="0" applyFont="1" applyFill="1" applyBorder="1" applyAlignment="1">
      <alignment horizontal="center" vertical="center" wrapText="1"/>
    </xf>
    <xf numFmtId="0" fontId="36" fillId="14" borderId="3" xfId="0" applyFont="1" applyFill="1" applyBorder="1" applyAlignment="1">
      <alignment horizontal="center"/>
    </xf>
    <xf numFmtId="164" fontId="0" fillId="9" borderId="0" xfId="0" applyNumberFormat="1" applyFill="1"/>
    <xf numFmtId="0" fontId="0" fillId="30" borderId="0" xfId="0" applyFill="1"/>
    <xf numFmtId="164" fontId="0" fillId="25" borderId="0" xfId="0" applyNumberFormat="1" applyFill="1"/>
    <xf numFmtId="0" fontId="0" fillId="31" borderId="0" xfId="0" applyFill="1"/>
    <xf numFmtId="0" fontId="94" fillId="12" borderId="0" xfId="0" applyFont="1" applyFill="1" applyBorder="1" applyProtection="1">
      <protection hidden="1"/>
    </xf>
    <xf numFmtId="0" fontId="98" fillId="42" borderId="22" xfId="6" applyFont="1" applyFill="1" applyBorder="1" applyAlignment="1" applyProtection="1">
      <alignment horizontal="center"/>
      <protection hidden="1"/>
    </xf>
    <xf numFmtId="0" fontId="0" fillId="0" borderId="0" xfId="0" applyProtection="1">
      <protection hidden="1"/>
    </xf>
    <xf numFmtId="0" fontId="42" fillId="23" borderId="39" xfId="0" applyFont="1" applyFill="1" applyBorder="1" applyAlignment="1" applyProtection="1">
      <alignment horizontal="center"/>
      <protection hidden="1"/>
    </xf>
    <xf numFmtId="0" fontId="99" fillId="23" borderId="39" xfId="0" applyFont="1" applyFill="1" applyBorder="1" applyAlignment="1" applyProtection="1">
      <alignment horizontal="center"/>
      <protection hidden="1"/>
    </xf>
    <xf numFmtId="164" fontId="100" fillId="9" borderId="39" xfId="0" applyNumberFormat="1" applyFont="1" applyFill="1" applyBorder="1" applyAlignment="1" applyProtection="1">
      <protection hidden="1"/>
    </xf>
    <xf numFmtId="0" fontId="49" fillId="11" borderId="39" xfId="0" applyFont="1" applyFill="1" applyBorder="1" applyAlignment="1" applyProtection="1">
      <alignment horizontal="center"/>
      <protection hidden="1"/>
    </xf>
    <xf numFmtId="0" fontId="40" fillId="11" borderId="0" xfId="0" applyFont="1" applyFill="1" applyProtection="1">
      <protection hidden="1"/>
    </xf>
    <xf numFmtId="0" fontId="42" fillId="23" borderId="22" xfId="0" applyFont="1" applyFill="1" applyBorder="1" applyAlignment="1" applyProtection="1">
      <alignment horizontal="center"/>
      <protection hidden="1"/>
    </xf>
    <xf numFmtId="164" fontId="62" fillId="11" borderId="5" xfId="0" applyNumberFormat="1" applyFont="1" applyFill="1" applyBorder="1" applyAlignment="1" applyProtection="1">
      <protection hidden="1"/>
    </xf>
    <xf numFmtId="0" fontId="0" fillId="11" borderId="0" xfId="0" applyFill="1" applyBorder="1" applyProtection="1">
      <protection hidden="1"/>
    </xf>
    <xf numFmtId="1" fontId="46" fillId="11" borderId="0" xfId="0" applyNumberFormat="1" applyFont="1" applyFill="1" applyBorder="1" applyProtection="1">
      <protection hidden="1"/>
    </xf>
    <xf numFmtId="0" fontId="34" fillId="11" borderId="1" xfId="0" applyFont="1" applyFill="1" applyBorder="1" applyAlignment="1">
      <alignment horizontal="center" vertical="center" wrapText="1"/>
    </xf>
    <xf numFmtId="0" fontId="34" fillId="0" borderId="0" xfId="0" applyFont="1" applyAlignment="1">
      <alignment horizontal="left" indent="1"/>
    </xf>
    <xf numFmtId="0" fontId="34" fillId="0" borderId="0" xfId="0" applyFont="1"/>
    <xf numFmtId="0" fontId="34" fillId="0" borderId="0" xfId="0" applyFont="1" applyAlignment="1">
      <alignment horizontal="left" indent="2"/>
    </xf>
    <xf numFmtId="0" fontId="101" fillId="0" borderId="0" xfId="0" applyFont="1" applyAlignment="1">
      <alignment horizontal="right"/>
    </xf>
    <xf numFmtId="0" fontId="34" fillId="0" borderId="0" xfId="0" applyFont="1" applyAlignment="1">
      <alignment horizontal="right"/>
    </xf>
    <xf numFmtId="0" fontId="102" fillId="0" borderId="0" xfId="0" applyFont="1" applyAlignment="1">
      <alignment horizontal="right"/>
    </xf>
    <xf numFmtId="0" fontId="0" fillId="7" borderId="1" xfId="0" applyFill="1" applyBorder="1" applyAlignment="1">
      <alignment horizontal="center" vertical="center" wrapText="1"/>
    </xf>
    <xf numFmtId="0" fontId="103" fillId="0" borderId="0" xfId="0" applyFont="1" applyAlignment="1">
      <alignment horizontal="right"/>
    </xf>
    <xf numFmtId="0" fontId="104" fillId="0" borderId="0" xfId="0" applyFont="1" applyAlignment="1">
      <alignment horizontal="center" readingOrder="2"/>
    </xf>
    <xf numFmtId="0" fontId="105" fillId="0" borderId="0" xfId="0" applyFont="1" applyAlignment="1">
      <alignment horizontal="right" readingOrder="2"/>
    </xf>
    <xf numFmtId="0" fontId="106" fillId="0" borderId="0" xfId="0" applyFont="1" applyAlignment="1">
      <alignment horizontal="right" readingOrder="2"/>
    </xf>
    <xf numFmtId="0" fontId="0" fillId="0" borderId="0" xfId="0" applyFill="1" applyBorder="1" applyAlignment="1">
      <alignment horizontal="left"/>
    </xf>
    <xf numFmtId="0" fontId="105" fillId="0" borderId="48" xfId="0" applyFont="1" applyBorder="1" applyAlignment="1">
      <alignment horizontal="right" readingOrder="2"/>
    </xf>
    <xf numFmtId="0" fontId="105" fillId="0" borderId="16" xfId="0" applyFont="1" applyBorder="1" applyAlignment="1">
      <alignment horizontal="right" readingOrder="2"/>
    </xf>
    <xf numFmtId="0" fontId="105" fillId="0" borderId="52" xfId="0" applyFont="1" applyBorder="1" applyAlignment="1">
      <alignment horizontal="right" readingOrder="2"/>
    </xf>
    <xf numFmtId="0" fontId="105" fillId="0" borderId="39" xfId="0" applyFont="1" applyBorder="1" applyAlignment="1">
      <alignment horizontal="right" readingOrder="2"/>
    </xf>
    <xf numFmtId="0" fontId="96" fillId="44" borderId="20" xfId="6" applyFont="1" applyFill="1" applyBorder="1" applyAlignment="1" applyProtection="1">
      <alignment horizontal="center" vertical="center"/>
      <protection hidden="1"/>
    </xf>
    <xf numFmtId="0" fontId="36" fillId="11" borderId="0" xfId="0" applyFont="1" applyFill="1" applyAlignment="1"/>
    <xf numFmtId="164" fontId="9" fillId="47" borderId="89" xfId="0" applyNumberFormat="1" applyFont="1" applyFill="1" applyBorder="1" applyAlignment="1" applyProtection="1">
      <alignment horizontal="center" vertical="center" wrapText="1"/>
      <protection hidden="1"/>
    </xf>
    <xf numFmtId="0" fontId="32" fillId="12" borderId="1" xfId="0" applyFont="1" applyFill="1" applyBorder="1" applyAlignment="1">
      <alignment horizontal="center" vertical="center" wrapText="1"/>
    </xf>
    <xf numFmtId="1" fontId="9" fillId="48" borderId="92" xfId="0" applyNumberFormat="1" applyFont="1" applyFill="1" applyBorder="1" applyAlignment="1" applyProtection="1">
      <alignment horizontal="center" vertical="center" shrinkToFit="1"/>
      <protection hidden="1"/>
    </xf>
    <xf numFmtId="1" fontId="12" fillId="48" borderId="92" xfId="0" applyNumberFormat="1" applyFont="1" applyFill="1" applyBorder="1" applyAlignment="1" applyProtection="1">
      <alignment horizontal="center" vertical="center" shrinkToFit="1"/>
      <protection hidden="1"/>
    </xf>
    <xf numFmtId="1" fontId="16" fillId="48" borderId="92" xfId="0" applyNumberFormat="1" applyFont="1" applyFill="1" applyBorder="1" applyAlignment="1" applyProtection="1">
      <alignment horizontal="center" vertical="center" shrinkToFit="1"/>
      <protection hidden="1"/>
    </xf>
    <xf numFmtId="0" fontId="31" fillId="11" borderId="57" xfId="0" applyFont="1" applyFill="1" applyBorder="1" applyProtection="1">
      <protection hidden="1"/>
    </xf>
    <xf numFmtId="0" fontId="92" fillId="0" borderId="0" xfId="0" applyFont="1"/>
    <xf numFmtId="2" fontId="16" fillId="11" borderId="21" xfId="0" applyNumberFormat="1" applyFont="1" applyFill="1" applyBorder="1" applyAlignment="1" applyProtection="1">
      <alignment horizontal="center" vertical="center" shrinkToFit="1"/>
      <protection hidden="1"/>
    </xf>
    <xf numFmtId="1" fontId="107" fillId="2" borderId="17" xfId="8" applyNumberFormat="1" applyFont="1" applyBorder="1" applyAlignment="1" applyProtection="1">
      <alignment horizontal="center" vertical="center"/>
      <protection hidden="1"/>
    </xf>
    <xf numFmtId="1" fontId="16" fillId="11" borderId="2" xfId="0" applyNumberFormat="1" applyFont="1" applyFill="1" applyBorder="1" applyAlignment="1" applyProtection="1">
      <alignment horizontal="center" vertical="center" shrinkToFit="1"/>
      <protection hidden="1"/>
    </xf>
    <xf numFmtId="164" fontId="16" fillId="11" borderId="2" xfId="0" applyNumberFormat="1" applyFont="1" applyFill="1" applyBorder="1" applyAlignment="1" applyProtection="1">
      <alignment horizontal="center" vertical="center" shrinkToFit="1"/>
      <protection hidden="1"/>
    </xf>
    <xf numFmtId="2" fontId="16" fillId="11" borderId="2" xfId="0" applyNumberFormat="1" applyFont="1" applyFill="1" applyBorder="1" applyAlignment="1" applyProtection="1">
      <alignment horizontal="center" vertical="center" shrinkToFit="1"/>
      <protection hidden="1"/>
    </xf>
    <xf numFmtId="2" fontId="16" fillId="11" borderId="3" xfId="0" applyNumberFormat="1" applyFont="1" applyFill="1" applyBorder="1" applyAlignment="1" applyProtection="1">
      <alignment horizontal="center" vertical="center" shrinkToFit="1"/>
      <protection hidden="1"/>
    </xf>
    <xf numFmtId="1" fontId="107" fillId="2" borderId="20" xfId="8" applyNumberFormat="1" applyFont="1" applyBorder="1" applyAlignment="1" applyProtection="1">
      <alignment horizontal="center" vertical="center" shrinkToFit="1"/>
      <protection hidden="1"/>
    </xf>
    <xf numFmtId="1" fontId="16" fillId="11" borderId="1" xfId="0" applyNumberFormat="1" applyFont="1" applyFill="1" applyBorder="1" applyAlignment="1" applyProtection="1">
      <alignment horizontal="center" vertical="center" shrinkToFit="1"/>
      <protection hidden="1"/>
    </xf>
    <xf numFmtId="164" fontId="16" fillId="11" borderId="1" xfId="0" applyNumberFormat="1" applyFont="1" applyFill="1" applyBorder="1" applyAlignment="1" applyProtection="1">
      <alignment horizontal="center" vertical="center" shrinkToFit="1"/>
      <protection hidden="1"/>
    </xf>
    <xf numFmtId="2" fontId="16" fillId="11" borderId="1" xfId="0" applyNumberFormat="1" applyFont="1" applyFill="1" applyBorder="1" applyAlignment="1" applyProtection="1">
      <alignment horizontal="center" vertical="center" shrinkToFit="1"/>
      <protection hidden="1"/>
    </xf>
    <xf numFmtId="164" fontId="35" fillId="11" borderId="12" xfId="0" applyNumberFormat="1" applyFont="1" applyFill="1" applyBorder="1" applyProtection="1">
      <protection hidden="1"/>
    </xf>
    <xf numFmtId="0" fontId="84" fillId="11" borderId="20" xfId="0" applyFont="1" applyFill="1" applyBorder="1" applyAlignment="1">
      <alignment horizontal="center" vertical="center" wrapText="1"/>
    </xf>
    <xf numFmtId="0" fontId="0" fillId="49" borderId="0" xfId="0" applyFill="1"/>
    <xf numFmtId="0" fontId="108" fillId="12" borderId="0" xfId="0" applyFont="1" applyFill="1"/>
    <xf numFmtId="164" fontId="108" fillId="12" borderId="0" xfId="0" applyNumberFormat="1" applyFont="1" applyFill="1"/>
    <xf numFmtId="164" fontId="56" fillId="0" borderId="0" xfId="0" applyNumberFormat="1" applyFont="1"/>
    <xf numFmtId="164" fontId="33" fillId="11" borderId="0" xfId="0" applyNumberFormat="1" applyFont="1" applyFill="1" applyBorder="1" applyAlignment="1">
      <alignment horizontal="center"/>
    </xf>
    <xf numFmtId="164" fontId="38" fillId="11" borderId="0" xfId="0" applyNumberFormat="1" applyFont="1" applyFill="1" applyBorder="1"/>
    <xf numFmtId="164" fontId="38" fillId="11" borderId="0" xfId="0" applyNumberFormat="1" applyFont="1" applyFill="1" applyBorder="1" applyAlignment="1">
      <alignment horizontal="center"/>
    </xf>
    <xf numFmtId="164" fontId="39" fillId="11" borderId="0" xfId="0" applyNumberFormat="1" applyFont="1" applyFill="1" applyBorder="1"/>
    <xf numFmtId="164" fontId="31" fillId="24" borderId="59" xfId="0" applyNumberFormat="1" applyFont="1" applyFill="1" applyBorder="1" applyAlignment="1">
      <alignment horizontal="center" vertical="center"/>
    </xf>
    <xf numFmtId="164" fontId="31" fillId="24" borderId="59" xfId="0" applyNumberFormat="1" applyFont="1" applyFill="1" applyBorder="1" applyAlignment="1">
      <alignment horizontal="center" vertical="center" wrapText="1"/>
    </xf>
    <xf numFmtId="1" fontId="16" fillId="11" borderId="5" xfId="0" applyNumberFormat="1" applyFont="1" applyFill="1" applyBorder="1" applyAlignment="1" applyProtection="1">
      <alignment horizontal="center" vertical="center" shrinkToFit="1"/>
      <protection hidden="1"/>
    </xf>
    <xf numFmtId="1" fontId="16" fillId="9" borderId="2" xfId="0" applyNumberFormat="1" applyFont="1" applyFill="1" applyBorder="1" applyAlignment="1" applyProtection="1">
      <alignment horizontal="center" vertical="center" shrinkToFit="1"/>
      <protection hidden="1"/>
    </xf>
    <xf numFmtId="1" fontId="16" fillId="9" borderId="1" xfId="0" applyNumberFormat="1" applyFont="1" applyFill="1" applyBorder="1" applyAlignment="1" applyProtection="1">
      <alignment horizontal="center" vertical="center" shrinkToFit="1"/>
      <protection hidden="1"/>
    </xf>
    <xf numFmtId="1" fontId="107" fillId="2" borderId="22" xfId="8" applyNumberFormat="1" applyFont="1" applyBorder="1" applyAlignment="1" applyProtection="1">
      <alignment horizontal="center" vertical="center" shrinkToFit="1"/>
      <protection hidden="1"/>
    </xf>
    <xf numFmtId="1" fontId="16" fillId="9" borderId="5" xfId="0" applyNumberFormat="1" applyFont="1" applyFill="1" applyBorder="1" applyAlignment="1" applyProtection="1">
      <alignment horizontal="center" vertical="center" shrinkToFit="1"/>
      <protection hidden="1"/>
    </xf>
    <xf numFmtId="2" fontId="16" fillId="11" borderId="5" xfId="0" applyNumberFormat="1" applyFont="1" applyFill="1" applyBorder="1" applyAlignment="1" applyProtection="1">
      <alignment horizontal="center" vertical="center" shrinkToFit="1"/>
      <protection hidden="1"/>
    </xf>
    <xf numFmtId="2" fontId="16" fillId="11" borderId="15" xfId="0" applyNumberFormat="1" applyFont="1" applyFill="1" applyBorder="1" applyAlignment="1" applyProtection="1">
      <alignment horizontal="center" vertical="center" shrinkToFit="1"/>
      <protection hidden="1"/>
    </xf>
    <xf numFmtId="164" fontId="0" fillId="0" borderId="1" xfId="0" applyNumberFormat="1" applyBorder="1"/>
    <xf numFmtId="164" fontId="109" fillId="11" borderId="60" xfId="0" applyNumberFormat="1" applyFont="1" applyFill="1" applyBorder="1" applyAlignment="1">
      <alignment vertical="center"/>
    </xf>
    <xf numFmtId="164" fontId="36" fillId="11" borderId="61" xfId="0" applyNumberFormat="1" applyFont="1" applyFill="1" applyBorder="1" applyAlignment="1"/>
    <xf numFmtId="164" fontId="0" fillId="0" borderId="0" xfId="0" applyNumberFormat="1" applyBorder="1"/>
    <xf numFmtId="164" fontId="110" fillId="11" borderId="0" xfId="0" applyNumberFormat="1" applyFont="1" applyFill="1" applyBorder="1" applyAlignment="1">
      <alignment horizontal="center" vertical="center" wrapText="1" shrinkToFit="1"/>
    </xf>
    <xf numFmtId="164" fontId="111" fillId="11" borderId="0" xfId="0" applyNumberFormat="1" applyFont="1" applyFill="1" applyBorder="1" applyAlignment="1">
      <alignment horizontal="center" vertical="center" wrapText="1" shrinkToFit="1"/>
    </xf>
    <xf numFmtId="164" fontId="111" fillId="11" borderId="0" xfId="0" applyNumberFormat="1" applyFont="1" applyFill="1" applyBorder="1" applyAlignment="1">
      <alignment horizontal="center" vertical="center" wrapText="1"/>
    </xf>
    <xf numFmtId="175" fontId="111" fillId="11" borderId="0" xfId="0" applyNumberFormat="1" applyFont="1" applyFill="1" applyBorder="1" applyAlignment="1">
      <alignment horizontal="center" vertical="center" wrapText="1"/>
    </xf>
    <xf numFmtId="0" fontId="112" fillId="11" borderId="0" xfId="0" applyFont="1" applyFill="1" applyBorder="1"/>
    <xf numFmtId="164" fontId="0" fillId="0" borderId="5" xfId="0" applyNumberFormat="1" applyBorder="1"/>
    <xf numFmtId="164" fontId="0" fillId="9" borderId="1" xfId="0" applyNumberFormat="1" applyFill="1" applyBorder="1"/>
    <xf numFmtId="164" fontId="31" fillId="24" borderId="62" xfId="0" applyNumberFormat="1" applyFont="1" applyFill="1" applyBorder="1" applyAlignment="1">
      <alignment horizontal="center" vertical="center"/>
    </xf>
    <xf numFmtId="164" fontId="31" fillId="24" borderId="63" xfId="0" applyNumberFormat="1" applyFont="1" applyFill="1" applyBorder="1" applyAlignment="1">
      <alignment horizontal="center" vertical="center" wrapText="1"/>
    </xf>
    <xf numFmtId="164" fontId="31" fillId="24" borderId="63" xfId="0" applyNumberFormat="1" applyFont="1" applyFill="1" applyBorder="1" applyAlignment="1">
      <alignment horizontal="center" vertical="center"/>
    </xf>
    <xf numFmtId="0" fontId="23" fillId="0" borderId="59" xfId="0" applyFont="1" applyBorder="1" applyAlignment="1">
      <alignment horizontal="center" vertical="center"/>
    </xf>
    <xf numFmtId="164" fontId="23" fillId="0" borderId="59" xfId="0" applyNumberFormat="1" applyFont="1" applyBorder="1" applyAlignment="1">
      <alignment horizontal="center" vertical="center"/>
    </xf>
    <xf numFmtId="164" fontId="38" fillId="9" borderId="0" xfId="0" applyNumberFormat="1" applyFont="1" applyFill="1" applyBorder="1" applyAlignment="1"/>
    <xf numFmtId="164" fontId="30" fillId="2" borderId="88" xfId="8" applyNumberFormat="1" applyAlignment="1">
      <alignment horizontal="center" vertical="center" wrapText="1"/>
    </xf>
    <xf numFmtId="164" fontId="0" fillId="0" borderId="38" xfId="0" applyNumberFormat="1" applyBorder="1"/>
    <xf numFmtId="0" fontId="0" fillId="0" borderId="94" xfId="0" applyBorder="1"/>
    <xf numFmtId="164" fontId="0" fillId="0" borderId="94" xfId="0" applyNumberFormat="1" applyBorder="1"/>
    <xf numFmtId="164" fontId="0" fillId="50" borderId="94" xfId="0" applyNumberFormat="1" applyFill="1" applyBorder="1"/>
    <xf numFmtId="0" fontId="114" fillId="0" borderId="0" xfId="0" applyFont="1" applyBorder="1"/>
    <xf numFmtId="164" fontId="107" fillId="2" borderId="88" xfId="8" applyNumberFormat="1" applyFont="1" applyBorder="1" applyAlignment="1">
      <alignment horizontal="center" vertical="center" wrapText="1" shrinkToFit="1"/>
    </xf>
    <xf numFmtId="175" fontId="107" fillId="2" borderId="88" xfId="8" applyNumberFormat="1" applyFont="1" applyBorder="1" applyAlignment="1">
      <alignment horizontal="center" vertical="center" wrapText="1"/>
    </xf>
    <xf numFmtId="0" fontId="107" fillId="2" borderId="88" xfId="8" applyFont="1" applyBorder="1"/>
    <xf numFmtId="164" fontId="107" fillId="2" borderId="88" xfId="8" applyNumberFormat="1" applyFont="1" applyBorder="1"/>
    <xf numFmtId="164" fontId="107" fillId="2" borderId="88" xfId="8" applyNumberFormat="1" applyFont="1" applyBorder="1" applyAlignment="1"/>
    <xf numFmtId="164" fontId="107" fillId="2" borderId="97" xfId="8" applyNumberFormat="1" applyFont="1" applyBorder="1" applyAlignment="1">
      <alignment horizontal="center" vertical="center" wrapText="1" shrinkToFit="1"/>
    </xf>
    <xf numFmtId="0" fontId="107" fillId="2" borderId="97" xfId="8" applyFont="1" applyBorder="1"/>
    <xf numFmtId="164" fontId="107" fillId="2" borderId="97" xfId="8" applyNumberFormat="1" applyFont="1" applyBorder="1"/>
    <xf numFmtId="164" fontId="107" fillId="2" borderId="98" xfId="8" applyNumberFormat="1" applyFont="1" applyBorder="1" applyAlignment="1" applyProtection="1">
      <alignment horizontal="center" vertical="center" wrapText="1"/>
    </xf>
    <xf numFmtId="164" fontId="107" fillId="2" borderId="99" xfId="8" applyNumberFormat="1" applyFont="1" applyBorder="1" applyAlignment="1" applyProtection="1">
      <alignment horizontal="center" vertical="center" wrapText="1"/>
    </xf>
    <xf numFmtId="164" fontId="107" fillId="2" borderId="100" xfId="8" applyNumberFormat="1" applyFont="1" applyBorder="1" applyAlignment="1" applyProtection="1">
      <alignment horizontal="center" vertical="center" wrapText="1"/>
    </xf>
    <xf numFmtId="164" fontId="107" fillId="2" borderId="88" xfId="8" applyNumberFormat="1" applyFont="1" applyBorder="1" applyAlignment="1" applyProtection="1">
      <alignment vertical="center"/>
    </xf>
    <xf numFmtId="0" fontId="19" fillId="0" borderId="0" xfId="0" applyFont="1" applyProtection="1">
      <protection locked="0"/>
    </xf>
    <xf numFmtId="1" fontId="0" fillId="0" borderId="0" xfId="0" applyNumberFormat="1" applyAlignment="1">
      <alignment horizontal="center" vertical="center" shrinkToFit="1"/>
    </xf>
    <xf numFmtId="164" fontId="0" fillId="0" borderId="1" xfId="0" applyNumberFormat="1" applyBorder="1" applyAlignment="1">
      <alignment horizontal="center" vertical="center" shrinkToFit="1"/>
    </xf>
    <xf numFmtId="1" fontId="0" fillId="0" borderId="17" xfId="0" applyNumberFormat="1" applyBorder="1" applyAlignment="1">
      <alignment horizontal="center" vertical="center" shrinkToFit="1"/>
    </xf>
    <xf numFmtId="1" fontId="0" fillId="0" borderId="2" xfId="0" applyNumberFormat="1" applyBorder="1" applyAlignment="1">
      <alignment horizontal="center" vertical="center" shrinkToFit="1"/>
    </xf>
    <xf numFmtId="0" fontId="0" fillId="0" borderId="3" xfId="0" applyBorder="1" applyAlignment="1">
      <alignment horizontal="center" vertical="center" shrinkToFit="1"/>
    </xf>
    <xf numFmtId="1" fontId="0" fillId="0" borderId="20" xfId="0" applyNumberFormat="1" applyBorder="1" applyAlignment="1">
      <alignment horizontal="center" vertical="center" shrinkToFit="1"/>
    </xf>
    <xf numFmtId="0" fontId="0" fillId="0" borderId="21" xfId="0" applyBorder="1" applyAlignment="1">
      <alignment horizontal="center" vertical="center" shrinkToFit="1"/>
    </xf>
    <xf numFmtId="1" fontId="0" fillId="0" borderId="22" xfId="0" applyNumberFormat="1" applyBorder="1" applyAlignment="1">
      <alignment horizontal="center" vertical="center" shrinkToFit="1"/>
    </xf>
    <xf numFmtId="164" fontId="0" fillId="0" borderId="5" xfId="0" applyNumberFormat="1" applyBorder="1" applyAlignment="1">
      <alignment horizontal="center" vertical="center" shrinkToFit="1"/>
    </xf>
    <xf numFmtId="0" fontId="0" fillId="0" borderId="15" xfId="0" applyBorder="1" applyAlignment="1">
      <alignment horizontal="center" vertical="center" shrinkToFit="1"/>
    </xf>
    <xf numFmtId="164" fontId="0" fillId="13" borderId="0" xfId="0" applyNumberFormat="1" applyFill="1"/>
    <xf numFmtId="164" fontId="107" fillId="2" borderId="88" xfId="8" applyNumberFormat="1" applyFont="1" applyAlignment="1" applyProtection="1">
      <alignment horizontal="center" vertical="center" wrapText="1"/>
    </xf>
    <xf numFmtId="164" fontId="111" fillId="18" borderId="103" xfId="6" applyNumberFormat="1" applyFont="1" applyFill="1" applyBorder="1" applyAlignment="1">
      <alignment horizontal="center" vertical="center" wrapText="1"/>
    </xf>
    <xf numFmtId="164" fontId="115" fillId="36" borderId="84" xfId="6" applyNumberFormat="1" applyFont="1" applyFill="1" applyBorder="1" applyAlignment="1">
      <alignment horizontal="center" vertical="center" wrapText="1"/>
    </xf>
    <xf numFmtId="164" fontId="111" fillId="36" borderId="107" xfId="6" applyNumberFormat="1" applyFont="1" applyFill="1" applyBorder="1" applyAlignment="1">
      <alignment horizontal="center" vertical="center" wrapText="1"/>
    </xf>
    <xf numFmtId="164" fontId="111" fillId="36" borderId="103" xfId="6" applyNumberFormat="1" applyFont="1" applyFill="1" applyBorder="1" applyAlignment="1" applyProtection="1">
      <alignment horizontal="center" vertical="center" wrapText="1"/>
    </xf>
    <xf numFmtId="164" fontId="111" fillId="36" borderId="85" xfId="6" applyNumberFormat="1" applyFont="1" applyFill="1" applyBorder="1" applyAlignment="1" applyProtection="1">
      <alignment horizontal="center" vertical="center" wrapText="1"/>
    </xf>
    <xf numFmtId="164" fontId="111" fillId="36" borderId="104" xfId="6" applyNumberFormat="1" applyFont="1" applyFill="1" applyBorder="1" applyAlignment="1" applyProtection="1">
      <alignment horizontal="center" vertical="center" wrapText="1"/>
    </xf>
    <xf numFmtId="164" fontId="111" fillId="36" borderId="103" xfId="6" applyNumberFormat="1" applyFont="1" applyFill="1" applyBorder="1" applyAlignment="1">
      <alignment horizontal="center" vertical="center" wrapText="1"/>
    </xf>
    <xf numFmtId="164" fontId="111" fillId="36" borderId="85" xfId="6" applyNumberFormat="1" applyFont="1" applyFill="1" applyBorder="1" applyAlignment="1">
      <alignment horizontal="center" vertical="center" wrapText="1"/>
    </xf>
    <xf numFmtId="164" fontId="111" fillId="36" borderId="104" xfId="6" applyNumberFormat="1" applyFont="1" applyFill="1" applyBorder="1" applyAlignment="1">
      <alignment horizontal="center" vertical="center" wrapText="1"/>
    </xf>
    <xf numFmtId="164" fontId="111" fillId="36" borderId="108" xfId="6" applyNumberFormat="1" applyFont="1" applyFill="1" applyBorder="1" applyAlignment="1">
      <alignment horizontal="center" vertical="center" wrapText="1"/>
    </xf>
    <xf numFmtId="164" fontId="111" fillId="36" borderId="109" xfId="6" applyNumberFormat="1" applyFont="1" applyFill="1" applyBorder="1" applyAlignment="1">
      <alignment horizontal="center" vertical="center" wrapText="1"/>
    </xf>
    <xf numFmtId="164" fontId="111" fillId="36" borderId="110" xfId="6" applyNumberFormat="1" applyFont="1" applyFill="1" applyBorder="1" applyAlignment="1">
      <alignment horizontal="center" vertical="center" wrapText="1"/>
    </xf>
    <xf numFmtId="164" fontId="34" fillId="0" borderId="0" xfId="0" applyNumberFormat="1" applyFont="1" applyBorder="1" applyAlignment="1">
      <alignment horizontal="center"/>
    </xf>
    <xf numFmtId="164" fontId="0" fillId="50" borderId="0" xfId="0" applyNumberFormat="1" applyFill="1"/>
    <xf numFmtId="164" fontId="107" fillId="2" borderId="0" xfId="8" applyNumberFormat="1" applyFont="1" applyBorder="1" applyAlignment="1">
      <alignment horizontal="center" vertical="center" wrapText="1"/>
    </xf>
    <xf numFmtId="164" fontId="0" fillId="0" borderId="67" xfId="0" applyNumberFormat="1" applyBorder="1"/>
    <xf numFmtId="176" fontId="107" fillId="2" borderId="112" xfId="8" applyNumberFormat="1" applyFont="1" applyBorder="1" applyAlignment="1">
      <alignment horizontal="center" vertical="center"/>
    </xf>
    <xf numFmtId="164" fontId="0" fillId="0" borderId="31" xfId="0" applyNumberFormat="1" applyBorder="1"/>
    <xf numFmtId="164" fontId="0" fillId="0" borderId="54" xfId="0" applyNumberFormat="1" applyBorder="1"/>
    <xf numFmtId="164" fontId="0" fillId="0" borderId="47" xfId="0" applyNumberFormat="1" applyBorder="1"/>
    <xf numFmtId="164" fontId="0" fillId="0" borderId="0" xfId="0" applyNumberFormat="1" applyFill="1" applyBorder="1"/>
    <xf numFmtId="175" fontId="107" fillId="2" borderId="97" xfId="8" applyNumberFormat="1" applyFont="1" applyBorder="1" applyAlignment="1">
      <alignment horizontal="center" vertical="center" wrapText="1"/>
    </xf>
    <xf numFmtId="0" fontId="0" fillId="0" borderId="113" xfId="0" applyBorder="1"/>
    <xf numFmtId="164" fontId="55" fillId="18" borderId="103" xfId="6" applyNumberFormat="1" applyFont="1" applyFill="1" applyBorder="1" applyAlignment="1">
      <alignment horizontal="center" vertical="center" wrapText="1"/>
    </xf>
    <xf numFmtId="164" fontId="107" fillId="2" borderId="88" xfId="8" applyNumberFormat="1" applyFont="1" applyBorder="1" applyAlignment="1">
      <alignment horizontal="center" vertical="center" wrapText="1"/>
    </xf>
    <xf numFmtId="164" fontId="107" fillId="2" borderId="97" xfId="8" applyNumberFormat="1" applyFont="1" applyBorder="1" applyAlignment="1">
      <alignment horizontal="center" vertical="center" wrapText="1"/>
    </xf>
    <xf numFmtId="164" fontId="34" fillId="0" borderId="0" xfId="0" applyNumberFormat="1" applyFont="1" applyBorder="1"/>
    <xf numFmtId="164" fontId="0" fillId="0" borderId="44" xfId="0" applyNumberFormat="1" applyBorder="1"/>
    <xf numFmtId="164" fontId="107" fillId="2" borderId="114" xfId="8" applyNumberFormat="1" applyFont="1" applyBorder="1" applyAlignment="1" applyProtection="1">
      <alignment vertical="center"/>
    </xf>
    <xf numFmtId="164" fontId="117" fillId="2" borderId="114" xfId="8" applyNumberFormat="1" applyFont="1" applyBorder="1" applyAlignment="1" applyProtection="1">
      <alignment vertical="center"/>
    </xf>
    <xf numFmtId="168" fontId="34" fillId="11" borderId="115" xfId="0" applyNumberFormat="1" applyFont="1" applyFill="1" applyBorder="1" applyAlignment="1">
      <alignment vertical="center" wrapText="1"/>
    </xf>
    <xf numFmtId="164" fontId="0" fillId="0" borderId="116" xfId="0" applyNumberFormat="1" applyBorder="1"/>
    <xf numFmtId="164" fontId="0" fillId="0" borderId="117" xfId="0" applyNumberFormat="1" applyBorder="1"/>
    <xf numFmtId="0" fontId="113" fillId="0" borderId="94" xfId="0" applyFont="1" applyBorder="1" applyAlignment="1">
      <alignment vertical="center"/>
    </xf>
    <xf numFmtId="164" fontId="36" fillId="5" borderId="118" xfId="7" applyNumberFormat="1" applyFont="1" applyBorder="1" applyAlignment="1"/>
    <xf numFmtId="164" fontId="0" fillId="0" borderId="120" xfId="0" applyNumberFormat="1" applyBorder="1"/>
    <xf numFmtId="176" fontId="107" fillId="2" borderId="121" xfId="8" applyNumberFormat="1" applyFont="1" applyBorder="1" applyAlignment="1">
      <alignment horizontal="center" vertical="center"/>
    </xf>
    <xf numFmtId="175" fontId="0" fillId="0" borderId="0" xfId="0" applyNumberFormat="1"/>
    <xf numFmtId="164" fontId="107" fillId="2" borderId="88" xfId="8" applyNumberFormat="1" applyFont="1" applyBorder="1" applyAlignment="1">
      <alignment horizontal="center" vertical="center" wrapText="1"/>
    </xf>
    <xf numFmtId="164" fontId="0" fillId="9" borderId="0" xfId="0" applyNumberFormat="1" applyFill="1" applyBorder="1"/>
    <xf numFmtId="164" fontId="0" fillId="25" borderId="94" xfId="0" applyNumberFormat="1" applyFill="1" applyBorder="1"/>
    <xf numFmtId="164" fontId="0" fillId="0" borderId="45" xfId="0" applyNumberFormat="1" applyBorder="1"/>
    <xf numFmtId="164" fontId="0" fillId="0" borderId="46" xfId="0" applyNumberFormat="1" applyBorder="1"/>
    <xf numFmtId="164" fontId="33" fillId="0" borderId="0" xfId="0" applyNumberFormat="1" applyFont="1"/>
    <xf numFmtId="164" fontId="116" fillId="2" borderId="88" xfId="8" applyNumberFormat="1" applyFont="1" applyAlignment="1">
      <alignment horizontal="center" vertical="center" wrapText="1"/>
    </xf>
    <xf numFmtId="164" fontId="107" fillId="2" borderId="88" xfId="8" applyNumberFormat="1" applyFont="1" applyBorder="1" applyAlignment="1">
      <alignment horizontal="center" vertical="center" wrapText="1"/>
    </xf>
    <xf numFmtId="164" fontId="107" fillId="2" borderId="97" xfId="8" applyNumberFormat="1" applyFont="1" applyBorder="1" applyAlignment="1">
      <alignment horizontal="center" vertical="center" wrapText="1"/>
    </xf>
    <xf numFmtId="164" fontId="107" fillId="2" borderId="94" xfId="8" applyNumberFormat="1" applyFont="1" applyBorder="1" applyAlignment="1" applyProtection="1">
      <alignment vertical="center"/>
    </xf>
    <xf numFmtId="164" fontId="31" fillId="24" borderId="68" xfId="0" applyNumberFormat="1" applyFont="1" applyFill="1" applyBorder="1" applyAlignment="1">
      <alignment horizontal="center" vertical="center"/>
    </xf>
    <xf numFmtId="175" fontId="0" fillId="9" borderId="0" xfId="0" applyNumberFormat="1" applyFill="1"/>
    <xf numFmtId="0" fontId="0" fillId="50" borderId="0" xfId="0" applyFill="1"/>
    <xf numFmtId="0" fontId="0" fillId="18" borderId="0" xfId="0" applyFill="1"/>
    <xf numFmtId="0" fontId="0" fillId="14" borderId="0" xfId="0" applyFill="1"/>
    <xf numFmtId="164" fontId="0" fillId="14" borderId="0" xfId="0" applyNumberFormat="1" applyFill="1" applyBorder="1"/>
    <xf numFmtId="164" fontId="0" fillId="14" borderId="0" xfId="0" applyNumberFormat="1" applyFill="1"/>
    <xf numFmtId="164" fontId="34" fillId="11" borderId="0" xfId="0" applyNumberFormat="1" applyFont="1" applyFill="1" applyBorder="1"/>
    <xf numFmtId="164" fontId="107" fillId="2" borderId="122" xfId="8" applyNumberFormat="1" applyFont="1" applyBorder="1" applyAlignment="1">
      <alignment horizontal="center" vertical="center" wrapText="1"/>
    </xf>
    <xf numFmtId="0" fontId="0" fillId="8" borderId="0" xfId="0" applyFill="1"/>
    <xf numFmtId="164" fontId="0" fillId="25" borderId="0" xfId="0" applyNumberFormat="1" applyFill="1" applyBorder="1"/>
    <xf numFmtId="164" fontId="0" fillId="0" borderId="4" xfId="0" applyNumberFormat="1" applyBorder="1"/>
    <xf numFmtId="164" fontId="107" fillId="2" borderId="125" xfId="8" applyNumberFormat="1" applyFont="1" applyBorder="1" applyAlignment="1" applyProtection="1">
      <alignment vertical="center"/>
    </xf>
    <xf numFmtId="164" fontId="115" fillId="36" borderId="126" xfId="6" applyNumberFormat="1" applyFont="1" applyFill="1" applyBorder="1" applyAlignment="1">
      <alignment horizontal="center" vertical="center" wrapText="1"/>
    </xf>
    <xf numFmtId="164" fontId="117" fillId="2" borderId="125" xfId="8" applyNumberFormat="1" applyFont="1" applyBorder="1" applyAlignment="1" applyProtection="1">
      <alignment vertical="center"/>
    </xf>
    <xf numFmtId="164" fontId="107" fillId="2" borderId="127" xfId="8" applyNumberFormat="1" applyFont="1" applyBorder="1" applyAlignment="1" applyProtection="1">
      <alignment vertical="center"/>
    </xf>
    <xf numFmtId="168" fontId="34" fillId="11" borderId="128" xfId="0" applyNumberFormat="1" applyFont="1" applyFill="1" applyBorder="1" applyAlignment="1">
      <alignment vertical="center" wrapText="1"/>
    </xf>
    <xf numFmtId="0" fontId="0" fillId="0" borderId="127" xfId="0" applyBorder="1"/>
    <xf numFmtId="164" fontId="0" fillId="0" borderId="127" xfId="0" applyNumberFormat="1" applyBorder="1"/>
    <xf numFmtId="164" fontId="0" fillId="25" borderId="127" xfId="0" applyNumberFormat="1" applyFill="1" applyBorder="1"/>
    <xf numFmtId="164" fontId="0" fillId="50" borderId="127" xfId="0" applyNumberFormat="1" applyFill="1" applyBorder="1"/>
    <xf numFmtId="164" fontId="0" fillId="0" borderId="129" xfId="0" applyNumberFormat="1" applyBorder="1"/>
    <xf numFmtId="164" fontId="0" fillId="0" borderId="130" xfId="0" applyNumberFormat="1" applyBorder="1"/>
    <xf numFmtId="164" fontId="0" fillId="0" borderId="131" xfId="0" applyNumberFormat="1" applyBorder="1"/>
    <xf numFmtId="164" fontId="115" fillId="36" borderId="132" xfId="6" applyNumberFormat="1" applyFont="1" applyFill="1" applyBorder="1" applyAlignment="1">
      <alignment horizontal="center" vertical="center" wrapText="1"/>
    </xf>
    <xf numFmtId="0" fontId="0" fillId="9" borderId="0" xfId="0" applyFill="1" applyBorder="1"/>
    <xf numFmtId="0" fontId="0" fillId="20" borderId="0" xfId="0" applyFill="1" applyBorder="1"/>
    <xf numFmtId="0" fontId="0" fillId="8" borderId="0" xfId="0" applyFill="1" applyBorder="1"/>
    <xf numFmtId="0" fontId="0" fillId="26" borderId="0" xfId="0" applyFill="1" applyBorder="1"/>
    <xf numFmtId="164" fontId="92" fillId="20" borderId="88" xfId="0" applyNumberFormat="1" applyFont="1" applyFill="1" applyBorder="1"/>
    <xf numFmtId="164" fontId="92" fillId="8" borderId="88" xfId="0" applyNumberFormat="1" applyFont="1" applyFill="1" applyBorder="1"/>
    <xf numFmtId="164" fontId="92" fillId="26" borderId="97" xfId="0" applyNumberFormat="1" applyFont="1" applyFill="1" applyBorder="1"/>
    <xf numFmtId="164" fontId="92" fillId="20" borderId="133" xfId="0" applyNumberFormat="1" applyFont="1" applyFill="1" applyBorder="1"/>
    <xf numFmtId="164" fontId="92" fillId="8" borderId="133" xfId="0" applyNumberFormat="1" applyFont="1" applyFill="1" applyBorder="1"/>
    <xf numFmtId="164" fontId="92" fillId="26" borderId="134" xfId="0" applyNumberFormat="1" applyFont="1" applyFill="1" applyBorder="1"/>
    <xf numFmtId="164" fontId="107" fillId="2" borderId="111" xfId="8" applyNumberFormat="1" applyFont="1" applyBorder="1" applyAlignment="1">
      <alignment horizontal="center" vertical="center" wrapText="1"/>
    </xf>
    <xf numFmtId="164" fontId="92" fillId="9" borderId="122" xfId="0" applyNumberFormat="1" applyFont="1" applyFill="1" applyBorder="1"/>
    <xf numFmtId="164" fontId="92" fillId="9" borderId="135" xfId="0" applyNumberFormat="1" applyFont="1" applyFill="1" applyBorder="1"/>
    <xf numFmtId="164" fontId="55" fillId="18" borderId="101" xfId="6" applyNumberFormat="1" applyFont="1" applyFill="1" applyBorder="1" applyAlignment="1">
      <alignment horizontal="center" vertical="center" wrapText="1"/>
    </xf>
    <xf numFmtId="164" fontId="111" fillId="18" borderId="105" xfId="6" applyNumberFormat="1" applyFont="1" applyFill="1" applyBorder="1" applyAlignment="1">
      <alignment horizontal="center" vertical="center" wrapText="1"/>
    </xf>
    <xf numFmtId="164" fontId="31" fillId="24" borderId="96" xfId="0" applyNumberFormat="1" applyFont="1" applyFill="1" applyBorder="1" applyAlignment="1">
      <alignment horizontal="center" vertical="center" wrapText="1"/>
    </xf>
    <xf numFmtId="2" fontId="0" fillId="9" borderId="0" xfId="0" applyNumberFormat="1" applyFill="1"/>
    <xf numFmtId="164" fontId="0" fillId="15" borderId="0" xfId="0" applyNumberFormat="1" applyFill="1"/>
    <xf numFmtId="164" fontId="0" fillId="18" borderId="0" xfId="0" applyNumberFormat="1" applyFill="1"/>
    <xf numFmtId="164" fontId="55" fillId="18" borderId="101" xfId="6" applyNumberFormat="1" applyFont="1" applyFill="1" applyBorder="1" applyAlignment="1">
      <alignment horizontal="center" vertical="center" wrapText="1"/>
    </xf>
    <xf numFmtId="164" fontId="55" fillId="18" borderId="101" xfId="6" applyNumberFormat="1" applyFont="1" applyFill="1" applyBorder="1" applyAlignment="1">
      <alignment horizontal="center" vertical="center" wrapText="1"/>
    </xf>
    <xf numFmtId="164" fontId="31" fillId="24" borderId="72" xfId="0" applyNumberFormat="1" applyFont="1" applyFill="1" applyBorder="1" applyAlignment="1">
      <alignment horizontal="center" vertical="center" wrapText="1"/>
    </xf>
    <xf numFmtId="164" fontId="92" fillId="9" borderId="139" xfId="0" applyNumberFormat="1" applyFont="1" applyFill="1" applyBorder="1"/>
    <xf numFmtId="164" fontId="92" fillId="20" borderId="139" xfId="0" applyNumberFormat="1" applyFont="1" applyFill="1" applyBorder="1"/>
    <xf numFmtId="164" fontId="92" fillId="8" borderId="139" xfId="0" applyNumberFormat="1" applyFont="1" applyFill="1" applyBorder="1"/>
    <xf numFmtId="164" fontId="92" fillId="26" borderId="140" xfId="0" applyNumberFormat="1" applyFont="1" applyFill="1" applyBorder="1"/>
    <xf numFmtId="164" fontId="111" fillId="36" borderId="141" xfId="6" applyNumberFormat="1" applyFont="1" applyFill="1" applyBorder="1" applyAlignment="1" applyProtection="1">
      <alignment horizontal="center" vertical="center" wrapText="1"/>
    </xf>
    <xf numFmtId="164" fontId="111" fillId="36" borderId="141" xfId="6" applyNumberFormat="1" applyFont="1" applyFill="1" applyBorder="1" applyAlignment="1">
      <alignment horizontal="center" vertical="center" wrapText="1"/>
    </xf>
    <xf numFmtId="164" fontId="111" fillId="36" borderId="142" xfId="6" applyNumberFormat="1" applyFont="1" applyFill="1" applyBorder="1" applyAlignment="1">
      <alignment horizontal="center" vertical="center" wrapText="1"/>
    </xf>
    <xf numFmtId="164" fontId="55" fillId="18" borderId="143" xfId="6" applyNumberFormat="1" applyFont="1" applyFill="1" applyBorder="1" applyAlignment="1">
      <alignment horizontal="center" vertical="center" wrapText="1"/>
    </xf>
    <xf numFmtId="164" fontId="55" fillId="18" borderId="143" xfId="6" applyNumberFormat="1" applyFont="1" applyFill="1" applyBorder="1" applyAlignment="1">
      <alignment vertical="center" wrapText="1"/>
    </xf>
    <xf numFmtId="164" fontId="118" fillId="18" borderId="107" xfId="5" applyNumberFormat="1" applyFont="1" applyFill="1" applyBorder="1" applyAlignment="1" applyProtection="1">
      <alignment horizontal="center" vertical="center" wrapText="1"/>
    </xf>
    <xf numFmtId="164" fontId="21" fillId="18" borderId="107" xfId="5" applyNumberFormat="1" applyFont="1" applyFill="1" applyBorder="1" applyAlignment="1" applyProtection="1">
      <alignment horizontal="center" vertical="center" wrapText="1"/>
    </xf>
    <xf numFmtId="164" fontId="31" fillId="24" borderId="144" xfId="0" applyNumberFormat="1" applyFont="1" applyFill="1" applyBorder="1" applyAlignment="1">
      <alignment vertical="center" wrapText="1"/>
    </xf>
    <xf numFmtId="164" fontId="31" fillId="24" borderId="145" xfId="0" applyNumberFormat="1" applyFont="1" applyFill="1" applyBorder="1" applyAlignment="1">
      <alignment horizontal="center" vertical="center" wrapText="1"/>
    </xf>
    <xf numFmtId="164" fontId="55" fillId="18" borderId="146" xfId="6" applyNumberFormat="1" applyFont="1" applyFill="1" applyBorder="1" applyAlignment="1">
      <alignment horizontal="center" vertical="center" wrapText="1"/>
    </xf>
    <xf numFmtId="164" fontId="55" fillId="18" borderId="39" xfId="6" applyNumberFormat="1" applyFont="1" applyFill="1" applyBorder="1" applyAlignment="1">
      <alignment horizontal="center" vertical="center" wrapText="1"/>
    </xf>
    <xf numFmtId="164" fontId="55" fillId="18" borderId="74" xfId="6" applyNumberFormat="1" applyFont="1" applyFill="1" applyBorder="1" applyAlignment="1">
      <alignment horizontal="center" vertical="center" wrapText="1"/>
    </xf>
    <xf numFmtId="164" fontId="55" fillId="18" borderId="147" xfId="6" applyNumberFormat="1" applyFont="1" applyFill="1" applyBorder="1" applyAlignment="1">
      <alignment horizontal="center" vertical="center" wrapText="1"/>
    </xf>
    <xf numFmtId="164" fontId="55" fillId="18" borderId="75" xfId="6" applyNumberFormat="1" applyFont="1" applyFill="1" applyBorder="1" applyAlignment="1">
      <alignment horizontal="center" vertical="center" wrapText="1"/>
    </xf>
    <xf numFmtId="164" fontId="55" fillId="18" borderId="76" xfId="6" applyNumberFormat="1" applyFont="1" applyFill="1" applyBorder="1" applyAlignment="1">
      <alignment horizontal="center" vertical="center" wrapText="1"/>
    </xf>
    <xf numFmtId="164" fontId="31" fillId="24" borderId="64" xfId="0" applyNumberFormat="1" applyFont="1" applyFill="1" applyBorder="1" applyAlignment="1">
      <alignment horizontal="center" vertical="center" wrapText="1"/>
    </xf>
    <xf numFmtId="164" fontId="31" fillId="24" borderId="77" xfId="0" applyNumberFormat="1" applyFont="1" applyFill="1" applyBorder="1" applyAlignment="1">
      <alignment horizontal="center" vertical="center" wrapText="1"/>
    </xf>
    <xf numFmtId="164" fontId="55" fillId="18" borderId="78" xfId="6" applyNumberFormat="1" applyFont="1" applyFill="1" applyBorder="1" applyAlignment="1">
      <alignment horizontal="center" vertical="center" wrapText="1"/>
    </xf>
    <xf numFmtId="164" fontId="55" fillId="18" borderId="79" xfId="6" applyNumberFormat="1" applyFont="1" applyFill="1" applyBorder="1" applyAlignment="1">
      <alignment horizontal="center" vertical="center" wrapText="1"/>
    </xf>
    <xf numFmtId="164" fontId="55" fillId="11" borderId="0" xfId="6" applyNumberFormat="1" applyFont="1" applyFill="1" applyBorder="1" applyAlignment="1">
      <alignment horizontal="center" vertical="center" wrapText="1"/>
    </xf>
    <xf numFmtId="0" fontId="36" fillId="11" borderId="0" xfId="0" applyFont="1" applyFill="1" applyAlignment="1">
      <alignment horizontal="center"/>
    </xf>
    <xf numFmtId="2" fontId="124" fillId="0" borderId="149" xfId="0" applyNumberFormat="1" applyFont="1" applyBorder="1" applyAlignment="1">
      <alignment horizontal="center" vertical="center" shrinkToFit="1"/>
    </xf>
    <xf numFmtId="2" fontId="55" fillId="18" borderId="74" xfId="6" applyNumberFormat="1" applyFont="1" applyFill="1" applyBorder="1" applyAlignment="1">
      <alignment horizontal="center" vertical="center" wrapText="1"/>
    </xf>
    <xf numFmtId="0" fontId="59" fillId="0" borderId="183" xfId="0" applyFont="1" applyBorder="1" applyAlignment="1">
      <alignment vertical="center"/>
    </xf>
    <xf numFmtId="0" fontId="59" fillId="0" borderId="184" xfId="0" applyFont="1" applyBorder="1" applyAlignment="1">
      <alignment vertical="center"/>
    </xf>
    <xf numFmtId="0" fontId="41" fillId="0" borderId="0" xfId="0" applyFont="1"/>
    <xf numFmtId="164" fontId="41" fillId="0" borderId="0" xfId="0" applyNumberFormat="1" applyFont="1"/>
    <xf numFmtId="0" fontId="122" fillId="0" borderId="0" xfId="0" applyFont="1"/>
    <xf numFmtId="164" fontId="41" fillId="0" borderId="45" xfId="0" applyNumberFormat="1" applyFont="1" applyBorder="1"/>
    <xf numFmtId="164" fontId="41" fillId="0" borderId="46" xfId="0" applyNumberFormat="1" applyFont="1" applyBorder="1"/>
    <xf numFmtId="164" fontId="129" fillId="2" borderId="138" xfId="5" applyNumberFormat="1" applyFont="1" applyFill="1" applyBorder="1" applyAlignment="1" applyProtection="1">
      <alignment vertical="center"/>
    </xf>
    <xf numFmtId="164" fontId="128" fillId="2" borderId="114" xfId="8" applyNumberFormat="1" applyFont="1" applyBorder="1" applyAlignment="1" applyProtection="1">
      <alignment vertical="center"/>
    </xf>
    <xf numFmtId="164" fontId="93" fillId="51" borderId="150" xfId="6" applyNumberFormat="1" applyFont="1" applyFill="1" applyBorder="1" applyAlignment="1">
      <alignment horizontal="center" vertical="center" wrapText="1"/>
    </xf>
    <xf numFmtId="164" fontId="93" fillId="51" borderId="151" xfId="6" applyNumberFormat="1" applyFont="1" applyFill="1" applyBorder="1" applyAlignment="1">
      <alignment horizontal="center" vertical="center" wrapText="1"/>
    </xf>
    <xf numFmtId="168" fontId="120" fillId="11" borderId="115" xfId="0" applyNumberFormat="1" applyFont="1" applyFill="1" applyBorder="1" applyAlignment="1">
      <alignment vertical="center" wrapText="1"/>
    </xf>
    <xf numFmtId="0" fontId="41" fillId="0" borderId="94" xfId="0" applyFont="1" applyBorder="1"/>
    <xf numFmtId="164" fontId="41" fillId="0" borderId="94" xfId="0" applyNumberFormat="1" applyFont="1" applyBorder="1"/>
    <xf numFmtId="164" fontId="41" fillId="25" borderId="94" xfId="0" applyNumberFormat="1" applyFont="1" applyFill="1" applyBorder="1"/>
    <xf numFmtId="164" fontId="41" fillId="50" borderId="94" xfId="0" applyNumberFormat="1" applyFont="1" applyFill="1" applyBorder="1"/>
    <xf numFmtId="164" fontId="41" fillId="0" borderId="116" xfId="0" applyNumberFormat="1" applyFont="1" applyBorder="1"/>
    <xf numFmtId="164" fontId="41" fillId="0" borderId="117" xfId="0" applyNumberFormat="1" applyFont="1" applyBorder="1"/>
    <xf numFmtId="164" fontId="41" fillId="0" borderId="95" xfId="0" applyNumberFormat="1" applyFont="1" applyBorder="1"/>
    <xf numFmtId="164" fontId="128" fillId="2" borderId="88" xfId="8" applyNumberFormat="1" applyFont="1" applyAlignment="1" applyProtection="1">
      <alignment horizontal="center" vertical="center" wrapText="1"/>
    </xf>
    <xf numFmtId="164" fontId="130" fillId="2" borderId="88" xfId="8" applyNumberFormat="1" applyFont="1" applyAlignment="1">
      <alignment horizontal="center" vertical="center" wrapText="1"/>
    </xf>
    <xf numFmtId="0" fontId="41" fillId="0" borderId="0" xfId="0" applyFont="1" applyBorder="1"/>
    <xf numFmtId="164" fontId="41" fillId="0" borderId="0" xfId="0" applyNumberFormat="1" applyFont="1" applyBorder="1"/>
    <xf numFmtId="164" fontId="41" fillId="0" borderId="0" xfId="0" applyNumberFormat="1" applyFont="1" applyFill="1" applyBorder="1"/>
    <xf numFmtId="164" fontId="41" fillId="9" borderId="0" xfId="0" applyNumberFormat="1" applyFont="1" applyFill="1" applyBorder="1"/>
    <xf numFmtId="164" fontId="98" fillId="11" borderId="61" xfId="0" applyNumberFormat="1" applyFont="1" applyFill="1" applyBorder="1" applyAlignment="1"/>
    <xf numFmtId="164" fontId="41" fillId="0" borderId="5" xfId="0" applyNumberFormat="1" applyFont="1" applyBorder="1"/>
    <xf numFmtId="164" fontId="41" fillId="0" borderId="1" xfId="0" applyNumberFormat="1" applyFont="1" applyBorder="1"/>
    <xf numFmtId="164" fontId="41" fillId="0" borderId="31" xfId="0" applyNumberFormat="1" applyFont="1" applyBorder="1"/>
    <xf numFmtId="1" fontId="131" fillId="2" borderId="119" xfId="1" applyNumberFormat="1" applyFont="1" applyBorder="1" applyAlignment="1">
      <alignment horizontal="center" vertical="center"/>
    </xf>
    <xf numFmtId="164" fontId="132" fillId="2" borderId="88" xfId="8" applyNumberFormat="1" applyFont="1" applyAlignment="1">
      <alignment horizontal="center" vertical="center" wrapText="1"/>
    </xf>
    <xf numFmtId="164" fontId="43" fillId="24" borderId="65" xfId="0" applyNumberFormat="1" applyFont="1" applyFill="1" applyBorder="1" applyAlignment="1">
      <alignment horizontal="center" vertical="center"/>
    </xf>
    <xf numFmtId="0" fontId="134" fillId="0" borderId="66" xfId="0" applyFont="1" applyBorder="1" applyAlignment="1">
      <alignment horizontal="center" vertical="center" wrapText="1"/>
    </xf>
    <xf numFmtId="164" fontId="120" fillId="0" borderId="0" xfId="0" applyNumberFormat="1" applyFont="1" applyBorder="1" applyAlignment="1">
      <alignment horizontal="center"/>
    </xf>
    <xf numFmtId="164" fontId="130" fillId="2" borderId="111" xfId="8" applyNumberFormat="1" applyFont="1" applyBorder="1" applyAlignment="1">
      <alignment horizontal="center" vertical="center" wrapText="1"/>
    </xf>
    <xf numFmtId="164" fontId="128" fillId="2" borderId="88" xfId="8" applyNumberFormat="1" applyFont="1" applyBorder="1" applyAlignment="1">
      <alignment horizontal="center" vertical="center" wrapText="1"/>
    </xf>
    <xf numFmtId="175" fontId="128" fillId="2" borderId="88" xfId="8" applyNumberFormat="1" applyFont="1" applyBorder="1" applyAlignment="1">
      <alignment horizontal="center" vertical="center" wrapText="1"/>
    </xf>
    <xf numFmtId="164" fontId="128" fillId="2" borderId="88" xfId="8" applyNumberFormat="1" applyFont="1" applyBorder="1" applyAlignment="1">
      <alignment horizontal="center" vertical="center" wrapText="1" shrinkToFit="1"/>
    </xf>
    <xf numFmtId="164" fontId="128" fillId="2" borderId="88" xfId="8" applyNumberFormat="1" applyFont="1" applyBorder="1"/>
    <xf numFmtId="164" fontId="128" fillId="2" borderId="88" xfId="8" applyNumberFormat="1" applyFont="1" applyBorder="1" applyAlignment="1"/>
    <xf numFmtId="0" fontId="128" fillId="2" borderId="88" xfId="8" applyFont="1" applyBorder="1"/>
    <xf numFmtId="164" fontId="128" fillId="2" borderId="88" xfId="8" applyNumberFormat="1" applyFont="1" applyBorder="1" applyAlignment="1" applyProtection="1">
      <alignment vertical="center"/>
    </xf>
    <xf numFmtId="164" fontId="128" fillId="2" borderId="98" xfId="8" applyNumberFormat="1" applyFont="1" applyBorder="1" applyAlignment="1" applyProtection="1">
      <alignment horizontal="center" vertical="center" wrapText="1"/>
    </xf>
    <xf numFmtId="164" fontId="128" fillId="2" borderId="122" xfId="8" applyNumberFormat="1" applyFont="1" applyBorder="1" applyAlignment="1">
      <alignment horizontal="center" vertical="center" wrapText="1"/>
    </xf>
    <xf numFmtId="164" fontId="128" fillId="2" borderId="99" xfId="8" applyNumberFormat="1" applyFont="1" applyBorder="1" applyAlignment="1" applyProtection="1">
      <alignment horizontal="center" vertical="center" wrapText="1"/>
    </xf>
    <xf numFmtId="164" fontId="128" fillId="2" borderId="100" xfId="8" applyNumberFormat="1" applyFont="1" applyBorder="1" applyAlignment="1" applyProtection="1">
      <alignment horizontal="center" vertical="center" wrapText="1"/>
    </xf>
    <xf numFmtId="164" fontId="128" fillId="2" borderId="97" xfId="8" applyNumberFormat="1" applyFont="1" applyBorder="1" applyAlignment="1">
      <alignment horizontal="center" vertical="center" wrapText="1"/>
    </xf>
    <xf numFmtId="175" fontId="128" fillId="2" borderId="97" xfId="8" applyNumberFormat="1" applyFont="1" applyBorder="1" applyAlignment="1">
      <alignment horizontal="center" vertical="center" wrapText="1"/>
    </xf>
    <xf numFmtId="164" fontId="128" fillId="2" borderId="97" xfId="8" applyNumberFormat="1" applyFont="1" applyBorder="1" applyAlignment="1">
      <alignment horizontal="center" vertical="center" wrapText="1" shrinkToFit="1"/>
    </xf>
    <xf numFmtId="164" fontId="41" fillId="0" borderId="120" xfId="0" applyNumberFormat="1" applyFont="1" applyBorder="1"/>
    <xf numFmtId="164" fontId="128" fillId="2" borderId="97" xfId="8" applyNumberFormat="1" applyFont="1" applyBorder="1"/>
    <xf numFmtId="0" fontId="128" fillId="2" borderId="97" xfId="8" applyFont="1" applyBorder="1"/>
    <xf numFmtId="0" fontId="43" fillId="0" borderId="0" xfId="0" applyFont="1"/>
    <xf numFmtId="164" fontId="43" fillId="0" borderId="0" xfId="0" applyNumberFormat="1" applyFont="1"/>
    <xf numFmtId="164" fontId="43" fillId="0" borderId="45" xfId="0" applyNumberFormat="1" applyFont="1" applyBorder="1"/>
    <xf numFmtId="164" fontId="43" fillId="0" borderId="46" xfId="0" applyNumberFormat="1" applyFont="1" applyBorder="1"/>
    <xf numFmtId="0" fontId="43" fillId="0" borderId="94" xfId="0" applyFont="1" applyBorder="1"/>
    <xf numFmtId="164" fontId="43" fillId="0" borderId="94" xfId="0" applyNumberFormat="1" applyFont="1" applyBorder="1"/>
    <xf numFmtId="164" fontId="43" fillId="25" borderId="94" xfId="0" applyNumberFormat="1" applyFont="1" applyFill="1" applyBorder="1"/>
    <xf numFmtId="164" fontId="43" fillId="50" borderId="94" xfId="0" applyNumberFormat="1" applyFont="1" applyFill="1" applyBorder="1"/>
    <xf numFmtId="164" fontId="43" fillId="0" borderId="116" xfId="0" applyNumberFormat="1" applyFont="1" applyBorder="1"/>
    <xf numFmtId="164" fontId="43" fillId="0" borderId="117" xfId="0" applyNumberFormat="1" applyFont="1" applyBorder="1"/>
    <xf numFmtId="164" fontId="43" fillId="0" borderId="95" xfId="0" applyNumberFormat="1" applyFont="1" applyBorder="1"/>
    <xf numFmtId="0" fontId="43" fillId="0" borderId="0" xfId="0" applyFont="1" applyBorder="1"/>
    <xf numFmtId="164" fontId="43" fillId="0" borderId="0" xfId="0" applyNumberFormat="1" applyFont="1" applyBorder="1"/>
    <xf numFmtId="164" fontId="43" fillId="0" borderId="0" xfId="0" applyNumberFormat="1" applyFont="1" applyFill="1" applyBorder="1"/>
    <xf numFmtId="164" fontId="43" fillId="9" borderId="0" xfId="0" applyNumberFormat="1" applyFont="1" applyFill="1" applyBorder="1"/>
    <xf numFmtId="164" fontId="43" fillId="0" borderId="5" xfId="0" applyNumberFormat="1" applyFont="1" applyBorder="1"/>
    <xf numFmtId="164" fontId="43" fillId="0" borderId="1" xfId="0" applyNumberFormat="1" applyFont="1" applyBorder="1"/>
    <xf numFmtId="164" fontId="43" fillId="0" borderId="31" xfId="0" applyNumberFormat="1" applyFont="1" applyBorder="1"/>
    <xf numFmtId="164" fontId="120" fillId="0" borderId="0" xfId="0" applyNumberFormat="1" applyFont="1"/>
    <xf numFmtId="164" fontId="43" fillId="0" borderId="120" xfId="0" applyNumberFormat="1" applyFont="1" applyBorder="1"/>
    <xf numFmtId="164" fontId="133" fillId="24" borderId="65" xfId="0" applyNumberFormat="1" applyFont="1" applyFill="1" applyBorder="1" applyAlignment="1">
      <alignment horizontal="center" vertical="center" wrapText="1"/>
    </xf>
    <xf numFmtId="164" fontId="133" fillId="24" borderId="65" xfId="0" applyNumberFormat="1" applyFont="1" applyFill="1" applyBorder="1" applyAlignment="1">
      <alignment horizontal="center" vertical="center"/>
    </xf>
    <xf numFmtId="164" fontId="133" fillId="24" borderId="66" xfId="0" applyNumberFormat="1" applyFont="1" applyFill="1" applyBorder="1" applyAlignment="1">
      <alignment horizontal="center" vertical="center"/>
    </xf>
    <xf numFmtId="164" fontId="133" fillId="24" borderId="69" xfId="0" applyNumberFormat="1" applyFont="1" applyFill="1" applyBorder="1" applyAlignment="1">
      <alignment horizontal="center" vertical="center"/>
    </xf>
    <xf numFmtId="164" fontId="133" fillId="24" borderId="70" xfId="0" applyNumberFormat="1" applyFont="1" applyFill="1" applyBorder="1" applyAlignment="1">
      <alignment horizontal="center" vertical="center"/>
    </xf>
    <xf numFmtId="164" fontId="133" fillId="24" borderId="71" xfId="0" applyNumberFormat="1" applyFont="1" applyFill="1" applyBorder="1" applyAlignment="1">
      <alignment horizontal="center" vertical="center"/>
    </xf>
    <xf numFmtId="164" fontId="133" fillId="24" borderId="71" xfId="0" applyNumberFormat="1" applyFont="1" applyFill="1" applyBorder="1" applyAlignment="1">
      <alignment horizontal="center" vertical="center" wrapText="1"/>
    </xf>
    <xf numFmtId="0" fontId="133" fillId="0" borderId="71" xfId="0" applyFont="1" applyBorder="1" applyAlignment="1">
      <alignment horizontal="center" vertical="center"/>
    </xf>
    <xf numFmtId="164" fontId="133" fillId="0" borderId="71" xfId="0" applyNumberFormat="1" applyFont="1" applyBorder="1" applyAlignment="1">
      <alignment horizontal="center" vertical="center"/>
    </xf>
    <xf numFmtId="164" fontId="130" fillId="2" borderId="123" xfId="8" applyNumberFormat="1" applyFont="1" applyBorder="1" applyAlignment="1">
      <alignment horizontal="center" vertical="center" wrapText="1"/>
    </xf>
    <xf numFmtId="164" fontId="128" fillId="2" borderId="124" xfId="8" applyNumberFormat="1" applyFont="1" applyBorder="1" applyAlignment="1">
      <alignment horizontal="center" vertical="center" wrapText="1"/>
    </xf>
    <xf numFmtId="175" fontId="128" fillId="2" borderId="124" xfId="8" applyNumberFormat="1" applyFont="1" applyBorder="1" applyAlignment="1">
      <alignment horizontal="center" vertical="center" wrapText="1"/>
    </xf>
    <xf numFmtId="164" fontId="128" fillId="2" borderId="124" xfId="8" applyNumberFormat="1" applyFont="1" applyBorder="1" applyAlignment="1">
      <alignment horizontal="center" vertical="center" wrapText="1" shrinkToFit="1"/>
    </xf>
    <xf numFmtId="164" fontId="128" fillId="2" borderId="124" xfId="8" applyNumberFormat="1" applyFont="1" applyBorder="1"/>
    <xf numFmtId="164" fontId="128" fillId="2" borderId="124" xfId="8" applyNumberFormat="1" applyFont="1" applyBorder="1" applyAlignment="1"/>
    <xf numFmtId="0" fontId="128" fillId="2" borderId="124" xfId="8" applyFont="1" applyBorder="1"/>
    <xf numFmtId="164" fontId="133" fillId="24" borderId="145" xfId="0" applyNumberFormat="1" applyFont="1" applyFill="1" applyBorder="1" applyAlignment="1">
      <alignment horizontal="center" vertical="center" wrapText="1"/>
    </xf>
    <xf numFmtId="0" fontId="94" fillId="0" borderId="0" xfId="0" applyFont="1"/>
    <xf numFmtId="164" fontId="130" fillId="2" borderId="114" xfId="8" applyNumberFormat="1" applyFont="1" applyBorder="1" applyAlignment="1" applyProtection="1">
      <alignment vertical="center"/>
    </xf>
    <xf numFmtId="164" fontId="137" fillId="51" borderId="150" xfId="6" applyNumberFormat="1" applyFont="1" applyFill="1" applyBorder="1" applyAlignment="1">
      <alignment horizontal="center" vertical="center" wrapText="1"/>
    </xf>
    <xf numFmtId="164" fontId="137" fillId="51" borderId="151" xfId="6" applyNumberFormat="1" applyFont="1" applyFill="1" applyBorder="1" applyAlignment="1">
      <alignment horizontal="center" vertical="center" wrapText="1"/>
    </xf>
    <xf numFmtId="168" fontId="134" fillId="11" borderId="115" xfId="0" applyNumberFormat="1" applyFont="1" applyFill="1" applyBorder="1" applyAlignment="1">
      <alignment vertical="center" wrapText="1"/>
    </xf>
    <xf numFmtId="0" fontId="94" fillId="0" borderId="94" xfId="0" applyFont="1" applyBorder="1"/>
    <xf numFmtId="164" fontId="94" fillId="0" borderId="94" xfId="0" applyNumberFormat="1" applyFont="1" applyBorder="1"/>
    <xf numFmtId="164" fontId="94" fillId="25" borderId="94" xfId="0" applyNumberFormat="1" applyFont="1" applyFill="1" applyBorder="1"/>
    <xf numFmtId="164" fontId="94" fillId="50" borderId="94" xfId="0" applyNumberFormat="1" applyFont="1" applyFill="1" applyBorder="1"/>
    <xf numFmtId="164" fontId="94" fillId="0" borderId="116" xfId="0" applyNumberFormat="1" applyFont="1" applyBorder="1"/>
    <xf numFmtId="164" fontId="94" fillId="0" borderId="117" xfId="0" applyNumberFormat="1" applyFont="1" applyBorder="1"/>
    <xf numFmtId="164" fontId="94" fillId="0" borderId="95" xfId="0" applyNumberFormat="1" applyFont="1" applyBorder="1"/>
    <xf numFmtId="164" fontId="130" fillId="2" borderId="88" xfId="8" applyNumberFormat="1" applyFont="1" applyAlignment="1" applyProtection="1">
      <alignment horizontal="center" vertical="center" wrapText="1"/>
    </xf>
    <xf numFmtId="164" fontId="130" fillId="2" borderId="88" xfId="8" applyNumberFormat="1" applyFont="1" applyBorder="1" applyAlignment="1">
      <alignment vertical="center"/>
    </xf>
    <xf numFmtId="164" fontId="130" fillId="2" borderId="136" xfId="8" applyNumberFormat="1" applyFont="1" applyBorder="1" applyAlignment="1">
      <alignment vertical="center"/>
    </xf>
    <xf numFmtId="0" fontId="94" fillId="0" borderId="0" xfId="0" applyFont="1" applyBorder="1"/>
    <xf numFmtId="164" fontId="94" fillId="0" borderId="0" xfId="0" applyNumberFormat="1" applyFont="1" applyBorder="1"/>
    <xf numFmtId="164" fontId="94" fillId="0" borderId="0" xfId="0" applyNumberFormat="1" applyFont="1" applyFill="1" applyBorder="1"/>
    <xf numFmtId="164" fontId="94" fillId="9" borderId="0" xfId="0" applyNumberFormat="1" applyFont="1" applyFill="1" applyBorder="1"/>
    <xf numFmtId="164" fontId="134" fillId="11" borderId="61" xfId="0" applyNumberFormat="1" applyFont="1" applyFill="1" applyBorder="1" applyAlignment="1"/>
    <xf numFmtId="164" fontId="94" fillId="0" borderId="5" xfId="0" applyNumberFormat="1" applyFont="1" applyBorder="1"/>
    <xf numFmtId="164" fontId="94" fillId="0" borderId="1" xfId="0" applyNumberFormat="1" applyFont="1" applyBorder="1"/>
    <xf numFmtId="164" fontId="94" fillId="0" borderId="31" xfId="0" applyNumberFormat="1" applyFont="1" applyBorder="1"/>
    <xf numFmtId="1" fontId="139" fillId="2" borderId="119" xfId="1" applyNumberFormat="1" applyFont="1" applyBorder="1" applyAlignment="1">
      <alignment horizontal="center" vertical="center"/>
    </xf>
    <xf numFmtId="164" fontId="130" fillId="2" borderId="137" xfId="8" applyNumberFormat="1" applyFont="1" applyBorder="1" applyAlignment="1">
      <alignment vertical="center"/>
    </xf>
    <xf numFmtId="164" fontId="94" fillId="0" borderId="0" xfId="0" applyNumberFormat="1" applyFont="1"/>
    <xf numFmtId="164" fontId="134" fillId="24" borderId="96" xfId="0" applyNumberFormat="1" applyFont="1" applyFill="1" applyBorder="1" applyAlignment="1">
      <alignment horizontal="center" vertical="center"/>
    </xf>
    <xf numFmtId="164" fontId="134" fillId="24" borderId="65" xfId="0" applyNumberFormat="1" applyFont="1" applyFill="1" applyBorder="1" applyAlignment="1">
      <alignment horizontal="center" vertical="center"/>
    </xf>
    <xf numFmtId="164" fontId="134" fillId="24" borderId="63" xfId="0" applyNumberFormat="1" applyFont="1" applyFill="1" applyBorder="1" applyAlignment="1">
      <alignment horizontal="center" vertical="center" wrapText="1"/>
    </xf>
    <xf numFmtId="164" fontId="134" fillId="24" borderId="63" xfId="0" applyNumberFormat="1" applyFont="1" applyFill="1" applyBorder="1" applyAlignment="1">
      <alignment horizontal="center" vertical="center"/>
    </xf>
    <xf numFmtId="164" fontId="134" fillId="24" borderId="68" xfId="0" applyNumberFormat="1" applyFont="1" applyFill="1" applyBorder="1" applyAlignment="1">
      <alignment horizontal="center" vertical="center"/>
    </xf>
    <xf numFmtId="164" fontId="134" fillId="24" borderId="64" xfId="0" applyNumberFormat="1" applyFont="1" applyFill="1" applyBorder="1" applyAlignment="1">
      <alignment horizontal="center" vertical="center"/>
    </xf>
    <xf numFmtId="164" fontId="134" fillId="24" borderId="62" xfId="0" applyNumberFormat="1" applyFont="1" applyFill="1" applyBorder="1" applyAlignment="1">
      <alignment horizontal="center" vertical="center"/>
    </xf>
    <xf numFmtId="164" fontId="134" fillId="24" borderId="59" xfId="0" applyNumberFormat="1" applyFont="1" applyFill="1" applyBorder="1" applyAlignment="1">
      <alignment horizontal="center" vertical="center"/>
    </xf>
    <xf numFmtId="164" fontId="134" fillId="24" borderId="59" xfId="0" applyNumberFormat="1" applyFont="1" applyFill="1" applyBorder="1" applyAlignment="1">
      <alignment horizontal="center" vertical="center" wrapText="1"/>
    </xf>
    <xf numFmtId="0" fontId="94" fillId="0" borderId="59" xfId="0" applyFont="1" applyBorder="1" applyAlignment="1">
      <alignment horizontal="center" vertical="center"/>
    </xf>
    <xf numFmtId="164" fontId="94" fillId="0" borderId="59" xfId="0" applyNumberFormat="1" applyFont="1" applyBorder="1" applyAlignment="1">
      <alignment horizontal="center" vertical="center"/>
    </xf>
    <xf numFmtId="164" fontId="134" fillId="0" borderId="0" xfId="0" applyNumberFormat="1" applyFont="1" applyBorder="1" applyAlignment="1">
      <alignment horizontal="center"/>
    </xf>
    <xf numFmtId="164" fontId="130" fillId="2" borderId="88" xfId="8" applyNumberFormat="1" applyFont="1" applyBorder="1" applyAlignment="1">
      <alignment horizontal="center" vertical="center" wrapText="1"/>
    </xf>
    <xf numFmtId="175" fontId="130" fillId="2" borderId="88" xfId="8" applyNumberFormat="1" applyFont="1" applyBorder="1" applyAlignment="1">
      <alignment horizontal="center" vertical="center" wrapText="1"/>
    </xf>
    <xf numFmtId="164" fontId="130" fillId="2" borderId="88" xfId="8" applyNumberFormat="1" applyFont="1" applyBorder="1" applyAlignment="1">
      <alignment horizontal="center" vertical="center" wrapText="1" shrinkToFit="1"/>
    </xf>
    <xf numFmtId="164" fontId="130" fillId="2" borderId="88" xfId="8" applyNumberFormat="1" applyFont="1" applyBorder="1"/>
    <xf numFmtId="164" fontId="130" fillId="2" borderId="88" xfId="8" applyNumberFormat="1" applyFont="1" applyBorder="1" applyAlignment="1"/>
    <xf numFmtId="0" fontId="130" fillId="2" borderId="88" xfId="8" applyFont="1" applyBorder="1"/>
    <xf numFmtId="164" fontId="130" fillId="2" borderId="88" xfId="8" applyNumberFormat="1" applyFont="1" applyBorder="1" applyAlignment="1" applyProtection="1">
      <alignment vertical="center"/>
    </xf>
    <xf numFmtId="164" fontId="130" fillId="2" borderId="98" xfId="8" applyNumberFormat="1" applyFont="1" applyBorder="1" applyAlignment="1" applyProtection="1">
      <alignment horizontal="center" vertical="center" wrapText="1"/>
    </xf>
    <xf numFmtId="164" fontId="130" fillId="2" borderId="122" xfId="8" applyNumberFormat="1" applyFont="1" applyBorder="1" applyAlignment="1">
      <alignment horizontal="center" vertical="center" wrapText="1"/>
    </xf>
    <xf numFmtId="164" fontId="130" fillId="2" borderId="99" xfId="8" applyNumberFormat="1" applyFont="1" applyBorder="1" applyAlignment="1" applyProtection="1">
      <alignment horizontal="center" vertical="center" wrapText="1"/>
    </xf>
    <xf numFmtId="164" fontId="130" fillId="2" borderId="100" xfId="8" applyNumberFormat="1" applyFont="1" applyBorder="1" applyAlignment="1" applyProtection="1">
      <alignment horizontal="center" vertical="center" wrapText="1"/>
    </xf>
    <xf numFmtId="164" fontId="130" fillId="2" borderId="97" xfId="8" applyNumberFormat="1" applyFont="1" applyBorder="1" applyAlignment="1">
      <alignment horizontal="center" vertical="center" wrapText="1"/>
    </xf>
    <xf numFmtId="175" fontId="130" fillId="2" borderId="97" xfId="8" applyNumberFormat="1" applyFont="1" applyBorder="1" applyAlignment="1">
      <alignment horizontal="center" vertical="center" wrapText="1"/>
    </xf>
    <xf numFmtId="164" fontId="130" fillId="2" borderId="97" xfId="8" applyNumberFormat="1" applyFont="1" applyBorder="1" applyAlignment="1">
      <alignment horizontal="center" vertical="center" wrapText="1" shrinkToFit="1"/>
    </xf>
    <xf numFmtId="164" fontId="94" fillId="0" borderId="120" xfId="0" applyNumberFormat="1" applyFont="1" applyBorder="1"/>
    <xf numFmtId="164" fontId="130" fillId="2" borderId="97" xfId="8" applyNumberFormat="1" applyFont="1" applyBorder="1"/>
    <xf numFmtId="0" fontId="130" fillId="2" borderId="97" xfId="8" applyFont="1" applyBorder="1"/>
    <xf numFmtId="164" fontId="140" fillId="2" borderId="138" xfId="5" applyNumberFormat="1" applyFont="1" applyFill="1" applyBorder="1" applyAlignment="1" applyProtection="1">
      <alignment vertical="center"/>
    </xf>
    <xf numFmtId="164" fontId="136" fillId="2" borderId="114" xfId="8" applyNumberFormat="1" applyFont="1" applyBorder="1" applyAlignment="1" applyProtection="1">
      <alignment vertical="center"/>
    </xf>
    <xf numFmtId="164" fontId="135" fillId="51" borderId="150" xfId="6" applyNumberFormat="1" applyFont="1" applyFill="1" applyBorder="1" applyAlignment="1">
      <alignment horizontal="center" vertical="center" wrapText="1"/>
    </xf>
    <xf numFmtId="164" fontId="135" fillId="51" borderId="151" xfId="6" applyNumberFormat="1" applyFont="1" applyFill="1" applyBorder="1" applyAlignment="1">
      <alignment horizontal="center" vertical="center" wrapText="1"/>
    </xf>
    <xf numFmtId="164" fontId="136" fillId="2" borderId="88" xfId="8" applyNumberFormat="1" applyFont="1" applyAlignment="1" applyProtection="1">
      <alignment horizontal="center" vertical="center" wrapText="1"/>
    </xf>
    <xf numFmtId="164" fontId="136" fillId="2" borderId="88" xfId="8" applyNumberFormat="1" applyFont="1" applyAlignment="1">
      <alignment horizontal="center" vertical="center" wrapText="1"/>
    </xf>
    <xf numFmtId="164" fontId="43" fillId="11" borderId="61" xfId="0" applyNumberFormat="1" applyFont="1" applyFill="1" applyBorder="1" applyAlignment="1"/>
    <xf numFmtId="1" fontId="141" fillId="2" borderId="119" xfId="1" applyNumberFormat="1" applyFont="1" applyBorder="1" applyAlignment="1">
      <alignment horizontal="center" vertical="center"/>
    </xf>
    <xf numFmtId="164" fontId="43" fillId="24" borderId="65" xfId="0" applyNumberFormat="1" applyFont="1" applyFill="1" applyBorder="1" applyAlignment="1">
      <alignment horizontal="center" vertical="center" wrapText="1"/>
    </xf>
    <xf numFmtId="164" fontId="43" fillId="24" borderId="66" xfId="0" applyNumberFormat="1" applyFont="1" applyFill="1" applyBorder="1" applyAlignment="1">
      <alignment horizontal="center" vertical="center"/>
    </xf>
    <xf numFmtId="164" fontId="43" fillId="24" borderId="69" xfId="0" applyNumberFormat="1" applyFont="1" applyFill="1" applyBorder="1" applyAlignment="1">
      <alignment horizontal="center" vertical="center"/>
    </xf>
    <xf numFmtId="164" fontId="43" fillId="24" borderId="70" xfId="0" applyNumberFormat="1" applyFont="1" applyFill="1" applyBorder="1" applyAlignment="1">
      <alignment horizontal="center" vertical="center"/>
    </xf>
    <xf numFmtId="164" fontId="43" fillId="24" borderId="71" xfId="0" applyNumberFormat="1" applyFont="1" applyFill="1" applyBorder="1" applyAlignment="1">
      <alignment horizontal="center" vertical="center"/>
    </xf>
    <xf numFmtId="164" fontId="43" fillId="24" borderId="71" xfId="0" applyNumberFormat="1" applyFont="1" applyFill="1" applyBorder="1" applyAlignment="1">
      <alignment horizontal="center" vertical="center" wrapText="1"/>
    </xf>
    <xf numFmtId="0" fontId="43" fillId="0" borderId="71" xfId="0" applyFont="1" applyBorder="1" applyAlignment="1">
      <alignment horizontal="center" vertical="center"/>
    </xf>
    <xf numFmtId="164" fontId="43" fillId="0" borderId="71" xfId="0" applyNumberFormat="1" applyFont="1" applyBorder="1" applyAlignment="1">
      <alignment horizontal="center" vertical="center"/>
    </xf>
    <xf numFmtId="164" fontId="43" fillId="0" borderId="0" xfId="0" applyNumberFormat="1" applyFont="1" applyBorder="1" applyAlignment="1">
      <alignment horizontal="center"/>
    </xf>
    <xf numFmtId="164" fontId="136" fillId="2" borderId="123" xfId="8" applyNumberFormat="1" applyFont="1" applyBorder="1" applyAlignment="1">
      <alignment horizontal="center" vertical="center" wrapText="1"/>
    </xf>
    <xf numFmtId="164" fontId="136" fillId="2" borderId="124" xfId="8" applyNumberFormat="1" applyFont="1" applyBorder="1" applyAlignment="1">
      <alignment horizontal="center" vertical="center" wrapText="1"/>
    </xf>
    <xf numFmtId="175" fontId="136" fillId="2" borderId="124" xfId="8" applyNumberFormat="1" applyFont="1" applyBorder="1" applyAlignment="1">
      <alignment horizontal="center" vertical="center" wrapText="1"/>
    </xf>
    <xf numFmtId="164" fontId="136" fillId="2" borderId="124" xfId="8" applyNumberFormat="1" applyFont="1" applyBorder="1" applyAlignment="1">
      <alignment horizontal="center" vertical="center" wrapText="1" shrinkToFit="1"/>
    </xf>
    <xf numFmtId="164" fontId="136" fillId="2" borderId="124" xfId="8" applyNumberFormat="1" applyFont="1" applyBorder="1"/>
    <xf numFmtId="164" fontId="136" fillId="2" borderId="124" xfId="8" applyNumberFormat="1" applyFont="1" applyBorder="1" applyAlignment="1"/>
    <xf numFmtId="0" fontId="136" fillId="2" borderId="124" xfId="8" applyFont="1" applyBorder="1"/>
    <xf numFmtId="164" fontId="136" fillId="2" borderId="111" xfId="8" applyNumberFormat="1" applyFont="1" applyBorder="1" applyAlignment="1">
      <alignment horizontal="center" vertical="center" wrapText="1"/>
    </xf>
    <xf numFmtId="164" fontId="136" fillId="2" borderId="88" xfId="8" applyNumberFormat="1" applyFont="1" applyBorder="1" applyAlignment="1">
      <alignment horizontal="center" vertical="center" wrapText="1"/>
    </xf>
    <xf numFmtId="175" fontId="136" fillId="2" borderId="88" xfId="8" applyNumberFormat="1" applyFont="1" applyBorder="1" applyAlignment="1">
      <alignment horizontal="center" vertical="center" wrapText="1"/>
    </xf>
    <xf numFmtId="164" fontId="136" fillId="2" borderId="88" xfId="8" applyNumberFormat="1" applyFont="1" applyBorder="1" applyAlignment="1">
      <alignment horizontal="center" vertical="center" wrapText="1" shrinkToFit="1"/>
    </xf>
    <xf numFmtId="164" fontId="136" fillId="2" borderId="88" xfId="8" applyNumberFormat="1" applyFont="1" applyBorder="1"/>
    <xf numFmtId="164" fontId="136" fillId="2" borderId="88" xfId="8" applyNumberFormat="1" applyFont="1" applyBorder="1" applyAlignment="1"/>
    <xf numFmtId="0" fontId="136" fillId="2" borderId="88" xfId="8" applyFont="1" applyBorder="1"/>
    <xf numFmtId="164" fontId="136" fillId="2" borderId="88" xfId="8" applyNumberFormat="1" applyFont="1" applyBorder="1" applyAlignment="1" applyProtection="1">
      <alignment vertical="center"/>
    </xf>
    <xf numFmtId="164" fontId="136" fillId="2" borderId="98" xfId="8" applyNumberFormat="1" applyFont="1" applyBorder="1" applyAlignment="1" applyProtection="1">
      <alignment horizontal="center" vertical="center" wrapText="1"/>
    </xf>
    <xf numFmtId="164" fontId="136" fillId="2" borderId="122" xfId="8" applyNumberFormat="1" applyFont="1" applyBorder="1" applyAlignment="1">
      <alignment horizontal="center" vertical="center" wrapText="1"/>
    </xf>
    <xf numFmtId="164" fontId="136" fillId="2" borderId="99" xfId="8" applyNumberFormat="1" applyFont="1" applyBorder="1" applyAlignment="1" applyProtection="1">
      <alignment horizontal="center" vertical="center" wrapText="1"/>
    </xf>
    <xf numFmtId="164" fontId="136" fillId="2" borderId="100" xfId="8" applyNumberFormat="1" applyFont="1" applyBorder="1" applyAlignment="1" applyProtection="1">
      <alignment horizontal="center" vertical="center" wrapText="1"/>
    </xf>
    <xf numFmtId="164" fontId="136" fillId="2" borderId="97" xfId="8" applyNumberFormat="1" applyFont="1" applyBorder="1" applyAlignment="1">
      <alignment horizontal="center" vertical="center" wrapText="1"/>
    </xf>
    <xf numFmtId="175" fontId="136" fillId="2" borderId="97" xfId="8" applyNumberFormat="1" applyFont="1" applyBorder="1" applyAlignment="1">
      <alignment horizontal="center" vertical="center" wrapText="1"/>
    </xf>
    <xf numFmtId="164" fontId="136" fillId="2" borderId="97" xfId="8" applyNumberFormat="1" applyFont="1" applyBorder="1" applyAlignment="1">
      <alignment horizontal="center" vertical="center" wrapText="1" shrinkToFit="1"/>
    </xf>
    <xf numFmtId="164" fontId="136" fillId="2" borderId="97" xfId="8" applyNumberFormat="1" applyFont="1" applyBorder="1"/>
    <xf numFmtId="0" fontId="136" fillId="2" borderId="97" xfId="8" applyFont="1" applyBorder="1"/>
    <xf numFmtId="168" fontId="43" fillId="11" borderId="115" xfId="0" applyNumberFormat="1" applyFont="1" applyFill="1" applyBorder="1" applyAlignment="1">
      <alignment vertical="center" wrapText="1"/>
    </xf>
    <xf numFmtId="164" fontId="43" fillId="24" borderId="63" xfId="0" applyNumberFormat="1" applyFont="1" applyFill="1" applyBorder="1" applyAlignment="1">
      <alignment horizontal="center" vertical="center" wrapText="1"/>
    </xf>
    <xf numFmtId="164" fontId="43" fillId="24" borderId="63" xfId="0" applyNumberFormat="1" applyFont="1" applyFill="1" applyBorder="1" applyAlignment="1">
      <alignment horizontal="center" vertical="center"/>
    </xf>
    <xf numFmtId="164" fontId="43" fillId="24" borderId="68" xfId="0" applyNumberFormat="1" applyFont="1" applyFill="1" applyBorder="1" applyAlignment="1">
      <alignment horizontal="center" vertical="center"/>
    </xf>
    <xf numFmtId="164" fontId="43" fillId="24" borderId="64" xfId="0" applyNumberFormat="1" applyFont="1" applyFill="1" applyBorder="1" applyAlignment="1">
      <alignment horizontal="center" vertical="center"/>
    </xf>
    <xf numFmtId="164" fontId="43" fillId="24" borderId="62" xfId="0" applyNumberFormat="1" applyFont="1" applyFill="1" applyBorder="1" applyAlignment="1">
      <alignment horizontal="center" vertical="center"/>
    </xf>
    <xf numFmtId="164" fontId="43" fillId="24" borderId="59" xfId="0" applyNumberFormat="1" applyFont="1" applyFill="1" applyBorder="1" applyAlignment="1">
      <alignment horizontal="center" vertical="center"/>
    </xf>
    <xf numFmtId="164" fontId="43" fillId="24" borderId="59" xfId="0" applyNumberFormat="1" applyFont="1" applyFill="1" applyBorder="1" applyAlignment="1">
      <alignment horizontal="center" vertical="center" wrapText="1"/>
    </xf>
    <xf numFmtId="0" fontId="41" fillId="0" borderId="59" xfId="0" applyFont="1" applyBorder="1" applyAlignment="1">
      <alignment horizontal="center" vertical="center"/>
    </xf>
    <xf numFmtId="164" fontId="41" fillId="0" borderId="59" xfId="0" applyNumberFormat="1" applyFont="1" applyBorder="1" applyAlignment="1">
      <alignment horizontal="center" vertical="center"/>
    </xf>
    <xf numFmtId="0" fontId="43" fillId="0" borderId="59" xfId="0" applyFont="1" applyBorder="1" applyAlignment="1">
      <alignment horizontal="center" vertical="center"/>
    </xf>
    <xf numFmtId="164" fontId="43" fillId="0" borderId="59" xfId="0" applyNumberFormat="1" applyFont="1" applyBorder="1" applyAlignment="1">
      <alignment horizontal="center" vertical="center"/>
    </xf>
    <xf numFmtId="12" fontId="0" fillId="0" borderId="0" xfId="0" applyNumberFormat="1"/>
    <xf numFmtId="177" fontId="83" fillId="2" borderId="182" xfId="1" applyNumberFormat="1" applyFont="1" applyBorder="1" applyAlignment="1">
      <alignment vertical="center"/>
    </xf>
    <xf numFmtId="164" fontId="77" fillId="0" borderId="38" xfId="0" applyNumberFormat="1" applyFont="1" applyBorder="1" applyAlignment="1">
      <alignment vertical="justify" wrapText="1"/>
    </xf>
    <xf numFmtId="164" fontId="77" fillId="0" borderId="45" xfId="0" applyNumberFormat="1" applyFont="1" applyBorder="1" applyAlignment="1">
      <alignment vertical="justify" wrapText="1"/>
    </xf>
    <xf numFmtId="164" fontId="77" fillId="0" borderId="4" xfId="0" applyNumberFormat="1" applyFont="1" applyBorder="1" applyAlignment="1">
      <alignment vertical="justify" wrapText="1"/>
    </xf>
    <xf numFmtId="0" fontId="39" fillId="9" borderId="0" xfId="0" applyFont="1" applyFill="1" applyAlignment="1">
      <alignment horizontal="justify" vertical="justify" wrapText="1"/>
    </xf>
    <xf numFmtId="12" fontId="125" fillId="20" borderId="187" xfId="0" applyNumberFormat="1" applyFont="1" applyFill="1" applyBorder="1" applyAlignment="1" applyProtection="1">
      <alignment vertical="center" shrinkToFit="1"/>
    </xf>
    <xf numFmtId="164" fontId="9" fillId="53" borderId="89" xfId="0" applyNumberFormat="1" applyFont="1" applyFill="1" applyBorder="1" applyAlignment="1" applyProtection="1">
      <alignment horizontal="center" vertical="center" wrapText="1"/>
      <protection hidden="1"/>
    </xf>
    <xf numFmtId="164" fontId="143" fillId="47" borderId="89" xfId="0" applyNumberFormat="1" applyFont="1" applyFill="1" applyBorder="1" applyAlignment="1" applyProtection="1">
      <alignment horizontal="center" vertical="center" wrapText="1"/>
      <protection hidden="1"/>
    </xf>
    <xf numFmtId="164" fontId="143" fillId="53" borderId="89" xfId="0" applyNumberFormat="1" applyFont="1" applyFill="1" applyBorder="1" applyAlignment="1" applyProtection="1">
      <alignment horizontal="center" vertical="center" wrapText="1"/>
      <protection hidden="1"/>
    </xf>
    <xf numFmtId="164" fontId="143" fillId="47" borderId="93" xfId="0" applyNumberFormat="1" applyFont="1" applyFill="1" applyBorder="1" applyAlignment="1" applyProtection="1">
      <alignment horizontal="center" vertical="center" wrapText="1"/>
      <protection hidden="1"/>
    </xf>
    <xf numFmtId="0" fontId="95" fillId="53" borderId="90" xfId="6" applyFont="1" applyFill="1" applyBorder="1" applyAlignment="1" applyProtection="1">
      <alignment horizontal="center" vertical="center" wrapText="1"/>
      <protection hidden="1"/>
    </xf>
    <xf numFmtId="0" fontId="95" fillId="34" borderId="90" xfId="6" applyFont="1" applyFill="1" applyBorder="1" applyAlignment="1" applyProtection="1">
      <alignment horizontal="center" vertical="center" wrapText="1"/>
      <protection hidden="1"/>
    </xf>
    <xf numFmtId="0" fontId="1" fillId="39" borderId="90" xfId="6" applyFont="1" applyFill="1" applyBorder="1" applyAlignment="1" applyProtection="1">
      <alignment horizontal="center" vertical="center" wrapText="1"/>
      <protection hidden="1"/>
    </xf>
    <xf numFmtId="0" fontId="1" fillId="53" borderId="90" xfId="6" applyFont="1" applyFill="1" applyBorder="1" applyAlignment="1" applyProtection="1">
      <alignment horizontal="center" vertical="center" wrapText="1"/>
      <protection hidden="1"/>
    </xf>
    <xf numFmtId="0" fontId="1" fillId="40" borderId="90" xfId="6" applyFont="1" applyFill="1" applyBorder="1" applyAlignment="1" applyProtection="1">
      <alignment horizontal="center" vertical="center" wrapText="1"/>
      <protection hidden="1"/>
    </xf>
    <xf numFmtId="0" fontId="95" fillId="41" borderId="90" xfId="6" applyFont="1" applyFill="1" applyBorder="1" applyAlignment="1" applyProtection="1">
      <alignment horizontal="center" vertical="center" wrapText="1"/>
      <protection hidden="1"/>
    </xf>
    <xf numFmtId="164" fontId="97" fillId="13" borderId="20" xfId="6" applyNumberFormat="1" applyFont="1" applyFill="1" applyBorder="1" applyAlignment="1" applyProtection="1">
      <alignment horizontal="center"/>
      <protection hidden="1"/>
    </xf>
    <xf numFmtId="2" fontId="0" fillId="12" borderId="0" xfId="0" applyNumberFormat="1" applyFill="1"/>
    <xf numFmtId="0" fontId="0" fillId="12" borderId="1" xfId="0" applyFill="1" applyBorder="1"/>
    <xf numFmtId="164" fontId="0" fillId="12" borderId="190" xfId="0" applyNumberFormat="1" applyFill="1" applyBorder="1" applyAlignment="1">
      <alignment vertical="center"/>
    </xf>
    <xf numFmtId="164" fontId="0" fillId="12" borderId="1" xfId="0" applyNumberFormat="1" applyFill="1" applyBorder="1"/>
    <xf numFmtId="164" fontId="0" fillId="12" borderId="1" xfId="0" applyNumberFormat="1" applyFill="1" applyBorder="1" applyAlignment="1">
      <alignment horizontal="center"/>
    </xf>
    <xf numFmtId="0" fontId="0" fillId="12" borderId="1" xfId="0" applyFill="1" applyBorder="1" applyAlignment="1">
      <alignment horizontal="center"/>
    </xf>
    <xf numFmtId="176" fontId="125" fillId="20" borderId="187" xfId="0" applyNumberFormat="1" applyFont="1" applyFill="1" applyBorder="1" applyAlignment="1" applyProtection="1">
      <alignment vertical="center" shrinkToFit="1"/>
    </xf>
    <xf numFmtId="0" fontId="0" fillId="55" borderId="0" xfId="0" applyFill="1"/>
    <xf numFmtId="2" fontId="36" fillId="9" borderId="13" xfId="0" applyNumberFormat="1" applyFont="1" applyFill="1" applyBorder="1" applyAlignment="1">
      <alignment horizontal="center"/>
    </xf>
    <xf numFmtId="0" fontId="36" fillId="9" borderId="1" xfId="0" applyFont="1" applyFill="1" applyBorder="1" applyAlignment="1">
      <alignment horizontal="center"/>
    </xf>
    <xf numFmtId="164" fontId="39" fillId="0" borderId="0" xfId="0" applyNumberFormat="1" applyFont="1" applyAlignment="1">
      <alignment horizontal="justify" vertical="justify" wrapText="1"/>
    </xf>
    <xf numFmtId="164" fontId="43" fillId="0" borderId="0" xfId="0" applyNumberFormat="1" applyFont="1" applyAlignment="1">
      <alignment horizontal="center"/>
    </xf>
    <xf numFmtId="164" fontId="33" fillId="0" borderId="0" xfId="0" applyNumberFormat="1" applyFont="1" applyAlignment="1">
      <alignment horizontal="center"/>
    </xf>
    <xf numFmtId="164" fontId="130" fillId="2" borderId="137" xfId="8" applyNumberFormat="1" applyFont="1" applyBorder="1" applyAlignment="1">
      <alignment horizontal="center" vertical="center"/>
    </xf>
    <xf numFmtId="0" fontId="39" fillId="12" borderId="0" xfId="0" applyFont="1" applyFill="1"/>
    <xf numFmtId="0" fontId="144" fillId="12" borderId="0" xfId="0" applyFont="1" applyFill="1" applyProtection="1">
      <protection hidden="1"/>
    </xf>
    <xf numFmtId="14" fontId="145" fillId="12" borderId="86" xfId="3" applyNumberFormat="1" applyFont="1" applyFill="1" applyAlignment="1" applyProtection="1">
      <alignment horizontal="center"/>
      <protection hidden="1"/>
    </xf>
    <xf numFmtId="0" fontId="146" fillId="12" borderId="0" xfId="0" applyFont="1" applyFill="1" applyAlignment="1" applyProtection="1">
      <alignment horizontal="center"/>
      <protection hidden="1"/>
    </xf>
    <xf numFmtId="0" fontId="148" fillId="12" borderId="0" xfId="5" applyFont="1" applyFill="1" applyAlignment="1" applyProtection="1">
      <protection hidden="1"/>
    </xf>
    <xf numFmtId="0" fontId="94" fillId="12" borderId="0" xfId="0" applyFont="1" applyFill="1" applyProtection="1">
      <protection hidden="1"/>
    </xf>
    <xf numFmtId="0" fontId="39" fillId="12" borderId="0" xfId="0" applyFont="1" applyFill="1" applyProtection="1">
      <protection hidden="1"/>
    </xf>
    <xf numFmtId="169" fontId="39" fillId="32" borderId="0" xfId="0" applyNumberFormat="1" applyFont="1" applyFill="1" applyAlignment="1" applyProtection="1">
      <alignment horizontal="center"/>
      <protection hidden="1"/>
    </xf>
    <xf numFmtId="164" fontId="149" fillId="12" borderId="0" xfId="0" applyNumberFormat="1" applyFont="1" applyFill="1" applyProtection="1">
      <protection hidden="1"/>
    </xf>
    <xf numFmtId="164" fontId="12" fillId="27" borderId="29" xfId="0" applyNumberFormat="1" applyFont="1" applyFill="1" applyBorder="1" applyAlignment="1" applyProtection="1">
      <protection hidden="1"/>
    </xf>
    <xf numFmtId="169" fontId="12" fillId="11" borderId="90" xfId="0" applyNumberFormat="1" applyFont="1" applyFill="1" applyBorder="1" applyAlignment="1" applyProtection="1">
      <alignment horizontal="center"/>
      <protection hidden="1"/>
    </xf>
    <xf numFmtId="0" fontId="151" fillId="24" borderId="89" xfId="4" applyFont="1" applyFill="1" applyBorder="1" applyAlignment="1" applyProtection="1">
      <alignment horizontal="center"/>
      <protection hidden="1"/>
    </xf>
    <xf numFmtId="0" fontId="151" fillId="24" borderId="91" xfId="4" applyFont="1" applyFill="1" applyBorder="1" applyAlignment="1" applyProtection="1">
      <alignment horizontal="center" wrapText="1"/>
      <protection hidden="1"/>
    </xf>
    <xf numFmtId="0" fontId="12" fillId="24" borderId="92" xfId="4" applyFont="1" applyFill="1" applyBorder="1" applyAlignment="1" applyProtection="1">
      <alignment horizontal="center"/>
      <protection hidden="1"/>
    </xf>
    <xf numFmtId="0" fontId="151" fillId="24" borderId="92" xfId="4" applyFont="1" applyFill="1" applyBorder="1" applyAlignment="1" applyProtection="1">
      <alignment horizontal="center"/>
      <protection hidden="1"/>
    </xf>
    <xf numFmtId="0" fontId="151" fillId="25" borderId="89" xfId="4" applyFont="1" applyFill="1" applyBorder="1" applyProtection="1">
      <protection hidden="1"/>
    </xf>
    <xf numFmtId="0" fontId="137" fillId="33" borderId="89" xfId="6" applyFont="1" applyFill="1" applyBorder="1" applyAlignment="1" applyProtection="1">
      <alignment horizontal="center"/>
      <protection hidden="1"/>
    </xf>
    <xf numFmtId="164" fontId="12" fillId="47" borderId="89" xfId="0" applyNumberFormat="1" applyFont="1" applyFill="1" applyBorder="1" applyAlignment="1" applyProtection="1">
      <alignment horizontal="center" vertical="center" wrapText="1"/>
      <protection hidden="1"/>
    </xf>
    <xf numFmtId="169" fontId="12" fillId="47" borderId="90" xfId="0" applyNumberFormat="1" applyFont="1" applyFill="1" applyBorder="1" applyAlignment="1" applyProtection="1">
      <alignment horizontal="center"/>
      <protection hidden="1"/>
    </xf>
    <xf numFmtId="0" fontId="12" fillId="24" borderId="89" xfId="0" applyFont="1" applyFill="1" applyBorder="1" applyProtection="1">
      <protection hidden="1"/>
    </xf>
    <xf numFmtId="0" fontId="151" fillId="15" borderId="89" xfId="4" applyFont="1" applyFill="1" applyBorder="1" applyProtection="1">
      <protection hidden="1"/>
    </xf>
    <xf numFmtId="0" fontId="137" fillId="11" borderId="89" xfId="6" applyFont="1" applyFill="1" applyBorder="1" applyProtection="1">
      <protection hidden="1"/>
    </xf>
    <xf numFmtId="0" fontId="94" fillId="46" borderId="18" xfId="0" applyFont="1" applyFill="1" applyBorder="1" applyProtection="1">
      <protection hidden="1"/>
    </xf>
    <xf numFmtId="0" fontId="94" fillId="46" borderId="4" xfId="0" applyFont="1" applyFill="1" applyBorder="1" applyProtection="1">
      <protection hidden="1"/>
    </xf>
    <xf numFmtId="0" fontId="134" fillId="46" borderId="19" xfId="0" applyFont="1" applyFill="1" applyBorder="1" applyAlignment="1" applyProtection="1">
      <alignment horizontal="center"/>
      <protection hidden="1"/>
    </xf>
    <xf numFmtId="0" fontId="137" fillId="34" borderId="89" xfId="6" applyFont="1" applyFill="1" applyBorder="1" applyAlignment="1" applyProtection="1">
      <alignment horizontal="center"/>
      <protection hidden="1"/>
    </xf>
    <xf numFmtId="0" fontId="137" fillId="36" borderId="89" xfId="6" applyFont="1" applyFill="1" applyBorder="1" applyAlignment="1" applyProtection="1">
      <alignment horizontal="center"/>
      <protection hidden="1"/>
    </xf>
    <xf numFmtId="0" fontId="94" fillId="46" borderId="22" xfId="0" applyFont="1" applyFill="1" applyBorder="1" applyProtection="1">
      <protection hidden="1"/>
    </xf>
    <xf numFmtId="0" fontId="94" fillId="46" borderId="5" xfId="0" applyFont="1" applyFill="1" applyBorder="1" applyProtection="1">
      <protection hidden="1"/>
    </xf>
    <xf numFmtId="0" fontId="134" fillId="46" borderId="15" xfId="0" applyFont="1" applyFill="1" applyBorder="1" applyAlignment="1" applyProtection="1">
      <alignment horizontal="center"/>
      <protection hidden="1"/>
    </xf>
    <xf numFmtId="0" fontId="137" fillId="37" borderId="89" xfId="6" applyFont="1" applyFill="1" applyBorder="1" applyAlignment="1" applyProtection="1">
      <alignment horizontal="center"/>
      <protection hidden="1"/>
    </xf>
    <xf numFmtId="0" fontId="137" fillId="38" borderId="89" xfId="6" applyFont="1" applyFill="1" applyBorder="1" applyAlignment="1" applyProtection="1">
      <alignment horizontal="center"/>
      <protection hidden="1"/>
    </xf>
    <xf numFmtId="0" fontId="12" fillId="39" borderId="89" xfId="6" applyFont="1" applyFill="1" applyBorder="1" applyAlignment="1" applyProtection="1">
      <alignment horizontal="center"/>
      <protection hidden="1"/>
    </xf>
    <xf numFmtId="0" fontId="12" fillId="40" borderId="89" xfId="6" applyFont="1" applyFill="1" applyBorder="1" applyAlignment="1" applyProtection="1">
      <alignment horizontal="center"/>
      <protection hidden="1"/>
    </xf>
    <xf numFmtId="0" fontId="152" fillId="37" borderId="89" xfId="6" applyFont="1" applyFill="1" applyBorder="1" applyAlignment="1" applyProtection="1">
      <alignment horizontal="center"/>
      <protection hidden="1"/>
    </xf>
    <xf numFmtId="0" fontId="12" fillId="40" borderId="89" xfId="6" applyFont="1" applyFill="1" applyBorder="1" applyAlignment="1" applyProtection="1">
      <alignment horizontal="center" vertical="justify"/>
      <protection hidden="1"/>
    </xf>
    <xf numFmtId="0" fontId="137" fillId="41" borderId="89" xfId="6" applyFont="1" applyFill="1" applyBorder="1" applyAlignment="1" applyProtection="1">
      <alignment horizontal="center"/>
      <protection hidden="1"/>
    </xf>
    <xf numFmtId="0" fontId="94" fillId="11" borderId="193" xfId="0" applyFont="1" applyFill="1" applyBorder="1" applyProtection="1">
      <protection hidden="1"/>
    </xf>
    <xf numFmtId="173" fontId="12" fillId="43" borderId="89" xfId="0" applyNumberFormat="1" applyFont="1" applyFill="1" applyBorder="1" applyAlignment="1" applyProtection="1">
      <alignment horizontal="center" vertical="center" wrapText="1"/>
      <protection hidden="1"/>
    </xf>
    <xf numFmtId="0" fontId="12" fillId="7" borderId="89" xfId="6" applyFont="1" applyFill="1" applyBorder="1" applyAlignment="1" applyProtection="1">
      <alignment horizontal="center"/>
      <protection hidden="1"/>
    </xf>
    <xf numFmtId="165" fontId="12" fillId="47" borderId="90" xfId="0" applyNumberFormat="1" applyFont="1" applyFill="1" applyBorder="1" applyProtection="1">
      <protection hidden="1"/>
    </xf>
    <xf numFmtId="165" fontId="153" fillId="25" borderId="4" xfId="0" applyNumberFormat="1" applyFont="1" applyFill="1" applyBorder="1" applyProtection="1">
      <protection hidden="1"/>
    </xf>
    <xf numFmtId="165" fontId="153" fillId="25" borderId="0" xfId="0" applyNumberFormat="1" applyFont="1" applyFill="1" applyBorder="1" applyProtection="1">
      <protection hidden="1"/>
    </xf>
    <xf numFmtId="164" fontId="94" fillId="12" borderId="0" xfId="0" applyNumberFormat="1" applyFont="1" applyFill="1" applyProtection="1">
      <protection hidden="1"/>
    </xf>
    <xf numFmtId="0" fontId="151" fillId="25" borderId="93" xfId="4" applyFont="1" applyFill="1" applyBorder="1" applyProtection="1">
      <protection hidden="1"/>
    </xf>
    <xf numFmtId="0" fontId="137" fillId="45" borderId="93" xfId="6" applyFont="1" applyFill="1" applyBorder="1" applyAlignment="1" applyProtection="1">
      <alignment horizontal="center"/>
      <protection hidden="1"/>
    </xf>
    <xf numFmtId="164" fontId="12" fillId="47" borderId="93" xfId="0" applyNumberFormat="1" applyFont="1" applyFill="1" applyBorder="1" applyAlignment="1" applyProtection="1">
      <alignment horizontal="center" vertical="center" wrapText="1"/>
      <protection hidden="1"/>
    </xf>
    <xf numFmtId="0" fontId="154" fillId="5" borderId="87" xfId="7" applyFont="1" applyAlignment="1" applyProtection="1">
      <alignment horizontal="center" vertical="center" wrapText="1"/>
      <protection hidden="1"/>
    </xf>
    <xf numFmtId="1" fontId="111" fillId="11" borderId="84" xfId="6" applyNumberFormat="1" applyFont="1" applyFill="1" applyAlignment="1" applyProtection="1">
      <alignment horizontal="center" vertical="center" wrapText="1"/>
      <protection hidden="1"/>
    </xf>
    <xf numFmtId="1" fontId="111" fillId="35" borderId="84" xfId="6" applyNumberFormat="1" applyFont="1" applyFill="1" applyAlignment="1" applyProtection="1">
      <alignment horizontal="center" vertical="center" wrapText="1"/>
      <protection hidden="1"/>
    </xf>
    <xf numFmtId="0" fontId="1" fillId="7" borderId="90" xfId="6" applyFont="1" applyFill="1" applyBorder="1" applyAlignment="1" applyProtection="1">
      <alignment horizontal="center" vertical="center" wrapText="1"/>
      <protection hidden="1"/>
    </xf>
    <xf numFmtId="0" fontId="95" fillId="45" borderId="204" xfId="6" applyFont="1" applyFill="1" applyBorder="1" applyAlignment="1" applyProtection="1">
      <alignment horizontal="center" vertical="center" wrapText="1"/>
      <protection hidden="1"/>
    </xf>
    <xf numFmtId="0" fontId="95" fillId="33" borderId="90" xfId="6" applyFont="1" applyFill="1" applyBorder="1" applyAlignment="1" applyProtection="1">
      <alignment horizontal="center" vertical="center" wrapText="1"/>
      <protection hidden="1"/>
    </xf>
    <xf numFmtId="0" fontId="95" fillId="37" borderId="90" xfId="6" applyFont="1" applyFill="1" applyBorder="1" applyAlignment="1" applyProtection="1">
      <alignment horizontal="center" vertical="center" wrapText="1"/>
      <protection hidden="1"/>
    </xf>
    <xf numFmtId="0" fontId="95" fillId="33" borderId="78" xfId="6" applyFont="1" applyFill="1" applyBorder="1" applyAlignment="1" applyProtection="1">
      <alignment horizontal="center" vertical="center" wrapText="1"/>
      <protection hidden="1"/>
    </xf>
    <xf numFmtId="1" fontId="83" fillId="11" borderId="39" xfId="6" applyNumberFormat="1" applyFont="1" applyFill="1" applyBorder="1" applyAlignment="1" applyProtection="1">
      <alignment horizontal="center" vertical="center" wrapText="1"/>
      <protection hidden="1"/>
    </xf>
    <xf numFmtId="164" fontId="9" fillId="47" borderId="74" xfId="0" applyNumberFormat="1" applyFont="1" applyFill="1" applyBorder="1" applyAlignment="1" applyProtection="1">
      <alignment horizontal="center" vertical="center" wrapText="1"/>
      <protection hidden="1"/>
    </xf>
    <xf numFmtId="0" fontId="95" fillId="34" borderId="78" xfId="6" applyFont="1" applyFill="1" applyBorder="1" applyAlignment="1" applyProtection="1">
      <alignment horizontal="center" vertical="center" wrapText="1"/>
      <protection hidden="1"/>
    </xf>
    <xf numFmtId="1" fontId="83" fillId="35" borderId="39" xfId="6" applyNumberFormat="1" applyFont="1" applyFill="1" applyBorder="1" applyAlignment="1" applyProtection="1">
      <alignment horizontal="center" vertical="center" wrapText="1"/>
      <protection hidden="1"/>
    </xf>
    <xf numFmtId="0" fontId="95" fillId="37" borderId="78" xfId="6" applyFont="1" applyFill="1" applyBorder="1" applyAlignment="1" applyProtection="1">
      <alignment horizontal="center" vertical="center" wrapText="1"/>
      <protection hidden="1"/>
    </xf>
    <xf numFmtId="0" fontId="1" fillId="39" borderId="78" xfId="6" applyFont="1" applyFill="1" applyBorder="1" applyAlignment="1" applyProtection="1">
      <alignment horizontal="center" vertical="center" wrapText="1"/>
      <protection hidden="1"/>
    </xf>
    <xf numFmtId="0" fontId="1" fillId="40" borderId="78" xfId="6" applyFont="1" applyFill="1" applyBorder="1" applyAlignment="1" applyProtection="1">
      <alignment horizontal="center" vertical="center" wrapText="1"/>
      <protection hidden="1"/>
    </xf>
    <xf numFmtId="0" fontId="95" fillId="41" borderId="78" xfId="6" applyFont="1" applyFill="1" applyBorder="1" applyAlignment="1" applyProtection="1">
      <alignment horizontal="center" vertical="center" wrapText="1"/>
      <protection hidden="1"/>
    </xf>
    <xf numFmtId="0" fontId="1" fillId="7" borderId="78" xfId="6" applyFont="1" applyFill="1" applyBorder="1" applyAlignment="1" applyProtection="1">
      <alignment horizontal="center" vertical="center" wrapText="1"/>
      <protection hidden="1"/>
    </xf>
    <xf numFmtId="0" fontId="95" fillId="45" borderId="78" xfId="6" applyFont="1" applyFill="1" applyBorder="1" applyAlignment="1" applyProtection="1">
      <alignment horizontal="center" vertical="center" wrapText="1"/>
      <protection hidden="1"/>
    </xf>
    <xf numFmtId="0" fontId="95" fillId="41" borderId="79" xfId="6" applyFont="1" applyFill="1" applyBorder="1" applyAlignment="1" applyProtection="1">
      <alignment horizontal="center" vertical="center" wrapText="1"/>
      <protection hidden="1"/>
    </xf>
    <xf numFmtId="1" fontId="83" fillId="11" borderId="75" xfId="6" applyNumberFormat="1" applyFont="1" applyFill="1" applyBorder="1" applyAlignment="1" applyProtection="1">
      <alignment horizontal="center" vertical="center" wrapText="1"/>
      <protection hidden="1"/>
    </xf>
    <xf numFmtId="164" fontId="9" fillId="47" borderId="76" xfId="0" applyNumberFormat="1" applyFont="1" applyFill="1" applyBorder="1" applyAlignment="1" applyProtection="1">
      <alignment horizontal="center" vertical="center" wrapText="1"/>
      <protection hidden="1"/>
    </xf>
    <xf numFmtId="0" fontId="85" fillId="11" borderId="0" xfId="0" applyFont="1" applyFill="1" applyAlignment="1">
      <alignment horizontal="center" wrapText="1"/>
    </xf>
    <xf numFmtId="0" fontId="86" fillId="0" borderId="189" xfId="0" applyFont="1" applyBorder="1" applyAlignment="1">
      <alignment horizontal="center" vertical="center" wrapText="1"/>
    </xf>
    <xf numFmtId="0" fontId="85" fillId="11" borderId="0" xfId="0" applyFont="1" applyFill="1" applyAlignment="1">
      <alignment wrapText="1"/>
    </xf>
    <xf numFmtId="164" fontId="85" fillId="11" borderId="0" xfId="6" applyNumberFormat="1" applyFont="1" applyFill="1" applyBorder="1" applyAlignment="1">
      <alignment vertical="center" wrapText="1"/>
    </xf>
    <xf numFmtId="164" fontId="162" fillId="11" borderId="0" xfId="6" applyNumberFormat="1" applyFont="1" applyFill="1" applyBorder="1" applyAlignment="1">
      <alignment vertical="center" wrapText="1"/>
    </xf>
    <xf numFmtId="0" fontId="85" fillId="11" borderId="0" xfId="0" applyFont="1" applyFill="1" applyAlignment="1">
      <alignment horizontal="center" wrapText="1"/>
    </xf>
    <xf numFmtId="164" fontId="85" fillId="11" borderId="0" xfId="6" applyNumberFormat="1" applyFont="1" applyFill="1" applyBorder="1" applyAlignment="1">
      <alignment horizontal="center" vertical="center" wrapText="1"/>
    </xf>
    <xf numFmtId="164" fontId="133" fillId="0" borderId="0" xfId="0" applyNumberFormat="1" applyFont="1" applyFill="1" applyBorder="1" applyAlignment="1">
      <alignment horizontal="center" vertical="center" wrapText="1"/>
    </xf>
    <xf numFmtId="1" fontId="111" fillId="0" borderId="0" xfId="6" applyNumberFormat="1" applyFont="1" applyFill="1" applyBorder="1" applyAlignment="1" applyProtection="1">
      <alignment horizontal="center" vertical="center" wrapText="1"/>
      <protection hidden="1"/>
    </xf>
    <xf numFmtId="164" fontId="115" fillId="0" borderId="0" xfId="6" applyNumberFormat="1" applyFont="1" applyFill="1" applyBorder="1" applyAlignment="1">
      <alignment horizontal="center" vertical="center" wrapText="1"/>
    </xf>
    <xf numFmtId="164" fontId="133" fillId="24" borderId="207" xfId="0" applyNumberFormat="1" applyFont="1" applyFill="1" applyBorder="1" applyAlignment="1">
      <alignment horizontal="center" vertical="center" wrapText="1"/>
    </xf>
    <xf numFmtId="1" fontId="111" fillId="11" borderId="84" xfId="6" applyNumberFormat="1" applyFont="1" applyFill="1" applyBorder="1" applyAlignment="1" applyProtection="1">
      <alignment horizontal="center" vertical="center" wrapText="1"/>
      <protection hidden="1"/>
    </xf>
    <xf numFmtId="1" fontId="111" fillId="11" borderId="208" xfId="6" applyNumberFormat="1" applyFont="1" applyFill="1" applyBorder="1" applyAlignment="1" applyProtection="1">
      <alignment horizontal="center" vertical="center" wrapText="1"/>
      <protection hidden="1"/>
    </xf>
    <xf numFmtId="1" fontId="111" fillId="35" borderId="84" xfId="6" applyNumberFormat="1" applyFont="1" applyFill="1" applyBorder="1" applyAlignment="1" applyProtection="1">
      <alignment horizontal="center" vertical="center" wrapText="1"/>
      <protection hidden="1"/>
    </xf>
    <xf numFmtId="1" fontId="111" fillId="35" borderId="208" xfId="6" applyNumberFormat="1" applyFont="1" applyFill="1" applyBorder="1" applyAlignment="1" applyProtection="1">
      <alignment horizontal="center" vertical="center" wrapText="1"/>
      <protection hidden="1"/>
    </xf>
    <xf numFmtId="164" fontId="5" fillId="18" borderId="212" xfId="6" applyNumberFormat="1" applyFont="1" applyFill="1" applyBorder="1" applyAlignment="1">
      <alignment horizontal="center" vertical="center" wrapText="1"/>
    </xf>
    <xf numFmtId="164" fontId="5" fillId="18" borderId="213" xfId="6" applyNumberFormat="1" applyFont="1" applyFill="1" applyBorder="1" applyAlignment="1">
      <alignment horizontal="center" vertical="center" wrapText="1"/>
    </xf>
    <xf numFmtId="2" fontId="5" fillId="18" borderId="214" xfId="6" applyNumberFormat="1" applyFont="1" applyFill="1" applyBorder="1" applyAlignment="1">
      <alignment horizontal="center" vertical="center" wrapText="1"/>
    </xf>
    <xf numFmtId="164" fontId="5" fillId="18" borderId="215" xfId="6" applyNumberFormat="1" applyFont="1" applyFill="1" applyBorder="1" applyAlignment="1">
      <alignment horizontal="center" vertical="center" wrapText="1"/>
    </xf>
    <xf numFmtId="164" fontId="5" fillId="18" borderId="216" xfId="6" applyNumberFormat="1" applyFont="1" applyFill="1" applyBorder="1" applyAlignment="1">
      <alignment horizontal="center" vertical="center" wrapText="1"/>
    </xf>
    <xf numFmtId="2" fontId="5" fillId="18" borderId="217" xfId="6" applyNumberFormat="1" applyFont="1" applyFill="1" applyBorder="1" applyAlignment="1">
      <alignment horizontal="center" vertical="center" wrapText="1"/>
    </xf>
    <xf numFmtId="164" fontId="133" fillId="24" borderId="218" xfId="0" applyNumberFormat="1" applyFont="1" applyFill="1" applyBorder="1" applyAlignment="1">
      <alignment horizontal="center" vertical="center" wrapText="1"/>
    </xf>
    <xf numFmtId="164" fontId="133" fillId="24" borderId="219" xfId="0" applyNumberFormat="1" applyFont="1" applyFill="1" applyBorder="1" applyAlignment="1">
      <alignment horizontal="center" vertical="center" wrapText="1"/>
    </xf>
    <xf numFmtId="164" fontId="133" fillId="24" borderId="220" xfId="0" applyNumberFormat="1" applyFont="1" applyFill="1" applyBorder="1" applyAlignment="1">
      <alignment horizontal="center" vertical="center" wrapText="1"/>
    </xf>
    <xf numFmtId="164" fontId="133" fillId="24" borderId="221" xfId="0" applyNumberFormat="1" applyFont="1" applyFill="1" applyBorder="1" applyAlignment="1">
      <alignment horizontal="center" vertical="center" wrapText="1"/>
    </xf>
    <xf numFmtId="164" fontId="133" fillId="24" borderId="222" xfId="0" applyNumberFormat="1" applyFont="1" applyFill="1" applyBorder="1" applyAlignment="1">
      <alignment horizontal="center" vertical="center" wrapText="1"/>
    </xf>
    <xf numFmtId="0" fontId="31" fillId="0" borderId="63" xfId="0" applyFont="1" applyBorder="1" applyAlignment="1">
      <alignment horizontal="center" vertical="center" wrapText="1"/>
    </xf>
    <xf numFmtId="0" fontId="93" fillId="54" borderId="78" xfId="6" applyFont="1" applyFill="1" applyBorder="1" applyAlignment="1" applyProtection="1">
      <alignment horizontal="center" vertical="center" wrapText="1"/>
      <protection hidden="1"/>
    </xf>
    <xf numFmtId="1" fontId="111" fillId="11" borderId="39" xfId="6" applyNumberFormat="1" applyFont="1" applyFill="1" applyBorder="1" applyAlignment="1" applyProtection="1">
      <alignment horizontal="center" vertical="center" wrapText="1"/>
      <protection hidden="1"/>
    </xf>
    <xf numFmtId="1" fontId="111" fillId="35" borderId="39" xfId="6" applyNumberFormat="1" applyFont="1" applyFill="1" applyBorder="1" applyAlignment="1" applyProtection="1">
      <alignment horizontal="center" vertical="center" wrapText="1"/>
      <protection hidden="1"/>
    </xf>
    <xf numFmtId="164" fontId="0" fillId="10" borderId="0" xfId="0" applyNumberFormat="1" applyFill="1"/>
    <xf numFmtId="164" fontId="142" fillId="48" borderId="186" xfId="0" applyNumberFormat="1" applyFont="1" applyFill="1" applyBorder="1" applyAlignment="1">
      <alignment vertical="center" shrinkToFit="1"/>
    </xf>
    <xf numFmtId="11" fontId="0" fillId="0" borderId="0" xfId="0" applyNumberFormat="1" applyAlignment="1">
      <alignment vertical="center" wrapText="1"/>
    </xf>
    <xf numFmtId="175" fontId="142" fillId="48" borderId="149" xfId="0" applyNumberFormat="1" applyFont="1" applyFill="1" applyBorder="1" applyAlignment="1">
      <alignment vertical="center" shrinkToFit="1"/>
    </xf>
    <xf numFmtId="0" fontId="33" fillId="0" borderId="0" xfId="0" applyFont="1"/>
    <xf numFmtId="0" fontId="31" fillId="0" borderId="0" xfId="0" applyFont="1"/>
    <xf numFmtId="164" fontId="143" fillId="53" borderId="191" xfId="0" applyNumberFormat="1" applyFont="1" applyFill="1" applyBorder="1" applyAlignment="1" applyProtection="1">
      <alignment horizontal="center" vertical="center" wrapText="1"/>
      <protection hidden="1"/>
    </xf>
    <xf numFmtId="164" fontId="143" fillId="47" borderId="191" xfId="0" applyNumberFormat="1" applyFont="1" applyFill="1" applyBorder="1" applyAlignment="1" applyProtection="1">
      <alignment horizontal="center" vertical="center" wrapText="1"/>
      <protection hidden="1"/>
    </xf>
    <xf numFmtId="0" fontId="16" fillId="0" borderId="0" xfId="7" applyFont="1" applyFill="1" applyBorder="1" applyAlignment="1" applyProtection="1">
      <alignment vertical="center" wrapText="1"/>
      <protection hidden="1"/>
    </xf>
    <xf numFmtId="0" fontId="33" fillId="56" borderId="223" xfId="0" applyFont="1" applyFill="1" applyBorder="1" applyAlignment="1">
      <alignment horizontal="center" vertical="center" wrapText="1"/>
    </xf>
    <xf numFmtId="0" fontId="31" fillId="0" borderId="224" xfId="0" applyFont="1" applyBorder="1" applyAlignment="1">
      <alignment horizontal="center" vertical="center" wrapText="1"/>
    </xf>
    <xf numFmtId="0" fontId="165" fillId="58" borderId="8" xfId="0" applyFont="1" applyFill="1" applyBorder="1" applyAlignment="1">
      <alignment horizontal="center" vertical="center" wrapText="1"/>
    </xf>
    <xf numFmtId="0" fontId="31" fillId="57" borderId="13" xfId="0" applyFont="1" applyFill="1" applyBorder="1" applyAlignment="1">
      <alignment horizontal="center" vertical="center" wrapText="1"/>
    </xf>
    <xf numFmtId="164" fontId="91" fillId="9" borderId="13" xfId="0" applyNumberFormat="1" applyFont="1" applyFill="1" applyBorder="1" applyAlignment="1">
      <alignment horizontal="center"/>
    </xf>
    <xf numFmtId="0" fontId="63" fillId="24" borderId="0" xfId="0" applyFont="1" applyFill="1" applyBorder="1" applyAlignment="1"/>
    <xf numFmtId="0" fontId="63" fillId="24" borderId="4" xfId="0" applyFont="1" applyFill="1" applyBorder="1" applyAlignment="1"/>
    <xf numFmtId="0" fontId="36" fillId="11" borderId="227" xfId="0" applyFont="1" applyFill="1" applyBorder="1" applyAlignment="1"/>
    <xf numFmtId="0" fontId="0" fillId="11" borderId="228" xfId="0" applyFill="1" applyBorder="1"/>
    <xf numFmtId="0" fontId="36" fillId="11" borderId="229" xfId="0" applyFont="1" applyFill="1" applyBorder="1" applyAlignment="1"/>
    <xf numFmtId="0" fontId="36" fillId="11" borderId="223" xfId="0" applyFont="1" applyFill="1" applyBorder="1" applyAlignment="1"/>
    <xf numFmtId="0" fontId="0" fillId="11" borderId="223" xfId="0" applyFill="1" applyBorder="1"/>
    <xf numFmtId="0" fontId="0" fillId="11" borderId="230" xfId="0" applyFill="1" applyBorder="1"/>
    <xf numFmtId="0" fontId="43" fillId="11" borderId="223" xfId="0" applyFont="1" applyFill="1" applyBorder="1" applyAlignment="1"/>
    <xf numFmtId="0" fontId="43" fillId="11" borderId="230" xfId="0" applyFont="1" applyFill="1" applyBorder="1" applyAlignment="1"/>
    <xf numFmtId="0" fontId="72" fillId="11" borderId="223" xfId="0" applyFont="1" applyFill="1" applyBorder="1"/>
    <xf numFmtId="0" fontId="36" fillId="11" borderId="230" xfId="0" applyFont="1" applyFill="1" applyBorder="1" applyAlignment="1"/>
    <xf numFmtId="0" fontId="36" fillId="11" borderId="231" xfId="0" applyFont="1" applyFill="1" applyBorder="1" applyAlignment="1"/>
    <xf numFmtId="0" fontId="63" fillId="24" borderId="10" xfId="0" applyFont="1" applyFill="1" applyBorder="1"/>
    <xf numFmtId="0" fontId="36" fillId="11" borderId="0" xfId="0" applyFont="1" applyFill="1" applyBorder="1" applyAlignment="1"/>
    <xf numFmtId="164" fontId="0" fillId="11" borderId="0" xfId="0" applyNumberFormat="1" applyFill="1" applyBorder="1"/>
    <xf numFmtId="0" fontId="36" fillId="11" borderId="234" xfId="0" applyFont="1" applyFill="1" applyBorder="1" applyAlignment="1"/>
    <xf numFmtId="0" fontId="0" fillId="11" borderId="227" xfId="0" applyFill="1" applyBorder="1"/>
    <xf numFmtId="0" fontId="0" fillId="0" borderId="232" xfId="0" applyBorder="1"/>
    <xf numFmtId="0" fontId="0" fillId="11" borderId="233" xfId="0" applyFill="1" applyBorder="1"/>
    <xf numFmtId="0" fontId="0" fillId="11" borderId="210" xfId="0" applyFill="1" applyBorder="1"/>
    <xf numFmtId="0" fontId="43" fillId="11" borderId="210" xfId="0" applyFont="1" applyFill="1" applyBorder="1" applyAlignment="1"/>
    <xf numFmtId="1" fontId="0" fillId="11" borderId="0" xfId="0" applyNumberFormat="1" applyFill="1" applyBorder="1"/>
    <xf numFmtId="164" fontId="56" fillId="11" borderId="0" xfId="0" applyNumberFormat="1" applyFont="1" applyFill="1" applyBorder="1"/>
    <xf numFmtId="0" fontId="36" fillId="11" borderId="210" xfId="0" applyFont="1" applyFill="1" applyBorder="1" applyAlignment="1"/>
    <xf numFmtId="12" fontId="119" fillId="0" borderId="210" xfId="2" applyNumberFormat="1" applyFont="1" applyFill="1" applyBorder="1" applyAlignment="1" applyProtection="1">
      <protection hidden="1"/>
    </xf>
    <xf numFmtId="12" fontId="119" fillId="0" borderId="0" xfId="2" applyNumberFormat="1" applyFont="1" applyFill="1" applyBorder="1" applyAlignment="1" applyProtection="1">
      <protection hidden="1"/>
    </xf>
    <xf numFmtId="0" fontId="63" fillId="0" borderId="0" xfId="0" applyFont="1" applyFill="1" applyBorder="1" applyAlignment="1"/>
    <xf numFmtId="0" fontId="65" fillId="11" borderId="0" xfId="0" applyFont="1" applyFill="1" applyBorder="1" applyAlignment="1">
      <alignment horizontal="center" vertical="center" wrapText="1"/>
    </xf>
    <xf numFmtId="0" fontId="66" fillId="11" borderId="0" xfId="0" applyFont="1" applyFill="1" applyBorder="1" applyAlignment="1">
      <alignment horizontal="right" wrapText="1"/>
    </xf>
    <xf numFmtId="0" fontId="167" fillId="11" borderId="0" xfId="0" applyFont="1" applyFill="1" applyBorder="1" applyAlignment="1">
      <alignment horizontal="right" wrapText="1"/>
    </xf>
    <xf numFmtId="0" fontId="168" fillId="11" borderId="0" xfId="0" applyFont="1" applyFill="1" applyBorder="1" applyAlignment="1">
      <alignment horizontal="right" wrapText="1"/>
    </xf>
    <xf numFmtId="0" fontId="169" fillId="11" borderId="0" xfId="0" applyFont="1" applyFill="1" applyBorder="1" applyAlignment="1">
      <alignment horizontal="right" wrapText="1"/>
    </xf>
    <xf numFmtId="0" fontId="161" fillId="0" borderId="176" xfId="7" applyFont="1" applyFill="1" applyBorder="1" applyAlignment="1" applyProtection="1">
      <alignment vertical="center" wrapText="1"/>
      <protection hidden="1"/>
    </xf>
    <xf numFmtId="0" fontId="161" fillId="0" borderId="165" xfId="7" applyFont="1" applyFill="1" applyBorder="1" applyAlignment="1" applyProtection="1">
      <alignment vertical="center" wrapText="1"/>
      <protection hidden="1"/>
    </xf>
    <xf numFmtId="0" fontId="36" fillId="11" borderId="209" xfId="0" applyFont="1" applyFill="1" applyBorder="1" applyAlignment="1"/>
    <xf numFmtId="0" fontId="36" fillId="11" borderId="235" xfId="0" applyFont="1" applyFill="1" applyBorder="1" applyAlignment="1"/>
    <xf numFmtId="12" fontId="119" fillId="0" borderId="235" xfId="2" applyNumberFormat="1" applyFont="1" applyFill="1" applyBorder="1" applyAlignment="1" applyProtection="1">
      <alignment horizontal="center"/>
      <protection hidden="1"/>
    </xf>
    <xf numFmtId="12" fontId="119" fillId="0" borderId="236" xfId="2" applyNumberFormat="1" applyFont="1" applyFill="1" applyBorder="1" applyAlignment="1" applyProtection="1">
      <alignment horizontal="center"/>
      <protection hidden="1"/>
    </xf>
    <xf numFmtId="164" fontId="9" fillId="47" borderId="0" xfId="0" applyNumberFormat="1" applyFont="1" applyFill="1" applyBorder="1" applyAlignment="1" applyProtection="1">
      <alignment horizontal="center" vertical="center" wrapText="1"/>
      <protection hidden="1"/>
    </xf>
    <xf numFmtId="164" fontId="9" fillId="47" borderId="188" xfId="0" applyNumberFormat="1" applyFont="1" applyFill="1" applyBorder="1" applyAlignment="1" applyProtection="1">
      <alignment horizontal="center" vertical="center" wrapText="1"/>
      <protection hidden="1"/>
    </xf>
    <xf numFmtId="0" fontId="166" fillId="56" borderId="237" xfId="0" applyFont="1" applyFill="1" applyBorder="1" applyAlignment="1">
      <alignment horizontal="center" vertical="center" wrapText="1"/>
    </xf>
    <xf numFmtId="0" fontId="31" fillId="0" borderId="68" xfId="0" applyFont="1" applyBorder="1" applyAlignment="1">
      <alignment horizontal="center" vertical="center" wrapText="1"/>
    </xf>
    <xf numFmtId="164" fontId="16" fillId="47" borderId="225" xfId="0" applyNumberFormat="1" applyFont="1" applyFill="1" applyBorder="1" applyAlignment="1" applyProtection="1">
      <alignment horizontal="center" vertical="center" wrapText="1"/>
      <protection hidden="1"/>
    </xf>
    <xf numFmtId="0" fontId="166" fillId="0" borderId="210" xfId="0" applyFont="1" applyFill="1" applyBorder="1" applyAlignment="1">
      <alignment horizontal="center" vertical="center" wrapText="1"/>
    </xf>
    <xf numFmtId="0" fontId="31" fillId="0" borderId="210" xfId="0" applyFont="1" applyFill="1" applyBorder="1" applyAlignment="1">
      <alignment horizontal="center" vertical="center" wrapText="1"/>
    </xf>
    <xf numFmtId="164" fontId="16" fillId="0" borderId="210" xfId="0" applyNumberFormat="1" applyFont="1" applyFill="1" applyBorder="1" applyAlignment="1" applyProtection="1">
      <alignment horizontal="center" vertical="center" wrapText="1"/>
      <protection hidden="1"/>
    </xf>
    <xf numFmtId="164" fontId="39" fillId="0" borderId="44" xfId="0" applyNumberFormat="1" applyFont="1" applyBorder="1"/>
    <xf numFmtId="0" fontId="39" fillId="0" borderId="0" xfId="0" applyFont="1" applyBorder="1"/>
    <xf numFmtId="164" fontId="39" fillId="0" borderId="0" xfId="0" applyNumberFormat="1" applyFont="1" applyBorder="1"/>
    <xf numFmtId="0" fontId="39" fillId="0" borderId="0" xfId="0" applyFont="1"/>
    <xf numFmtId="164" fontId="39" fillId="0" borderId="67" xfId="0" applyNumberFormat="1" applyFont="1" applyBorder="1"/>
    <xf numFmtId="0" fontId="39" fillId="0" borderId="113" xfId="0" applyFont="1" applyBorder="1"/>
    <xf numFmtId="176" fontId="170" fillId="20" borderId="187" xfId="0" applyNumberFormat="1" applyFont="1" applyFill="1" applyBorder="1" applyAlignment="1" applyProtection="1">
      <alignment vertical="center" shrinkToFit="1"/>
    </xf>
    <xf numFmtId="164" fontId="39" fillId="0" borderId="31" xfId="0" applyNumberFormat="1" applyFont="1" applyBorder="1"/>
    <xf numFmtId="0" fontId="110" fillId="60" borderId="238" xfId="0" applyFont="1" applyFill="1" applyBorder="1"/>
    <xf numFmtId="0" fontId="31" fillId="61" borderId="241" xfId="0" applyFont="1" applyFill="1" applyBorder="1"/>
    <xf numFmtId="0" fontId="31" fillId="59" borderId="241" xfId="0" applyFont="1" applyFill="1" applyBorder="1"/>
    <xf numFmtId="0" fontId="31" fillId="59" borderId="243" xfId="0" applyFont="1" applyFill="1" applyBorder="1"/>
    <xf numFmtId="0" fontId="31" fillId="59" borderId="251" xfId="0" applyFont="1" applyFill="1" applyBorder="1"/>
    <xf numFmtId="0" fontId="31" fillId="59" borderId="253" xfId="0" applyFont="1" applyFill="1" applyBorder="1"/>
    <xf numFmtId="0" fontId="31" fillId="61" borderId="255" xfId="0" applyFont="1" applyFill="1" applyBorder="1"/>
    <xf numFmtId="0" fontId="31" fillId="59" borderId="255" xfId="0" applyFont="1" applyFill="1" applyBorder="1"/>
    <xf numFmtId="0" fontId="31" fillId="61" borderId="256" xfId="0" applyFont="1" applyFill="1" applyBorder="1"/>
    <xf numFmtId="0" fontId="31" fillId="61" borderId="257" xfId="0" applyFont="1" applyFill="1" applyBorder="1"/>
    <xf numFmtId="164" fontId="31" fillId="24" borderId="0" xfId="0" applyNumberFormat="1" applyFont="1" applyFill="1" applyBorder="1" applyAlignment="1">
      <alignment horizontal="center" vertical="center" wrapText="1"/>
    </xf>
    <xf numFmtId="164" fontId="55" fillId="18" borderId="0" xfId="6" applyNumberFormat="1" applyFont="1" applyFill="1" applyBorder="1" applyAlignment="1">
      <alignment horizontal="center" vertical="center" wrapText="1"/>
    </xf>
    <xf numFmtId="2" fontId="55" fillId="18" borderId="0" xfId="6" applyNumberFormat="1" applyFont="1" applyFill="1" applyBorder="1" applyAlignment="1">
      <alignment horizontal="center" vertical="center" wrapText="1"/>
    </xf>
    <xf numFmtId="1" fontId="111" fillId="11" borderId="260" xfId="6" applyNumberFormat="1" applyFont="1" applyFill="1" applyBorder="1" applyAlignment="1" applyProtection="1">
      <alignment horizontal="center" vertical="center" wrapText="1"/>
      <protection hidden="1"/>
    </xf>
    <xf numFmtId="1" fontId="111" fillId="11" borderId="261" xfId="6" applyNumberFormat="1" applyFont="1" applyFill="1" applyBorder="1" applyAlignment="1" applyProtection="1">
      <alignment horizontal="center" vertical="center" wrapText="1"/>
      <protection hidden="1"/>
    </xf>
    <xf numFmtId="0" fontId="171" fillId="0" borderId="0" xfId="0" applyFont="1"/>
    <xf numFmtId="0" fontId="28" fillId="0" borderId="0" xfId="5" applyAlignment="1" applyProtection="1">
      <alignment horizontal="right" vertical="center" wrapText="1"/>
    </xf>
    <xf numFmtId="0" fontId="172" fillId="0" borderId="0" xfId="0" applyFont="1" applyAlignment="1">
      <alignment horizontal="right" vertical="center" wrapText="1" indent="2"/>
    </xf>
    <xf numFmtId="0" fontId="28" fillId="0" borderId="0" xfId="5" applyAlignment="1" applyProtection="1">
      <alignment horizontal="right" vertical="center" wrapText="1" indent="1"/>
    </xf>
    <xf numFmtId="0" fontId="28" fillId="0" borderId="262" xfId="5" applyBorder="1" applyAlignment="1" applyProtection="1">
      <alignment horizontal="right" vertical="center" wrapText="1" indent="1"/>
    </xf>
    <xf numFmtId="0" fontId="31" fillId="61" borderId="241" xfId="0" applyFont="1" applyFill="1" applyBorder="1" applyProtection="1"/>
    <xf numFmtId="164" fontId="31" fillId="61" borderId="242" xfId="0" applyNumberFormat="1" applyFont="1" applyFill="1" applyBorder="1" applyProtection="1">
      <protection hidden="1"/>
    </xf>
    <xf numFmtId="0" fontId="31" fillId="59" borderId="241" xfId="0" applyFont="1" applyFill="1" applyBorder="1" applyProtection="1"/>
    <xf numFmtId="164" fontId="31" fillId="59" borderId="242" xfId="0" applyNumberFormat="1" applyFont="1" applyFill="1" applyBorder="1" applyProtection="1">
      <protection hidden="1"/>
    </xf>
    <xf numFmtId="0" fontId="31" fillId="59" borderId="244" xfId="0" applyFont="1" applyFill="1" applyBorder="1" applyProtection="1"/>
    <xf numFmtId="164" fontId="31" fillId="59" borderId="245" xfId="0" applyNumberFormat="1" applyFont="1" applyFill="1" applyBorder="1" applyProtection="1">
      <protection hidden="1"/>
    </xf>
    <xf numFmtId="164" fontId="31" fillId="61" borderId="242" xfId="0" applyNumberFormat="1" applyFont="1" applyFill="1" applyBorder="1" applyProtection="1"/>
    <xf numFmtId="164" fontId="31" fillId="59" borderId="242" xfId="0" applyNumberFormat="1" applyFont="1" applyFill="1" applyBorder="1" applyProtection="1"/>
    <xf numFmtId="164" fontId="31" fillId="59" borderId="245" xfId="0" applyNumberFormat="1" applyFont="1" applyFill="1" applyBorder="1" applyProtection="1"/>
    <xf numFmtId="164" fontId="12" fillId="18" borderId="143" xfId="6" applyNumberFormat="1" applyFont="1" applyFill="1" applyBorder="1" applyAlignment="1">
      <alignment horizontal="center" vertical="center" wrapText="1" shrinkToFit="1"/>
    </xf>
    <xf numFmtId="164" fontId="12" fillId="18" borderId="141" xfId="6" applyNumberFormat="1" applyFont="1" applyFill="1" applyBorder="1" applyAlignment="1">
      <alignment horizontal="center" vertical="center" wrapText="1" shrinkToFit="1"/>
    </xf>
    <xf numFmtId="164" fontId="12" fillId="18" borderId="263" xfId="6" applyNumberFormat="1" applyFont="1" applyFill="1" applyBorder="1" applyAlignment="1">
      <alignment horizontal="center" vertical="center" wrapText="1" shrinkToFit="1"/>
    </xf>
    <xf numFmtId="164" fontId="5" fillId="18" borderId="143" xfId="6" applyNumberFormat="1" applyFont="1" applyFill="1" applyBorder="1" applyAlignment="1">
      <alignment horizontal="center" vertical="center" wrapText="1" shrinkToFit="1"/>
    </xf>
    <xf numFmtId="164" fontId="5" fillId="18" borderId="141" xfId="6" applyNumberFormat="1" applyFont="1" applyFill="1" applyBorder="1" applyAlignment="1">
      <alignment horizontal="center" vertical="center" wrapText="1" shrinkToFit="1"/>
    </xf>
    <xf numFmtId="164" fontId="5" fillId="18" borderId="263" xfId="6" applyNumberFormat="1" applyFont="1" applyFill="1" applyBorder="1" applyAlignment="1">
      <alignment horizontal="center" vertical="center" wrapText="1" shrinkToFit="1"/>
    </xf>
    <xf numFmtId="164" fontId="16" fillId="18" borderId="143" xfId="6" applyNumberFormat="1" applyFont="1" applyFill="1" applyBorder="1" applyAlignment="1">
      <alignment horizontal="center" vertical="center" wrapText="1" shrinkToFit="1"/>
    </xf>
    <xf numFmtId="164" fontId="16" fillId="18" borderId="141" xfId="6" applyNumberFormat="1" applyFont="1" applyFill="1" applyBorder="1" applyAlignment="1">
      <alignment horizontal="center" vertical="center" wrapText="1" shrinkToFit="1"/>
    </xf>
    <xf numFmtId="164" fontId="16" fillId="18" borderId="263" xfId="6" applyNumberFormat="1" applyFont="1" applyFill="1" applyBorder="1" applyAlignment="1">
      <alignment horizontal="center" vertical="center" wrapText="1" shrinkToFit="1"/>
    </xf>
    <xf numFmtId="175" fontId="142" fillId="0" borderId="0" xfId="0" applyNumberFormat="1" applyFont="1" applyFill="1" applyBorder="1" applyAlignment="1">
      <alignment vertical="center" shrinkToFit="1"/>
    </xf>
    <xf numFmtId="164" fontId="173" fillId="0" borderId="0" xfId="0" applyNumberFormat="1" applyFont="1" applyAlignment="1">
      <alignment horizontal="center"/>
    </xf>
    <xf numFmtId="0" fontId="0" fillId="0" borderId="0" xfId="0" applyAlignment="1">
      <alignment wrapText="1"/>
    </xf>
    <xf numFmtId="0" fontId="51" fillId="0" borderId="1" xfId="0" applyFont="1" applyBorder="1" applyAlignment="1">
      <alignment horizontal="center" vertical="justify" wrapText="1"/>
    </xf>
    <xf numFmtId="164" fontId="130" fillId="2" borderId="153" xfId="8" applyNumberFormat="1" applyFont="1" applyBorder="1" applyAlignment="1">
      <alignment horizontal="center" vertical="center"/>
    </xf>
    <xf numFmtId="164" fontId="130" fillId="2" borderId="153" xfId="8" applyNumberFormat="1" applyFont="1" applyBorder="1" applyAlignment="1">
      <alignment vertical="center"/>
    </xf>
    <xf numFmtId="0" fontId="110" fillId="60" borderId="268" xfId="0" applyFont="1" applyFill="1" applyBorder="1" applyProtection="1"/>
    <xf numFmtId="0" fontId="110" fillId="60" borderId="269" xfId="0" applyFont="1" applyFill="1" applyBorder="1" applyProtection="1"/>
    <xf numFmtId="0" fontId="110" fillId="60" borderId="270" xfId="0" applyFont="1" applyFill="1" applyBorder="1" applyProtection="1"/>
    <xf numFmtId="0" fontId="134" fillId="0" borderId="271" xfId="0" applyFont="1" applyBorder="1" applyAlignment="1">
      <alignment horizontal="center" vertical="center" wrapText="1"/>
    </xf>
    <xf numFmtId="0" fontId="31" fillId="61" borderId="272" xfId="0" applyFont="1" applyFill="1" applyBorder="1" applyProtection="1"/>
    <xf numFmtId="1" fontId="111" fillId="11" borderId="273" xfId="6" applyNumberFormat="1" applyFont="1" applyFill="1" applyBorder="1" applyAlignment="1" applyProtection="1">
      <alignment horizontal="center" vertical="center" wrapText="1"/>
      <protection hidden="1"/>
    </xf>
    <xf numFmtId="0" fontId="31" fillId="59" borderId="272" xfId="0" applyFont="1" applyFill="1" applyBorder="1" applyProtection="1"/>
    <xf numFmtId="1" fontId="111" fillId="35" borderId="273" xfId="6" applyNumberFormat="1" applyFont="1" applyFill="1" applyBorder="1" applyAlignment="1" applyProtection="1">
      <alignment horizontal="center" vertical="center" wrapText="1"/>
      <protection hidden="1"/>
    </xf>
    <xf numFmtId="0" fontId="31" fillId="59" borderId="274" xfId="0" applyFont="1" applyFill="1" applyBorder="1" applyProtection="1"/>
    <xf numFmtId="0" fontId="31" fillId="59" borderId="275" xfId="0" applyFont="1" applyFill="1" applyBorder="1" applyProtection="1"/>
    <xf numFmtId="0" fontId="31" fillId="59" borderId="276" xfId="0" applyFont="1" applyFill="1" applyBorder="1" applyProtection="1"/>
    <xf numFmtId="164" fontId="31" fillId="59" borderId="277" xfId="0" applyNumberFormat="1" applyFont="1" applyFill="1" applyBorder="1" applyProtection="1"/>
    <xf numFmtId="164" fontId="5" fillId="18" borderId="278" xfId="6" applyNumberFormat="1" applyFont="1" applyFill="1" applyBorder="1" applyAlignment="1">
      <alignment horizontal="center" vertical="center" wrapText="1" shrinkToFit="1"/>
    </xf>
    <xf numFmtId="1" fontId="111" fillId="35" borderId="279" xfId="6" applyNumberFormat="1" applyFont="1" applyFill="1" applyBorder="1" applyAlignment="1" applyProtection="1">
      <alignment horizontal="center" vertical="center" wrapText="1"/>
      <protection hidden="1"/>
    </xf>
    <xf numFmtId="1" fontId="111" fillId="35" borderId="280" xfId="6" applyNumberFormat="1" applyFont="1" applyFill="1" applyBorder="1" applyAlignment="1" applyProtection="1">
      <alignment horizontal="center" vertical="center" wrapText="1"/>
      <protection hidden="1"/>
    </xf>
    <xf numFmtId="0" fontId="0" fillId="0" borderId="0" xfId="0" applyAlignment="1"/>
    <xf numFmtId="0" fontId="0" fillId="0" borderId="0" xfId="0" applyAlignment="1">
      <alignment horizontal="center"/>
    </xf>
    <xf numFmtId="164" fontId="0" fillId="0" borderId="0" xfId="0" applyNumberFormat="1" applyAlignment="1"/>
    <xf numFmtId="178" fontId="31" fillId="61" borderId="241" xfId="0" applyNumberFormat="1" applyFont="1" applyFill="1" applyBorder="1"/>
    <xf numFmtId="0" fontId="110" fillId="60" borderId="238" xfId="0" applyFont="1" applyFill="1" applyBorder="1" applyAlignment="1">
      <alignment horizontal="center" vertical="center" wrapText="1"/>
    </xf>
    <xf numFmtId="0" fontId="110" fillId="60" borderId="239" xfId="0" applyFont="1" applyFill="1" applyBorder="1" applyAlignment="1">
      <alignment horizontal="center" vertical="center" wrapText="1"/>
    </xf>
    <xf numFmtId="0" fontId="110" fillId="60" borderId="240" xfId="0" applyFont="1" applyFill="1" applyBorder="1" applyAlignment="1">
      <alignment horizontal="center" vertical="center" wrapText="1"/>
    </xf>
    <xf numFmtId="0" fontId="33" fillId="61" borderId="241" xfId="0" applyFont="1" applyFill="1" applyBorder="1"/>
    <xf numFmtId="164" fontId="33" fillId="61" borderId="242" xfId="0" applyNumberFormat="1" applyFont="1" applyFill="1" applyBorder="1"/>
    <xf numFmtId="0" fontId="33" fillId="61" borderId="242" xfId="0" applyFont="1" applyFill="1" applyBorder="1"/>
    <xf numFmtId="0" fontId="33" fillId="61" borderId="243" xfId="0" applyFont="1" applyFill="1" applyBorder="1"/>
    <xf numFmtId="0" fontId="33" fillId="59" borderId="241" xfId="0" applyFont="1" applyFill="1" applyBorder="1"/>
    <xf numFmtId="164" fontId="33" fillId="59" borderId="242" xfId="0" applyNumberFormat="1" applyFont="1" applyFill="1" applyBorder="1"/>
    <xf numFmtId="0" fontId="33" fillId="59" borderId="242" xfId="0" applyFont="1" applyFill="1" applyBorder="1"/>
    <xf numFmtId="0" fontId="33" fillId="59" borderId="243" xfId="0" applyFont="1" applyFill="1" applyBorder="1"/>
    <xf numFmtId="0" fontId="33" fillId="59" borderId="244" xfId="0" applyFont="1" applyFill="1" applyBorder="1"/>
    <xf numFmtId="164" fontId="33" fillId="59" borderId="245" xfId="0" applyNumberFormat="1" applyFont="1" applyFill="1" applyBorder="1"/>
    <xf numFmtId="0" fontId="33" fillId="59" borderId="245" xfId="0" applyFont="1" applyFill="1" applyBorder="1"/>
    <xf numFmtId="0" fontId="33" fillId="59" borderId="246" xfId="0" applyFont="1" applyFill="1" applyBorder="1"/>
    <xf numFmtId="0" fontId="34" fillId="0" borderId="0" xfId="0" applyFont="1" applyFill="1" applyBorder="1" applyAlignment="1"/>
    <xf numFmtId="0" fontId="110" fillId="60" borderId="238" xfId="0" applyFont="1" applyFill="1" applyBorder="1" applyProtection="1"/>
    <xf numFmtId="0" fontId="110" fillId="60" borderId="258" xfId="0" applyFont="1" applyFill="1" applyBorder="1" applyAlignment="1">
      <alignment horizontal="center"/>
    </xf>
    <xf numFmtId="0" fontId="110" fillId="60" borderId="259" xfId="0" applyFont="1" applyFill="1" applyBorder="1" applyAlignment="1">
      <alignment horizontal="center"/>
    </xf>
    <xf numFmtId="0" fontId="31" fillId="61" borderId="255" xfId="0" applyFont="1" applyFill="1" applyBorder="1" applyAlignment="1">
      <alignment horizontal="center"/>
    </xf>
    <xf numFmtId="0" fontId="31" fillId="59" borderId="255" xfId="0" applyFont="1" applyFill="1" applyBorder="1" applyAlignment="1">
      <alignment horizontal="center"/>
    </xf>
    <xf numFmtId="0" fontId="31" fillId="61" borderId="256" xfId="0" applyFont="1" applyFill="1" applyBorder="1" applyAlignment="1">
      <alignment horizontal="center"/>
    </xf>
    <xf numFmtId="0" fontId="31" fillId="61" borderId="241" xfId="0" applyFont="1" applyFill="1" applyBorder="1" applyAlignment="1">
      <alignment horizontal="center"/>
    </xf>
    <xf numFmtId="0" fontId="31" fillId="59" borderId="241" xfId="0" applyFont="1" applyFill="1" applyBorder="1" applyAlignment="1">
      <alignment horizontal="center"/>
    </xf>
    <xf numFmtId="0" fontId="31" fillId="61" borderId="257" xfId="0" applyFont="1" applyFill="1" applyBorder="1" applyAlignment="1">
      <alignment horizontal="center"/>
    </xf>
    <xf numFmtId="164" fontId="174" fillId="18" borderId="107" xfId="5" applyNumberFormat="1" applyFont="1" applyFill="1" applyBorder="1" applyAlignment="1" applyProtection="1">
      <alignment horizontal="center" vertical="center" wrapText="1"/>
    </xf>
    <xf numFmtId="164" fontId="55" fillId="18" borderId="101" xfId="6" applyNumberFormat="1" applyFont="1" applyFill="1" applyBorder="1" applyAlignment="1">
      <alignment horizontal="center" vertical="center" wrapText="1"/>
    </xf>
    <xf numFmtId="0" fontId="34" fillId="59" borderId="249" xfId="0" applyFont="1" applyFill="1" applyBorder="1" applyAlignment="1">
      <alignment horizontal="center"/>
    </xf>
    <xf numFmtId="0" fontId="45" fillId="11" borderId="0" xfId="0" applyFont="1" applyFill="1" applyAlignment="1">
      <alignment vertical="top" wrapText="1"/>
    </xf>
    <xf numFmtId="0" fontId="0" fillId="0" borderId="0" xfId="0" applyFont="1"/>
    <xf numFmtId="164" fontId="55" fillId="18" borderId="101" xfId="6" applyNumberFormat="1" applyFont="1" applyFill="1" applyBorder="1" applyAlignment="1">
      <alignment horizontal="center" vertical="center" wrapText="1"/>
    </xf>
    <xf numFmtId="14" fontId="145" fillId="12" borderId="86" xfId="3" applyNumberFormat="1" applyFont="1" applyFill="1" applyAlignment="1" applyProtection="1">
      <alignment horizontal="center"/>
      <protection hidden="1"/>
    </xf>
    <xf numFmtId="12" fontId="147" fillId="5" borderId="87" xfId="7" applyNumberFormat="1" applyFont="1" applyAlignment="1" applyProtection="1">
      <alignment horizontal="center"/>
      <protection hidden="1"/>
    </xf>
    <xf numFmtId="164" fontId="133" fillId="11" borderId="54" xfId="0" applyNumberFormat="1" applyFont="1" applyFill="1" applyBorder="1" applyAlignment="1" applyProtection="1">
      <alignment horizontal="center"/>
      <protection hidden="1"/>
    </xf>
    <xf numFmtId="0" fontId="160" fillId="11" borderId="43" xfId="0" applyFont="1" applyFill="1" applyBorder="1" applyProtection="1">
      <protection hidden="1"/>
    </xf>
    <xf numFmtId="0" fontId="92" fillId="0" borderId="43" xfId="0" applyFont="1" applyBorder="1" applyProtection="1">
      <protection hidden="1"/>
    </xf>
    <xf numFmtId="0" fontId="133" fillId="11" borderId="32" xfId="0" applyFont="1" applyFill="1" applyBorder="1" applyAlignment="1" applyProtection="1">
      <alignment horizontal="center"/>
      <protection hidden="1"/>
    </xf>
    <xf numFmtId="0" fontId="160" fillId="11" borderId="80" xfId="0" applyFont="1" applyFill="1" applyBorder="1" applyProtection="1">
      <protection hidden="1"/>
    </xf>
    <xf numFmtId="0" fontId="160" fillId="11" borderId="56" xfId="0" applyFont="1" applyFill="1" applyBorder="1" applyProtection="1">
      <protection hidden="1"/>
    </xf>
    <xf numFmtId="0" fontId="133" fillId="11" borderId="34" xfId="0" applyFont="1" applyFill="1" applyBorder="1" applyAlignment="1" applyProtection="1">
      <alignment horizontal="center"/>
      <protection hidden="1"/>
    </xf>
    <xf numFmtId="0" fontId="160" fillId="11" borderId="81" xfId="0" applyFont="1" applyFill="1" applyBorder="1" applyProtection="1">
      <protection hidden="1"/>
    </xf>
    <xf numFmtId="0" fontId="160" fillId="11" borderId="58" xfId="0" applyFont="1" applyFill="1" applyBorder="1" applyProtection="1">
      <protection hidden="1"/>
    </xf>
    <xf numFmtId="0" fontId="134" fillId="12" borderId="0" xfId="0" applyFont="1" applyFill="1" applyBorder="1" applyAlignment="1" applyProtection="1">
      <alignment horizontal="center"/>
      <protection hidden="1"/>
    </xf>
    <xf numFmtId="164" fontId="121" fillId="10" borderId="54" xfId="0" applyNumberFormat="1" applyFont="1" applyFill="1" applyBorder="1" applyAlignment="1">
      <alignment horizontal="center"/>
    </xf>
    <xf numFmtId="164" fontId="121" fillId="10" borderId="43" xfId="0" applyNumberFormat="1" applyFont="1" applyFill="1" applyBorder="1" applyAlignment="1">
      <alignment horizontal="center"/>
    </xf>
    <xf numFmtId="0" fontId="150" fillId="11" borderId="17" xfId="0" applyFont="1" applyFill="1" applyBorder="1" applyAlignment="1" applyProtection="1">
      <alignment horizontal="center" wrapText="1"/>
      <protection hidden="1"/>
    </xf>
    <xf numFmtId="0" fontId="150" fillId="11" borderId="2" xfId="0" applyFont="1" applyFill="1" applyBorder="1" applyAlignment="1" applyProtection="1">
      <alignment horizontal="center" wrapText="1"/>
      <protection hidden="1"/>
    </xf>
    <xf numFmtId="0" fontId="150" fillId="11" borderId="3" xfId="0" applyFont="1" applyFill="1" applyBorder="1" applyAlignment="1" applyProtection="1">
      <alignment horizontal="center" wrapText="1"/>
      <protection hidden="1"/>
    </xf>
    <xf numFmtId="0" fontId="150" fillId="11" borderId="20" xfId="0" applyFont="1" applyFill="1" applyBorder="1" applyAlignment="1" applyProtection="1">
      <alignment horizontal="center" wrapText="1"/>
      <protection hidden="1"/>
    </xf>
    <xf numFmtId="0" fontId="150" fillId="11" borderId="1" xfId="0" applyFont="1" applyFill="1" applyBorder="1" applyAlignment="1" applyProtection="1">
      <alignment horizontal="center" wrapText="1"/>
      <protection hidden="1"/>
    </xf>
    <xf numFmtId="0" fontId="150" fillId="11" borderId="21" xfId="0" applyFont="1" applyFill="1" applyBorder="1" applyAlignment="1" applyProtection="1">
      <alignment horizontal="center" wrapText="1"/>
      <protection hidden="1"/>
    </xf>
    <xf numFmtId="164" fontId="159" fillId="45" borderId="34" xfId="0" applyNumberFormat="1" applyFont="1" applyFill="1" applyBorder="1" applyAlignment="1" applyProtection="1">
      <alignment horizontal="center" vertical="center" wrapText="1" shrinkToFit="1"/>
      <protection hidden="1"/>
    </xf>
    <xf numFmtId="164" fontId="159" fillId="45" borderId="81" xfId="0" applyNumberFormat="1" applyFont="1" applyFill="1" applyBorder="1" applyAlignment="1" applyProtection="1">
      <alignment horizontal="center" vertical="center" wrapText="1" shrinkToFit="1"/>
      <protection hidden="1"/>
    </xf>
    <xf numFmtId="164" fontId="159" fillId="45" borderId="67" xfId="0" applyNumberFormat="1" applyFont="1" applyFill="1" applyBorder="1" applyAlignment="1" applyProtection="1">
      <alignment horizontal="center" vertical="center" wrapText="1" shrinkToFit="1"/>
      <protection hidden="1"/>
    </xf>
    <xf numFmtId="164" fontId="121" fillId="10" borderId="55" xfId="0" applyNumberFormat="1" applyFont="1" applyFill="1" applyBorder="1" applyAlignment="1">
      <alignment horizontal="center"/>
    </xf>
    <xf numFmtId="0" fontId="41" fillId="10" borderId="67" xfId="0" applyFont="1" applyFill="1" applyBorder="1"/>
    <xf numFmtId="0" fontId="41" fillId="10" borderId="43" xfId="0" applyFont="1" applyFill="1" applyBorder="1"/>
    <xf numFmtId="12" fontId="121" fillId="10" borderId="14" xfId="2" applyNumberFormat="1" applyFont="1" applyFill="1" applyBorder="1" applyAlignment="1" applyProtection="1">
      <alignment horizontal="center"/>
      <protection hidden="1"/>
    </xf>
    <xf numFmtId="12" fontId="121" fillId="10" borderId="9" xfId="2" applyNumberFormat="1" applyFont="1" applyFill="1" applyBorder="1" applyAlignment="1" applyProtection="1">
      <alignment horizontal="center"/>
      <protection hidden="1"/>
    </xf>
    <xf numFmtId="12" fontId="121" fillId="10" borderId="6" xfId="2" applyNumberFormat="1" applyFont="1" applyFill="1" applyBorder="1" applyAlignment="1" applyProtection="1">
      <alignment horizontal="center"/>
      <protection hidden="1"/>
    </xf>
    <xf numFmtId="0" fontId="0" fillId="12" borderId="0" xfId="0" applyFill="1" applyAlignment="1">
      <alignment horizontal="center"/>
    </xf>
    <xf numFmtId="0" fontId="16" fillId="5" borderId="29" xfId="7" applyFont="1" applyBorder="1" applyAlignment="1" applyProtection="1">
      <alignment horizontal="center" vertical="center" wrapText="1"/>
      <protection hidden="1"/>
    </xf>
    <xf numFmtId="0" fontId="16" fillId="5" borderId="0" xfId="7" applyFont="1" applyBorder="1" applyAlignment="1" applyProtection="1">
      <alignment horizontal="center" vertical="center" wrapText="1"/>
      <protection hidden="1"/>
    </xf>
    <xf numFmtId="0" fontId="16" fillId="5" borderId="163" xfId="7" applyFont="1" applyBorder="1" applyAlignment="1" applyProtection="1">
      <alignment horizontal="center" vertical="center" wrapText="1"/>
      <protection hidden="1"/>
    </xf>
    <xf numFmtId="0" fontId="16" fillId="5" borderId="201" xfId="7" applyFont="1" applyBorder="1" applyAlignment="1" applyProtection="1">
      <alignment horizontal="center" vertical="center" wrapText="1"/>
      <protection hidden="1"/>
    </xf>
    <xf numFmtId="0" fontId="16" fillId="5" borderId="176" xfId="7" applyFont="1" applyBorder="1" applyAlignment="1" applyProtection="1">
      <alignment horizontal="center" vertical="center" wrapText="1"/>
      <protection hidden="1"/>
    </xf>
    <xf numFmtId="0" fontId="16" fillId="5" borderId="165" xfId="7" applyFont="1" applyBorder="1" applyAlignment="1" applyProtection="1">
      <alignment horizontal="center" vertical="center" wrapText="1"/>
      <protection hidden="1"/>
    </xf>
    <xf numFmtId="0" fontId="134" fillId="46" borderId="7" xfId="0" applyFont="1" applyFill="1" applyBorder="1" applyAlignment="1" applyProtection="1">
      <alignment horizontal="center"/>
      <protection hidden="1"/>
    </xf>
    <xf numFmtId="0" fontId="134" fillId="46" borderId="8" xfId="0" applyFont="1" applyFill="1" applyBorder="1" applyAlignment="1" applyProtection="1">
      <alignment horizontal="center"/>
      <protection hidden="1"/>
    </xf>
    <xf numFmtId="0" fontId="138" fillId="11" borderId="191" xfId="0" applyFont="1" applyFill="1" applyBorder="1" applyAlignment="1" applyProtection="1">
      <alignment horizontal="center"/>
      <protection hidden="1"/>
    </xf>
    <xf numFmtId="0" fontId="138" fillId="11" borderId="192" xfId="0" applyFont="1" applyFill="1" applyBorder="1" applyAlignment="1" applyProtection="1">
      <alignment horizontal="center"/>
      <protection hidden="1"/>
    </xf>
    <xf numFmtId="0" fontId="157" fillId="3" borderId="195" xfId="2" applyFont="1" applyBorder="1" applyAlignment="1" applyProtection="1">
      <alignment horizontal="center" wrapText="1"/>
      <protection hidden="1"/>
    </xf>
    <xf numFmtId="0" fontId="157" fillId="3" borderId="196" xfId="2" applyFont="1" applyBorder="1" applyAlignment="1" applyProtection="1">
      <alignment horizontal="center" wrapText="1"/>
      <protection hidden="1"/>
    </xf>
    <xf numFmtId="0" fontId="157" fillId="3" borderId="197" xfId="2" applyFont="1" applyBorder="1" applyAlignment="1" applyProtection="1">
      <alignment horizontal="center" wrapText="1"/>
      <protection hidden="1"/>
    </xf>
    <xf numFmtId="0" fontId="157" fillId="3" borderId="198" xfId="2" applyFont="1" applyBorder="1" applyAlignment="1" applyProtection="1">
      <alignment horizontal="center" wrapText="1"/>
      <protection hidden="1"/>
    </xf>
    <xf numFmtId="0" fontId="157" fillId="3" borderId="199" xfId="2" applyFont="1" applyBorder="1" applyAlignment="1" applyProtection="1">
      <alignment horizontal="center" wrapText="1"/>
      <protection hidden="1"/>
    </xf>
    <xf numFmtId="0" fontId="157" fillId="3" borderId="200" xfId="2" applyFont="1" applyBorder="1" applyAlignment="1" applyProtection="1">
      <alignment horizontal="center" wrapText="1"/>
      <protection hidden="1"/>
    </xf>
    <xf numFmtId="0" fontId="158" fillId="44" borderId="14" xfId="7" applyFont="1" applyFill="1" applyBorder="1" applyAlignment="1" applyProtection="1">
      <alignment horizontal="center" wrapText="1" shrinkToFit="1"/>
      <protection hidden="1"/>
    </xf>
    <xf numFmtId="0" fontId="158" fillId="44" borderId="9" xfId="7" applyFont="1" applyFill="1" applyBorder="1" applyAlignment="1" applyProtection="1">
      <alignment horizontal="center" wrapText="1" shrinkToFit="1"/>
      <protection hidden="1"/>
    </xf>
    <xf numFmtId="0" fontId="158" fillId="44" borderId="6" xfId="7" applyFont="1" applyFill="1" applyBorder="1" applyAlignment="1" applyProtection="1">
      <alignment horizontal="center" wrapText="1" shrinkToFit="1"/>
      <protection hidden="1"/>
    </xf>
    <xf numFmtId="0" fontId="158" fillId="44" borderId="49" xfId="7" applyFont="1" applyFill="1" applyBorder="1" applyAlignment="1" applyProtection="1">
      <alignment horizontal="center" wrapText="1" shrinkToFit="1"/>
      <protection hidden="1"/>
    </xf>
    <xf numFmtId="0" fontId="158" fillId="44" borderId="61" xfId="7" applyFont="1" applyFill="1" applyBorder="1" applyAlignment="1" applyProtection="1">
      <alignment horizontal="center" wrapText="1" shrinkToFit="1"/>
      <protection hidden="1"/>
    </xf>
    <xf numFmtId="0" fontId="158" fillId="44" borderId="44" xfId="7" applyFont="1" applyFill="1" applyBorder="1" applyAlignment="1" applyProtection="1">
      <alignment horizontal="center" wrapText="1" shrinkToFit="1"/>
      <protection hidden="1"/>
    </xf>
    <xf numFmtId="0" fontId="156" fillId="10" borderId="9" xfId="0" applyFont="1" applyFill="1" applyBorder="1" applyAlignment="1" applyProtection="1">
      <alignment horizontal="center" vertical="center" wrapText="1"/>
      <protection hidden="1"/>
    </xf>
    <xf numFmtId="0" fontId="156" fillId="10" borderId="0" xfId="0" applyFont="1" applyFill="1" applyBorder="1" applyAlignment="1" applyProtection="1">
      <alignment horizontal="center" vertical="center" wrapText="1"/>
      <protection hidden="1"/>
    </xf>
    <xf numFmtId="0" fontId="161" fillId="5" borderId="164" xfId="7" applyFont="1" applyBorder="1" applyAlignment="1" applyProtection="1">
      <alignment horizontal="center" vertical="center" wrapText="1"/>
      <protection hidden="1"/>
    </xf>
    <xf numFmtId="0" fontId="161" fillId="5" borderId="176" xfId="7" applyFont="1" applyBorder="1" applyAlignment="1" applyProtection="1">
      <alignment horizontal="center" vertical="center" wrapText="1"/>
      <protection hidden="1"/>
    </xf>
    <xf numFmtId="0" fontId="161" fillId="5" borderId="165" xfId="7" applyFont="1" applyBorder="1" applyAlignment="1" applyProtection="1">
      <alignment horizontal="center" vertical="center" wrapText="1"/>
      <protection hidden="1"/>
    </xf>
    <xf numFmtId="0" fontId="12" fillId="52" borderId="50" xfId="7" applyFont="1" applyFill="1" applyBorder="1" applyAlignment="1" applyProtection="1">
      <alignment horizontal="center" vertical="center" wrapText="1"/>
      <protection hidden="1"/>
    </xf>
    <xf numFmtId="0" fontId="12" fillId="52" borderId="202" xfId="7" applyFont="1" applyFill="1" applyBorder="1" applyAlignment="1" applyProtection="1">
      <alignment horizontal="center" vertical="center" wrapText="1"/>
      <protection hidden="1"/>
    </xf>
    <xf numFmtId="0" fontId="12" fillId="52" borderId="203" xfId="7" applyFont="1" applyFill="1" applyBorder="1" applyAlignment="1" applyProtection="1">
      <alignment horizontal="center" vertical="center" wrapText="1"/>
      <protection hidden="1"/>
    </xf>
    <xf numFmtId="0" fontId="12" fillId="52" borderId="30" xfId="7" applyFont="1" applyFill="1" applyBorder="1" applyAlignment="1" applyProtection="1">
      <alignment horizontal="center" vertical="center" wrapText="1"/>
      <protection hidden="1"/>
    </xf>
    <xf numFmtId="0" fontId="12" fillId="52" borderId="11" xfId="7" applyFont="1" applyFill="1" applyBorder="1" applyAlignment="1" applyProtection="1">
      <alignment horizontal="center" vertical="center" wrapText="1"/>
      <protection hidden="1"/>
    </xf>
    <xf numFmtId="0" fontId="12" fillId="52" borderId="12" xfId="7" applyFont="1" applyFill="1" applyBorder="1" applyAlignment="1" applyProtection="1">
      <alignment horizontal="center" vertical="center" wrapText="1"/>
      <protection hidden="1"/>
    </xf>
    <xf numFmtId="164" fontId="39" fillId="12" borderId="0" xfId="0" applyNumberFormat="1" applyFont="1" applyFill="1" applyBorder="1" applyAlignment="1">
      <alignment horizontal="center"/>
    </xf>
    <xf numFmtId="0" fontId="36" fillId="9" borderId="1" xfId="0" applyFont="1" applyFill="1" applyBorder="1" applyAlignment="1">
      <alignment horizontal="center" vertical="center" wrapText="1"/>
    </xf>
    <xf numFmtId="0" fontId="32" fillId="12" borderId="1" xfId="0" applyFont="1" applyFill="1" applyBorder="1" applyAlignment="1">
      <alignment horizontal="center" vertical="center" wrapText="1"/>
    </xf>
    <xf numFmtId="0" fontId="33" fillId="12" borderId="1" xfId="0" applyFont="1" applyFill="1" applyBorder="1" applyAlignment="1">
      <alignment horizontal="center" vertical="center" wrapText="1"/>
    </xf>
    <xf numFmtId="0" fontId="33" fillId="11" borderId="0" xfId="0" applyFont="1" applyFill="1" applyBorder="1" applyAlignment="1">
      <alignment horizontal="center" wrapText="1"/>
    </xf>
    <xf numFmtId="164" fontId="163" fillId="36" borderId="252" xfId="6" applyNumberFormat="1" applyFont="1" applyFill="1" applyBorder="1" applyAlignment="1">
      <alignment horizontal="center" vertical="center" wrapText="1"/>
    </xf>
    <xf numFmtId="164" fontId="163" fillId="36" borderId="249" xfId="6" applyNumberFormat="1" applyFont="1" applyFill="1" applyBorder="1" applyAlignment="1">
      <alignment horizontal="center" vertical="center" wrapText="1"/>
    </xf>
    <xf numFmtId="164" fontId="115" fillId="36" borderId="254" xfId="6" applyNumberFormat="1" applyFont="1" applyFill="1" applyBorder="1" applyAlignment="1">
      <alignment horizontal="center" vertical="center" wrapText="1"/>
    </xf>
    <xf numFmtId="164" fontId="115" fillId="36" borderId="247" xfId="6" applyNumberFormat="1" applyFont="1" applyFill="1" applyBorder="1" applyAlignment="1">
      <alignment horizontal="center" vertical="center" wrapText="1"/>
    </xf>
    <xf numFmtId="164" fontId="115" fillId="36" borderId="249" xfId="6" applyNumberFormat="1" applyFont="1" applyFill="1" applyBorder="1" applyAlignment="1">
      <alignment horizontal="center" vertical="center" wrapText="1"/>
    </xf>
    <xf numFmtId="164" fontId="115" fillId="36" borderId="250" xfId="6" applyNumberFormat="1" applyFont="1" applyFill="1" applyBorder="1" applyAlignment="1">
      <alignment horizontal="center" vertical="center" wrapText="1"/>
    </xf>
    <xf numFmtId="164" fontId="115" fillId="36" borderId="248" xfId="6" applyNumberFormat="1" applyFont="1" applyFill="1" applyBorder="1" applyAlignment="1">
      <alignment horizontal="center" vertical="center" wrapText="1"/>
    </xf>
    <xf numFmtId="0" fontId="85" fillId="11" borderId="0" xfId="0" applyFont="1" applyFill="1" applyAlignment="1">
      <alignment horizontal="center" wrapText="1"/>
    </xf>
    <xf numFmtId="0" fontId="31" fillId="59" borderId="244" xfId="0" applyFont="1" applyFill="1" applyBorder="1" applyAlignment="1">
      <alignment horizontal="center" wrapText="1"/>
    </xf>
    <xf numFmtId="0" fontId="31" fillId="59" borderId="264" xfId="0" applyFont="1" applyFill="1" applyBorder="1" applyAlignment="1">
      <alignment horizontal="center" wrapText="1"/>
    </xf>
    <xf numFmtId="0" fontId="31" fillId="59" borderId="265" xfId="0" applyFont="1" applyFill="1" applyBorder="1" applyAlignment="1">
      <alignment horizontal="center" wrapText="1"/>
    </xf>
    <xf numFmtId="164" fontId="162" fillId="11" borderId="0" xfId="6" applyNumberFormat="1" applyFont="1" applyFill="1" applyBorder="1" applyAlignment="1">
      <alignment horizontal="center" vertical="center" wrapText="1"/>
    </xf>
    <xf numFmtId="164" fontId="55" fillId="18" borderId="141" xfId="6" applyNumberFormat="1" applyFont="1" applyFill="1" applyBorder="1" applyAlignment="1">
      <alignment horizontal="center" vertical="center" wrapText="1"/>
    </xf>
    <xf numFmtId="164" fontId="55" fillId="18" borderId="286" xfId="6" applyNumberFormat="1" applyFont="1" applyFill="1" applyBorder="1" applyAlignment="1">
      <alignment horizontal="center" vertical="center" wrapText="1"/>
    </xf>
    <xf numFmtId="164" fontId="55" fillId="18" borderId="85" xfId="6" applyNumberFormat="1" applyFont="1" applyFill="1" applyBorder="1" applyAlignment="1">
      <alignment horizontal="center" vertical="center" wrapText="1"/>
    </xf>
    <xf numFmtId="164" fontId="55" fillId="18" borderId="104" xfId="6" applyNumberFormat="1" applyFont="1" applyFill="1" applyBorder="1" applyAlignment="1">
      <alignment horizontal="center" vertical="center" wrapText="1"/>
    </xf>
    <xf numFmtId="164" fontId="33" fillId="24" borderId="144" xfId="0" applyNumberFormat="1" applyFont="1" applyFill="1" applyBorder="1" applyAlignment="1">
      <alignment horizontal="center" vertical="center" wrapText="1"/>
    </xf>
    <xf numFmtId="164" fontId="33" fillId="24" borderId="166" xfId="0" applyNumberFormat="1" applyFont="1" applyFill="1" applyBorder="1" applyAlignment="1">
      <alignment horizontal="center" vertical="center" wrapText="1"/>
    </xf>
    <xf numFmtId="0" fontId="34" fillId="58" borderId="7" xfId="0" applyFont="1" applyFill="1" applyBorder="1" applyAlignment="1">
      <alignment horizontal="center" vertical="center" wrapText="1"/>
    </xf>
    <xf numFmtId="0" fontId="34" fillId="58" borderId="8" xfId="0" applyFont="1" applyFill="1" applyBorder="1" applyAlignment="1">
      <alignment horizontal="center" vertical="center" wrapText="1"/>
    </xf>
    <xf numFmtId="0" fontId="45" fillId="11" borderId="0" xfId="0" applyFont="1" applyFill="1" applyAlignment="1">
      <alignment horizontal="center" vertical="center" wrapText="1"/>
    </xf>
    <xf numFmtId="0" fontId="175" fillId="60" borderId="0" xfId="0" applyFont="1" applyFill="1" applyBorder="1" applyAlignment="1">
      <alignment horizontal="center" vertical="center" wrapText="1"/>
    </xf>
    <xf numFmtId="0" fontId="175" fillId="60" borderId="285" xfId="0" applyFont="1" applyFill="1" applyBorder="1" applyAlignment="1">
      <alignment horizontal="center" vertical="center" wrapText="1"/>
    </xf>
    <xf numFmtId="0" fontId="34" fillId="59" borderId="0" xfId="0" applyFont="1" applyFill="1" applyBorder="1" applyAlignment="1">
      <alignment horizontal="center" vertical="center" wrapText="1"/>
    </xf>
    <xf numFmtId="12" fontId="86" fillId="0" borderId="72" xfId="0" applyNumberFormat="1" applyFont="1" applyBorder="1" applyAlignment="1">
      <alignment horizontal="center" vertical="center" wrapText="1"/>
    </xf>
    <xf numFmtId="12" fontId="86" fillId="0" borderId="0" xfId="0" applyNumberFormat="1" applyFont="1" applyAlignment="1">
      <alignment horizontal="center" vertical="center" wrapText="1"/>
    </xf>
    <xf numFmtId="164" fontId="31" fillId="9" borderId="183" xfId="0" applyNumberFormat="1" applyFont="1" applyFill="1" applyBorder="1" applyAlignment="1">
      <alignment horizontal="center"/>
    </xf>
    <xf numFmtId="164" fontId="31" fillId="9" borderId="194" xfId="0" applyNumberFormat="1" applyFont="1" applyFill="1" applyBorder="1" applyAlignment="1">
      <alignment horizontal="center"/>
    </xf>
    <xf numFmtId="0" fontId="162" fillId="11" borderId="0" xfId="0" applyFont="1" applyFill="1" applyAlignment="1">
      <alignment horizontal="center" vertical="top" wrapText="1"/>
    </xf>
    <xf numFmtId="0" fontId="58" fillId="0" borderId="38" xfId="0" applyFont="1" applyBorder="1" applyAlignment="1">
      <alignment horizontal="center" vertical="center" textRotation="90"/>
    </xf>
    <xf numFmtId="0" fontId="58" fillId="0" borderId="45" xfId="0" applyFont="1" applyBorder="1" applyAlignment="1">
      <alignment horizontal="center" vertical="center" textRotation="90"/>
    </xf>
    <xf numFmtId="0" fontId="58" fillId="0" borderId="4" xfId="0" applyFont="1" applyBorder="1" applyAlignment="1">
      <alignment horizontal="center" vertical="center" textRotation="90"/>
    </xf>
    <xf numFmtId="164" fontId="77" fillId="0" borderId="1" xfId="0" applyNumberFormat="1" applyFont="1" applyBorder="1" applyAlignment="1">
      <alignment horizontal="center" vertical="justify" wrapText="1"/>
    </xf>
    <xf numFmtId="0" fontId="39" fillId="0" borderId="45" xfId="0" applyFont="1" applyBorder="1" applyAlignment="1">
      <alignment horizontal="center" vertical="justify" wrapText="1"/>
    </xf>
    <xf numFmtId="0" fontId="39" fillId="0" borderId="4" xfId="0" applyFont="1" applyBorder="1" applyAlignment="1">
      <alignment horizontal="center" vertical="justify" wrapText="1"/>
    </xf>
    <xf numFmtId="0" fontId="36" fillId="9" borderId="7" xfId="0" applyFont="1" applyFill="1" applyBorder="1" applyAlignment="1">
      <alignment horizontal="center"/>
    </xf>
    <xf numFmtId="0" fontId="36" fillId="9" borderId="8" xfId="0" applyFont="1" applyFill="1" applyBorder="1" applyAlignment="1">
      <alignment horizontal="center"/>
    </xf>
    <xf numFmtId="0" fontId="16" fillId="16" borderId="7" xfId="7" applyFont="1" applyFill="1" applyBorder="1" applyAlignment="1" applyProtection="1">
      <alignment horizontal="center" vertical="center" wrapText="1"/>
      <protection hidden="1"/>
    </xf>
    <xf numFmtId="0" fontId="16" fillId="16" borderId="36" xfId="7" applyFont="1" applyFill="1" applyBorder="1" applyAlignment="1" applyProtection="1">
      <alignment horizontal="center" vertical="center" wrapText="1"/>
      <protection hidden="1"/>
    </xf>
    <xf numFmtId="0" fontId="16" fillId="16" borderId="8" xfId="7" applyFont="1" applyFill="1" applyBorder="1" applyAlignment="1" applyProtection="1">
      <alignment horizontal="center" vertical="center" wrapText="1"/>
      <protection hidden="1"/>
    </xf>
    <xf numFmtId="0" fontId="161" fillId="5" borderId="7" xfId="7" applyFont="1" applyBorder="1" applyAlignment="1" applyProtection="1">
      <alignment horizontal="center" vertical="center" wrapText="1"/>
      <protection hidden="1"/>
    </xf>
    <xf numFmtId="0" fontId="161" fillId="5" borderId="36" xfId="7" applyFont="1" applyBorder="1" applyAlignment="1" applyProtection="1">
      <alignment horizontal="center" vertical="center" wrapText="1"/>
      <protection hidden="1"/>
    </xf>
    <xf numFmtId="0" fontId="161" fillId="5" borderId="8" xfId="7" applyFont="1" applyBorder="1" applyAlignment="1" applyProtection="1">
      <alignment horizontal="center" vertical="center" wrapText="1"/>
      <protection hidden="1"/>
    </xf>
    <xf numFmtId="164" fontId="77" fillId="0" borderId="5" xfId="0" applyNumberFormat="1" applyFont="1" applyBorder="1" applyAlignment="1">
      <alignment horizontal="center" vertical="justify" wrapText="1"/>
    </xf>
    <xf numFmtId="0" fontId="34" fillId="0" borderId="1" xfId="0" applyFont="1" applyBorder="1" applyAlignment="1">
      <alignment horizontal="center" textRotation="90"/>
    </xf>
    <xf numFmtId="0" fontId="45" fillId="0" borderId="1" xfId="0" applyFont="1" applyBorder="1" applyAlignment="1">
      <alignment horizontal="center"/>
    </xf>
    <xf numFmtId="0" fontId="31" fillId="56" borderId="7" xfId="0" applyFont="1" applyFill="1" applyBorder="1" applyAlignment="1">
      <alignment horizontal="center" vertical="center" wrapText="1"/>
    </xf>
    <xf numFmtId="0" fontId="31" fillId="56" borderId="8" xfId="0" applyFont="1" applyFill="1" applyBorder="1" applyAlignment="1">
      <alignment horizontal="center" vertical="center" wrapText="1"/>
    </xf>
    <xf numFmtId="0" fontId="12" fillId="52" borderId="14" xfId="7" applyFont="1" applyFill="1" applyBorder="1" applyAlignment="1" applyProtection="1">
      <alignment horizontal="center" vertical="center" wrapText="1"/>
      <protection hidden="1"/>
    </xf>
    <xf numFmtId="0" fontId="12" fillId="52" borderId="6" xfId="7" applyFont="1" applyFill="1" applyBorder="1" applyAlignment="1" applyProtection="1">
      <alignment horizontal="center" vertical="center" wrapText="1"/>
      <protection hidden="1"/>
    </xf>
    <xf numFmtId="0" fontId="33" fillId="0" borderId="0" xfId="0" applyFont="1" applyAlignment="1">
      <alignment horizontal="center"/>
    </xf>
    <xf numFmtId="0" fontId="33" fillId="0" borderId="211" xfId="0" applyFont="1" applyBorder="1" applyAlignment="1">
      <alignment horizontal="center"/>
    </xf>
    <xf numFmtId="0" fontId="33" fillId="0" borderId="10" xfId="0" applyFont="1" applyBorder="1" applyAlignment="1">
      <alignment horizontal="center"/>
    </xf>
    <xf numFmtId="164" fontId="164" fillId="56" borderId="14" xfId="7" applyNumberFormat="1" applyFont="1" applyFill="1" applyBorder="1" applyAlignment="1" applyProtection="1">
      <alignment horizontal="center" vertical="center" wrapText="1"/>
      <protection hidden="1"/>
    </xf>
    <xf numFmtId="0" fontId="164" fillId="56" borderId="6" xfId="7" applyFont="1" applyFill="1" applyBorder="1" applyAlignment="1" applyProtection="1">
      <alignment horizontal="center" vertical="center" wrapText="1"/>
      <protection hidden="1"/>
    </xf>
    <xf numFmtId="0" fontId="164" fillId="56" borderId="205" xfId="7" applyFont="1" applyFill="1" applyBorder="1" applyAlignment="1" applyProtection="1">
      <alignment horizontal="center" vertical="center" wrapText="1"/>
      <protection hidden="1"/>
    </xf>
    <xf numFmtId="0" fontId="164" fillId="56" borderId="206" xfId="7" applyFont="1" applyFill="1" applyBorder="1" applyAlignment="1" applyProtection="1">
      <alignment horizontal="center" vertical="center" wrapText="1"/>
      <protection hidden="1"/>
    </xf>
    <xf numFmtId="0" fontId="34" fillId="59" borderId="249" xfId="0" applyFont="1" applyFill="1" applyBorder="1" applyAlignment="1" applyProtection="1">
      <alignment horizontal="center"/>
    </xf>
    <xf numFmtId="0" fontId="34" fillId="59" borderId="0" xfId="0" applyFont="1" applyFill="1" applyBorder="1" applyAlignment="1" applyProtection="1">
      <alignment horizontal="center"/>
    </xf>
    <xf numFmtId="0" fontId="34" fillId="59" borderId="249" xfId="0" applyFont="1" applyFill="1" applyBorder="1" applyAlignment="1">
      <alignment horizontal="center"/>
    </xf>
    <xf numFmtId="0" fontId="34" fillId="59" borderId="0" xfId="0" applyFont="1" applyFill="1" applyBorder="1" applyAlignment="1">
      <alignment horizontal="center"/>
    </xf>
    <xf numFmtId="0" fontId="134" fillId="0" borderId="66" xfId="0" applyFont="1" applyBorder="1" applyAlignment="1">
      <alignment horizontal="center" wrapText="1"/>
    </xf>
    <xf numFmtId="0" fontId="134" fillId="0" borderId="72" xfId="0" applyFont="1" applyBorder="1" applyAlignment="1">
      <alignment horizontal="center" wrapText="1"/>
    </xf>
    <xf numFmtId="0" fontId="134" fillId="0" borderId="82" xfId="0" applyFont="1" applyBorder="1" applyAlignment="1">
      <alignment horizontal="center" wrapText="1"/>
    </xf>
    <xf numFmtId="164" fontId="136" fillId="2" borderId="114" xfId="8" applyNumberFormat="1" applyFont="1" applyBorder="1" applyAlignment="1">
      <alignment horizontal="center" vertical="center" wrapText="1"/>
    </xf>
    <xf numFmtId="164" fontId="136" fillId="2" borderId="139" xfId="8" applyNumberFormat="1" applyFont="1" applyBorder="1" applyAlignment="1">
      <alignment horizontal="center" vertical="center" wrapText="1"/>
    </xf>
    <xf numFmtId="164" fontId="136" fillId="2" borderId="140" xfId="8" applyNumberFormat="1" applyFont="1" applyBorder="1" applyAlignment="1">
      <alignment horizontal="center" vertical="center" wrapText="1"/>
    </xf>
    <xf numFmtId="164" fontId="128" fillId="2" borderId="114" xfId="8" applyNumberFormat="1" applyFont="1" applyBorder="1" applyAlignment="1">
      <alignment horizontal="center" vertical="center" wrapText="1"/>
    </xf>
    <xf numFmtId="164" fontId="128" fillId="2" borderId="139" xfId="8" applyNumberFormat="1" applyFont="1" applyBorder="1" applyAlignment="1">
      <alignment horizontal="center" vertical="center" wrapText="1"/>
    </xf>
    <xf numFmtId="164" fontId="128" fillId="2" borderId="140" xfId="8" applyNumberFormat="1" applyFont="1" applyBorder="1" applyAlignment="1">
      <alignment horizontal="center" vertical="center" wrapText="1"/>
    </xf>
    <xf numFmtId="164" fontId="132" fillId="2" borderId="114" xfId="8" applyNumberFormat="1" applyFont="1" applyBorder="1" applyAlignment="1">
      <alignment horizontal="center" vertical="center" wrapText="1"/>
    </xf>
    <xf numFmtId="164" fontId="132" fillId="2" borderId="139" xfId="8" applyNumberFormat="1" applyFont="1" applyBorder="1" applyAlignment="1">
      <alignment horizontal="center" vertical="center" wrapText="1"/>
    </xf>
    <xf numFmtId="164" fontId="132" fillId="2" borderId="140" xfId="8" applyNumberFormat="1" applyFont="1" applyBorder="1" applyAlignment="1">
      <alignment horizontal="center" vertical="center" wrapText="1"/>
    </xf>
    <xf numFmtId="164" fontId="138" fillId="5" borderId="171" xfId="9" applyNumberFormat="1" applyFont="1" applyFill="1" applyBorder="1" applyAlignment="1">
      <alignment horizontal="center" vertical="center" wrapText="1"/>
    </xf>
    <xf numFmtId="164" fontId="138" fillId="5" borderId="172" xfId="9" applyNumberFormat="1" applyFont="1" applyFill="1" applyBorder="1" applyAlignment="1">
      <alignment horizontal="center" vertical="center" wrapText="1"/>
    </xf>
    <xf numFmtId="164" fontId="138" fillId="5" borderId="174" xfId="9" applyNumberFormat="1" applyFont="1" applyFill="1" applyBorder="1" applyAlignment="1">
      <alignment horizontal="center" vertical="center" wrapText="1"/>
    </xf>
    <xf numFmtId="0" fontId="138" fillId="5" borderId="177" xfId="7" applyFont="1" applyBorder="1" applyAlignment="1">
      <alignment horizontal="center"/>
    </xf>
    <xf numFmtId="0" fontId="138" fillId="5" borderId="178" xfId="7" applyFont="1" applyBorder="1" applyAlignment="1">
      <alignment horizontal="center"/>
    </xf>
    <xf numFmtId="0" fontId="138" fillId="5" borderId="179" xfId="7" applyFont="1" applyBorder="1" applyAlignment="1">
      <alignment horizontal="center"/>
    </xf>
    <xf numFmtId="0" fontId="130" fillId="2" borderId="133" xfId="8" applyFont="1" applyBorder="1" applyAlignment="1">
      <alignment horizontal="center"/>
    </xf>
    <xf numFmtId="0" fontId="130" fillId="2" borderId="111" xfId="8" applyFont="1" applyBorder="1" applyAlignment="1">
      <alignment horizontal="center"/>
    </xf>
    <xf numFmtId="0" fontId="130" fillId="2" borderId="167" xfId="8" applyFont="1" applyBorder="1" applyAlignment="1">
      <alignment horizontal="center"/>
    </xf>
    <xf numFmtId="0" fontId="130" fillId="2" borderId="168" xfId="8" applyFont="1" applyBorder="1" applyAlignment="1">
      <alignment horizontal="center"/>
    </xf>
    <xf numFmtId="164" fontId="140" fillId="2" borderId="148" xfId="5" applyNumberFormat="1" applyFont="1" applyFill="1" applyBorder="1" applyAlignment="1" applyProtection="1">
      <alignment horizontal="center" vertical="center"/>
    </xf>
    <xf numFmtId="164" fontId="140" fillId="2" borderId="181" xfId="5" applyNumberFormat="1" applyFont="1" applyFill="1" applyBorder="1" applyAlignment="1" applyProtection="1">
      <alignment horizontal="center" vertical="center"/>
    </xf>
    <xf numFmtId="0" fontId="138" fillId="5" borderId="180" xfId="7" applyFont="1" applyBorder="1" applyAlignment="1">
      <alignment horizontal="center"/>
    </xf>
    <xf numFmtId="0" fontId="134" fillId="0" borderId="144" xfId="0" applyFont="1" applyBorder="1" applyAlignment="1">
      <alignment horizontal="center" wrapText="1"/>
    </xf>
    <xf numFmtId="0" fontId="134" fillId="0" borderId="155" xfId="0" applyFont="1" applyBorder="1" applyAlignment="1">
      <alignment horizontal="center" wrapText="1"/>
    </xf>
    <xf numFmtId="0" fontId="134" fillId="0" borderId="166" xfId="0" applyFont="1" applyBorder="1" applyAlignment="1">
      <alignment horizontal="center" wrapText="1"/>
    </xf>
    <xf numFmtId="0" fontId="134" fillId="0" borderId="271" xfId="0" applyFont="1" applyBorder="1" applyAlignment="1">
      <alignment horizontal="center" wrapText="1"/>
    </xf>
    <xf numFmtId="0" fontId="134" fillId="0" borderId="9" xfId="0" applyFont="1" applyBorder="1" applyAlignment="1">
      <alignment horizontal="center" wrapText="1"/>
    </xf>
    <xf numFmtId="0" fontId="134" fillId="0" borderId="6" xfId="0" applyFont="1" applyBorder="1" applyAlignment="1">
      <alignment horizontal="center" wrapText="1"/>
    </xf>
    <xf numFmtId="164" fontId="122" fillId="5" borderId="160" xfId="9" applyNumberFormat="1" applyFont="1" applyFill="1" applyBorder="1" applyAlignment="1">
      <alignment horizontal="center" vertical="center" wrapText="1"/>
    </xf>
    <xf numFmtId="164" fontId="122" fillId="5" borderId="161" xfId="9" applyNumberFormat="1" applyFont="1" applyFill="1" applyBorder="1" applyAlignment="1">
      <alignment horizontal="center" vertical="center" wrapText="1"/>
    </xf>
    <xf numFmtId="164" fontId="122" fillId="5" borderId="162" xfId="9" applyNumberFormat="1" applyFont="1" applyFill="1" applyBorder="1" applyAlignment="1">
      <alignment horizontal="center" vertical="center" wrapText="1"/>
    </xf>
    <xf numFmtId="164" fontId="122" fillId="5" borderId="163" xfId="9" applyNumberFormat="1" applyFont="1" applyFill="1" applyBorder="1" applyAlignment="1">
      <alignment horizontal="center" vertical="center" wrapText="1"/>
    </xf>
    <xf numFmtId="164" fontId="122" fillId="5" borderId="164" xfId="9" applyNumberFormat="1" applyFont="1" applyFill="1" applyBorder="1" applyAlignment="1">
      <alignment horizontal="center" vertical="center" wrapText="1"/>
    </xf>
    <xf numFmtId="164" fontId="122" fillId="5" borderId="165" xfId="9" applyNumberFormat="1" applyFont="1" applyFill="1" applyBorder="1" applyAlignment="1">
      <alignment horizontal="center" vertical="center" wrapText="1"/>
    </xf>
    <xf numFmtId="164" fontId="94" fillId="0" borderId="25" xfId="0" applyNumberFormat="1" applyFont="1" applyBorder="1" applyAlignment="1">
      <alignment horizontal="center" vertical="center" wrapText="1"/>
    </xf>
    <xf numFmtId="164" fontId="94" fillId="0" borderId="73" xfId="0" applyNumberFormat="1" applyFont="1" applyBorder="1" applyAlignment="1">
      <alignment horizontal="center" vertical="center" wrapText="1"/>
    </xf>
    <xf numFmtId="164" fontId="94" fillId="0" borderId="57" xfId="0" applyNumberFormat="1" applyFont="1" applyBorder="1" applyAlignment="1">
      <alignment horizontal="center" vertical="center" wrapText="1"/>
    </xf>
    <xf numFmtId="164" fontId="130" fillId="2" borderId="114" xfId="8" applyNumberFormat="1" applyFont="1" applyBorder="1" applyAlignment="1">
      <alignment horizontal="center" vertical="center" wrapText="1"/>
    </xf>
    <xf numFmtId="164" fontId="130" fillId="2" borderId="139" xfId="8" applyNumberFormat="1" applyFont="1" applyBorder="1" applyAlignment="1">
      <alignment horizontal="center" vertical="center" wrapText="1"/>
    </xf>
    <xf numFmtId="164" fontId="130" fillId="2" borderId="140" xfId="8" applyNumberFormat="1" applyFont="1" applyBorder="1" applyAlignment="1">
      <alignment horizontal="center" vertical="center" wrapText="1"/>
    </xf>
    <xf numFmtId="164" fontId="130" fillId="2" borderId="153" xfId="8" applyNumberFormat="1" applyFont="1" applyBorder="1" applyAlignment="1" applyProtection="1">
      <alignment horizontal="center" vertical="center" wrapText="1"/>
    </xf>
    <xf numFmtId="164" fontId="130" fillId="2" borderId="122" xfId="8" applyNumberFormat="1" applyFont="1" applyBorder="1" applyAlignment="1" applyProtection="1">
      <alignment horizontal="center" vertical="center" wrapText="1"/>
    </xf>
    <xf numFmtId="0" fontId="9" fillId="5" borderId="177" xfId="7" applyFont="1" applyBorder="1" applyAlignment="1">
      <alignment horizontal="center"/>
    </xf>
    <xf numFmtId="0" fontId="121" fillId="5" borderId="178" xfId="7" applyFont="1" applyBorder="1" applyAlignment="1">
      <alignment horizontal="center"/>
    </xf>
    <xf numFmtId="0" fontId="9" fillId="5" borderId="178" xfId="7" applyFont="1" applyBorder="1" applyAlignment="1">
      <alignment horizontal="center"/>
    </xf>
    <xf numFmtId="0" fontId="9" fillId="5" borderId="179" xfId="7" applyFont="1" applyBorder="1" applyAlignment="1">
      <alignment horizontal="center"/>
    </xf>
    <xf numFmtId="0" fontId="130" fillId="2" borderId="266" xfId="8" applyFont="1" applyBorder="1" applyAlignment="1">
      <alignment horizontal="center"/>
    </xf>
    <xf numFmtId="0" fontId="130" fillId="2" borderId="267" xfId="8" applyFont="1" applyBorder="1" applyAlignment="1">
      <alignment horizontal="center"/>
    </xf>
    <xf numFmtId="164" fontId="98" fillId="0" borderId="176" xfId="0" applyNumberFormat="1" applyFont="1" applyBorder="1" applyAlignment="1">
      <alignment horizontal="center"/>
    </xf>
    <xf numFmtId="0" fontId="98" fillId="0" borderId="176" xfId="0" applyFont="1" applyBorder="1" applyAlignment="1">
      <alignment horizontal="center"/>
    </xf>
    <xf numFmtId="0" fontId="92" fillId="0" borderId="0" xfId="0" applyFont="1" applyAlignment="1">
      <alignment horizontal="center"/>
    </xf>
    <xf numFmtId="0" fontId="92" fillId="0" borderId="173" xfId="0" applyFont="1" applyBorder="1" applyAlignment="1">
      <alignment horizontal="center"/>
    </xf>
    <xf numFmtId="164" fontId="85" fillId="11" borderId="0" xfId="6" applyNumberFormat="1" applyFont="1" applyFill="1" applyBorder="1" applyAlignment="1">
      <alignment horizontal="center" vertical="center" wrapText="1"/>
    </xf>
    <xf numFmtId="0" fontId="88" fillId="0" borderId="0" xfId="0" applyFont="1" applyBorder="1" applyAlignment="1">
      <alignment horizontal="center" textRotation="90"/>
    </xf>
    <xf numFmtId="0" fontId="88" fillId="0" borderId="0" xfId="0" applyFont="1" applyAlignment="1">
      <alignment horizontal="center"/>
    </xf>
    <xf numFmtId="164" fontId="107" fillId="2" borderId="153" xfId="8" applyNumberFormat="1" applyFont="1" applyBorder="1" applyAlignment="1" applyProtection="1">
      <alignment horizontal="center" vertical="center" wrapText="1"/>
    </xf>
    <xf numFmtId="164" fontId="107" fillId="2" borderId="122" xfId="8" applyNumberFormat="1" applyFont="1" applyBorder="1" applyAlignment="1" applyProtection="1">
      <alignment horizontal="center" vertical="center" wrapText="1"/>
    </xf>
    <xf numFmtId="164" fontId="55" fillId="18" borderId="101" xfId="6" applyNumberFormat="1" applyFont="1" applyFill="1" applyBorder="1" applyAlignment="1">
      <alignment horizontal="center" vertical="center" wrapText="1"/>
    </xf>
    <xf numFmtId="164" fontId="55" fillId="18" borderId="102" xfId="6" applyNumberFormat="1" applyFont="1" applyFill="1" applyBorder="1" applyAlignment="1">
      <alignment horizontal="center" vertical="center" wrapText="1"/>
    </xf>
    <xf numFmtId="164" fontId="59" fillId="0" borderId="25" xfId="0" applyNumberFormat="1" applyFont="1" applyBorder="1" applyAlignment="1">
      <alignment horizontal="center" vertical="center" wrapText="1"/>
    </xf>
    <xf numFmtId="164" fontId="59" fillId="0" borderId="73" xfId="0" applyNumberFormat="1" applyFont="1" applyBorder="1" applyAlignment="1">
      <alignment horizontal="center" vertical="center" wrapText="1"/>
    </xf>
    <xf numFmtId="164" fontId="59" fillId="0" borderId="57" xfId="0" applyNumberFormat="1" applyFont="1" applyBorder="1" applyAlignment="1">
      <alignment horizontal="center" vertical="center" wrapText="1"/>
    </xf>
    <xf numFmtId="164" fontId="107" fillId="2" borderId="139" xfId="8" applyNumberFormat="1" applyFont="1" applyBorder="1" applyAlignment="1">
      <alignment horizontal="center" vertical="center" wrapText="1"/>
    </xf>
    <xf numFmtId="164" fontId="107" fillId="2" borderId="140" xfId="8" applyNumberFormat="1" applyFont="1" applyBorder="1" applyAlignment="1">
      <alignment horizontal="center" vertical="center" wrapText="1"/>
    </xf>
    <xf numFmtId="164" fontId="55" fillId="18" borderId="143" xfId="6" applyNumberFormat="1" applyFont="1" applyFill="1" applyBorder="1" applyAlignment="1">
      <alignment horizontal="center" vertical="center" wrapText="1"/>
    </xf>
    <xf numFmtId="164" fontId="55" fillId="18" borderId="152" xfId="6" applyNumberFormat="1" applyFont="1" applyFill="1" applyBorder="1" applyAlignment="1">
      <alignment horizontal="center" vertical="center" wrapText="1"/>
    </xf>
    <xf numFmtId="164" fontId="107" fillId="2" borderId="153" xfId="8" applyNumberFormat="1" applyFont="1" applyBorder="1" applyAlignment="1">
      <alignment horizontal="center" vertical="center" wrapText="1"/>
    </xf>
    <xf numFmtId="164" fontId="107" fillId="2" borderId="122" xfId="8" applyNumberFormat="1" applyFont="1" applyBorder="1" applyAlignment="1">
      <alignment horizontal="center" vertical="center" wrapText="1"/>
    </xf>
    <xf numFmtId="164" fontId="123" fillId="5" borderId="157" xfId="5" applyNumberFormat="1" applyFont="1" applyFill="1" applyBorder="1" applyAlignment="1" applyProtection="1">
      <alignment horizontal="center" vertical="center" wrapText="1"/>
    </xf>
    <xf numFmtId="164" fontId="123" fillId="5" borderId="158" xfId="5" applyNumberFormat="1" applyFont="1" applyFill="1" applyBorder="1" applyAlignment="1" applyProtection="1">
      <alignment horizontal="center" vertical="center" wrapText="1"/>
    </xf>
    <xf numFmtId="164" fontId="123" fillId="5" borderId="159" xfId="5" applyNumberFormat="1" applyFont="1" applyFill="1" applyBorder="1" applyAlignment="1" applyProtection="1">
      <alignment horizontal="center" vertical="center" wrapText="1"/>
    </xf>
    <xf numFmtId="164" fontId="45" fillId="5" borderId="160" xfId="9" applyNumberFormat="1" applyFont="1" applyFill="1" applyBorder="1" applyAlignment="1">
      <alignment horizontal="center" vertical="center" wrapText="1"/>
    </xf>
    <xf numFmtId="164" fontId="45" fillId="5" borderId="161" xfId="9" applyNumberFormat="1" applyFont="1" applyFill="1" applyBorder="1" applyAlignment="1">
      <alignment horizontal="center" vertical="center" wrapText="1"/>
    </xf>
    <xf numFmtId="164" fontId="45" fillId="5" borderId="162" xfId="9" applyNumberFormat="1" applyFont="1" applyFill="1" applyBorder="1" applyAlignment="1">
      <alignment horizontal="center" vertical="center" wrapText="1"/>
    </xf>
    <xf numFmtId="164" fontId="45" fillId="5" borderId="163" xfId="9" applyNumberFormat="1" applyFont="1" applyFill="1" applyBorder="1" applyAlignment="1">
      <alignment horizontal="center" vertical="center" wrapText="1"/>
    </xf>
    <xf numFmtId="164" fontId="45" fillId="5" borderId="164" xfId="9" applyNumberFormat="1" applyFont="1" applyFill="1" applyBorder="1" applyAlignment="1">
      <alignment horizontal="center" vertical="center" wrapText="1"/>
    </xf>
    <xf numFmtId="164" fontId="45" fillId="5" borderId="165" xfId="9" applyNumberFormat="1" applyFont="1" applyFill="1" applyBorder="1" applyAlignment="1">
      <alignment horizontal="center" vertical="center" wrapText="1"/>
    </xf>
    <xf numFmtId="164" fontId="30" fillId="2" borderId="153" xfId="8" applyNumberFormat="1" applyFont="1" applyBorder="1" applyAlignment="1">
      <alignment horizontal="center" vertical="center" wrapText="1"/>
    </xf>
    <xf numFmtId="164" fontId="30" fillId="2" borderId="122" xfId="8" applyNumberFormat="1" applyFont="1" applyBorder="1" applyAlignment="1">
      <alignment horizontal="center" vertical="center" wrapText="1"/>
    </xf>
    <xf numFmtId="164" fontId="107" fillId="2" borderId="154" xfId="8" applyNumberFormat="1" applyFont="1" applyBorder="1" applyAlignment="1" applyProtection="1">
      <alignment horizontal="center" vertical="center"/>
    </xf>
    <xf numFmtId="164" fontId="107" fillId="2" borderId="155" xfId="8" applyNumberFormat="1" applyFont="1" applyBorder="1" applyAlignment="1" applyProtection="1">
      <alignment horizontal="center" vertical="center"/>
    </xf>
    <xf numFmtId="164" fontId="107" fillId="2" borderId="156" xfId="8" applyNumberFormat="1" applyFont="1" applyBorder="1" applyAlignment="1" applyProtection="1">
      <alignment horizontal="center" vertical="center"/>
    </xf>
    <xf numFmtId="164" fontId="31" fillId="24" borderId="66" xfId="0" applyNumberFormat="1" applyFont="1" applyFill="1" applyBorder="1" applyAlignment="1">
      <alignment horizontal="center" vertical="center" wrapText="1"/>
    </xf>
    <xf numFmtId="164" fontId="31" fillId="24" borderId="82" xfId="0" applyNumberFormat="1" applyFont="1" applyFill="1" applyBorder="1" applyAlignment="1">
      <alignment horizontal="center" vertical="center" wrapText="1"/>
    </xf>
    <xf numFmtId="176" fontId="115" fillId="36" borderId="185" xfId="6" applyNumberFormat="1" applyFont="1" applyFill="1" applyBorder="1" applyAlignment="1">
      <alignment horizontal="center" vertical="center" wrapText="1"/>
    </xf>
    <xf numFmtId="176" fontId="115" fillId="36" borderId="127" xfId="6" applyNumberFormat="1" applyFont="1" applyFill="1" applyBorder="1" applyAlignment="1">
      <alignment horizontal="center" vertical="center" wrapText="1"/>
    </xf>
    <xf numFmtId="176" fontId="115" fillId="36" borderId="132" xfId="6" applyNumberFormat="1" applyFont="1" applyFill="1" applyBorder="1" applyAlignment="1">
      <alignment horizontal="center" vertical="center" wrapText="1"/>
    </xf>
    <xf numFmtId="0" fontId="107" fillId="2" borderId="133" xfId="8" applyFont="1" applyBorder="1" applyAlignment="1">
      <alignment horizontal="center"/>
    </xf>
    <xf numFmtId="0" fontId="107" fillId="2" borderId="111" xfId="8" applyFont="1" applyBorder="1" applyAlignment="1">
      <alignment horizontal="center"/>
    </xf>
    <xf numFmtId="177" fontId="83" fillId="2" borderId="169" xfId="1" applyNumberFormat="1" applyFont="1" applyBorder="1" applyAlignment="1">
      <alignment horizontal="center" vertical="center"/>
    </xf>
    <xf numFmtId="177" fontId="83" fillId="2" borderId="170" xfId="1" applyNumberFormat="1" applyFont="1" applyBorder="1" applyAlignment="1">
      <alignment horizontal="center" vertical="center"/>
    </xf>
    <xf numFmtId="1" fontId="24" fillId="2" borderId="94" xfId="1" applyNumberFormat="1" applyBorder="1" applyAlignment="1">
      <alignment horizontal="center" vertical="center"/>
    </xf>
    <xf numFmtId="1" fontId="24" fillId="2" borderId="0" xfId="1" applyNumberFormat="1" applyBorder="1" applyAlignment="1">
      <alignment horizontal="center" vertical="center"/>
    </xf>
    <xf numFmtId="1" fontId="24" fillId="2" borderId="188" xfId="1" applyNumberFormat="1" applyBorder="1" applyAlignment="1">
      <alignment horizontal="center" vertical="center"/>
    </xf>
    <xf numFmtId="0" fontId="107" fillId="2" borderId="167" xfId="8" applyFont="1" applyBorder="1" applyAlignment="1">
      <alignment horizontal="center"/>
    </xf>
    <xf numFmtId="0" fontId="107" fillId="2" borderId="168" xfId="8" applyFont="1" applyBorder="1" applyAlignment="1">
      <alignment horizontal="center"/>
    </xf>
    <xf numFmtId="164" fontId="55" fillId="18" borderId="105" xfId="6" applyNumberFormat="1" applyFont="1" applyFill="1" applyBorder="1" applyAlignment="1">
      <alignment horizontal="center" vertical="center" wrapText="1"/>
    </xf>
    <xf numFmtId="164" fontId="55" fillId="18" borderId="106" xfId="6" applyNumberFormat="1" applyFont="1" applyFill="1" applyBorder="1" applyAlignment="1">
      <alignment horizontal="center" vertical="center" wrapText="1"/>
    </xf>
    <xf numFmtId="0" fontId="127" fillId="5" borderId="171" xfId="7" applyFont="1" applyBorder="1" applyAlignment="1">
      <alignment horizontal="center" vertical="center"/>
    </xf>
    <xf numFmtId="0" fontId="127" fillId="5" borderId="94" xfId="7" applyFont="1" applyBorder="1" applyAlignment="1">
      <alignment horizontal="center" vertical="center"/>
    </xf>
    <xf numFmtId="0" fontId="127" fillId="5" borderId="113" xfId="7" applyFont="1" applyBorder="1" applyAlignment="1">
      <alignment horizontal="center" vertical="center"/>
    </xf>
    <xf numFmtId="0" fontId="127" fillId="5" borderId="172" xfId="7" applyFont="1" applyBorder="1" applyAlignment="1">
      <alignment horizontal="center" vertical="center"/>
    </xf>
    <xf numFmtId="0" fontId="127" fillId="5" borderId="0" xfId="7" applyFont="1" applyBorder="1" applyAlignment="1">
      <alignment horizontal="center" vertical="center"/>
    </xf>
    <xf numFmtId="0" fontId="127" fillId="5" borderId="173" xfId="7" applyFont="1" applyBorder="1" applyAlignment="1">
      <alignment horizontal="center" vertical="center"/>
    </xf>
    <xf numFmtId="0" fontId="127" fillId="5" borderId="174" xfId="7" applyFont="1" applyBorder="1" applyAlignment="1">
      <alignment horizontal="center" vertical="center"/>
    </xf>
    <xf numFmtId="0" fontId="127" fillId="5" borderId="83" xfId="7" applyFont="1" applyBorder="1" applyAlignment="1">
      <alignment horizontal="center" vertical="center"/>
    </xf>
    <xf numFmtId="0" fontId="127" fillId="5" borderId="175" xfId="7" applyFont="1" applyBorder="1" applyAlignment="1">
      <alignment horizontal="center" vertical="center"/>
    </xf>
    <xf numFmtId="0" fontId="33" fillId="0" borderId="144" xfId="0" applyFont="1" applyBorder="1" applyAlignment="1">
      <alignment horizontal="center" wrapText="1"/>
    </xf>
    <xf numFmtId="0" fontId="33" fillId="0" borderId="155" xfId="0" applyFont="1" applyBorder="1" applyAlignment="1">
      <alignment horizontal="center" wrapText="1"/>
    </xf>
    <xf numFmtId="0" fontId="33" fillId="0" borderId="166" xfId="0" applyFont="1" applyBorder="1" applyAlignment="1">
      <alignment horizontal="center" wrapText="1"/>
    </xf>
    <xf numFmtId="164" fontId="136" fillId="2" borderId="153" xfId="8" applyNumberFormat="1" applyFont="1" applyBorder="1" applyAlignment="1" applyProtection="1">
      <alignment horizontal="center" vertical="center" wrapText="1"/>
    </xf>
    <xf numFmtId="164" fontId="136" fillId="2" borderId="122" xfId="8" applyNumberFormat="1" applyFont="1" applyBorder="1" applyAlignment="1" applyProtection="1">
      <alignment horizontal="center" vertical="center" wrapText="1"/>
    </xf>
    <xf numFmtId="164" fontId="120" fillId="0" borderId="176" xfId="0" applyNumberFormat="1" applyFont="1" applyBorder="1" applyAlignment="1">
      <alignment horizontal="center"/>
    </xf>
    <xf numFmtId="0" fontId="120" fillId="0" borderId="176" xfId="0" applyFont="1" applyBorder="1" applyAlignment="1">
      <alignment horizontal="center"/>
    </xf>
    <xf numFmtId="164" fontId="41" fillId="0" borderId="25" xfId="0" applyNumberFormat="1" applyFont="1" applyBorder="1" applyAlignment="1">
      <alignment horizontal="center" vertical="center" wrapText="1"/>
    </xf>
    <xf numFmtId="164" fontId="41" fillId="0" borderId="73" xfId="0" applyNumberFormat="1" applyFont="1" applyBorder="1" applyAlignment="1">
      <alignment horizontal="center" vertical="center" wrapText="1"/>
    </xf>
    <xf numFmtId="164" fontId="41" fillId="0" borderId="57" xfId="0" applyNumberFormat="1" applyFont="1" applyBorder="1" applyAlignment="1">
      <alignment horizontal="center" vertical="center" wrapText="1"/>
    </xf>
    <xf numFmtId="164" fontId="133" fillId="0" borderId="176" xfId="0" applyNumberFormat="1" applyFont="1" applyBorder="1" applyAlignment="1">
      <alignment horizontal="center"/>
    </xf>
    <xf numFmtId="0" fontId="133" fillId="0" borderId="176" xfId="0" applyFont="1" applyBorder="1" applyAlignment="1">
      <alignment horizontal="center"/>
    </xf>
    <xf numFmtId="164" fontId="43" fillId="0" borderId="25" xfId="0" applyNumberFormat="1" applyFont="1" applyBorder="1" applyAlignment="1">
      <alignment horizontal="center" vertical="center" wrapText="1"/>
    </xf>
    <xf numFmtId="164" fontId="43" fillId="0" borderId="73" xfId="0" applyNumberFormat="1" applyFont="1" applyBorder="1" applyAlignment="1">
      <alignment horizontal="center" vertical="center" wrapText="1"/>
    </xf>
    <xf numFmtId="164" fontId="43" fillId="0" borderId="57" xfId="0" applyNumberFormat="1" applyFont="1" applyBorder="1" applyAlignment="1">
      <alignment horizontal="center" vertical="center" wrapText="1"/>
    </xf>
    <xf numFmtId="164" fontId="128" fillId="2" borderId="153" xfId="8" applyNumberFormat="1" applyFont="1" applyBorder="1" applyAlignment="1" applyProtection="1">
      <alignment horizontal="center" vertical="center" wrapText="1"/>
    </xf>
    <xf numFmtId="164" fontId="128" fillId="2" borderId="122" xfId="8" applyNumberFormat="1" applyFont="1" applyBorder="1" applyAlignment="1" applyProtection="1">
      <alignment horizontal="center" vertical="center" wrapText="1"/>
    </xf>
    <xf numFmtId="164" fontId="98" fillId="0" borderId="25" xfId="0" applyNumberFormat="1" applyFont="1" applyBorder="1" applyAlignment="1">
      <alignment horizontal="center" vertical="center" wrapText="1"/>
    </xf>
    <xf numFmtId="164" fontId="98" fillId="0" borderId="73" xfId="0" applyNumberFormat="1" applyFont="1" applyBorder="1" applyAlignment="1">
      <alignment horizontal="center" vertical="center" wrapText="1"/>
    </xf>
    <xf numFmtId="164" fontId="98" fillId="0" borderId="57" xfId="0" applyNumberFormat="1" applyFont="1" applyBorder="1" applyAlignment="1">
      <alignment horizontal="center" vertical="center" wrapText="1"/>
    </xf>
    <xf numFmtId="164" fontId="128" fillId="2" borderId="153" xfId="8" applyNumberFormat="1" applyFont="1" applyBorder="1" applyAlignment="1">
      <alignment horizontal="center" vertical="center" wrapText="1"/>
    </xf>
    <xf numFmtId="164" fontId="128" fillId="2" borderId="122" xfId="8" applyNumberFormat="1" applyFont="1" applyBorder="1" applyAlignment="1">
      <alignment horizontal="center" vertical="center" wrapText="1"/>
    </xf>
    <xf numFmtId="164" fontId="43" fillId="0" borderId="176" xfId="0" applyNumberFormat="1" applyFont="1" applyBorder="1" applyAlignment="1">
      <alignment horizontal="center"/>
    </xf>
    <xf numFmtId="0" fontId="43" fillId="0" borderId="176" xfId="0" applyFont="1" applyBorder="1" applyAlignment="1">
      <alignment horizontal="center"/>
    </xf>
    <xf numFmtId="164" fontId="136" fillId="2" borderId="153" xfId="8" applyNumberFormat="1" applyFont="1" applyBorder="1" applyAlignment="1">
      <alignment horizontal="center" vertical="center" wrapText="1"/>
    </xf>
    <xf numFmtId="164" fontId="136" fillId="2" borderId="122" xfId="8" applyNumberFormat="1" applyFont="1" applyBorder="1" applyAlignment="1">
      <alignment horizontal="center" vertical="center" wrapText="1"/>
    </xf>
    <xf numFmtId="0" fontId="36" fillId="11" borderId="0" xfId="0" applyFont="1" applyFill="1" applyAlignment="1"/>
    <xf numFmtId="12" fontId="119" fillId="10" borderId="223" xfId="2" applyNumberFormat="1" applyFont="1" applyFill="1" applyBorder="1" applyAlignment="1" applyProtection="1">
      <alignment horizontal="center"/>
      <protection hidden="1"/>
    </xf>
    <xf numFmtId="12" fontId="119" fillId="10" borderId="230" xfId="2" applyNumberFormat="1" applyFont="1" applyFill="1" applyBorder="1" applyAlignment="1" applyProtection="1">
      <alignment horizontal="center"/>
      <protection hidden="1"/>
    </xf>
    <xf numFmtId="164" fontId="100" fillId="23" borderId="225" xfId="0" applyNumberFormat="1" applyFont="1" applyFill="1" applyBorder="1" applyAlignment="1" applyProtection="1">
      <alignment horizontal="center" vertical="center"/>
      <protection hidden="1"/>
    </xf>
    <xf numFmtId="164" fontId="100" fillId="23" borderId="226" xfId="0" applyNumberFormat="1" applyFont="1" applyFill="1" applyBorder="1" applyAlignment="1" applyProtection="1">
      <alignment horizontal="center" vertical="center"/>
      <protection hidden="1"/>
    </xf>
    <xf numFmtId="0" fontId="42" fillId="23" borderId="55" xfId="0" applyFont="1" applyFill="1" applyBorder="1" applyAlignment="1" applyProtection="1">
      <alignment horizontal="center"/>
      <protection hidden="1"/>
    </xf>
    <xf numFmtId="0" fontId="42" fillId="23" borderId="81" xfId="0" applyFont="1" applyFill="1" applyBorder="1" applyAlignment="1" applyProtection="1">
      <alignment horizontal="center"/>
      <protection hidden="1"/>
    </xf>
    <xf numFmtId="0" fontId="42" fillId="23" borderId="67" xfId="0" applyFont="1" applyFill="1" applyBorder="1" applyAlignment="1" applyProtection="1">
      <alignment horizontal="center"/>
      <protection hidden="1"/>
    </xf>
    <xf numFmtId="0" fontId="42" fillId="11" borderId="31" xfId="0" applyFont="1" applyFill="1" applyBorder="1" applyAlignment="1">
      <alignment horizontal="center"/>
    </xf>
    <xf numFmtId="0" fontId="42" fillId="11" borderId="41" xfId="0" applyFont="1" applyFill="1" applyBorder="1" applyAlignment="1">
      <alignment horizontal="center"/>
    </xf>
    <xf numFmtId="0" fontId="10" fillId="23" borderId="31" xfId="0" applyFont="1" applyFill="1" applyBorder="1" applyAlignment="1">
      <alignment horizontal="center"/>
    </xf>
    <xf numFmtId="0" fontId="10" fillId="23" borderId="35" xfId="0" applyFont="1" applyFill="1" applyBorder="1" applyAlignment="1">
      <alignment horizontal="center"/>
    </xf>
    <xf numFmtId="12" fontId="125" fillId="20" borderId="172" xfId="0" applyNumberFormat="1" applyFont="1" applyFill="1" applyBorder="1" applyAlignment="1">
      <alignment horizontal="center" vertical="center" shrinkToFit="1"/>
    </xf>
    <xf numFmtId="12" fontId="125" fillId="20" borderId="0" xfId="0" applyNumberFormat="1" applyFont="1" applyFill="1" applyBorder="1" applyAlignment="1">
      <alignment horizontal="center" vertical="center" shrinkToFit="1"/>
    </xf>
    <xf numFmtId="0" fontId="33" fillId="25" borderId="281" xfId="0" applyFont="1" applyFill="1" applyBorder="1" applyAlignment="1">
      <alignment horizontal="center" vertical="center" wrapText="1"/>
    </xf>
    <xf numFmtId="0" fontId="33" fillId="25" borderId="72" xfId="0" applyFont="1" applyFill="1" applyBorder="1" applyAlignment="1">
      <alignment horizontal="center" vertical="center" wrapText="1"/>
    </xf>
    <xf numFmtId="0" fontId="33" fillId="25" borderId="282" xfId="0" applyFont="1" applyFill="1" applyBorder="1" applyAlignment="1">
      <alignment horizontal="center" vertical="center" wrapText="1"/>
    </xf>
    <xf numFmtId="0" fontId="33" fillId="25" borderId="210" xfId="0" applyFont="1" applyFill="1" applyBorder="1" applyAlignment="1">
      <alignment horizontal="center" vertical="center" wrapText="1"/>
    </xf>
    <xf numFmtId="0" fontId="33" fillId="25" borderId="0" xfId="0" applyFont="1" applyFill="1" applyBorder="1" applyAlignment="1">
      <alignment horizontal="center" vertical="center" wrapText="1"/>
    </xf>
    <xf numFmtId="0" fontId="33" fillId="25" borderId="211" xfId="0" applyFont="1" applyFill="1" applyBorder="1" applyAlignment="1">
      <alignment horizontal="center" vertical="center" wrapText="1"/>
    </xf>
    <xf numFmtId="0" fontId="33" fillId="25" borderId="283" xfId="0" applyFont="1" applyFill="1" applyBorder="1" applyAlignment="1">
      <alignment horizontal="center" vertical="center" wrapText="1"/>
    </xf>
    <xf numFmtId="0" fontId="33" fillId="25" borderId="83" xfId="0" applyFont="1" applyFill="1" applyBorder="1" applyAlignment="1">
      <alignment horizontal="center" vertical="center" wrapText="1"/>
    </xf>
    <xf numFmtId="0" fontId="33" fillId="25" borderId="284" xfId="0" applyFont="1" applyFill="1" applyBorder="1" applyAlignment="1">
      <alignment horizontal="center" vertical="center" wrapText="1"/>
    </xf>
    <xf numFmtId="0" fontId="33" fillId="25" borderId="0" xfId="0" applyFont="1" applyFill="1" applyAlignment="1">
      <alignment horizontal="center"/>
    </xf>
  </cellXfs>
  <cellStyles count="10">
    <cellStyle name="Calculation" xfId="1" builtinId="22"/>
    <cellStyle name="Check Cell" xfId="2" builtinId="23"/>
    <cellStyle name="Heading 1" xfId="3" builtinId="16"/>
    <cellStyle name="Heading 4" xfId="4" builtinId="19"/>
    <cellStyle name="Hyperlink" xfId="5" builtinId="8"/>
    <cellStyle name="Input" xfId="6" builtinId="20"/>
    <cellStyle name="Normal" xfId="0" builtinId="0"/>
    <cellStyle name="Note" xfId="7" builtinId="10"/>
    <cellStyle name="Output" xfId="8" builtinId="21"/>
    <cellStyle name="Warning Text" xfId="9" builtinId="11"/>
  </cellStyles>
  <dxfs count="1">
    <dxf>
      <border>
        <left style="thick">
          <color auto="1"/>
        </left>
        <right style="thick">
          <color auto="1"/>
        </right>
        <top style="thick">
          <color auto="1"/>
        </top>
        <bottom style="thick">
          <color auto="1"/>
        </bottom>
        <vertical style="double">
          <color auto="1"/>
        </vertical>
        <horizontal style="double">
          <color auto="1"/>
        </horizontal>
      </border>
    </dxf>
  </dxfs>
  <tableStyles count="1" defaultTableStyle="TableStyleMedium9" defaultPivotStyle="PivotStyleLight16">
    <tableStyle name="PivotTable Style 1" table="0" count="1">
      <tableStyleElement type="wholeTable" dxfId="0"/>
    </tableStyle>
  </tableStyles>
  <colors>
    <mruColors>
      <color rgb="FFFFFFCC"/>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28</xdr:row>
      <xdr:rowOff>0</xdr:rowOff>
    </xdr:from>
    <xdr:to>
      <xdr:col>0</xdr:col>
      <xdr:colOff>123825</xdr:colOff>
      <xdr:row>28</xdr:row>
      <xdr:rowOff>85725</xdr:rowOff>
    </xdr:to>
    <xdr:pic>
      <xdr:nvPicPr>
        <xdr:cNvPr id="5" name="Picture 4" descr="http://ly.opensooq.com/themes/opensooq-web/images/ui/mail.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3800" y="27555825"/>
          <a:ext cx="1238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xdr:row>
      <xdr:rowOff>0</xdr:rowOff>
    </xdr:from>
    <xdr:to>
      <xdr:col>0</xdr:col>
      <xdr:colOff>142875</xdr:colOff>
      <xdr:row>29</xdr:row>
      <xdr:rowOff>123825</xdr:rowOff>
    </xdr:to>
    <xdr:pic>
      <xdr:nvPicPr>
        <xdr:cNvPr id="6" name="Picture 5" descr="http://ly.opensooq.com/themes/opensooq-web/images/ui/report.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3800" y="27841575"/>
          <a:ext cx="14287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161925</xdr:colOff>
      <xdr:row>30</xdr:row>
      <xdr:rowOff>161925</xdr:rowOff>
    </xdr:to>
    <xdr:pic>
      <xdr:nvPicPr>
        <xdr:cNvPr id="7" name="Picture 6" descr="http://s3.amazonaws.com/opensooqui/ui/tell_icon.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3800" y="281273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305594</xdr:colOff>
      <xdr:row>0</xdr:row>
      <xdr:rowOff>37041</xdr:rowOff>
    </xdr:from>
    <xdr:to>
      <xdr:col>3</xdr:col>
      <xdr:colOff>781844</xdr:colOff>
      <xdr:row>1</xdr:row>
      <xdr:rowOff>28575</xdr:rowOff>
    </xdr:to>
    <xdr:sp macro="" textlink="">
      <xdr:nvSpPr>
        <xdr:cNvPr id="10" name="Rectangular Callout 9"/>
        <xdr:cNvSpPr/>
      </xdr:nvSpPr>
      <xdr:spPr>
        <a:xfrm>
          <a:off x="5775349606" y="37041"/>
          <a:ext cx="3305175" cy="296334"/>
        </a:xfrm>
        <a:prstGeom prst="wedgeRectCallout">
          <a:avLst>
            <a:gd name="adj1" fmla="val -16412"/>
            <a:gd name="adj2" fmla="val 362866"/>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ar-SA" sz="1100" b="1">
              <a:solidFill>
                <a:sysClr val="windowText" lastClr="000000"/>
              </a:solidFill>
            </a:rPr>
            <a:t>ضع  عدد أقرباء</a:t>
          </a:r>
          <a:r>
            <a:rPr lang="ar-SA" sz="1100" b="1" baseline="0">
              <a:solidFill>
                <a:sysClr val="windowText" lastClr="000000"/>
              </a:solidFill>
            </a:rPr>
            <a:t> الميت </a:t>
          </a:r>
          <a:r>
            <a:rPr lang="ar-SA" sz="1100" b="1">
              <a:solidFill>
                <a:sysClr val="windowText" lastClr="000000"/>
              </a:solidFill>
            </a:rPr>
            <a:t>الأحيـــاء فى  خانة العدد</a:t>
          </a:r>
          <a:endParaRPr lang="en-US" sz="1100" b="1">
            <a:solidFill>
              <a:sysClr val="windowText" lastClr="000000"/>
            </a:solidFill>
          </a:endParaRPr>
        </a:p>
      </xdr:txBody>
    </xdr:sp>
    <xdr:clientData/>
  </xdr:twoCellAnchor>
  <xdr:twoCellAnchor>
    <xdr:from>
      <xdr:col>1</xdr:col>
      <xdr:colOff>59531</xdr:colOff>
      <xdr:row>24</xdr:row>
      <xdr:rowOff>47624</xdr:rowOff>
    </xdr:from>
    <xdr:to>
      <xdr:col>3</xdr:col>
      <xdr:colOff>666750</xdr:colOff>
      <xdr:row>28</xdr:row>
      <xdr:rowOff>0</xdr:rowOff>
    </xdr:to>
    <xdr:sp macro="[0]!RectangularCallout1_Click" textlink="">
      <xdr:nvSpPr>
        <xdr:cNvPr id="11" name="Rectangular Callout 10"/>
        <xdr:cNvSpPr/>
      </xdr:nvSpPr>
      <xdr:spPr>
        <a:xfrm>
          <a:off x="5775683775" y="5495924"/>
          <a:ext cx="3436144" cy="361951"/>
        </a:xfrm>
        <a:prstGeom prst="wedgeRectCallout">
          <a:avLst>
            <a:gd name="adj1" fmla="val -46464"/>
            <a:gd name="adj2" fmla="val -73264"/>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ar-SA" sz="1100" b="1">
              <a:solidFill>
                <a:sysClr val="windowText" lastClr="000000"/>
              </a:solidFill>
            </a:rPr>
            <a:t>ضع</a:t>
          </a:r>
          <a:r>
            <a:rPr lang="ar-SA" sz="1100" b="1" baseline="0">
              <a:solidFill>
                <a:sysClr val="windowText" lastClr="000000"/>
              </a:solidFill>
            </a:rPr>
            <a:t> الوصايا فى الخلايا  الحمراء (أعداد كسرية)</a:t>
          </a:r>
          <a:r>
            <a:rPr lang="en-US" sz="1100" b="1" baseline="0">
              <a:solidFill>
                <a:sysClr val="windowText" lastClr="000000"/>
              </a:solidFill>
            </a:rPr>
            <a:t>   </a:t>
          </a:r>
          <a:endParaRPr lang="ar-SA" sz="1100" b="1" baseline="0">
            <a:solidFill>
              <a:sysClr val="windowText" lastClr="000000"/>
            </a:solidFill>
          </a:endParaRPr>
        </a:p>
        <a:p>
          <a:pPr algn="r" rtl="1"/>
          <a:endParaRPr lang="en-US" sz="1100">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47625</xdr:colOff>
      <xdr:row>5</xdr:row>
      <xdr:rowOff>95250</xdr:rowOff>
    </xdr:from>
    <xdr:to>
      <xdr:col>14</xdr:col>
      <xdr:colOff>647700</xdr:colOff>
      <xdr:row>9</xdr:row>
      <xdr:rowOff>38100</xdr:rowOff>
    </xdr:to>
    <xdr:sp macro="[0]!RoundedRectangularCallout1_Click" textlink="">
      <xdr:nvSpPr>
        <xdr:cNvPr id="3" name="Rounded Rectangular Callout 2"/>
        <xdr:cNvSpPr/>
      </xdr:nvSpPr>
      <xdr:spPr>
        <a:xfrm>
          <a:off x="9658569075" y="95250"/>
          <a:ext cx="1438275" cy="1362075"/>
        </a:xfrm>
        <a:prstGeom prst="wedgeRoundRectCallout">
          <a:avLst>
            <a:gd name="adj1" fmla="val 77843"/>
            <a:gd name="adj2" fmla="val 11564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ar-SA" sz="1100">
              <a:solidFill>
                <a:sysClr val="windowText" lastClr="000000"/>
              </a:solidFill>
              <a:latin typeface="Arial" pitchFamily="34" charset="0"/>
            </a:rPr>
            <a:t>المربع</a:t>
          </a:r>
          <a:r>
            <a:rPr lang="ar-SA" sz="1100" baseline="0">
              <a:solidFill>
                <a:sysClr val="windowText" lastClr="000000"/>
              </a:solidFill>
              <a:latin typeface="Arial" pitchFamily="34" charset="0"/>
            </a:rPr>
            <a:t> الأحمر </a:t>
          </a:r>
          <a:r>
            <a:rPr lang="ar-SA" sz="1100">
              <a:solidFill>
                <a:sysClr val="windowText" lastClr="000000"/>
              </a:solidFill>
              <a:latin typeface="Arial" pitchFamily="34" charset="0"/>
            </a:rPr>
            <a:t>مخصص للأجازة ضع واحد للأجازة  صفر فى حالة عدم الأجازة</a:t>
          </a:r>
          <a:r>
            <a:rPr lang="ar-SA" sz="1100" baseline="0">
              <a:solidFill>
                <a:sysClr val="windowText" lastClr="000000"/>
              </a:solidFill>
              <a:latin typeface="Arial" pitchFamily="34" charset="0"/>
            </a:rPr>
            <a:t> </a:t>
          </a:r>
          <a:r>
            <a:rPr lang="ar-SA" sz="1100" baseline="0">
              <a:latin typeface="Arial" pitchFamily="34" charset="0"/>
            </a:rPr>
            <a:t>اللجازة</a:t>
          </a:r>
          <a:endParaRPr lang="en-US" sz="1100">
            <a:latin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30</xdr:col>
      <xdr:colOff>0</xdr:colOff>
      <xdr:row>16</xdr:row>
      <xdr:rowOff>0</xdr:rowOff>
    </xdr:from>
    <xdr:to>
      <xdr:col>34</xdr:col>
      <xdr:colOff>496815</xdr:colOff>
      <xdr:row>16</xdr:row>
      <xdr:rowOff>342901</xdr:rowOff>
    </xdr:to>
    <xdr:sp macro="" textlink="">
      <xdr:nvSpPr>
        <xdr:cNvPr id="3" name="Rectangular Callout 2"/>
        <xdr:cNvSpPr/>
      </xdr:nvSpPr>
      <xdr:spPr>
        <a:xfrm>
          <a:off x="11467170230" y="1212273"/>
          <a:ext cx="4324133" cy="342901"/>
        </a:xfrm>
        <a:prstGeom prst="wedgeRectCallout">
          <a:avLst>
            <a:gd name="adj1" fmla="val 23816"/>
            <a:gd name="adj2" fmla="val 186234"/>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ar-SA" sz="1100" b="1">
              <a:solidFill>
                <a:sysClr val="windowText" lastClr="000000"/>
              </a:solidFill>
            </a:rPr>
            <a:t>ضع قيمة الدين المستحق عن الميت والوصية النفدية</a:t>
          </a:r>
          <a:endParaRPr lang="en-US" sz="1100" b="1">
            <a:solidFill>
              <a:sysClr val="windowText" lastClr="000000"/>
            </a:solidFill>
          </a:endParaRPr>
        </a:p>
      </xdr:txBody>
    </xdr:sp>
    <xdr:clientData/>
  </xdr:twoCellAnchor>
  <xdr:twoCellAnchor>
    <xdr:from>
      <xdr:col>31</xdr:col>
      <xdr:colOff>0</xdr:colOff>
      <xdr:row>25</xdr:row>
      <xdr:rowOff>0</xdr:rowOff>
    </xdr:from>
    <xdr:to>
      <xdr:col>32</xdr:col>
      <xdr:colOff>109971</xdr:colOff>
      <xdr:row>28</xdr:row>
      <xdr:rowOff>198292</xdr:rowOff>
    </xdr:to>
    <xdr:sp macro="[0]!RoundedRectangularCallout2_Click" textlink="">
      <xdr:nvSpPr>
        <xdr:cNvPr id="5" name="Rounded Rectangular Callout 4"/>
        <xdr:cNvSpPr/>
      </xdr:nvSpPr>
      <xdr:spPr>
        <a:xfrm>
          <a:off x="11468959847" y="3446318"/>
          <a:ext cx="1685925" cy="847724"/>
        </a:xfrm>
        <a:prstGeom prst="wedgeRoundRectCallout">
          <a:avLst>
            <a:gd name="adj1" fmla="val 42511"/>
            <a:gd name="adj2" fmla="val -9243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ar-SA" sz="1100" b="1">
              <a:solidFill>
                <a:sysClr val="windowText" lastClr="000000"/>
              </a:solidFill>
            </a:rPr>
            <a:t>ضع تركة المتوفى بعد خصم مؤونة التجهيز</a:t>
          </a:r>
          <a:endParaRPr lang="en-US" sz="1100" b="1">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66675</xdr:colOff>
      <xdr:row>5</xdr:row>
      <xdr:rowOff>180975</xdr:rowOff>
    </xdr:from>
    <xdr:to>
      <xdr:col>16</xdr:col>
      <xdr:colOff>581025</xdr:colOff>
      <xdr:row>9</xdr:row>
      <xdr:rowOff>123825</xdr:rowOff>
    </xdr:to>
    <xdr:sp macro="[0]!RoundedRectangularCallout1_Click" textlink="">
      <xdr:nvSpPr>
        <xdr:cNvPr id="2" name="Rounded Rectangular Callout 1"/>
        <xdr:cNvSpPr/>
      </xdr:nvSpPr>
      <xdr:spPr>
        <a:xfrm>
          <a:off x="9658673850" y="180975"/>
          <a:ext cx="1438275" cy="1362075"/>
        </a:xfrm>
        <a:prstGeom prst="wedgeRoundRectCallout">
          <a:avLst>
            <a:gd name="adj1" fmla="val 77843"/>
            <a:gd name="adj2" fmla="val 11564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ar-SA" sz="1100">
              <a:solidFill>
                <a:sysClr val="windowText" lastClr="000000"/>
              </a:solidFill>
              <a:latin typeface="Arial" pitchFamily="34" charset="0"/>
            </a:rPr>
            <a:t>المربع</a:t>
          </a:r>
          <a:r>
            <a:rPr lang="ar-SA" sz="1100" baseline="0">
              <a:solidFill>
                <a:sysClr val="windowText" lastClr="000000"/>
              </a:solidFill>
              <a:latin typeface="Arial" pitchFamily="34" charset="0"/>
            </a:rPr>
            <a:t> الأحمر </a:t>
          </a:r>
          <a:r>
            <a:rPr lang="ar-SA" sz="1100">
              <a:solidFill>
                <a:sysClr val="windowText" lastClr="000000"/>
              </a:solidFill>
              <a:latin typeface="Arial" pitchFamily="34" charset="0"/>
            </a:rPr>
            <a:t>مخصص للأجازة ضع واحد للأجازة  صفر فى حالة عدم الأجازة</a:t>
          </a:r>
          <a:r>
            <a:rPr lang="ar-SA" sz="1100" baseline="0">
              <a:solidFill>
                <a:sysClr val="windowText" lastClr="000000"/>
              </a:solidFill>
              <a:latin typeface="Arial" pitchFamily="34" charset="0"/>
            </a:rPr>
            <a:t> </a:t>
          </a:r>
          <a:r>
            <a:rPr lang="ar-SA" sz="1100" baseline="0">
              <a:latin typeface="Arial" pitchFamily="34" charset="0"/>
            </a:rPr>
            <a:t>اللجازة</a:t>
          </a:r>
          <a:endParaRPr lang="en-US" sz="1100">
            <a:latin typeface="Arial" pitchFamily="34" charset="0"/>
          </a:endParaRPr>
        </a:p>
      </xdr:txBody>
    </xdr:sp>
    <xdr:clientData/>
  </xdr:twoCellAnchor>
  <xdr:twoCellAnchor>
    <xdr:from>
      <xdr:col>43</xdr:col>
      <xdr:colOff>381000</xdr:colOff>
      <xdr:row>59</xdr:row>
      <xdr:rowOff>85726</xdr:rowOff>
    </xdr:from>
    <xdr:to>
      <xdr:col>58</xdr:col>
      <xdr:colOff>161925</xdr:colOff>
      <xdr:row>62</xdr:row>
      <xdr:rowOff>38101</xdr:rowOff>
    </xdr:to>
    <xdr:sp macro="" textlink="">
      <xdr:nvSpPr>
        <xdr:cNvPr id="3" name="Rectangular Callout 2"/>
        <xdr:cNvSpPr/>
      </xdr:nvSpPr>
      <xdr:spPr>
        <a:xfrm>
          <a:off x="9641786025" y="285751"/>
          <a:ext cx="4352925" cy="781050"/>
        </a:xfrm>
        <a:prstGeom prst="wedgeRectCallout">
          <a:avLst>
            <a:gd name="adj1" fmla="val 68164"/>
            <a:gd name="adj2" fmla="val 9471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ar-SA" sz="1100">
              <a:solidFill>
                <a:sysClr val="windowText" lastClr="000000"/>
              </a:solidFill>
            </a:rPr>
            <a:t>ضع</a:t>
          </a:r>
          <a:r>
            <a:rPr lang="ar-SA" sz="1100" baseline="0">
              <a:solidFill>
                <a:sysClr val="windowText" lastClr="000000"/>
              </a:solidFill>
            </a:rPr>
            <a:t> فى الخلايا  رقم (1)فى حالة أجازة الوصية   صفر فى حالة عدم الأجـــازة كما يستحسن الضعط على الفلتر (الفريضة ) لتقليص الجدول وأظهار باقي الورثة</a:t>
          </a:r>
          <a:endParaRPr 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152400</xdr:colOff>
      <xdr:row>10</xdr:row>
      <xdr:rowOff>9524</xdr:rowOff>
    </xdr:from>
    <xdr:to>
      <xdr:col>3</xdr:col>
      <xdr:colOff>257175</xdr:colOff>
      <xdr:row>12</xdr:row>
      <xdr:rowOff>28575</xdr:rowOff>
    </xdr:to>
    <xdr:sp macro="[0]!RoundedRectangularCallout3_Click" textlink="">
      <xdr:nvSpPr>
        <xdr:cNvPr id="4" name="Rounded Rectangular Callout 3"/>
        <xdr:cNvSpPr/>
      </xdr:nvSpPr>
      <xdr:spPr>
        <a:xfrm>
          <a:off x="9651387225" y="1543049"/>
          <a:ext cx="1638300" cy="971551"/>
        </a:xfrm>
        <a:prstGeom prst="wedgeRoundRectCallout">
          <a:avLst>
            <a:gd name="adj1" fmla="val -100041"/>
            <a:gd name="adj2" fmla="val 3793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rtl="1"/>
          <a:r>
            <a:rPr lang="en-US" sz="1100" b="1">
              <a:latin typeface="Arial" pitchFamily="34" charset="0"/>
            </a:rPr>
            <a:t>Hqy' ugn wtm hg,hve ggjrv</a:t>
          </a:r>
          <a:r>
            <a:rPr lang="en-US" sz="1100" b="1">
              <a:solidFill>
                <a:sysClr val="windowText" lastClr="000000"/>
              </a:solidFill>
              <a:latin typeface="Arial" pitchFamily="34" charset="0"/>
            </a:rPr>
            <a:t> </a:t>
          </a:r>
          <a:r>
            <a:rPr lang="ar-SA" sz="1100" b="1">
              <a:solidFill>
                <a:sysClr val="windowText" lastClr="000000"/>
              </a:solidFill>
              <a:latin typeface="Arial" pitchFamily="34" charset="0"/>
            </a:rPr>
            <a:t>أضعط</a:t>
          </a:r>
          <a:r>
            <a:rPr lang="ar-SA" sz="1100" b="1" baseline="0">
              <a:solidFill>
                <a:sysClr val="windowText" lastClr="000000"/>
              </a:solidFill>
              <a:latin typeface="Arial" pitchFamily="34" charset="0"/>
            </a:rPr>
            <a:t> على صفة الوارث لأجازة الورثــــــــــــة</a:t>
          </a:r>
          <a:r>
            <a:rPr lang="en-US" sz="1100" b="1">
              <a:solidFill>
                <a:sysClr val="windowText" lastClr="000000"/>
              </a:solidFill>
              <a:latin typeface="Arial" pitchFamily="34" charset="0"/>
            </a:rPr>
            <a:t>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57150</xdr:colOff>
      <xdr:row>5</xdr:row>
      <xdr:rowOff>161925</xdr:rowOff>
    </xdr:from>
    <xdr:to>
      <xdr:col>14</xdr:col>
      <xdr:colOff>657225</xdr:colOff>
      <xdr:row>9</xdr:row>
      <xdr:rowOff>104775</xdr:rowOff>
    </xdr:to>
    <xdr:sp macro="[0]!RoundedRectangularCallout1_Click" textlink="">
      <xdr:nvSpPr>
        <xdr:cNvPr id="3" name="Rounded Rectangular Callout 2"/>
        <xdr:cNvSpPr/>
      </xdr:nvSpPr>
      <xdr:spPr>
        <a:xfrm>
          <a:off x="9658769100" y="161925"/>
          <a:ext cx="1438275" cy="1362075"/>
        </a:xfrm>
        <a:prstGeom prst="wedgeRoundRectCallout">
          <a:avLst>
            <a:gd name="adj1" fmla="val 77843"/>
            <a:gd name="adj2" fmla="val 11564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ar-SA" sz="1100">
              <a:solidFill>
                <a:sysClr val="windowText" lastClr="000000"/>
              </a:solidFill>
              <a:latin typeface="Arial" pitchFamily="34" charset="0"/>
            </a:rPr>
            <a:t>المربع</a:t>
          </a:r>
          <a:r>
            <a:rPr lang="ar-SA" sz="1100" baseline="0">
              <a:solidFill>
                <a:sysClr val="windowText" lastClr="000000"/>
              </a:solidFill>
              <a:latin typeface="Arial" pitchFamily="34" charset="0"/>
            </a:rPr>
            <a:t> الأحمر </a:t>
          </a:r>
          <a:r>
            <a:rPr lang="ar-SA" sz="1100">
              <a:solidFill>
                <a:sysClr val="windowText" lastClr="000000"/>
              </a:solidFill>
              <a:latin typeface="Arial" pitchFamily="34" charset="0"/>
            </a:rPr>
            <a:t>مخصص للأجازة ضع واحد للأجازة  صفر فى حالة عدم الأجازة</a:t>
          </a:r>
          <a:r>
            <a:rPr lang="ar-SA" sz="1100" baseline="0">
              <a:solidFill>
                <a:sysClr val="windowText" lastClr="000000"/>
              </a:solidFill>
              <a:latin typeface="Arial" pitchFamily="34" charset="0"/>
            </a:rPr>
            <a:t> </a:t>
          </a:r>
          <a:r>
            <a:rPr lang="ar-SA" sz="1100" baseline="0">
              <a:latin typeface="Arial" pitchFamily="34" charset="0"/>
            </a:rPr>
            <a:t>اللجازة</a:t>
          </a:r>
          <a:endParaRPr lang="en-US" sz="1100">
            <a:latin typeface="Arial"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47625</xdr:colOff>
      <xdr:row>5</xdr:row>
      <xdr:rowOff>104775</xdr:rowOff>
    </xdr:from>
    <xdr:to>
      <xdr:col>14</xdr:col>
      <xdr:colOff>647700</xdr:colOff>
      <xdr:row>9</xdr:row>
      <xdr:rowOff>47625</xdr:rowOff>
    </xdr:to>
    <xdr:sp macro="[0]!RoundedRectangularCallout1_Click" textlink="">
      <xdr:nvSpPr>
        <xdr:cNvPr id="3" name="Rounded Rectangular Callout 2"/>
        <xdr:cNvSpPr/>
      </xdr:nvSpPr>
      <xdr:spPr>
        <a:xfrm>
          <a:off x="9658692900" y="104775"/>
          <a:ext cx="1438275" cy="1362075"/>
        </a:xfrm>
        <a:prstGeom prst="wedgeRoundRectCallout">
          <a:avLst>
            <a:gd name="adj1" fmla="val 77843"/>
            <a:gd name="adj2" fmla="val 11564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ar-SA" sz="1100">
              <a:solidFill>
                <a:sysClr val="windowText" lastClr="000000"/>
              </a:solidFill>
              <a:latin typeface="Arial" pitchFamily="34" charset="0"/>
            </a:rPr>
            <a:t>المربع</a:t>
          </a:r>
          <a:r>
            <a:rPr lang="ar-SA" sz="1100" baseline="0">
              <a:solidFill>
                <a:sysClr val="windowText" lastClr="000000"/>
              </a:solidFill>
              <a:latin typeface="Arial" pitchFamily="34" charset="0"/>
            </a:rPr>
            <a:t> الأحمر </a:t>
          </a:r>
          <a:r>
            <a:rPr lang="ar-SA" sz="1100">
              <a:solidFill>
                <a:sysClr val="windowText" lastClr="000000"/>
              </a:solidFill>
              <a:latin typeface="Arial" pitchFamily="34" charset="0"/>
            </a:rPr>
            <a:t>مخصص للأجازة ضع واحد للأجازة  صفر فى حالة عدم الأجازة</a:t>
          </a:r>
          <a:r>
            <a:rPr lang="ar-SA" sz="1100" baseline="0">
              <a:solidFill>
                <a:sysClr val="windowText" lastClr="000000"/>
              </a:solidFill>
              <a:latin typeface="Arial" pitchFamily="34" charset="0"/>
            </a:rPr>
            <a:t> </a:t>
          </a:r>
          <a:r>
            <a:rPr lang="ar-SA" sz="1100" baseline="0">
              <a:latin typeface="Arial" pitchFamily="34" charset="0"/>
            </a:rPr>
            <a:t>اللجازة</a:t>
          </a:r>
          <a:endParaRPr lang="en-US" sz="1100">
            <a:latin typeface="Arial"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57150</xdr:colOff>
      <xdr:row>5</xdr:row>
      <xdr:rowOff>142875</xdr:rowOff>
    </xdr:from>
    <xdr:to>
      <xdr:col>14</xdr:col>
      <xdr:colOff>657225</xdr:colOff>
      <xdr:row>9</xdr:row>
      <xdr:rowOff>133350</xdr:rowOff>
    </xdr:to>
    <xdr:sp macro="[0]!RoundedRectangularCallout1_Click" textlink="">
      <xdr:nvSpPr>
        <xdr:cNvPr id="2" name="Rounded Rectangular Callout 1"/>
        <xdr:cNvSpPr/>
      </xdr:nvSpPr>
      <xdr:spPr>
        <a:xfrm>
          <a:off x="9658673850" y="142875"/>
          <a:ext cx="1438275" cy="1362075"/>
        </a:xfrm>
        <a:prstGeom prst="wedgeRoundRectCallout">
          <a:avLst>
            <a:gd name="adj1" fmla="val 77843"/>
            <a:gd name="adj2" fmla="val 11564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ar-SA" sz="1100">
              <a:solidFill>
                <a:sysClr val="windowText" lastClr="000000"/>
              </a:solidFill>
              <a:latin typeface="Arial" pitchFamily="34" charset="0"/>
            </a:rPr>
            <a:t>المربع</a:t>
          </a:r>
          <a:r>
            <a:rPr lang="ar-SA" sz="1100" baseline="0">
              <a:solidFill>
                <a:sysClr val="windowText" lastClr="000000"/>
              </a:solidFill>
              <a:latin typeface="Arial" pitchFamily="34" charset="0"/>
            </a:rPr>
            <a:t> الأحمر </a:t>
          </a:r>
          <a:r>
            <a:rPr lang="ar-SA" sz="1100">
              <a:solidFill>
                <a:sysClr val="windowText" lastClr="000000"/>
              </a:solidFill>
              <a:latin typeface="Arial" pitchFamily="34" charset="0"/>
            </a:rPr>
            <a:t>مخصص للأجازة ضع واحد للأجازة  صفر فى حالة عدم الأجازة</a:t>
          </a:r>
          <a:r>
            <a:rPr lang="ar-SA" sz="1100" baseline="0">
              <a:solidFill>
                <a:sysClr val="windowText" lastClr="000000"/>
              </a:solidFill>
              <a:latin typeface="Arial" pitchFamily="34" charset="0"/>
            </a:rPr>
            <a:t> </a:t>
          </a:r>
          <a:r>
            <a:rPr lang="ar-SA" sz="1100" baseline="0">
              <a:latin typeface="Arial" pitchFamily="34" charset="0"/>
            </a:rPr>
            <a:t>اللجازة</a:t>
          </a:r>
          <a:endParaRPr lang="en-US" sz="1100">
            <a:latin typeface="Arial"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28575</xdr:colOff>
      <xdr:row>5</xdr:row>
      <xdr:rowOff>133350</xdr:rowOff>
    </xdr:from>
    <xdr:to>
      <xdr:col>14</xdr:col>
      <xdr:colOff>628650</xdr:colOff>
      <xdr:row>9</xdr:row>
      <xdr:rowOff>76200</xdr:rowOff>
    </xdr:to>
    <xdr:sp macro="[0]!RoundedRectangularCallout1_Click" textlink="">
      <xdr:nvSpPr>
        <xdr:cNvPr id="3" name="Rounded Rectangular Callout 2"/>
        <xdr:cNvSpPr/>
      </xdr:nvSpPr>
      <xdr:spPr>
        <a:xfrm>
          <a:off x="9658588125" y="133350"/>
          <a:ext cx="1438275" cy="1362075"/>
        </a:xfrm>
        <a:prstGeom prst="wedgeRoundRectCallout">
          <a:avLst>
            <a:gd name="adj1" fmla="val 77843"/>
            <a:gd name="adj2" fmla="val 11564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ar-SA" sz="1100">
              <a:solidFill>
                <a:sysClr val="windowText" lastClr="000000"/>
              </a:solidFill>
              <a:latin typeface="Arial" pitchFamily="34" charset="0"/>
            </a:rPr>
            <a:t>المربع</a:t>
          </a:r>
          <a:r>
            <a:rPr lang="ar-SA" sz="1100" baseline="0">
              <a:solidFill>
                <a:sysClr val="windowText" lastClr="000000"/>
              </a:solidFill>
              <a:latin typeface="Arial" pitchFamily="34" charset="0"/>
            </a:rPr>
            <a:t> الأحمر </a:t>
          </a:r>
          <a:r>
            <a:rPr lang="ar-SA" sz="1100">
              <a:solidFill>
                <a:sysClr val="windowText" lastClr="000000"/>
              </a:solidFill>
              <a:latin typeface="Arial" pitchFamily="34" charset="0"/>
            </a:rPr>
            <a:t>مخصص للأجازة ضع واحد للأجازة  صفر فى حالة عدم الأجازة</a:t>
          </a:r>
          <a:r>
            <a:rPr lang="ar-SA" sz="1100" baseline="0">
              <a:solidFill>
                <a:sysClr val="windowText" lastClr="000000"/>
              </a:solidFill>
              <a:latin typeface="Arial" pitchFamily="34" charset="0"/>
            </a:rPr>
            <a:t> </a:t>
          </a:r>
          <a:r>
            <a:rPr lang="ar-SA" sz="1100" baseline="0">
              <a:latin typeface="Arial" pitchFamily="34" charset="0"/>
            </a:rPr>
            <a:t>اللجازة</a:t>
          </a:r>
          <a:endParaRPr lang="en-US" sz="1100">
            <a:latin typeface="Arial"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66675</xdr:colOff>
      <xdr:row>5</xdr:row>
      <xdr:rowOff>76200</xdr:rowOff>
    </xdr:from>
    <xdr:to>
      <xdr:col>14</xdr:col>
      <xdr:colOff>666750</xdr:colOff>
      <xdr:row>9</xdr:row>
      <xdr:rowOff>19050</xdr:rowOff>
    </xdr:to>
    <xdr:sp macro="[0]!RoundedRectangularCallout1_Click" textlink="">
      <xdr:nvSpPr>
        <xdr:cNvPr id="3" name="Rounded Rectangular Callout 2"/>
        <xdr:cNvSpPr/>
      </xdr:nvSpPr>
      <xdr:spPr>
        <a:xfrm>
          <a:off x="9657264150" y="76200"/>
          <a:ext cx="1438275" cy="1362075"/>
        </a:xfrm>
        <a:prstGeom prst="wedgeRoundRectCallout">
          <a:avLst>
            <a:gd name="adj1" fmla="val 77843"/>
            <a:gd name="adj2" fmla="val 11564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ar-SA" sz="1100">
              <a:solidFill>
                <a:sysClr val="windowText" lastClr="000000"/>
              </a:solidFill>
              <a:latin typeface="Arial" pitchFamily="34" charset="0"/>
            </a:rPr>
            <a:t>المربع</a:t>
          </a:r>
          <a:r>
            <a:rPr lang="ar-SA" sz="1100" baseline="0">
              <a:solidFill>
                <a:sysClr val="windowText" lastClr="000000"/>
              </a:solidFill>
              <a:latin typeface="Arial" pitchFamily="34" charset="0"/>
            </a:rPr>
            <a:t> الأحمر </a:t>
          </a:r>
          <a:r>
            <a:rPr lang="ar-SA" sz="1100">
              <a:solidFill>
                <a:sysClr val="windowText" lastClr="000000"/>
              </a:solidFill>
              <a:latin typeface="Arial" pitchFamily="34" charset="0"/>
            </a:rPr>
            <a:t>مخصص للأجازة ضع واحد للأجازة  صفر فى حالة عدم الأجازة</a:t>
          </a:r>
          <a:r>
            <a:rPr lang="ar-SA" sz="1100" baseline="0">
              <a:solidFill>
                <a:sysClr val="windowText" lastClr="000000"/>
              </a:solidFill>
              <a:latin typeface="Arial" pitchFamily="34" charset="0"/>
            </a:rPr>
            <a:t> </a:t>
          </a:r>
          <a:r>
            <a:rPr lang="ar-SA" sz="1100" baseline="0">
              <a:latin typeface="Arial" pitchFamily="34" charset="0"/>
            </a:rPr>
            <a:t>اللجازة</a:t>
          </a:r>
          <a:endParaRPr lang="en-US" sz="1100">
            <a:latin typeface="Arial"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Module">
      <a:majorFont>
        <a:latin typeface="Corbel"/>
        <a:ea typeface=""/>
        <a:cs typeface=""/>
        <a:font script="Jpan" typeface="HGｺﾞｼｯｸM"/>
        <a:font script="Hang" typeface="HY엽서L"/>
        <a:font script="Hans" typeface="华文楷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Corbel"/>
        <a:ea typeface=""/>
        <a:cs typeface=""/>
        <a:font script="Jpan" typeface="HGｺﾞｼｯｸM"/>
        <a:font script="Hang" typeface="HY엽서L"/>
        <a:font script="Hans" typeface="华文楷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spPr>
      <a:bodyPr rtlCol="0" anchor="ctr"/>
      <a:lstStyle>
        <a:defPPr algn="r" rtl="1">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kh8420@outlook.com"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3.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xml.rels><?xml version="1.0" encoding="UTF-8" standalone="yes"?>
<Relationships xmlns="http://schemas.openxmlformats.org/package/2006/relationships"><Relationship Id="rId3" Type="http://schemas.openxmlformats.org/officeDocument/2006/relationships/hyperlink" Target="http://ly.opensooq.com/post/contact/3628640" TargetMode="External"/><Relationship Id="rId7" Type="http://schemas.openxmlformats.org/officeDocument/2006/relationships/drawing" Target="../drawings/drawing1.xml"/><Relationship Id="rId2" Type="http://schemas.openxmlformats.org/officeDocument/2006/relationships/hyperlink" Target="http://ly.opensooq.com/post/contact/3628640" TargetMode="External"/><Relationship Id="rId1" Type="http://schemas.openxmlformats.org/officeDocument/2006/relationships/printerSettings" Target="../printerSettings/printerSettings4.bin"/><Relationship Id="rId6" Type="http://schemas.openxmlformats.org/officeDocument/2006/relationships/printerSettings" Target="../printerSettings/printerSettings5.bin"/><Relationship Id="rId5" Type="http://schemas.openxmlformats.org/officeDocument/2006/relationships/hyperlink" Target="http://ly.opensooq.com/sendPost/create/3628640" TargetMode="External"/><Relationship Id="rId4" Type="http://schemas.openxmlformats.org/officeDocument/2006/relationships/hyperlink" Target="http://ly.opensooq.com/post/violation/3628640"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FF0000"/>
    <pageSetUpPr autoPageBreaks="0"/>
  </sheetPr>
  <dimension ref="A1:AZ125"/>
  <sheetViews>
    <sheetView showGridLines="0" showZeros="0" rightToLeft="1" showOutlineSymbols="0" defaultGridColor="0" topLeftCell="D2" colorId="19" zoomScale="70" zoomScaleNormal="70" workbookViewId="0">
      <selection activeCell="O25" sqref="O25"/>
    </sheetView>
  </sheetViews>
  <sheetFormatPr defaultRowHeight="16.5" customHeight="1"/>
  <cols>
    <col min="1" max="1" width="11.5" style="45" hidden="1" customWidth="1"/>
    <col min="2" max="2" width="12" style="45" hidden="1" customWidth="1"/>
    <col min="3" max="3" width="15.75" style="45" hidden="1" customWidth="1"/>
    <col min="4" max="4" width="3.375" style="45" customWidth="1"/>
    <col min="5" max="5" width="27.875" style="45" customWidth="1"/>
    <col min="6" max="6" width="7" style="45" customWidth="1"/>
    <col min="7" max="7" width="7.625" style="45" customWidth="1"/>
    <col min="8" max="8" width="8.375" style="45" customWidth="1"/>
    <col min="9" max="9" width="4.25" style="45" hidden="1" customWidth="1"/>
    <col min="10" max="10" width="12.125" style="45" hidden="1" customWidth="1"/>
    <col min="11" max="11" width="3.375" style="45" customWidth="1"/>
    <col min="12" max="12" width="25.125" style="45" customWidth="1"/>
    <col min="13" max="13" width="7.625" style="45" customWidth="1"/>
    <col min="14" max="14" width="16.5" style="45" customWidth="1"/>
    <col min="15" max="15" width="12.625" style="45" customWidth="1"/>
    <col min="16" max="16" width="15.625" style="45" hidden="1" customWidth="1"/>
    <col min="17" max="17" width="3" style="45" customWidth="1"/>
    <col min="18" max="18" width="22.75" style="45" customWidth="1"/>
    <col min="19" max="19" width="7.625" style="45" customWidth="1"/>
    <col min="20" max="21" width="6.875" style="45" customWidth="1"/>
    <col min="22" max="22" width="15.875" style="45" customWidth="1"/>
    <col min="23" max="23" width="4.875" style="45" customWidth="1"/>
    <col min="24" max="44" width="9.25" style="45" hidden="1" customWidth="1"/>
    <col min="45" max="45" width="15.75" style="45" hidden="1" customWidth="1"/>
    <col min="46" max="46" width="9.25" style="45" hidden="1" customWidth="1"/>
    <col min="47" max="47" width="10.125" style="45" hidden="1" customWidth="1"/>
    <col min="48" max="52" width="9.25" style="45" hidden="1" customWidth="1"/>
    <col min="53" max="53" width="9.25" style="45" customWidth="1"/>
    <col min="54" max="16384" width="9" style="45"/>
  </cols>
  <sheetData>
    <row r="1" spans="1:50" ht="9.75" hidden="1" customHeight="1" thickBot="1"/>
    <row r="2" spans="1:50" ht="9.75" customHeight="1">
      <c r="D2" s="874"/>
      <c r="E2" s="874"/>
      <c r="F2" s="874"/>
      <c r="G2" s="874"/>
      <c r="H2" s="874"/>
      <c r="I2" s="874"/>
      <c r="J2" s="874"/>
      <c r="K2" s="874"/>
      <c r="L2" s="874"/>
      <c r="M2" s="874"/>
      <c r="N2" s="874"/>
      <c r="O2" s="874"/>
      <c r="P2" s="874"/>
      <c r="Q2" s="874"/>
      <c r="R2" s="874"/>
      <c r="S2" s="874"/>
      <c r="T2" s="874"/>
      <c r="U2" s="874"/>
      <c r="V2" s="874"/>
    </row>
    <row r="3" spans="1:50" ht="21.75" customHeight="1" thickBot="1">
      <c r="D3" s="875"/>
      <c r="E3" s="1135">
        <f ca="1">IF(M37=TRUE,"الزوج أو الزوجة فقط  خطأ فى أدخال البيانات",AA23)</f>
        <v>41731</v>
      </c>
      <c r="F3" s="1135"/>
      <c r="G3" s="1135"/>
      <c r="H3" s="1135"/>
      <c r="I3" s="1135"/>
      <c r="J3" s="876"/>
      <c r="K3" s="877"/>
      <c r="L3" s="1136" t="str">
        <f>IF(AS9+AS10+AS11&gt;1,"   معالجة المعادة ليست صحيحة","الفرائض بالأكسل")</f>
        <v>الفرائض بالأكسل</v>
      </c>
      <c r="M3" s="1136"/>
      <c r="N3" s="1136"/>
      <c r="O3" s="1136"/>
      <c r="P3" s="1136"/>
      <c r="Q3" s="1136"/>
      <c r="R3" s="1146" t="s">
        <v>161</v>
      </c>
      <c r="S3" s="1146"/>
      <c r="T3" s="1146"/>
      <c r="U3" s="1146"/>
      <c r="V3" s="878" t="s">
        <v>731</v>
      </c>
      <c r="W3" s="459"/>
      <c r="X3" s="459" t="b">
        <f>AND(Q5=1,G13&lt;=1/3)</f>
        <v>0</v>
      </c>
      <c r="Y3" s="45" t="b">
        <f>AND(1=1,F9+F10+F12+F14+F15+F16+F17+F18+F19+F20+F21+F23+F11&gt;=0,AB5)</f>
        <v>0</v>
      </c>
      <c r="Z3" s="45" t="str">
        <f>IF(Sheet5!M17=TRUE,"العصبة لم يبقى لهم شىء",L29)</f>
        <v>فريضة ناقصة:الفريضة أقل من عدد الحصص فترد باقى الحصص على سهام الفريضة بأستتناء الزوج و الزوجة فلا يرد عليهم</v>
      </c>
      <c r="AA3" s="45" t="b">
        <f>AND(M12+M13+F14+F15&gt;0,F13&gt;0,F12=0,N11+N12+G14+G15&gt;0,G13&gt;0,الأبناء__ذكور+F10+F11=0)</f>
        <v>0</v>
      </c>
      <c r="AB3" s="141">
        <f>1-AB4</f>
        <v>1</v>
      </c>
      <c r="AC3" s="45" t="b">
        <f>AND(E6="ترد على",M11=0,M16&gt;0,M17&gt;0)</f>
        <v>0</v>
      </c>
      <c r="AD3" s="45">
        <f>IF(AC3=TRUE,2,1)</f>
        <v>1</v>
      </c>
      <c r="AE3" s="45" t="str">
        <f>IF(AA3=TRUE, "عند الأحناف الجد  يحجب الأخوة الأشقاء أو من الأب",Z3)</f>
        <v>فريضة ناقصة:الفريضة أقل من عدد الحصص فترد باقى الحصص على سهام الفريضة بأستتناء الزوج و الزوجة فلا يرد عليهم</v>
      </c>
      <c r="AG3" s="45" t="b">
        <f>AND(F14&gt;0,M14+M15&gt;1,N14+N15=1/3,G14=0)</f>
        <v>0</v>
      </c>
      <c r="AI3" s="45" t="str">
        <f>IF(AH18=TRUE, 'أقرأ (2)'!C136,AH20)</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AJ3" s="46">
        <f>F12+F13+F22+M11+M18+M16+M17</f>
        <v>0</v>
      </c>
      <c r="AK3" s="458" t="b">
        <f>AND(F23&gt;0,G23&gt;0)</f>
        <v>0</v>
      </c>
      <c r="AL3" s="45" t="str">
        <f>IF(AA3=TRUE, 'أقرأ (2)'!C142,AI3)</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AO3" s="45" t="str">
        <f>IF(AG3=TRUE,"عند جمهور العلماء والمالكية والشافعية الأشقاء  يشركون الأخوة لأم فى المشتركة الحل فى ورقة الفريضة الشرعية",Z3)</f>
        <v>فريضة ناقصة:الفريضة أقل من عدد الحصص فترد باقى الحصص على سهام الفريضة بأستتناء الزوج و الزوجة فلا يرد عليهم</v>
      </c>
      <c r="AS3" s="860"/>
      <c r="AU3" s="47"/>
      <c r="AV3" s="47"/>
      <c r="AW3" s="47"/>
      <c r="AX3" s="47"/>
    </row>
    <row r="4" spans="1:50" ht="17.25" hidden="1" customHeight="1" thickTop="1" thickBot="1">
      <c r="D4" s="879"/>
      <c r="E4" s="879"/>
      <c r="F4" s="879"/>
      <c r="G4" s="879"/>
      <c r="H4" s="879"/>
      <c r="I4" s="879"/>
      <c r="J4" s="879"/>
      <c r="K4" s="879"/>
      <c r="L4" s="879"/>
      <c r="M4" s="879"/>
      <c r="N4" s="879"/>
      <c r="O4" s="879"/>
      <c r="P4" s="879"/>
      <c r="Q4" s="879"/>
      <c r="R4" s="879"/>
      <c r="S4" s="879"/>
      <c r="T4" s="879"/>
      <c r="U4" s="879"/>
      <c r="V4" s="879"/>
      <c r="W4" s="459"/>
      <c r="X4" s="460">
        <f>SUM(I9:I23,P9:P19)</f>
        <v>0</v>
      </c>
      <c r="Y4" s="45" t="b">
        <f>OR(X3=TRUE,Y3=TRUE)</f>
        <v>0</v>
      </c>
      <c r="AB4" s="140">
        <f>$Q$5</f>
        <v>0</v>
      </c>
      <c r="AC4" s="45" t="str">
        <f>IF(L45=TRUE,"هذه الحالة هى الأفضل للجد",I37)</f>
        <v xml:space="preserve">      </v>
      </c>
    </row>
    <row r="5" spans="1:50" ht="17.25" customHeight="1" thickTop="1" thickBot="1">
      <c r="A5" s="45" t="str">
        <f>IF(F9+F10+F12+F11=0,"                  ",V25)</f>
        <v xml:space="preserve">                  </v>
      </c>
      <c r="D5" s="879"/>
      <c r="E5" s="1140" t="str">
        <f>'شرح الحالة'!AI7</f>
        <v>أصل المسألة</v>
      </c>
      <c r="F5" s="1141"/>
      <c r="G5" s="1141"/>
      <c r="H5" s="1141"/>
      <c r="I5" s="1141"/>
      <c r="J5" s="1141"/>
      <c r="K5" s="1142"/>
      <c r="L5" s="1137">
        <f>Sheet5!O34</f>
        <v>1</v>
      </c>
      <c r="M5" s="1138"/>
      <c r="N5" s="880"/>
      <c r="O5" s="881">
        <f>SUM(O9*M9+O10*M10+O11*M11+O12*M12+O13*M13+O14*M14+O15*M15+O16*M16+O17*M17+O18*M18+H9*F9+H10*F10+H11*F11+H12*F12+H13*F13+H14*F14+H15*F15+H16*F16+H17*F17+H18*F18+H19*F19+H20*F20+H21*F21+H22*F22+F23*H23)-R8</f>
        <v>0</v>
      </c>
      <c r="P5" s="880"/>
      <c r="Q5" s="882">
        <f>SUM(N9:N19)+SUM(G9:G23)</f>
        <v>0</v>
      </c>
      <c r="R5" s="1161" t="str">
        <f>IF(X22="الكدرية",X22,AA10)</f>
        <v xml:space="preserve"> خطأ يرجى مراجعة القسمةوتصحيح الحالات</v>
      </c>
      <c r="S5" s="1162"/>
      <c r="T5" s="1162"/>
      <c r="U5" s="1162"/>
      <c r="V5" s="1163"/>
      <c r="X5" s="45" t="b">
        <f>AND(F13=1,G13=0,F12=0)</f>
        <v>0</v>
      </c>
      <c r="Y5" s="45" t="b">
        <f>AND(Y6=TRUE,Y7=TRUE,X5=FALSE,X7=FALSE,AS9+AS10+AS11&gt;0, AB5=1)</f>
        <v>0</v>
      </c>
      <c r="Z5" s="45" t="b">
        <f>NOT(L3="الكدرية")</f>
        <v>1</v>
      </c>
      <c r="AB5" s="140">
        <f>ROUNDUP(AB4,1)</f>
        <v>0</v>
      </c>
      <c r="AC5" s="45" t="e">
        <f>'طريقة العمل'!$I$4/AG13</f>
        <v>#DIV/0!</v>
      </c>
      <c r="AD5" s="45" t="e">
        <f>IF('طريقة العمل'!O8=1,'طريقة العمل'!P8,'طريقة العمل'!O8)</f>
        <v>#DIV/0!</v>
      </c>
      <c r="AI5" s="45">
        <f>IF(AS11=1,AK5,AI6)</f>
        <v>1</v>
      </c>
      <c r="AK5" s="1158">
        <f>IF(E6="صحيحة",Sheet5!O42,Sheet5!I31)</f>
        <v>1</v>
      </c>
      <c r="AL5" s="1159"/>
      <c r="AM5" s="45" t="str">
        <f>IF(AF10=TRUE,AD6,AO3)</f>
        <v>فريضة ناقصة:الفريضة أقل من عدد الحصص فترد باقى الحصص على سهام الفريضة بأستتناء الزوج و الزوجة فلا يرد عليهم</v>
      </c>
      <c r="AR5" s="861">
        <f>IF(M9+M10&gt;0,1/2,0)</f>
        <v>0</v>
      </c>
      <c r="AS5" s="861">
        <f>IF(M11&gt;0,1/6,0)</f>
        <v>0</v>
      </c>
      <c r="AT5" s="861" t="b">
        <f>IF(M18&gt;0,1/8)</f>
        <v>0</v>
      </c>
      <c r="AU5" s="861">
        <f>IF(F22&gt;0,1/4,0)</f>
        <v>0</v>
      </c>
      <c r="AV5" s="861">
        <f>IF(M16+M17&gt;0,1/6,0)</f>
        <v>0</v>
      </c>
    </row>
    <row r="6" spans="1:50" ht="17.25" customHeight="1" thickTop="1" thickBot="1">
      <c r="D6" s="879"/>
      <c r="E6" s="1143" t="str">
        <f>IF(Sheet5!J14=TRUE,Sheet5!J11,Sheet5!J12)</f>
        <v>ترد على</v>
      </c>
      <c r="F6" s="1144"/>
      <c r="G6" s="1144"/>
      <c r="H6" s="1144"/>
      <c r="I6" s="1144"/>
      <c r="J6" s="1144"/>
      <c r="K6" s="1145"/>
      <c r="L6" s="1137">
        <f>Sheet5!S40/AD3</f>
        <v>0</v>
      </c>
      <c r="M6" s="1139"/>
      <c r="N6" s="883" t="str">
        <f>Sheet5!AA24</f>
        <v/>
      </c>
      <c r="O6" s="884">
        <f>Sheet5!AC33</f>
        <v>1</v>
      </c>
      <c r="P6" s="408"/>
      <c r="Q6" s="408"/>
      <c r="R6" s="1149" t="str">
        <f>IF(AC6=TRUE,"أدخل البيانات فى خانة عدد الورثة رجاءا",AD5)</f>
        <v>أدخل البيانات فى خانة عدد الورثة رجاءا</v>
      </c>
      <c r="S6" s="1150"/>
      <c r="T6" s="1150"/>
      <c r="U6" s="1150"/>
      <c r="V6" s="1151"/>
      <c r="X6" s="48">
        <f>'شرح الحالة'!$T$131</f>
        <v>0</v>
      </c>
      <c r="Y6" s="45" t="b">
        <f>OR(Y3=TRUE,X3=TRUE)</f>
        <v>0</v>
      </c>
      <c r="AB6" s="45" t="b">
        <f>OR(AS11=0,AB7=TRUE)</f>
        <v>1</v>
      </c>
      <c r="AC6" s="45" t="b">
        <f>ISERROR(AC5)</f>
        <v>1</v>
      </c>
      <c r="AD6" s="45" t="e">
        <f>IF(F38=TRUE,H33,E33)</f>
        <v>#DIV/0!</v>
      </c>
      <c r="AI6" s="45">
        <f>IF(E6="صحيحة",Sheet5!I31*Sheet5!N38,AK5)</f>
        <v>1</v>
      </c>
      <c r="AK6" s="1147">
        <f>'طريقة العمل'!$S$5</f>
        <v>0</v>
      </c>
      <c r="AL6" s="1160"/>
      <c r="AM6" s="45" t="str">
        <f>IF(AK3=TRUE,'أقرأ (2)'!C542,AM5)</f>
        <v>فريضة ناقصة:الفريضة أقل من عدد الحصص فترد باقى الحصص على سهام الفريضة بأستتناء الزوج و الزوجة فلا يرد عليهم</v>
      </c>
      <c r="AR6" s="861">
        <f>IF(M9+M10&gt;1,2/3,AR5)</f>
        <v>0</v>
      </c>
      <c r="AS6" s="861">
        <f>IF(M12+M13+F15+F14+M15+M14&lt;2,AS5*2,AS5)</f>
        <v>0</v>
      </c>
      <c r="AT6" s="861">
        <f>IF(M9+M10&gt;0,AT5,AT5*2)</f>
        <v>0</v>
      </c>
      <c r="AU6" s="861">
        <f>IF(M9+M10&gt;0,AU5,AU5*2)</f>
        <v>0</v>
      </c>
      <c r="AV6" s="861">
        <f>IF(AS5=0,AV5,0)</f>
        <v>0</v>
      </c>
    </row>
    <row r="7" spans="1:50" ht="17.25" customHeight="1" thickBot="1">
      <c r="D7" s="879"/>
      <c r="E7" s="879"/>
      <c r="F7" s="879"/>
      <c r="G7" s="879"/>
      <c r="H7" s="879"/>
      <c r="I7" s="879"/>
      <c r="J7" s="879"/>
      <c r="K7" s="879"/>
      <c r="L7" s="879"/>
      <c r="M7" s="879"/>
      <c r="N7" s="879"/>
      <c r="O7" s="879"/>
      <c r="P7" s="879"/>
      <c r="Q7" s="879"/>
      <c r="R7" s="1152"/>
      <c r="S7" s="1153"/>
      <c r="T7" s="1153"/>
      <c r="U7" s="1153"/>
      <c r="V7" s="1154"/>
      <c r="X7" s="45" t="b">
        <f>AND(F22&gt;0,M18&gt;0)</f>
        <v>0</v>
      </c>
      <c r="Y7" s="45" t="b">
        <f>(Y4)</f>
        <v>0</v>
      </c>
      <c r="Z7" s="36" t="str">
        <f>IF(AS10+AS11+F13=0,"الفرائض بالجداول الألكترونـيـــة",AD9)</f>
        <v>الفرائض بالجداول الألكترونـيـــة</v>
      </c>
      <c r="AB7" s="45" t="b">
        <f>AND(AS11&gt;0,F13&gt;0,الأبناء__ذكور+F10+F11+F12=0,M9+M10&lt;2)</f>
        <v>0</v>
      </c>
      <c r="AC7" s="867" t="str">
        <f>IF( F13*M11*F22*M12=1,  "الفرع الوارث الأبناء والبنات وأن سفلو والأصل الوارث الأب والجد وأن علو",AT16)</f>
        <v xml:space="preserve"> . قال صلى الله عليه وسلم [أَلْحِقُوا الْفَرَائِضَ بِأَهْلِهَا فَمَا بَقِي  فَلِأَوْلَى رَجُلٍ ذَكَرٍ] متفق عليه  </v>
      </c>
    </row>
    <row r="8" spans="1:50" ht="17.25" customHeight="1" thickTop="1" thickBot="1">
      <c r="B8" s="78">
        <v>0</v>
      </c>
      <c r="C8" s="78"/>
      <c r="D8" s="885" t="str">
        <f>'شرح الحالة'!C7</f>
        <v>رقم</v>
      </c>
      <c r="E8" s="885" t="s">
        <v>530</v>
      </c>
      <c r="F8" s="885" t="str">
        <f>'شرح الحالة'!E7</f>
        <v>العدد</v>
      </c>
      <c r="G8" s="885" t="s">
        <v>137</v>
      </c>
      <c r="H8" s="886" t="s">
        <v>529</v>
      </c>
      <c r="I8" s="887" t="s">
        <v>160</v>
      </c>
      <c r="J8" s="887"/>
      <c r="K8" s="888" t="str">
        <f>D8</f>
        <v>رقم</v>
      </c>
      <c r="L8" s="888" t="str">
        <f>E8</f>
        <v xml:space="preserve">الورثــــــــــــــة </v>
      </c>
      <c r="M8" s="888" t="str">
        <f>F8</f>
        <v>العدد</v>
      </c>
      <c r="N8" s="888" t="s">
        <v>137</v>
      </c>
      <c r="O8" s="886" t="s">
        <v>529</v>
      </c>
      <c r="P8" s="885" t="str">
        <f>$I$8</f>
        <v xml:space="preserve">عدد الحصص </v>
      </c>
      <c r="Q8" s="879"/>
      <c r="R8" s="1155">
        <f>IFERROR(AC5,0)</f>
        <v>0</v>
      </c>
      <c r="S8" s="1156"/>
      <c r="T8" s="1156"/>
      <c r="U8" s="1156"/>
      <c r="V8" s="1157"/>
      <c r="X8" s="45">
        <f>IF(Sheet5!M33="تعول على",Sheet5!I31,X9)</f>
        <v>1</v>
      </c>
      <c r="Y8" s="45">
        <f>IF(E6="صحيحة",Sheet5!I30,X8)</f>
        <v>1</v>
      </c>
      <c r="Z8" s="45">
        <f>IF(Sheet5!I31=0,Sheet5!I30,Y8)</f>
        <v>1</v>
      </c>
      <c r="AB8" s="45" t="s">
        <v>533</v>
      </c>
      <c r="AD8" s="45" t="b">
        <f>AND(F13=1,F12=0,G13=0)</f>
        <v>0</v>
      </c>
      <c r="AM8" s="458" t="b">
        <f>AND(F12+F11+F10+الأبناء__ذكور+M9+M10+M14+M15+F15+F14=0,M11+M16+M17=1,F22=1,F13=1,M14+M15=0,N11=1/3)</f>
        <v>0</v>
      </c>
      <c r="AV8" s="45">
        <f>IF( الأبناء__ذكور+F10+F11+F12&gt;0,0,1)</f>
        <v>1</v>
      </c>
    </row>
    <row r="9" spans="1:50" ht="17.25" customHeight="1" thickTop="1" thickBot="1">
      <c r="B9" s="45">
        <v>1</v>
      </c>
      <c r="C9" s="45" t="s">
        <v>148</v>
      </c>
      <c r="D9" s="889">
        <f>'شرح الحالة'!C8</f>
        <v>1</v>
      </c>
      <c r="E9" s="890" t="s">
        <v>812</v>
      </c>
      <c r="F9" s="922">
        <f>IF('أدخال  البيانات'!E8="لايوجد",0,'أدخال  البيانات'!E8)</f>
        <v>0</v>
      </c>
      <c r="G9" s="891">
        <f>I9/AK5</f>
        <v>0</v>
      </c>
      <c r="H9" s="892">
        <f>R8*G9/(IF(الأبناء__ذكور=0,1,الأبناء__ذكور))</f>
        <v>0</v>
      </c>
      <c r="I9" s="893">
        <f>'شرح الحالة'!$X$10</f>
        <v>0</v>
      </c>
      <c r="J9" s="893" t="s">
        <v>813</v>
      </c>
      <c r="K9" s="894">
        <f>'شرح الحالة'!C23</f>
        <v>1</v>
      </c>
      <c r="L9" s="890" t="str">
        <f>J9</f>
        <v>البنات</v>
      </c>
      <c r="M9" s="922">
        <f>(IF('أدخال  البيانات'!AB4="لايوجد",0,'أدخال  البيانات'!AB4))</f>
        <v>0</v>
      </c>
      <c r="N9" s="891">
        <f>P9/AK5</f>
        <v>0</v>
      </c>
      <c r="O9" s="892">
        <f>R8*N9/IF(M9=0,1,M9)</f>
        <v>0</v>
      </c>
      <c r="P9" s="895">
        <f>'شرح الحالة'!$X$16</f>
        <v>0</v>
      </c>
      <c r="Q9" s="879"/>
      <c r="R9" s="1171" t="str">
        <f>'شرح الحالة'!AE9</f>
        <v>أصحاب الفرائض</v>
      </c>
      <c r="S9" s="1172"/>
      <c r="T9" s="896"/>
      <c r="U9" s="897"/>
      <c r="V9" s="898">
        <f>Sheet5!P9</f>
        <v>0</v>
      </c>
      <c r="X9" s="45">
        <f>IF(Sheet5!M33="يرد على",Sheet5!I31,Sheet5!I30)</f>
        <v>1</v>
      </c>
      <c r="AB9" s="45" t="str">
        <f>IF(Y22=TRUE,E26,Z21)</f>
        <v xml:space="preserve">   ضع 1 فى خانة السدس</v>
      </c>
      <c r="AD9" s="34" t="str">
        <f>IF(AD8=TRUE,AC4,AD10)</f>
        <v xml:space="preserve">   ضع 1 فى خانة السدس</v>
      </c>
      <c r="AK9" s="1147" t="e">
        <f>'طريقة العمل'!O6</f>
        <v>#DIV/0!</v>
      </c>
      <c r="AL9" s="1148"/>
      <c r="AM9" s="45" t="str">
        <f>IF(AK3=TRUE,'أقرأ (2)'!C543,AL3)</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AS9" s="859">
        <f>AR14</f>
        <v>1</v>
      </c>
      <c r="AU9" s="47"/>
      <c r="AV9" s="862">
        <f>SUM(AR6:AV6)</f>
        <v>0</v>
      </c>
    </row>
    <row r="10" spans="1:50" ht="17.25" customHeight="1" thickTop="1" thickBot="1">
      <c r="B10" s="45">
        <v>2</v>
      </c>
      <c r="C10" s="45" t="s">
        <v>149</v>
      </c>
      <c r="D10" s="889">
        <f>'شرح الحالة'!C9</f>
        <v>2</v>
      </c>
      <c r="E10" s="899" t="str">
        <f>IF(الأبناء__ذكور&gt;0,"حجبو بالأبناء",C10)</f>
        <v>أبناء الأبناء(ذكور)</v>
      </c>
      <c r="F10" s="923">
        <f>IF('أدخال  البيانات'!E9="لايوجد",0,'أدخال  البيانات'!E9)</f>
        <v>0</v>
      </c>
      <c r="G10" s="891">
        <f>I10/AK5</f>
        <v>0</v>
      </c>
      <c r="H10" s="892">
        <f>R8*G10/IF(F10=0,1,F10)</f>
        <v>0</v>
      </c>
      <c r="I10" s="893">
        <f>'شرح الحالة'!$X$79</f>
        <v>0</v>
      </c>
      <c r="J10" s="893" t="s">
        <v>814</v>
      </c>
      <c r="K10" s="894">
        <f>'شرح الحالة'!C24</f>
        <v>2</v>
      </c>
      <c r="L10" s="900" t="str">
        <f>IF(الأبناء__ذكور&gt;0,"حجبت بالفرع  الوارث المذكر او بالبنات",J10)</f>
        <v>بنات الأبنــاء</v>
      </c>
      <c r="M10" s="923">
        <f>(IF('أدخال  البيانات'!AB6="لايوجد",0,'أدخال  البيانات'!AB6))</f>
        <v>0</v>
      </c>
      <c r="N10" s="891">
        <f>P10/AK5</f>
        <v>0</v>
      </c>
      <c r="O10" s="892">
        <f>R8*N10/IF(M10=0,1,M10)</f>
        <v>0</v>
      </c>
      <c r="P10" s="895">
        <f>'شرح الحالة'!$X$21</f>
        <v>0</v>
      </c>
      <c r="Q10" s="879"/>
      <c r="R10" s="1171" t="s">
        <v>105</v>
      </c>
      <c r="S10" s="1172"/>
      <c r="T10" s="901"/>
      <c r="U10" s="902"/>
      <c r="V10" s="903">
        <f>Sheet5!$A$6</f>
        <v>0</v>
      </c>
      <c r="X10" s="45" t="b">
        <f>ISNUMBER(R8)</f>
        <v>1</v>
      </c>
      <c r="Y10" s="45">
        <f>Sheet5!I31</f>
        <v>1</v>
      </c>
      <c r="AA10" s="45" t="str">
        <f>IF(AB13=FALSE,"القسمة غير صحيحة أبحث عن الأفضل للجد والأخوة",AB14)</f>
        <v xml:space="preserve"> خطأ يرجى مراجعة القسمةوتصحيح الحالات</v>
      </c>
      <c r="AB10" s="45" t="b">
        <f>AND(G13&lt;1/6,N12&gt;=G13,F13&gt;0,F12=0)</f>
        <v>0</v>
      </c>
      <c r="AC10" s="45" t="b">
        <f>AND(M12+M13&gt;0,N12+N13=0,G16+G17+G18+G19+G20+G21&gt;0)</f>
        <v>0</v>
      </c>
      <c r="AD10" s="45" t="str">
        <f>IF(AB6=FALSE,AB8,AB9)</f>
        <v xml:space="preserve">   ضع 1 فى خانة السدس</v>
      </c>
      <c r="AF10" s="458" t="b">
        <f>AND(F13&gt;0,F14+F15&gt;0,M14+M15&gt;1,N12+G14+G15+N13=1/6,N14+N15=0,N11=1/6,G22=1/2)</f>
        <v>0</v>
      </c>
      <c r="AI10" s="45" t="b">
        <f>OR(AS10+F13+AS11&gt;1,F13+AS10=0,F12&gt;=1,AS9&gt;=1)</f>
        <v>1</v>
      </c>
      <c r="AS10" s="437">
        <f>IF(AS9=0,AR15,0)</f>
        <v>0</v>
      </c>
      <c r="AV10" s="864">
        <f>1-AV9</f>
        <v>1</v>
      </c>
    </row>
    <row r="11" spans="1:50" ht="17.25" customHeight="1" thickTop="1" thickBot="1">
      <c r="B11" s="45">
        <v>3</v>
      </c>
      <c r="C11" s="45" t="s">
        <v>186</v>
      </c>
      <c r="D11" s="889">
        <f>'شرح الحالة'!C10</f>
        <v>3</v>
      </c>
      <c r="E11" s="904" t="str">
        <f>IF(الأبناء__ذكور+F10&gt;0," حجبو بأبناء الأبناء",C11)</f>
        <v>أبناء  أبناء الأبناء(ذكور)</v>
      </c>
      <c r="F11" s="922">
        <f>IF('أدخال  البيانات'!E10="لايوجد",0,'أدخال  البيانات'!E10)</f>
        <v>0</v>
      </c>
      <c r="G11" s="891">
        <f>I11/AK5</f>
        <v>0</v>
      </c>
      <c r="H11" s="892">
        <f>R8*G11/IF(F11=0,1,F11)</f>
        <v>0</v>
      </c>
      <c r="I11" s="895">
        <f>'شرح الحالة'!$X$138</f>
        <v>0</v>
      </c>
      <c r="J11" s="895" t="s">
        <v>154</v>
      </c>
      <c r="K11" s="894">
        <f>'شرح الحالة'!C25</f>
        <v>3</v>
      </c>
      <c r="L11" s="905" t="s">
        <v>154</v>
      </c>
      <c r="M11" s="922">
        <f>(IF('أدخال  البيانات'!C12="لايوجد",0,'أدخال  البيانات'!C12))</f>
        <v>0</v>
      </c>
      <c r="N11" s="891">
        <f>P11/AK5</f>
        <v>0</v>
      </c>
      <c r="O11" s="892">
        <f>R8*N11/IF(M11=0,1,M11)</f>
        <v>0</v>
      </c>
      <c r="P11" s="895">
        <f>'شرح الحالة'!$X$34</f>
        <v>0</v>
      </c>
      <c r="Q11" s="879"/>
      <c r="R11" s="1187" t="str">
        <f>IF(X20=TRUE,"  لحساب فريضة الأم يجب ومن الضرورى تعبئة الخاتات  الخاصة بعدد  الأخوة  وأن حجبو بالأب أخوة الأم أو الأب أو الأشقاء ", 'أقرأ (2)'!C125)</f>
        <v xml:space="preserve">  قول الله تعالى : ( للرجال نصيب مما تـرك الوالدان والأقربون وللنساء نصـيب مما تـرك الوالدان والأقربون مما قـل منه أو كثر نصيبا مفروضا وإذا حضر القسمة أولوا القربى واليتامى والمساكين فارزقوهم منه وقولوا لهم قولا معروفا ) سورة النساء آية : 7-8 .</v>
      </c>
      <c r="S11" s="1187"/>
      <c r="T11" s="1187"/>
      <c r="U11" s="1187"/>
      <c r="V11" s="1187"/>
      <c r="X11" s="45" t="str">
        <f>IF(AB22=TRUE,"الفرائض بالأكسل",X24)</f>
        <v xml:space="preserve">   ضع 1 فى خانة السدس</v>
      </c>
      <c r="Y11" s="45" t="str">
        <f>IF(AB31=TRUE,"  تأكد من  حــــــالة السدس فى الخلية الحمراء",Z30)</f>
        <v xml:space="preserve">  تأكد من  حــــــالة السدس فى الخلية الحمراء</v>
      </c>
      <c r="AB11" s="45" t="b">
        <f>IF(L3="أختر حالة ثلث الباقى",FALSE,TRUE)</f>
        <v>1</v>
      </c>
      <c r="AR11" s="45">
        <f>IF(AR15=0, AR16,0)</f>
        <v>0</v>
      </c>
      <c r="AS11" s="409">
        <f>IF(AS9=1,0,AR11)</f>
        <v>0</v>
      </c>
      <c r="AV11" s="865">
        <f>M12+M13+F15*2+F14*2+F13*2</f>
        <v>0</v>
      </c>
    </row>
    <row r="12" spans="1:50" ht="17.25" customHeight="1" thickTop="1" thickBot="1">
      <c r="B12" s="45">
        <v>4</v>
      </c>
      <c r="C12" s="45" t="s">
        <v>4</v>
      </c>
      <c r="D12" s="889">
        <f>'شرح الحالة'!C11</f>
        <v>4</v>
      </c>
      <c r="E12" s="906" t="s">
        <v>4</v>
      </c>
      <c r="F12" s="923">
        <f>IF('أدخال  البيانات'!E11="لايوجد",0,'أدخال  البيانات'!E11)</f>
        <v>0</v>
      </c>
      <c r="G12" s="891">
        <f>I12/AK5</f>
        <v>0</v>
      </c>
      <c r="H12" s="892">
        <f>R8*G12/IF(F12=0,1,F12)</f>
        <v>0</v>
      </c>
      <c r="I12" s="893">
        <f>'شرح الحالة'!$Y$28</f>
        <v>0</v>
      </c>
      <c r="J12" s="893" t="s">
        <v>815</v>
      </c>
      <c r="K12" s="894">
        <f>'شرح الحالة'!C26</f>
        <v>4</v>
      </c>
      <c r="L12" s="907" t="str">
        <f>IF(E14=" حجب بالفرع الوارث المذكر أو الأب","حجبت بالفرع الوارث المذكر أو الأب",J12)</f>
        <v>الأخوة(أناث)االشقيقات</v>
      </c>
      <c r="M12" s="923">
        <f>(IF('أدخال  البيانات'!AD11="لايوجد",0,'أدخال  البيانات'!AD11))</f>
        <v>0</v>
      </c>
      <c r="N12" s="891">
        <f>P12/AK5</f>
        <v>0</v>
      </c>
      <c r="O12" s="892">
        <f>R8*N12/IF(M12=0,1,M12)</f>
        <v>0</v>
      </c>
      <c r="P12" s="895">
        <f>'شرح الحالة'!$X$56+'شرح الحالة'!X134</f>
        <v>0</v>
      </c>
      <c r="Q12" s="879"/>
      <c r="R12" s="1188"/>
      <c r="S12" s="1188"/>
      <c r="T12" s="1188"/>
      <c r="U12" s="1188"/>
      <c r="V12" s="1188"/>
      <c r="AB12" s="45" t="b">
        <f>IF(L3="أختر حالة المقاسمة",FALSE,TRUE)</f>
        <v>1</v>
      </c>
      <c r="AR12" s="45">
        <f>IF(AV14=AV18,1,0)</f>
        <v>0</v>
      </c>
      <c r="AS12" s="45" t="b">
        <f>OR(AR12=1,AV8=0)</f>
        <v>0</v>
      </c>
      <c r="AV12" s="864">
        <f>IFERROR(2/AV11,1)</f>
        <v>1</v>
      </c>
    </row>
    <row r="13" spans="1:50" ht="17.25" customHeight="1" thickTop="1" thickBot="1">
      <c r="B13" s="45">
        <v>5</v>
      </c>
      <c r="C13" s="45" t="s">
        <v>145</v>
      </c>
      <c r="D13" s="889">
        <f>'شرح الحالة'!C12</f>
        <v>5</v>
      </c>
      <c r="E13" s="906" t="str">
        <f>IF(F12&gt;0,"  الجد حجب بالأب",C13)</f>
        <v>الجد(أب الأب)</v>
      </c>
      <c r="F13" s="922">
        <f>IF('أدخال  البيانات'!AD13="لايوجد",0,'أدخال  البيانات'!AD13)</f>
        <v>0</v>
      </c>
      <c r="G13" s="891">
        <f>I13/AK5</f>
        <v>0</v>
      </c>
      <c r="H13" s="892">
        <f>R8*G13/IF(F13=0,1,F13)</f>
        <v>0</v>
      </c>
      <c r="I13" s="893">
        <f>('شرح الحالة'!$Y$121)</f>
        <v>0</v>
      </c>
      <c r="J13" s="893" t="s">
        <v>151</v>
      </c>
      <c r="K13" s="894">
        <f>'شرح الحالة'!C27</f>
        <v>5</v>
      </c>
      <c r="L13" s="907" t="str">
        <f>IF(E15=" حجب بالفرع المذكر أو الأب أو الشقيق","حجبت بالفرع المذكر أو الأب أو الشقيق",AF15)</f>
        <v xml:space="preserve">الأخوة(أناث)من ألأب  </v>
      </c>
      <c r="M13" s="922">
        <f>(IF('أدخال  البيانات'!AD12="لايوجد",0,'أدخال  البيانات'!AD12))</f>
        <v>0</v>
      </c>
      <c r="N13" s="891">
        <f>P13/AK5</f>
        <v>0</v>
      </c>
      <c r="O13" s="892">
        <f>R8*N13/IF(M13=0,1,M13)</f>
        <v>0</v>
      </c>
      <c r="P13" s="895">
        <f>'شرح الحالة'!X136+'شرح الحالة'!X64</f>
        <v>0</v>
      </c>
      <c r="Q13" s="879"/>
      <c r="R13" s="1188"/>
      <c r="S13" s="1188"/>
      <c r="T13" s="1188"/>
      <c r="U13" s="1188"/>
      <c r="V13" s="1188"/>
      <c r="X13" s="45" t="b">
        <f>AND(F9+F10+F12+F11+M9+M10=0,M11=1,F13=1,M12+F14&gt;=1, ,M14+M15&gt;1,1=1,F22=1,M18=0)</f>
        <v>0</v>
      </c>
      <c r="Y13" s="45" t="b">
        <f>'شرح الحالة'!O71</f>
        <v>0</v>
      </c>
      <c r="AA13" s="45" t="s">
        <v>114</v>
      </c>
      <c r="AB13" s="45" t="b">
        <f>AND(AB11,AB12,AB10=FALSE,AC10=FALSE, AK14=TRUE,AI10=TRUE,AS9+AS10+AS11=1,Z5=TRUE)</f>
        <v>1</v>
      </c>
      <c r="AD13" s="6" t="b">
        <f>AND(M9+M10&gt;0,M12+M13&gt;0,AD14=TRUE)</f>
        <v>0</v>
      </c>
      <c r="AE13" s="45" t="b">
        <f>IF(الأبناء__ذكور+F10+F11+F12+F13+F14+F15&gt;0,FALSE,TRUE)</f>
        <v>1</v>
      </c>
      <c r="AF13" s="82">
        <f>IF(AD15=TRUE,1,0)</f>
        <v>0</v>
      </c>
      <c r="AG13" s="45">
        <f>IF(AH13=TRUE,1,1)</f>
        <v>1</v>
      </c>
      <c r="AH13" s="45" t="b">
        <f>AND(N11=1/3,N12=2/9,G13=4/9)</f>
        <v>0</v>
      </c>
      <c r="AI13" s="34" t="str">
        <f>IF(L79=TRUE,'شرح الحالة'!M312,G29)</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AK13" s="45" t="b">
        <f>AND(G13 +F12&gt;=1/6*(F13+F12))</f>
        <v>1</v>
      </c>
      <c r="AQ13" s="45" t="b">
        <f>AND(M13&gt;0,F22&gt;0, M9+M10=0, )</f>
        <v>0</v>
      </c>
      <c r="AR13" s="45">
        <f>IF(AS12=TRUE,1,0)</f>
        <v>0</v>
      </c>
      <c r="AV13" s="865"/>
    </row>
    <row r="14" spans="1:50" ht="17.25" customHeight="1" thickTop="1" thickBot="1">
      <c r="B14" s="45">
        <v>6</v>
      </c>
      <c r="C14" s="45" t="s">
        <v>198</v>
      </c>
      <c r="D14" s="889">
        <f>'شرح الحالة'!C13</f>
        <v>6</v>
      </c>
      <c r="E14" s="907" t="str">
        <f>IF( J19=TRUE," حجب بالفرع الوارث المذكر أو الأب",C14)</f>
        <v>الأخوة(ذكور) الأشقاء</v>
      </c>
      <c r="F14" s="923">
        <f>IF('أدخال  البيانات'!AD9="لايوجد",0,'أدخال  البيانات'!AD9)</f>
        <v>0</v>
      </c>
      <c r="G14" s="891">
        <f>I14/AK5</f>
        <v>0</v>
      </c>
      <c r="H14" s="892">
        <f>R8*G14/IF(F14=0,1,F14)</f>
        <v>0</v>
      </c>
      <c r="I14" s="893">
        <f>'شرح الحالة'!$AC$51+'شرح الحالة'!X133</f>
        <v>0</v>
      </c>
      <c r="J14" s="893" t="s">
        <v>153</v>
      </c>
      <c r="K14" s="894">
        <f>'شرح الحالة'!C28</f>
        <v>6</v>
      </c>
      <c r="L14" s="908" t="str">
        <f>IF(J22=TRUE, L15,AK15)</f>
        <v xml:space="preserve">الأخوة(أناث) من الأم </v>
      </c>
      <c r="M14" s="923">
        <f>(IF('أدخال  البيانات'!C15="لايوجد",0,'أدخال  البيانات'!C15))</f>
        <v>0</v>
      </c>
      <c r="N14" s="891">
        <f>P14/AK5</f>
        <v>0</v>
      </c>
      <c r="O14" s="892">
        <f>R8*N14/IF(M14=0,1,M14)</f>
        <v>0</v>
      </c>
      <c r="P14" s="895">
        <f>'شرح الحالة'!$Z$76</f>
        <v>0</v>
      </c>
      <c r="Q14" s="879"/>
      <c r="R14" s="1188"/>
      <c r="S14" s="1188"/>
      <c r="T14" s="1188"/>
      <c r="U14" s="1188"/>
      <c r="V14" s="1188"/>
      <c r="Y14" s="45" t="str">
        <f>IF(Y15=TRUE,"الأخ المشـــــــــــــؤوم  وهى حالة خاصة للأخوة من الأب",Y16)</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AB14" s="45" t="str">
        <f>IF(AB6=FALSE,"القســــــمة غير صحيحة راجع الحالات",Y28)</f>
        <v xml:space="preserve"> خطأ يرجى مراجعة القسمةوتصحيح الحالات</v>
      </c>
      <c r="AD14" s="6" t="b">
        <f>IF( الأبناء__ذكور+F10+F11+F12&gt;0,FALSE,TRUE)</f>
        <v>1</v>
      </c>
      <c r="AE14" s="45" t="b">
        <f>OR(AD15=TRUE,AE13=FALSE,AC21=TRUE)</f>
        <v>0</v>
      </c>
      <c r="AF14" s="45" t="str">
        <f>IF(AD15=TRUE,"حجب ",C15)</f>
        <v xml:space="preserve">الأخوة(ذكور)من ألأب  </v>
      </c>
      <c r="AK14" s="45" t="b">
        <f>OR(E6="تعول على",AK13=TRUE)</f>
        <v>1</v>
      </c>
      <c r="AM14" s="95" t="s">
        <v>114</v>
      </c>
      <c r="AP14" s="45">
        <f>IF(AR14&gt;0,1,0)</f>
        <v>1</v>
      </c>
      <c r="AQ14" s="45" t="b">
        <f>OR(AQ13,AQ15)</f>
        <v>0</v>
      </c>
      <c r="AR14" s="861">
        <f>IF( F13=0,1,AR17)</f>
        <v>1</v>
      </c>
      <c r="AS14" s="45" t="s">
        <v>797</v>
      </c>
      <c r="AT14" s="45" t="str">
        <f>IF(F13&gt;0,AT16,X22)</f>
        <v>الفرائض بالجداول الألكترونـيـــة</v>
      </c>
      <c r="AV14" s="863">
        <f>IF(AQ14=TRUE,1/7,1/6)</f>
        <v>0.16666666666666666</v>
      </c>
    </row>
    <row r="15" spans="1:50" ht="17.25" customHeight="1" thickTop="1" thickBot="1">
      <c r="B15" s="45">
        <v>7</v>
      </c>
      <c r="C15" s="45" t="s">
        <v>150</v>
      </c>
      <c r="D15" s="889">
        <f>'شرح الحالة'!C14</f>
        <v>7</v>
      </c>
      <c r="E15" s="909" t="str">
        <f>IF( J19=TRUE," حجب بالفرع المذكر أو الأب أو الشقيق",AF14)</f>
        <v xml:space="preserve">الأخوة(ذكور)من ألأب  </v>
      </c>
      <c r="F15" s="922">
        <f>IF('أدخال  البيانات'!AD10="لايوجد",0,'أدخال  البيانات'!AD10)</f>
        <v>0</v>
      </c>
      <c r="G15" s="891">
        <f>P15/AK5</f>
        <v>0</v>
      </c>
      <c r="H15" s="892">
        <f>R8*G15/IF(F15=0,1,F15)</f>
        <v>0</v>
      </c>
      <c r="I15" s="893">
        <f>'شرح الحالة'!$Z$75</f>
        <v>0</v>
      </c>
      <c r="J15" s="893" t="s">
        <v>152</v>
      </c>
      <c r="K15" s="894">
        <f>'شرح الحالة'!C29</f>
        <v>7</v>
      </c>
      <c r="L15" s="908" t="str">
        <f>IF(J22=TRUE,"ولد الأم حجب بالفرع او الأصل الوارث",AK16)</f>
        <v xml:space="preserve">الأخوة(ذكور)من الأم </v>
      </c>
      <c r="M15" s="922">
        <f>(IF('أدخال  البيانات'!C16="لايوجد",0,'أدخال  البيانات'!C16))</f>
        <v>0</v>
      </c>
      <c r="N15" s="891">
        <f>I15/AK5</f>
        <v>0</v>
      </c>
      <c r="O15" s="892">
        <f>R8*N15/IF(M15=0,1,M15)</f>
        <v>0</v>
      </c>
      <c r="P15" s="893">
        <f>IF(F14+F12+F10+F9&gt;0,0,'شرح الحالة'!X92)+'شرح الحالة'!X135</f>
        <v>0</v>
      </c>
      <c r="Q15" s="879"/>
      <c r="R15" s="1188"/>
      <c r="S15" s="1188"/>
      <c r="T15" s="1188"/>
      <c r="U15" s="1188"/>
      <c r="V15" s="1188"/>
      <c r="Y15" s="45" t="b">
        <f>'شرح الحالة'!O72</f>
        <v>0</v>
      </c>
      <c r="AB15" s="45" t="str">
        <f>IF(AB6=FALSE,AB8,AB9)</f>
        <v xml:space="preserve">   ضع 1 فى خانة السدس</v>
      </c>
      <c r="AD15" s="6" t="b">
        <f>AND(AD14=TRUE,AE15=TRUE)</f>
        <v>0</v>
      </c>
      <c r="AE15" s="45" t="b">
        <f>AND(M9+M10&gt;0,M12+F14&gt;0,F13=0)</f>
        <v>0</v>
      </c>
      <c r="AF15" s="45" t="str">
        <f>IF(AD15=TRUE,"حجب",J13)</f>
        <v xml:space="preserve">الأخوة(أناث)من ألأب  </v>
      </c>
      <c r="AK15" s="45" t="str">
        <f>IF(الأبناء__ذكور+F10+F11+M9+M10&gt;0,"ولد الأم حجبو بالأصل أوالفرع الوارث", AL15)</f>
        <v xml:space="preserve">الأخوة(أناث) من الأم </v>
      </c>
      <c r="AL15" s="45" t="str">
        <f>IF(N11=1/3,"ضع عدد الأخوات للأم",J14)</f>
        <v xml:space="preserve">الأخوة(أناث) من الأم </v>
      </c>
      <c r="AP15" s="45">
        <f>IF(AR15&gt;0,2,0)</f>
        <v>0</v>
      </c>
      <c r="AQ15" s="45" t="b">
        <f>AND(M12&gt;0,F22&gt;0,F14=0,M9+M10=0,F15+F14+M13&gt;0)</f>
        <v>0</v>
      </c>
      <c r="AR15" s="861">
        <f>IF(F13=0,0,AR18)</f>
        <v>0</v>
      </c>
      <c r="AS15" s="45" t="s">
        <v>798</v>
      </c>
      <c r="AT15" s="45" t="str">
        <f>VLOOKUP(1,AR14:AS16,2,FALSE)</f>
        <v>فرض سدس المال للجد</v>
      </c>
      <c r="AV15" s="863">
        <f>AX15</f>
        <v>1</v>
      </c>
      <c r="AW15" s="45">
        <f>AV10*AV12</f>
        <v>1</v>
      </c>
      <c r="AX15" s="45">
        <f>IF(AQ14=TRUE,1/6,AW15)</f>
        <v>1</v>
      </c>
    </row>
    <row r="16" spans="1:50" ht="17.25" customHeight="1" thickTop="1" thickBot="1">
      <c r="B16" s="45">
        <v>8</v>
      </c>
      <c r="C16" s="45" t="s">
        <v>187</v>
      </c>
      <c r="D16" s="889">
        <f>'شرح الحالة'!C15</f>
        <v>8</v>
      </c>
      <c r="E16" s="910" t="str">
        <f>IF(AE14=TRUE," ",C16)</f>
        <v xml:space="preserve">أبن الأخ الشقيق  </v>
      </c>
      <c r="F16" s="923">
        <f>IF('أدخال  البيانات'!E15="لايوجد",0,'أدخال  البيانات'!E15)</f>
        <v>0</v>
      </c>
      <c r="G16" s="891">
        <f>I16/AK5</f>
        <v>0</v>
      </c>
      <c r="H16" s="892">
        <f>R8*G16/IF(F16=0,1,F16)</f>
        <v>0</v>
      </c>
      <c r="I16" s="893">
        <f>IF(F15+F14&gt;0,0,'شرح الحالة'!X96)</f>
        <v>0</v>
      </c>
      <c r="J16" s="893" t="s">
        <v>0</v>
      </c>
      <c r="K16" s="894">
        <f>'شرح الحالة'!C30</f>
        <v>8</v>
      </c>
      <c r="L16" s="905" t="str">
        <f>IF(M11&gt;0,"   أم الأم حجبت بالأم",J16)</f>
        <v>الجدة(أم  الأم)</v>
      </c>
      <c r="M16" s="923">
        <f>(IF('أدخال  البيانات'!C17="لايوجد",0,'أدخال  البيانات'!C17))</f>
        <v>0</v>
      </c>
      <c r="N16" s="891">
        <f>P16/AK5</f>
        <v>0</v>
      </c>
      <c r="O16" s="892">
        <f>R8*N16/IF(M16=0,1,M16)</f>
        <v>0</v>
      </c>
      <c r="P16" s="895">
        <f>'شرح الحالة'!X85</f>
        <v>0</v>
      </c>
      <c r="Q16" s="879"/>
      <c r="R16" s="874"/>
      <c r="S16" s="874"/>
      <c r="T16" s="874"/>
      <c r="U16" s="874"/>
      <c r="V16" s="874"/>
      <c r="X16" s="45" t="e">
        <f>OR(1=2,#REF!="",#REF!="")</f>
        <v>#REF!</v>
      </c>
      <c r="Y16" s="45" t="str">
        <f>IF('شرح الحالة'!O37=TRUE,"حالة خاصة لللأب والأم تسمى الغراوان", AD24)</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AA16" s="45" t="str">
        <f>IF(F38=TRUE,H33,"")</f>
        <v/>
      </c>
      <c r="AB16" s="34" t="str">
        <f>IF(L21="المقاسمة","ضع 1فى الخلية السوداء لأختيار المقاسمة",AC16)</f>
        <v/>
      </c>
      <c r="AC16" s="45" t="str">
        <f>IF(AS10=1,"الغى خيار المقاسمة","")</f>
        <v/>
      </c>
      <c r="AF16" s="45" t="b">
        <f>AND(F9+F10+F12+F13+F14+F15+M9+M10+F11=0,M12+M13&gt;0)</f>
        <v>0</v>
      </c>
      <c r="AK16" s="45" t="str">
        <f>IF(الأبناء__ذكور+F10+F11+M9+M10&gt;0,"ولد الأم حجبو بالأصل أوالفرع الوارث", AL16)</f>
        <v xml:space="preserve">الأخوة(ذكور)من الأم </v>
      </c>
      <c r="AL16" s="45" t="str">
        <f>IF(N11=1/3,"ضع عدد الأخوة للأم",J15)</f>
        <v xml:space="preserve">الأخوة(ذكور)من الأم </v>
      </c>
      <c r="AP16" s="45">
        <f>IF(AR16&gt;0,3,0)</f>
        <v>0</v>
      </c>
      <c r="AQ16" s="45" t="s">
        <v>114</v>
      </c>
      <c r="AR16" s="861">
        <f>IF(F13=0,0,AR19)</f>
        <v>0</v>
      </c>
      <c r="AS16" s="45" t="s">
        <v>799</v>
      </c>
      <c r="AT16" s="45" t="str">
        <f>IF( F13+F13*F12=1, AT15, AF17)</f>
        <v xml:space="preserve"> . قال صلى الله عليه وسلم [أَلْحِقُوا الْفَرَائِضَ بِأَهْلِهَا فَمَا بَقِي  فَلِأَوْلَى رَجُلٍ ذَكَرٍ] متفق عليه  </v>
      </c>
      <c r="AV16" s="864">
        <f>1/3*AV10</f>
        <v>0.33333333333333331</v>
      </c>
    </row>
    <row r="17" spans="1:48" ht="17.25" customHeight="1" thickTop="1" thickBot="1">
      <c r="B17" s="45">
        <v>9</v>
      </c>
      <c r="C17" s="45" t="s">
        <v>189</v>
      </c>
      <c r="D17" s="889">
        <f>'شرح الحالة'!C16</f>
        <v>9</v>
      </c>
      <c r="E17" s="910" t="str">
        <f>IF(الأبناء__ذكور+F10+F11+F12+F13+F14+F14+F15+F16+AF13+AC23&gt;0," ",C17)</f>
        <v xml:space="preserve">أبن الأخ لأب  </v>
      </c>
      <c r="F17" s="922">
        <f>IF('أدخال  البيانات'!E16="لايوجد",0,'أدخال  البيانات'!E16)</f>
        <v>0</v>
      </c>
      <c r="G17" s="891">
        <f>I17/AK5</f>
        <v>0</v>
      </c>
      <c r="H17" s="892">
        <f>R8*G17/IF(F17=0,1,F17)</f>
        <v>0</v>
      </c>
      <c r="I17" s="893">
        <f>IF(F16+F15+F14&gt;0,0,'شرح الحالة'!X100)</f>
        <v>0</v>
      </c>
      <c r="J17" s="893" t="s">
        <v>1</v>
      </c>
      <c r="K17" s="894">
        <f>'شرح الحالة'!C31</f>
        <v>9</v>
      </c>
      <c r="L17" s="905" t="str">
        <f>IF(M11+F12&gt;0," أم الأب حجبت بالأب أو الأم", J17)</f>
        <v>الجدة(أم الأب)</v>
      </c>
      <c r="M17" s="922">
        <f>(IF('أدخال  البيانات'!C18="لايوجد",0,'أدخال  البيانات'!C18))</f>
        <v>0</v>
      </c>
      <c r="N17" s="891">
        <f>P17/AK5</f>
        <v>0</v>
      </c>
      <c r="O17" s="892">
        <f>R8*N17/IF(M17=0,1,M17)</f>
        <v>0</v>
      </c>
      <c r="P17" s="895">
        <f>'شرح الحالة'!$X$88</f>
        <v>0</v>
      </c>
      <c r="Q17" s="879"/>
      <c r="R17" s="1173" t="s">
        <v>138</v>
      </c>
      <c r="S17" s="1174"/>
      <c r="T17" s="911"/>
      <c r="U17" s="911"/>
      <c r="V17" s="912">
        <f>SUM(G9:G23)+SUM(N9:N18)</f>
        <v>0</v>
      </c>
      <c r="X17" s="45" t="b">
        <f>AND(V17&gt;1)</f>
        <v>0</v>
      </c>
      <c r="Y17" s="49" t="s">
        <v>141</v>
      </c>
      <c r="Z17" s="49"/>
      <c r="AA17" s="45">
        <f>IF(X17=TRUE,1,0)</f>
        <v>0</v>
      </c>
      <c r="AB17" s="34" t="str">
        <f>IF(L21="ثلث الباقى","ضع 1 فى الخلىة الخضراء لأختيار ثلث الباقى",AC17)</f>
        <v/>
      </c>
      <c r="AC17" s="45" t="str">
        <f>IF(AS11=1,"الغى خيار ثلث الباقى","")</f>
        <v/>
      </c>
      <c r="AF17" s="34" t="str">
        <f xml:space="preserve"> M62</f>
        <v xml:space="preserve"> . قال صلى الله عليه وسلم [أَلْحِقُوا الْفَرَائِضَ بِأَهْلِهَا فَمَا بَقِي  فَلِأَوْلَى رَجُلٍ ذَكَرٍ] متفق عليه  </v>
      </c>
      <c r="AR17" s="45">
        <f>IF(AS12=TRUE,1,0)</f>
        <v>0</v>
      </c>
      <c r="AT17" s="34" t="str">
        <f>IF(F13-F12=0,"",AA16)</f>
        <v/>
      </c>
    </row>
    <row r="18" spans="1:48" ht="17.25" customHeight="1" thickTop="1" thickBot="1">
      <c r="B18" s="45">
        <v>10</v>
      </c>
      <c r="C18" s="45" t="s">
        <v>190</v>
      </c>
      <c r="D18" s="889">
        <f>'شرح الحالة'!C17</f>
        <v>10</v>
      </c>
      <c r="E18" s="910" t="str">
        <f>IF(الأبناء__ذكور+F10+F11+F12+F13+F14+F15+F16+F17+AF13+AC23&gt;0," ",C18)</f>
        <v xml:space="preserve">العم الشقيق  </v>
      </c>
      <c r="F18" s="923">
        <f>IF('أدخال  البيانات'!E17="لايوجد",0,'أدخال  البيانات'!E17)</f>
        <v>0</v>
      </c>
      <c r="G18" s="891">
        <f>I18/AK5</f>
        <v>0</v>
      </c>
      <c r="H18" s="892">
        <f>R8*G18/IF(F18=0,1,F18)</f>
        <v>0</v>
      </c>
      <c r="I18" s="893">
        <f>IF(F17+F16+F15+F14&gt;0,0,'شرح الحالة'!X104)</f>
        <v>0</v>
      </c>
      <c r="J18" s="893" t="s">
        <v>147</v>
      </c>
      <c r="K18" s="894">
        <f>'شرح الحالة'!C32</f>
        <v>10</v>
      </c>
      <c r="L18" s="913" t="str">
        <f>IF(F22&gt;=1," الميت أنثى",J18)</f>
        <v>الزوجات</v>
      </c>
      <c r="M18" s="923">
        <f xml:space="preserve"> IF('أدخال  البيانات'!C9="لايوجد",0,'أدخال  البيانات'!C9)</f>
        <v>0</v>
      </c>
      <c r="N18" s="891">
        <f>P18/AK5</f>
        <v>0</v>
      </c>
      <c r="O18" s="892">
        <f>R8*N18/IF(M18=0,1,M18)</f>
        <v>0</v>
      </c>
      <c r="P18" s="895">
        <f>'شرح الحالة'!$X$47</f>
        <v>0</v>
      </c>
      <c r="Q18" s="879"/>
      <c r="R18" s="874"/>
      <c r="S18" s="874"/>
      <c r="T18" s="874"/>
      <c r="U18" s="874"/>
      <c r="V18" s="874"/>
      <c r="X18" s="45" t="b">
        <f>AND(V17=1)</f>
        <v>0</v>
      </c>
      <c r="Y18" s="49" t="s">
        <v>142</v>
      </c>
      <c r="Z18" s="49"/>
      <c r="AA18" s="45">
        <f>IF(X18=TRUE,1,0)</f>
        <v>0</v>
      </c>
      <c r="AB18" s="290" t="str">
        <f>IF(K26=TRUE,"فى مسألة الكدرية عندما يقاسم الجد الأخت تلاحظ أن الجد فى المقاسمة لاينزل عن السدس فلايبقى للشقيقة شىء ولأن الشقيقة لاتحرم ولاتحجب بحال فأن المقاسمة لاتجوز مع أنها الأحظ للجد",L26)</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AF18" s="45" t="str">
        <f>IF(V43=TRUE,L50,Y16)</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AH18" s="45" t="b">
        <f>AND( M9+الأبناء__ذكور+F10+F11+M10=0,M11&gt;0,N15+N14+N13+N12+G15+G14=0,N11&gt;1/6)</f>
        <v>0</v>
      </c>
      <c r="AR18" s="45">
        <f>(IF(AV15=AV18,1,0))*AV8</f>
        <v>1</v>
      </c>
      <c r="AT18" s="45" t="str">
        <f>IF(AP14+AP16+AP15=4*AR16*AR14,"تتساوى ثلث المال مع السدس",AT17)</f>
        <v/>
      </c>
      <c r="AV18" s="47">
        <f>MAX(AV14:AV16)</f>
        <v>1</v>
      </c>
    </row>
    <row r="19" spans="1:48" ht="17.25" customHeight="1" thickTop="1" thickBot="1">
      <c r="B19" s="45">
        <v>11</v>
      </c>
      <c r="C19" s="45" t="s">
        <v>191</v>
      </c>
      <c r="D19" s="889">
        <f>'شرح الحالة'!C18</f>
        <v>11</v>
      </c>
      <c r="E19" s="910" t="str">
        <f>IF(الأبناء__ذكور+F10+F11+F12+F13+F14+F15+F16+F17+F18+AF13+AC23&gt;0," ",C19)</f>
        <v xml:space="preserve">العم لأب </v>
      </c>
      <c r="F19" s="922">
        <f>IF('أدخال  البيانات'!E18="لايوجد",0,'أدخال  البيانات'!E18)</f>
        <v>0</v>
      </c>
      <c r="G19" s="891">
        <f>I19/AK5</f>
        <v>0</v>
      </c>
      <c r="H19" s="892">
        <f>R8*G19/IF(F19=0,1,F19)</f>
        <v>0</v>
      </c>
      <c r="I19" s="893">
        <f>IF(F18+F17+F16+F15+F14+F18&gt;0,0,'شرح الحالة'!X108)</f>
        <v>0</v>
      </c>
      <c r="J19" s="893" t="b">
        <f>OR((F12*M11)+M11+J21=0,F12+M11+J21&lt;1,F11+F10+الأبناء__ذكور&gt;0,F12+M11*F12=1,(M9+M10)*F12&gt;0, M11+F12+الأبناء__ذكور+F10+F12*M11+J21 =0)</f>
        <v>0</v>
      </c>
      <c r="K19" s="894">
        <v>11</v>
      </c>
      <c r="L19" s="895"/>
      <c r="M19" s="922"/>
      <c r="N19" s="891"/>
      <c r="O19" s="914"/>
      <c r="P19" s="895"/>
      <c r="Q19" s="879"/>
      <c r="R19" s="1175" t="str">
        <f>AH22</f>
        <v>على مذهب جمهور اهل العلم والمذاهب الأربعة ما لم ترد ملاحظات بالخصوص</v>
      </c>
      <c r="S19" s="1176"/>
      <c r="T19" s="1176"/>
      <c r="U19" s="1176"/>
      <c r="V19" s="1177"/>
      <c r="X19" s="45" t="b">
        <f>AND(V17&lt;1)</f>
        <v>1</v>
      </c>
      <c r="Y19" s="142" t="s">
        <v>532</v>
      </c>
      <c r="Z19" s="49"/>
      <c r="AA19" s="45">
        <f>IF(X19=TRUE,1,0)</f>
        <v>1</v>
      </c>
      <c r="AB19" s="45" t="b">
        <f>AND(N12&gt;0,G14=0,M13&gt;0,F15&gt;0,N13=0,G15=0,F13=0,M12=1,AC20=FALSE)</f>
        <v>0</v>
      </c>
      <c r="AC19" s="45" t="b">
        <f>OR(M9&gt;0,M10&gt;0)</f>
        <v>0</v>
      </c>
      <c r="AD19" s="45">
        <f>IF(AF19=TRUE,AE19,0)</f>
        <v>0</v>
      </c>
      <c r="AE19" s="45">
        <f>2/3</f>
        <v>0.66666666666666663</v>
      </c>
      <c r="AF19" s="45" t="b">
        <f>OR('شرح الحالة'!O57=TRUE,'شرح الحالة'!O65=TRUE)</f>
        <v>0</v>
      </c>
      <c r="AR19" s="45">
        <f xml:space="preserve"> IF(AV18=AV16,1,0) *AV8</f>
        <v>0</v>
      </c>
      <c r="AT19" s="45" t="str">
        <f>IF(AP14+AP15+AP16=6*AR16*AR15*AR14,"يتساوى السدس مع المقاسمة مع ثلث المال",AT18)</f>
        <v/>
      </c>
    </row>
    <row r="20" spans="1:48" ht="17.25" customHeight="1" thickTop="1" thickBot="1">
      <c r="B20" s="45">
        <v>12</v>
      </c>
      <c r="C20" s="45" t="s">
        <v>195</v>
      </c>
      <c r="D20" s="889">
        <f>'شرح الحالة'!C19</f>
        <v>12</v>
      </c>
      <c r="E20" s="910" t="str">
        <f>IF(الأبناء__ذكور+F10+F11+F12+F13+F14+F15+F16+F17+F18+F19+AF13+AC23&gt;0," ",C20)</f>
        <v xml:space="preserve"> أبن العم الشقيق </v>
      </c>
      <c r="F20" s="923">
        <f>IF('أدخال  البيانات'!E19="لايوجد",0,'أدخال  البيانات'!E19)</f>
        <v>0</v>
      </c>
      <c r="G20" s="891">
        <f>I20/AK5</f>
        <v>0</v>
      </c>
      <c r="H20" s="892">
        <f>R8*G20/IF(F20=0,1,F20)</f>
        <v>0</v>
      </c>
      <c r="I20" s="915">
        <f>IF(F19+F18+F17+F16+F15+F14&gt;0,0,'شرح الحالة'!X112)</f>
        <v>0</v>
      </c>
      <c r="J20" s="916" t="b">
        <f>OR((F12*M11)+M11=0,F12+M11&lt;1,F11+F10+الأبناء__ذكور&gt;0,F12+M11*F12=1,(M9+M10)*F12&gt;0, M11+F12+الأبناء__ذكور+F10+F12*M11 =0,F12=0)</f>
        <v>1</v>
      </c>
      <c r="K20" s="879"/>
      <c r="L20" s="879"/>
      <c r="M20" s="917" t="s">
        <v>114</v>
      </c>
      <c r="N20" s="917" t="s">
        <v>114</v>
      </c>
      <c r="O20" s="917"/>
      <c r="P20" s="879"/>
      <c r="Q20" s="879"/>
      <c r="R20" s="1178"/>
      <c r="S20" s="1179"/>
      <c r="T20" s="1179"/>
      <c r="U20" s="1179"/>
      <c r="V20" s="1180"/>
      <c r="X20" s="36" t="b">
        <f>AND(F12&gt;0,M11&gt;0,M9+M10+الأبناء__ذكور+F10+F11=0)</f>
        <v>0</v>
      </c>
      <c r="Y20" s="34" t="str">
        <f>IF((F14+F15+M12+M13+F12) =0,"للجد باقى المال تعصيبا",AC24)</f>
        <v>للجد باقى المال تعصيبا</v>
      </c>
      <c r="AA20" s="34" t="b">
        <f>AND(F13&gt;0, الأبناء__ذكور+F10+F11+F12=0)</f>
        <v>0</v>
      </c>
      <c r="AC20" s="45" t="b">
        <f>AND(AC19=TRUE,M12&gt;0)</f>
        <v>0</v>
      </c>
      <c r="AD20" s="45">
        <f>IF(AF20=TRUE,AE20,0)</f>
        <v>0</v>
      </c>
      <c r="AE20" s="45">
        <f>1/2</f>
        <v>0.5</v>
      </c>
      <c r="AF20" s="45" t="b">
        <f>OR('شرح الحالة'!O56=TRUE,'شرح الحالة'!O64=TRUE)</f>
        <v>0</v>
      </c>
      <c r="AH20" s="45" t="str">
        <f>IF(Y101=TRUE,"حــالة الأخ المبارك",Y100)</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AT20" s="867" t="str">
        <f>IF(X19=TRUE,  "الفرع الوارث الأبناء والبنات وأن سفلو والأصل الوارث الأب والجد وأن علو",AT16)</f>
        <v>الفرع الوارث الأبناء والبنات وأن سفلو والأصل الوارث الأب والجد وأن علو</v>
      </c>
    </row>
    <row r="21" spans="1:48" ht="17.25" customHeight="1" thickTop="1" thickBot="1">
      <c r="B21" s="45">
        <v>13</v>
      </c>
      <c r="C21" s="45" t="s">
        <v>192</v>
      </c>
      <c r="D21" s="889">
        <f>'شرح الحالة'!C20</f>
        <v>13</v>
      </c>
      <c r="E21" s="910" t="str">
        <f>IF(الأبناء__ذكور+F10+F11+F12+F13+F14+F15+F16+F17+F18+F19+F20+AF13+AC23&gt;0," ",C21)</f>
        <v xml:space="preserve"> أبن العم لأب  </v>
      </c>
      <c r="F21" s="922">
        <f>IF('أدخال  البيانات'!E20="لايوجد",0,'أدخال  البيانات'!E20)</f>
        <v>0</v>
      </c>
      <c r="G21" s="891">
        <f>I21/AK5</f>
        <v>0</v>
      </c>
      <c r="H21" s="892">
        <f>R8*G21/IF(F21=0,1,F21)</f>
        <v>0</v>
      </c>
      <c r="I21" s="915">
        <f>IF(F20+F19+F18+F17+F16+F15+F14&gt;0,0,'شرح الحالة'!X116)*IF(F21&gt;=1,1,0)</f>
        <v>0</v>
      </c>
      <c r="J21" s="916">
        <f>IF(F12+M11=0,1,0)</f>
        <v>1</v>
      </c>
      <c r="K21" s="879"/>
      <c r="L21" s="1181" t="str">
        <f>IF(AA20=TRUE,Y20,AT21)</f>
        <v>الفرع الوارث الأبناء والبنات وأن سفلو والأصل الوارث الأب والجد وأن علو</v>
      </c>
      <c r="M21" s="1182"/>
      <c r="N21" s="1183"/>
      <c r="O21" s="1165" t="str">
        <f>IF(E6="ترد على",'أقرأ (2)'!C543,AD6)</f>
        <v>ـــ عند مالك والشافعي ذوو الفروض يأخذون فروضهم والباقي لبيت المال المنتظم، وإذا لم يوجد بيت مال منتظم فترد على ذوي الفروض.</v>
      </c>
      <c r="P21" s="1166"/>
      <c r="Q21" s="1166"/>
      <c r="R21" s="1166"/>
      <c r="S21" s="1166"/>
      <c r="T21" s="1166"/>
      <c r="U21" s="1166"/>
      <c r="V21" s="1167"/>
      <c r="X21" s="45" t="b">
        <f>OR(L50="",L51="",L52="")</f>
        <v>0</v>
      </c>
      <c r="Y21" s="45" t="str">
        <f>IF(M9+M10+F13=0,Y11,E26)</f>
        <v xml:space="preserve">  تأكد من  حــــــالة السدس فى الخلية الحمراء</v>
      </c>
      <c r="Z21" s="45" t="str">
        <f>IF(X10=FALSE," تأكد من حالة السدس فى المربع الأخضر",X11)</f>
        <v xml:space="preserve">   ضع 1 فى خانة السدس</v>
      </c>
      <c r="AC21" s="34" t="b">
        <f>AND(AC19=TRUE,M13&gt;0)</f>
        <v>0</v>
      </c>
      <c r="AD21" s="45">
        <f>IF(AF21=TRUE,AE21,0)</f>
        <v>0</v>
      </c>
      <c r="AE21" s="45">
        <f>1/6</f>
        <v>0.16666666666666666</v>
      </c>
      <c r="AF21" s="45" t="b">
        <f>OR('شرح الحالة'!O70=TRUE)</f>
        <v>0</v>
      </c>
      <c r="AT21" s="45" t="str">
        <f>IF(AP16+AP15+AP14=5*AR16*AR15,"يتساوى ثلث المال مع المقاسمة",AT20)</f>
        <v>الفرع الوارث الأبناء والبنات وأن سفلو والأصل الوارث الأب والجد وأن علو</v>
      </c>
    </row>
    <row r="22" spans="1:48" ht="17.25" customHeight="1" thickTop="1" thickBot="1">
      <c r="B22" s="45">
        <v>14</v>
      </c>
      <c r="C22" s="45" t="s">
        <v>146</v>
      </c>
      <c r="D22" s="889">
        <f>'شرح الحالة'!C21</f>
        <v>14</v>
      </c>
      <c r="E22" s="913" t="str">
        <f xml:space="preserve"> IF(M18&gt;=1," الميت ذكــــــر",C22)</f>
        <v>الزوج</v>
      </c>
      <c r="F22" s="923">
        <f>IF('أدخال  البيانات'!C8="لايوجد",0,'أدخال  البيانات'!C8)</f>
        <v>0</v>
      </c>
      <c r="G22" s="891">
        <f>I22/AK5</f>
        <v>0</v>
      </c>
      <c r="H22" s="892">
        <f>R8*G22/IF(F22=0,1,F22)</f>
        <v>0</v>
      </c>
      <c r="I22" s="915">
        <f>'شرح الحالة'!$X$43</f>
        <v>0</v>
      </c>
      <c r="J22" s="916" t="b">
        <f>OR((F12*M11)+M11+J21=0,F12+M11+J21&lt;1,F11+F10+الأبناء__ذكور&gt;0,F12+M11*F12=1,(M9+M10)*F12&gt;0, M11+F12+الأبناء__ذكور+F10+F12*M11+J21 =0)</f>
        <v>0</v>
      </c>
      <c r="K22" s="879"/>
      <c r="L22" s="1184"/>
      <c r="M22" s="1185"/>
      <c r="N22" s="1186"/>
      <c r="O22" s="1165"/>
      <c r="P22" s="1166"/>
      <c r="Q22" s="1166"/>
      <c r="R22" s="1166"/>
      <c r="S22" s="1166"/>
      <c r="T22" s="1166"/>
      <c r="U22" s="1166"/>
      <c r="V22" s="1167"/>
      <c r="X22" s="45" t="str">
        <f>IF(AS9+AS10+AS11=0,"ضع واحد فى خانة السدس الخلية الحمراء ",Z7)</f>
        <v>الفرائض بالجداول الألكترونـيـــة</v>
      </c>
      <c r="Y22" s="45" t="b">
        <f>AND( M12*M13=0,N11+N12+N13+G13+G22=1,M11+M12+F13+F22+M13=4,F13=1,M13+M12=1,1=1,M14+M15+F15+F14=0)</f>
        <v>0</v>
      </c>
      <c r="AB22" s="45" t="b">
        <f>AND(L21="      ",M13+M12+F15+F14=0)</f>
        <v>0</v>
      </c>
      <c r="AC22" s="45" t="b">
        <f>OR(AC21=TRUE,AC20=TRUE)</f>
        <v>0</v>
      </c>
      <c r="AD22">
        <f>IF('شرح الحالة'!O129=TRUE,1/6,0)</f>
        <v>0</v>
      </c>
      <c r="AE22" s="45" t="s">
        <v>114</v>
      </c>
      <c r="AF22" s="45">
        <v>0</v>
      </c>
      <c r="AH22" s="45" t="str">
        <f>IF(M60=TRUE,"الفريضة على المذهب الحنفى والمذهب الحنبلى",AH24)</f>
        <v>على مذهب جمهور اهل العلم والمذاهب الأربعة ما لم ترد ملاحظات بالخصوص</v>
      </c>
      <c r="AT22" s="45" t="s">
        <v>114</v>
      </c>
    </row>
    <row r="23" spans="1:48" ht="17.25" customHeight="1" thickTop="1" thickBot="1">
      <c r="A23" s="45" t="s">
        <v>114</v>
      </c>
      <c r="B23" s="45">
        <v>15</v>
      </c>
      <c r="C23" s="45" t="s">
        <v>570</v>
      </c>
      <c r="D23" s="918">
        <f>'شرح الحالة'!C22</f>
        <v>15</v>
      </c>
      <c r="E23" s="919" t="str">
        <f>IF(الأبناء__ذكور+F10+F11+F12+F13+F14+F15+F16+F17+F18+F19+F20+F21+AC23&gt;0,"",C23)</f>
        <v>بيت مال المسلمين</v>
      </c>
      <c r="F23" s="923">
        <f>IF('أدخال  البيانات'!C19="لايوجد",0,'أدخال  البيانات'!C19)</f>
        <v>0</v>
      </c>
      <c r="G23" s="920">
        <f>I23/AK5*IF(F23&gt;=1,1,0)</f>
        <v>0</v>
      </c>
      <c r="H23" s="892">
        <f>R8*G23/IF(F23=0,1,F23)*IF(F23&gt;=1,1,0)</f>
        <v>0</v>
      </c>
      <c r="I23" s="915">
        <f>IF(F20+F19+F18+F17+F16+F15+F14+F21&gt;0,0,'شرح الحالة'!X116)</f>
        <v>0</v>
      </c>
      <c r="J23" s="916"/>
      <c r="K23" s="879" t="s">
        <v>114</v>
      </c>
      <c r="L23" s="1192" t="str">
        <f>IF(Y22=TRUE,"  عند أبى حنيفة وأحمد لا ترث الأخت فى الأكدرية أما المالكية والشافعية يرون عكس ذلك       ",AM6)</f>
        <v>فريضة ناقصة:الفريضة أقل من عدد الحصص فترد باقى الحصص على سهام الفريضة بأستتناء الزوج و الزوجة فلا يرد عليهم</v>
      </c>
      <c r="M23" s="1193"/>
      <c r="N23" s="1194"/>
      <c r="O23" s="1165"/>
      <c r="P23" s="1166"/>
      <c r="Q23" s="1166"/>
      <c r="R23" s="1166"/>
      <c r="S23" s="1166"/>
      <c r="T23" s="1166"/>
      <c r="U23" s="1166"/>
      <c r="V23" s="1167"/>
      <c r="X23" s="36" t="str">
        <f>AT22</f>
        <v xml:space="preserve"> </v>
      </c>
      <c r="Y23" s="45" t="str">
        <f>IF(Sheet5!K30&gt;Sheet5!I30,"العول : فريضة مستغرقة  عدد الحصص الأساسية لاتستوفى الفريضة فيزاد فى عدد الحصص  "," فريضة تــــــامة ")</f>
        <v xml:space="preserve"> فريضة تــــــامة </v>
      </c>
      <c r="AA23" s="289">
        <f ca="1">TODAY()</f>
        <v>41731</v>
      </c>
      <c r="AC23" s="45">
        <f>IF(AC22=TRUE,1,0)</f>
        <v>0</v>
      </c>
      <c r="AD23" s="45">
        <f>SUM(AD19:AD22)</f>
        <v>0</v>
      </c>
    </row>
    <row r="24" spans="1:48" ht="101.25" customHeight="1" thickTop="1" thickBot="1">
      <c r="D24" s="408"/>
      <c r="E24" s="1189" t="str">
        <f>IF(L79=TRUE,'شرح الحالة'!M312,G29)</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F24" s="1190"/>
      <c r="G24" s="1190"/>
      <c r="H24" s="1190"/>
      <c r="I24" s="1191"/>
      <c r="J24" s="921"/>
      <c r="K24" s="879"/>
      <c r="L24" s="1195"/>
      <c r="M24" s="1196"/>
      <c r="N24" s="1197"/>
      <c r="O24" s="1168"/>
      <c r="P24" s="1169"/>
      <c r="Q24" s="1169"/>
      <c r="R24" s="1169"/>
      <c r="S24" s="1169"/>
      <c r="T24" s="1169"/>
      <c r="U24" s="1169"/>
      <c r="V24" s="1170"/>
      <c r="X24" s="45" t="str">
        <f>IF(L21="هذه الحالة هى الأفضل للجد","موفق أنشاء الله",AA24)</f>
        <v xml:space="preserve">   ضع 1 فى خانة السدس</v>
      </c>
      <c r="Y24" s="45" t="str">
        <f>IF(E6=" تعول على ","   ",Y27)</f>
        <v xml:space="preserve">  تأكد من  حــــــالة السدس فى الخلية الحمراء</v>
      </c>
      <c r="AA24" s="45" t="str">
        <f xml:space="preserve"> IF(Q5=1,Z35,L49)</f>
        <v xml:space="preserve">   ضع 1 فى خانة السدس</v>
      </c>
      <c r="AC24" s="34" t="str">
        <f>IF(G13 =1/6,"فرض سدس المال  للجد ولو أدى الى العول",AC7)</f>
        <v xml:space="preserve"> . قال صلى الله عليه وسلم [أَلْحِقُوا الْفَرَائِضَ بِأَهْلِهَا فَمَا بَقِي  فَلِأَوْلَى رَجُلٍ ذَكَرٍ] متفق عليه  </v>
      </c>
      <c r="AD24" s="45" t="str">
        <f>IF(AE24=TRUE,"عند الأحناف الجد يحجب الأخوة  ",AL3)</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AE24" s="45" t="b">
        <f>AND(F12=0,F13=1)</f>
        <v>0</v>
      </c>
      <c r="AH24" s="45" t="str">
        <f>IF(X13=TRUE,"هذه الفريضة على مذهب زيـــــد وأخد بها جمهور العلماء وباقى المذاهب والمتأخرين للمذهب المالكى من الشواذ عند الأمام مالك  ","على مذهب جمهور اهل العلم والمذاهب الأربعة ما لم ترد ملاحظات بالخصوص")</f>
        <v>على مذهب جمهور اهل العلم والمذاهب الأربعة ما لم ترد ملاحظات بالخصوص</v>
      </c>
    </row>
    <row r="25" spans="1:48" ht="28.5" customHeight="1">
      <c r="D25" s="50"/>
      <c r="E25" s="51"/>
      <c r="F25" s="50"/>
      <c r="G25" s="51" t="s">
        <v>114</v>
      </c>
      <c r="H25" s="51"/>
      <c r="I25" s="47" t="s">
        <v>114</v>
      </c>
      <c r="J25" s="47"/>
      <c r="L25" s="45" t="s">
        <v>114</v>
      </c>
      <c r="R25" s="52" t="s">
        <v>114</v>
      </c>
      <c r="Y25" s="45" t="b">
        <f>AND(Y5=TRUE,L21="هذه الحالة هى الأفضل للجد",E27=TRUE)</f>
        <v>0</v>
      </c>
      <c r="Z25" s="34" t="str">
        <f>IF(X22="الكدرية",X22,AA10)</f>
        <v xml:space="preserve"> خطأ يرجى مراجعة القسمةوتصحيح الحالات</v>
      </c>
    </row>
    <row r="26" spans="1:48" ht="21.75" hidden="1" customHeight="1">
      <c r="D26" s="86"/>
      <c r="E26" s="86" t="str">
        <f>IF(Y22=TRUE,"الكـــدرية",Y11)</f>
        <v xml:space="preserve">  تأكد من  حــــــالة السدس فى الخلية الحمراء</v>
      </c>
      <c r="F26" s="86"/>
      <c r="G26" s="86" t="b">
        <f>AND(H26=TRUE,H27=TRUE,G12&gt;1/6)</f>
        <v>0</v>
      </c>
      <c r="H26" s="86" t="b">
        <f>'شرح الحالة'!O30</f>
        <v>0</v>
      </c>
      <c r="I26" s="87" t="str">
        <f>IF(AF16=TRUE,"  قال تعالى : إِنْ امْرُؤٌ هَلَكَ لَيْسَ لَهُ وَلَدٌ وَلَهُ أُخْتٌ فَلَهَا نِصْفُ مَا تَرَكَ وهو يرثها أن لم يكن لها ولد فأن كانتا أثنتين فلهما الثلثان مما ترك  ",AF18)</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J26" s="87"/>
      <c r="K26" s="86" t="b">
        <f>AND(G13=1/6,G22=1/2,N11=1/3,M11=1,F13=1,F22=1,M12=1,N12=0)</f>
        <v>0</v>
      </c>
      <c r="L26" s="158" t="str">
        <f>IF(M63=TRUE,R61,I26)</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M26" s="86"/>
      <c r="N26" s="86" t="s">
        <v>114</v>
      </c>
      <c r="P26" s="86" t="s">
        <v>114</v>
      </c>
      <c r="Q26" s="86" t="s">
        <v>114</v>
      </c>
      <c r="R26" s="86" t="b">
        <f>AND(N11+N16+N17=1/10,R31=TRUE,M14+M15&gt;1,N14+N15=1/5,M12+M13&gt;=2,G22=3/10)</f>
        <v>0</v>
      </c>
      <c r="S26" s="86" t="s">
        <v>114</v>
      </c>
      <c r="T26" s="86"/>
      <c r="U26" s="86"/>
      <c r="V26" s="86" t="b">
        <f>AND(F14&gt;0,M15+M14&gt;1)</f>
        <v>0</v>
      </c>
      <c r="Y26" s="45" t="str">
        <f>IF(F13=0,"        ",V40)</f>
        <v xml:space="preserve">        </v>
      </c>
    </row>
    <row r="27" spans="1:48" ht="16.5" hidden="1" customHeight="1">
      <c r="D27" s="86"/>
      <c r="E27" s="86" t="b">
        <f>NOT(E26="الكدرية")</f>
        <v>1</v>
      </c>
      <c r="F27" s="86"/>
      <c r="G27" s="86" t="b">
        <f>AND('شرح الحالة'!O123=TRUE,'شرح الحالة'!O124=TRUE,E6="صحيحة")</f>
        <v>0</v>
      </c>
      <c r="H27" s="86" t="b">
        <f>AND(الأبناء__ذكور+F10+F11=0)</f>
        <v>1</v>
      </c>
      <c r="I27" s="86" t="s">
        <v>114</v>
      </c>
      <c r="J27" s="86"/>
      <c r="K27" s="86"/>
      <c r="L27" s="86"/>
      <c r="M27" s="86"/>
      <c r="N27" s="86"/>
      <c r="O27" s="86"/>
      <c r="P27" s="86"/>
      <c r="Q27" s="86"/>
      <c r="S27" s="86" t="s">
        <v>114</v>
      </c>
      <c r="T27" s="86"/>
      <c r="U27" s="86"/>
      <c r="V27" s="87">
        <f>1-V28</f>
        <v>1</v>
      </c>
      <c r="Y27" s="45" t="str">
        <f>IF(Y25=TRUE,"    موفق أنشاء الله  ",E26)</f>
        <v xml:space="preserve">  تأكد من  حــــــالة السدس فى الخلية الحمراء</v>
      </c>
    </row>
    <row r="28" spans="1:48" ht="16.5" hidden="1" customHeight="1">
      <c r="D28" s="86"/>
      <c r="E28" s="96" t="str">
        <f>IF(AB19=TRUE,"حالة الأخ المشئوم",AB18)</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F28" s="86"/>
      <c r="G28" s="86" t="b">
        <f>OR(G26=TRUE,G27=TRUE)</f>
        <v>0</v>
      </c>
      <c r="H28" s="86"/>
      <c r="I28" s="86"/>
      <c r="J28" s="86"/>
      <c r="K28" s="86"/>
      <c r="L28" s="86">
        <f>IF(M9+F9+M10+F10+F11+F12=0,1,0)</f>
        <v>1</v>
      </c>
      <c r="M28" s="86" t="b">
        <f>AND(F9+F10+F12+M9+M10+F11+F14+F15=0,M13+M12&gt;0,M11&gt;0,F22&gt;=1)</f>
        <v>0</v>
      </c>
      <c r="N28" s="86"/>
      <c r="O28" s="86"/>
      <c r="P28" s="86"/>
      <c r="Q28" s="86"/>
      <c r="R28" s="86"/>
      <c r="S28" s="87">
        <f>MAX(P32:P34)</f>
        <v>1</v>
      </c>
      <c r="T28" s="86"/>
      <c r="U28" s="86"/>
      <c r="V28" s="87">
        <f>SUM(N9:N19)+SUM(G9,G10,G12,G14,G15,N15,G16,G17,G18,G19,G20,G21,G22,G23)</f>
        <v>0</v>
      </c>
      <c r="Y28" s="45" t="str">
        <f>IF(Y5=TRUE,"القسمة صحيحة"," خطأ يرجى مراجعة القسمةوتصحيح الحالات")</f>
        <v xml:space="preserve"> خطأ يرجى مراجعة القسمةوتصحيح الحالات</v>
      </c>
    </row>
    <row r="29" spans="1:48" ht="16.5" hidden="1" customHeight="1">
      <c r="D29" s="86"/>
      <c r="E29" s="86" t="str">
        <f>IF(O18+O12+H14+R8=678,'شرح الحالة'!M236,E28)</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F29" s="87">
        <f>G13</f>
        <v>0</v>
      </c>
      <c r="G29" s="96" t="str">
        <f>IF(L76=TRUE, 'شرح الحالة'!M300,E30)</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H29" s="86"/>
      <c r="I29" s="86"/>
      <c r="J29" s="86"/>
      <c r="K29" s="86"/>
      <c r="L29" s="86" t="str">
        <f>IF(E6="ترد على",Y19,Y23)</f>
        <v>فريضة ناقصة:الفريضة أقل من عدد الحصص فترد باقى الحصص على سهام الفريضة بأستتناء الزوج و الزوجة فلا يرد عليهم</v>
      </c>
      <c r="M29" s="86"/>
      <c r="N29" s="86"/>
      <c r="O29" s="86"/>
      <c r="P29" s="88" t="str">
        <f>N40</f>
        <v>المقاسمة</v>
      </c>
      <c r="Q29" s="86"/>
      <c r="R29" s="86"/>
      <c r="S29" s="87">
        <f>IF(E6="تعول على",1/6,S28)</f>
        <v>1</v>
      </c>
      <c r="T29" s="86"/>
      <c r="U29" s="86"/>
      <c r="V29" s="87">
        <f>IF(F13=1,M12+M13+(2*F13)+(2*F14)+(2*F15),1)</f>
        <v>1</v>
      </c>
    </row>
    <row r="30" spans="1:48" ht="50.25" hidden="1" customHeight="1">
      <c r="D30" s="86"/>
      <c r="E30" s="86" t="str">
        <f>IF(L74=TRUE,'شرح الحالة'!M277,E29)</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F30" s="86"/>
      <c r="G30" s="86"/>
      <c r="H30" s="86" t="s">
        <v>114</v>
      </c>
      <c r="I30" s="86"/>
      <c r="J30" s="86"/>
      <c r="K30" s="86"/>
      <c r="L30" s="86"/>
      <c r="N30" s="86"/>
      <c r="O30" s="86"/>
      <c r="P30" s="86" t="str">
        <f>IF(F13-F12&gt;0,P29,"      ")</f>
        <v xml:space="preserve">      </v>
      </c>
      <c r="Q30" s="86"/>
      <c r="R30" s="86"/>
      <c r="S30" s="87" t="s">
        <v>114</v>
      </c>
      <c r="T30" s="86"/>
      <c r="U30" s="86"/>
      <c r="V30" s="86">
        <f>IF(F13=0,1,F13*2)</f>
        <v>1</v>
      </c>
      <c r="Z30" s="45" t="str">
        <f>IF(F12+F9+F10+F11=0, Y26,"سحر الفرائض بالأكسل  ")</f>
        <v xml:space="preserve">        </v>
      </c>
    </row>
    <row r="31" spans="1:48" ht="50.25" hidden="1" customHeight="1">
      <c r="D31" s="86"/>
      <c r="E31" s="86" t="str">
        <f>IF(E32=TRUE,"أول برنامج تعليمى للمواريث بالحسابات الألكترونية يتضمن توضيح الحالات الشاذة والمشهورة والمسائل المعادة للجد مع الأخوة موضحا الأختيارات الفضلى للجد   يتصف البرنامج بالأنتقال من مسألة الى أخرى دون الحاجة الى أعادة أو ترتيب فى البيانات كما يمكن عرضه بيانيا ",E33)</f>
        <v xml:space="preserve">أول برنامج تعليمى للمواريث بالحسابات الألكترونية يتضمن توضيح الحالات الشاذة والمشهورة والمسائل المعادة للجد مع الأخوة موضحا الأختيارات الفضلى للجد   يتصف البرنامج بالأنتقال من مسألة الى أخرى دون الحاجة الى أعادة أو ترتيب فى البيانات كما يمكن عرضه بيانيا </v>
      </c>
      <c r="F31" s="89">
        <f>F29-S28</f>
        <v>-1</v>
      </c>
      <c r="G31" s="86"/>
      <c r="H31" s="86"/>
      <c r="I31" s="86"/>
      <c r="J31" s="86"/>
      <c r="K31" s="86"/>
      <c r="L31" s="86"/>
      <c r="N31" s="86"/>
      <c r="O31" s="86"/>
      <c r="P31" s="86" t="s">
        <v>114</v>
      </c>
      <c r="Q31" s="86"/>
      <c r="R31" s="87" t="b">
        <f>OR(N12=2/5,N12=3/10,N13=2/5)</f>
        <v>0</v>
      </c>
      <c r="S31" s="86"/>
      <c r="T31" s="86"/>
      <c r="U31" s="86"/>
      <c r="V31" s="86" t="b">
        <f>AND(N12+N13=8/17,N14=4/17,N16=1/17,N17=1/17,N18=3/17)</f>
        <v>0</v>
      </c>
      <c r="Z31" s="45" t="b">
        <f>AND(Z32=TRUE,AS10+AS11&gt;0)</f>
        <v>0</v>
      </c>
      <c r="AA31" s="45" t="b">
        <f>AND(F13=0)</f>
        <v>1</v>
      </c>
      <c r="AB31" s="34" t="b">
        <f>OR(Z31,AA31)</f>
        <v>1</v>
      </c>
    </row>
    <row r="32" spans="1:48" ht="50.25" hidden="1" customHeight="1">
      <c r="D32" s="86"/>
      <c r="E32" s="86" t="b">
        <f>ISERROR(E33)</f>
        <v>1</v>
      </c>
      <c r="F32" s="86"/>
      <c r="G32" s="86"/>
      <c r="H32" s="86"/>
      <c r="I32" s="87">
        <f>V30/(V29)</f>
        <v>1</v>
      </c>
      <c r="J32" s="87"/>
      <c r="K32" s="86"/>
      <c r="L32" s="86">
        <f>'شرح الحالة'!T56+'شرح الحالة'!T64</f>
        <v>0</v>
      </c>
      <c r="M32" s="87">
        <f>(1-(N9+N10+N11+N14+N16+N17+N18+N15+G22))*(V30/(V29))</f>
        <v>1</v>
      </c>
      <c r="N32" s="86"/>
      <c r="O32" s="86"/>
      <c r="P32" s="145">
        <f>IF(M36&lt;1/6,1/6,M36)</f>
        <v>1</v>
      </c>
      <c r="Q32" s="86" t="str">
        <f>IF(G13&lt;=P32,"المقاسمة","هذه الحالة ليست الأفضل للجد")</f>
        <v>المقاسمة</v>
      </c>
      <c r="R32" s="86"/>
      <c r="S32" s="86" t="s">
        <v>162</v>
      </c>
      <c r="T32" s="86"/>
      <c r="U32" s="86"/>
      <c r="V32" s="86">
        <f>IF(P34=S28,1,0)</f>
        <v>0</v>
      </c>
      <c r="W32" s="53" t="s">
        <v>166</v>
      </c>
      <c r="X32" s="45">
        <v>1</v>
      </c>
      <c r="Y32" s="45">
        <v>1</v>
      </c>
      <c r="Z32" s="53" t="b">
        <f>AND((M12+M13+F14*2+F15*2)&lt;4,M9+M10&gt;0)</f>
        <v>0</v>
      </c>
      <c r="AA32" s="53"/>
      <c r="AB32" s="53"/>
      <c r="AC32" s="53"/>
    </row>
    <row r="33" spans="4:33" ht="50.25" hidden="1" customHeight="1">
      <c r="D33" s="86"/>
      <c r="E33" s="86" t="e">
        <f>IF('طريقة العمل'!P7=FALSE,R6,E34)</f>
        <v>#DIV/0!</v>
      </c>
      <c r="G33" s="86"/>
      <c r="H33" s="86" t="str">
        <f>IF(F38=TRUE,L33,"هذه من المسائل المعادة للجد مع الأخوة")</f>
        <v>هذه من المسائل المعادة للجد مع الأخوة</v>
      </c>
      <c r="I33" s="86"/>
      <c r="J33" s="86"/>
      <c r="K33" s="86"/>
      <c r="L33" s="86" t="e">
        <f>VLOOKUP(M34,G34:H37,2,FALSE)</f>
        <v>#N/A</v>
      </c>
      <c r="M33" s="87">
        <f>MAX(M32)</f>
        <v>1</v>
      </c>
      <c r="N33" s="86"/>
      <c r="O33" s="143">
        <f>P36-P34</f>
        <v>0.83333333333333304</v>
      </c>
      <c r="P33" s="146">
        <f>(((1-Sheet5!K17+AD23)*1/3)*IF(M9+F9+F10+M10+F11&gt;0,0,1))+'شرح الحالة'!E61</f>
        <v>0.33333333333333331</v>
      </c>
      <c r="Q33" s="86" t="str">
        <f>IF(G13&lt;=P33,"ثلث الباقى","هذه الحالة ليست الأفضل للجد")</f>
        <v>ثلث الباقى</v>
      </c>
      <c r="R33" s="86"/>
      <c r="S33" s="86" t="s">
        <v>163</v>
      </c>
      <c r="T33" s="86"/>
      <c r="U33" s="86"/>
      <c r="V33" s="86">
        <f>IF(P32=S28,1,0)</f>
        <v>1</v>
      </c>
      <c r="W33" s="53" t="s">
        <v>167</v>
      </c>
      <c r="Z33" s="53" t="b">
        <f>AND(M9+M10+الأبناء__ذكور*2+F10*2&gt;=2,M12+M13+F15+F14&gt;1)</f>
        <v>0</v>
      </c>
      <c r="AA33" s="53"/>
      <c r="AB33" s="53"/>
      <c r="AC33" s="53"/>
    </row>
    <row r="34" spans="4:33" ht="50.25" hidden="1" customHeight="1">
      <c r="D34" s="86"/>
      <c r="E34" s="86" t="e">
        <f>IF('طريقة العمل'!M6&gt;1,'طريقة العمل'!O8,M95)</f>
        <v>#DIV/0!</v>
      </c>
      <c r="F34" s="86" t="b">
        <f>AND(P34=P33,P33=P34,P34=P32,F14*2+F15*2+M12+M13&lt;=4,F12=0)</f>
        <v>0</v>
      </c>
      <c r="G34" s="45">
        <f>IF(F34=TRUE,1,0)</f>
        <v>0</v>
      </c>
      <c r="H34" s="86" t="s">
        <v>537</v>
      </c>
      <c r="I34" s="86"/>
      <c r="J34" s="86"/>
      <c r="K34" s="86"/>
      <c r="M34" s="45">
        <v>1</v>
      </c>
      <c r="N34" s="86"/>
      <c r="O34" s="144">
        <f>P36-P32</f>
        <v>0</v>
      </c>
      <c r="P34" s="145">
        <f>IF(Sheet5!J11="تعول على",G13,MAX('شرح الحالة'!P124,'شرح الحالة'!P122,'شرح الحالة'!O129))</f>
        <v>0.16666666666666699</v>
      </c>
      <c r="Q34" s="86" t="str">
        <f>IF(G13&lt;=P34,"السدس ولو أدى الى العول","هذه الحالة ليست الأفضل للجد")</f>
        <v>السدس ولو أدى الى العول</v>
      </c>
      <c r="R34" s="86"/>
      <c r="S34" s="86" t="s">
        <v>5</v>
      </c>
      <c r="T34" s="86"/>
      <c r="U34" s="86"/>
      <c r="V34" s="86">
        <f>IF(P33=S28,1,0)</f>
        <v>0</v>
      </c>
      <c r="W34" s="53" t="s">
        <v>168</v>
      </c>
      <c r="Z34" s="53" t="str">
        <f>IF(L21="هذه الحالة هى الأفضل للجد",Y24,E26)</f>
        <v xml:space="preserve">  تأكد من  حــــــالة السدس فى الخلية الحمراء</v>
      </c>
      <c r="AA34" s="53"/>
      <c r="AB34" s="53"/>
      <c r="AC34" s="53"/>
    </row>
    <row r="35" spans="4:33" ht="50.25" hidden="1" customHeight="1">
      <c r="D35" s="86"/>
      <c r="E35" s="86" t="str">
        <f>IF(R26=TRUE,"وتسمى هذه المسألة أم الفروخ، لكثرة عولها شبهوا أصلها بالأم وعولها بفروخها وليس في الفرائض ما يعول بثلثيه سواها وشبهها، وتسمى الشريحية لحدوثها في زمن القاضي شريح ",E39)</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F35" s="86" t="b">
        <f>AND(P32=P34,P33&lt;P34,P33&lt;P32,M12+M13+F14*2+F15*2&gt;=4,M9+M10+الأبناء__ذكور+F10+F11+F12=0=0)</f>
        <v>0</v>
      </c>
      <c r="G35" s="45">
        <f>IF(F35=TRUE,1,0)</f>
        <v>0</v>
      </c>
      <c r="H35" s="86" t="s">
        <v>536</v>
      </c>
      <c r="I35" s="86"/>
      <c r="J35" s="86"/>
      <c r="K35" s="86"/>
      <c r="L35" s="86"/>
      <c r="M35" s="86"/>
      <c r="N35" s="86"/>
      <c r="O35" s="86"/>
      <c r="P35" s="86"/>
      <c r="Q35" s="86"/>
      <c r="R35" s="86"/>
      <c r="S35" s="86"/>
      <c r="T35" s="86"/>
      <c r="U35" s="86"/>
      <c r="V35" s="86"/>
      <c r="Z35" s="45" t="str">
        <f>IF(Z33=TRUE,  Y11,Z34)</f>
        <v xml:space="preserve">  تأكد من  حــــــالة السدس فى الخلية الحمراء</v>
      </c>
    </row>
    <row r="36" spans="4:33" ht="50.25" hidden="1" customHeight="1">
      <c r="D36" s="86"/>
      <c r="E36" s="86" t="str">
        <f>IF(O38=TRUE,"وتسمى الركابية والشاكية، لأنه يقال إن المرأة عندما أعطيت دينارا واحدا أخذت بركاب علي واشتكت إليه، عند إرادة الركوب .           وتسمى بالدينارية: لأن الأخت الشقيقة أعطيت دينارا واحدا من كل التركة التي بلغت ستمائة دينار.  ",E37)</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F36" s="86" t="b">
        <f>AND(P34=P33,P32&lt;P33,P32&lt;P34)</f>
        <v>0</v>
      </c>
      <c r="G36" s="45">
        <f>IF(F36=TRUE,1,0)</f>
        <v>0</v>
      </c>
      <c r="H36" s="86" t="s">
        <v>535</v>
      </c>
      <c r="I36" s="86"/>
      <c r="J36" s="86"/>
      <c r="K36" s="86"/>
      <c r="L36" s="86"/>
      <c r="M36" s="86">
        <f>IF(F13+F9+F10+F11&gt;1,0,M33)</f>
        <v>1</v>
      </c>
      <c r="N36" s="86"/>
      <c r="O36" s="145">
        <f>MAX(P32,P33,P34)</f>
        <v>1</v>
      </c>
      <c r="P36" s="145">
        <f>O36</f>
        <v>1</v>
      </c>
      <c r="Q36" s="86"/>
      <c r="R36" s="86"/>
      <c r="S36" s="86" t="b">
        <f>OR(M12&gt;0,M13&gt;0)</f>
        <v>0</v>
      </c>
      <c r="T36" s="86"/>
      <c r="U36" s="86"/>
      <c r="V36" s="90" t="s">
        <v>114</v>
      </c>
    </row>
    <row r="37" spans="4:33" ht="50.25" hidden="1" customHeight="1">
      <c r="D37" s="86"/>
      <c r="E37" s="86" t="str">
        <f>IF(V31=TRUE," أم الأرامل سميت بأم الأرامل لأن جميع الورثة من الأنــــــات وكذلك تسمى بأم البنات ",E35)</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F37" s="86" t="b">
        <f>AND(P32=P33,P34&lt;P33,P34&lt;P32)</f>
        <v>0</v>
      </c>
      <c r="G37" s="45">
        <f>IF(F37=TRUE,1,0)</f>
        <v>0</v>
      </c>
      <c r="H37" s="86" t="s">
        <v>534</v>
      </c>
      <c r="I37" s="86" t="str">
        <f>IF(H40=TRUE,"  ضع حالة السدس للجد فى الخلية الحمراء",H39)</f>
        <v xml:space="preserve">      </v>
      </c>
      <c r="J37" s="86"/>
      <c r="K37" s="86"/>
      <c r="M37" s="91" t="b">
        <f>AND(F22&gt;0,M18&gt;0)</f>
        <v>0</v>
      </c>
      <c r="N37" s="91"/>
      <c r="O37" s="91"/>
      <c r="P37" s="91"/>
      <c r="Q37" s="91"/>
      <c r="R37" s="91"/>
      <c r="S37" s="86"/>
      <c r="T37" s="86"/>
      <c r="U37" s="86"/>
      <c r="V37" s="86"/>
    </row>
    <row r="38" spans="4:33" ht="50.25" hidden="1" customHeight="1">
      <c r="D38" s="86"/>
      <c r="E38" s="86" t="str">
        <f>IF(M28=TRUE,L51,E40)</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F38" s="86" t="b">
        <f>OR(F34,F35,F36,F37, )</f>
        <v>0</v>
      </c>
      <c r="G38" s="86"/>
      <c r="I38" s="86"/>
      <c r="J38" s="86"/>
      <c r="K38" s="86"/>
      <c r="L38" s="86"/>
      <c r="M38" s="86"/>
      <c r="N38" s="86"/>
      <c r="O38" s="86" t="b">
        <f>AND(((N13+N12)*R8)=1,R8=600)</f>
        <v>0</v>
      </c>
      <c r="P38" s="86"/>
      <c r="Q38" s="86"/>
      <c r="S38" s="86"/>
      <c r="T38" s="86"/>
      <c r="U38" s="86"/>
      <c r="V38" s="86" t="str">
        <f>IF(F9+F10+F12+F11&gt;0,"      ",V40)</f>
        <v>أختر حالة المقاسمة</v>
      </c>
    </row>
    <row r="39" spans="4:33" ht="50.25" hidden="1" customHeight="1">
      <c r="D39" s="86"/>
      <c r="E39" s="86" t="str">
        <f>IF('شرح الحالة'!Z128=TRUE, H33,E38)</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F39" s="86"/>
      <c r="G39" s="86"/>
      <c r="H39" s="86" t="str">
        <f>IF(S28&lt;1/6,E37,P30)</f>
        <v xml:space="preserve">      </v>
      </c>
      <c r="I39" s="86"/>
      <c r="J39" s="86"/>
      <c r="K39" s="86"/>
      <c r="L39" s="86" t="b">
        <f>OR(M12=1,M13=1)</f>
        <v>0</v>
      </c>
      <c r="M39" s="86"/>
      <c r="N39" s="86"/>
      <c r="O39" s="86"/>
      <c r="P39" s="86"/>
      <c r="Q39" s="86"/>
      <c r="R39" s="86" t="b">
        <f>AND(N12=3/5,N13=1/5,N14=2/5,N16=1/10,G22=3/5)</f>
        <v>0</v>
      </c>
      <c r="S39" s="86"/>
      <c r="T39" s="86"/>
      <c r="U39" s="86"/>
      <c r="V39" s="86"/>
    </row>
    <row r="40" spans="4:33" ht="50.25" hidden="1" customHeight="1">
      <c r="D40" s="86"/>
      <c r="E40" s="86" t="str">
        <f>IF(I50=TRUE,'أقرأ (2)'!C151,E41)</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F40" s="86"/>
      <c r="G40" s="86"/>
      <c r="H40" s="86" t="b">
        <f>AND(F13&gt;0,G13&lt;1/6,F12=0,M9+M10&gt;0)</f>
        <v>0</v>
      </c>
      <c r="I40" s="86"/>
      <c r="J40" s="86"/>
      <c r="K40" s="86"/>
      <c r="L40" s="86" t="b">
        <f>OR(F14+M12=1,M13+F15=1)</f>
        <v>0</v>
      </c>
      <c r="M40" s="86"/>
      <c r="N40" s="86" t="str">
        <f>IF(F31&gt;=-0.0001,"هذه الحالة هى الأفضل للجد",P40)</f>
        <v>المقاسمة</v>
      </c>
      <c r="O40" s="86"/>
      <c r="P40" s="86" t="str">
        <f>VLOOKUP(S28,P32:Q34,2,FALSE)</f>
        <v>المقاسمة</v>
      </c>
      <c r="Q40" s="86"/>
      <c r="R40" s="86"/>
      <c r="S40" s="86"/>
      <c r="T40" s="86"/>
      <c r="U40" s="86"/>
      <c r="V40" s="86" t="str">
        <f>VLOOKUP(X32,V32:AD34,2,FALSE)</f>
        <v>أختر حالة المقاسمة</v>
      </c>
    </row>
    <row r="41" spans="4:33" ht="50.25" hidden="1" customHeight="1">
      <c r="D41" s="86"/>
      <c r="E41" s="86" t="str">
        <f>IF(R64=TRUE," أصل مسألة الرد هنا الضعف ، لأن مسألة الرد لا تزيد على الخمسة أبدًا ولكن لوجود جدتين فى فى بعض الفرائض ردت المسألة الى مثليه أثنين الى أربعة وخمسة الى عشرة وهكذا",L51)</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F41" s="86"/>
      <c r="G41" s="86"/>
      <c r="H41" s="86"/>
      <c r="I41" s="86"/>
      <c r="J41" s="86"/>
      <c r="K41" s="86"/>
      <c r="L41" s="86"/>
      <c r="M41" s="86"/>
      <c r="N41" s="86"/>
      <c r="O41" s="86"/>
      <c r="P41" s="86"/>
      <c r="Q41" s="86"/>
      <c r="R41" s="86"/>
      <c r="S41" s="86"/>
      <c r="T41" s="86"/>
      <c r="U41" s="86"/>
      <c r="V41" s="86"/>
    </row>
    <row r="42" spans="4:33" ht="50.25" hidden="1" customHeight="1">
      <c r="D42" s="86"/>
      <c r="E42" s="86"/>
      <c r="F42" s="86"/>
      <c r="G42" s="86"/>
      <c r="H42" s="86"/>
      <c r="I42" s="86"/>
      <c r="J42" s="86"/>
      <c r="K42" s="86"/>
      <c r="L42" s="86"/>
      <c r="M42" s="86"/>
      <c r="N42" s="86"/>
      <c r="O42" s="86"/>
      <c r="P42" s="86"/>
      <c r="Q42" s="86"/>
      <c r="R42" s="86"/>
      <c r="S42" s="86"/>
      <c r="T42" s="86"/>
      <c r="U42" s="86"/>
      <c r="V42" s="86"/>
    </row>
    <row r="43" spans="4:33" ht="50.25" hidden="1" customHeight="1" thickBot="1">
      <c r="D43" s="86"/>
      <c r="E43" s="86"/>
      <c r="F43" s="86"/>
      <c r="H43" s="86"/>
      <c r="I43" s="86"/>
      <c r="J43" s="86"/>
      <c r="K43" s="86"/>
      <c r="M43" s="86"/>
      <c r="N43" s="86" t="str">
        <f>IF(F13=1,E6,L48)</f>
        <v xml:space="preserve">      </v>
      </c>
      <c r="O43" s="86"/>
      <c r="P43" s="86"/>
      <c r="Q43" s="86"/>
      <c r="R43" s="86"/>
      <c r="S43" s="86"/>
      <c r="T43" s="86"/>
      <c r="U43" s="86"/>
      <c r="V43" s="86" t="b">
        <f>AND(M11+M16+M17&gt;=1,F22=1,F9+F10+F12+F13+M9+M10+M18+F11=0,F14+M12&gt;0,M15+F15+M13+M12&gt;0,V26=TRUE)</f>
        <v>0</v>
      </c>
    </row>
    <row r="44" spans="4:33" ht="16.5" hidden="1" customHeight="1" thickBot="1">
      <c r="D44" s="86"/>
      <c r="E44" s="256" t="s">
        <v>210</v>
      </c>
      <c r="F44" s="86"/>
      <c r="H44" s="86"/>
      <c r="I44" s="86"/>
      <c r="J44" s="86"/>
      <c r="K44" s="86"/>
      <c r="L44" s="86"/>
      <c r="M44" s="86"/>
      <c r="N44" s="86"/>
      <c r="O44" s="86"/>
      <c r="P44" s="86"/>
      <c r="Q44" s="86"/>
      <c r="R44" s="86"/>
      <c r="S44" s="86"/>
      <c r="T44" s="86"/>
      <c r="U44" s="86"/>
      <c r="V44" s="86"/>
      <c r="AB44" s="1198" t="str">
        <f>IF(AS10+F13+MAX(M12+M13+F15+F14)&lt;=2,"       ","العملية قد تكون غير صحيحة ضع أو الغى العدد 1فى المقاسمة")</f>
        <v xml:space="preserve">       </v>
      </c>
      <c r="AC44" s="1198"/>
      <c r="AD44" s="1198"/>
      <c r="AE44" s="1198"/>
      <c r="AF44" s="1198"/>
      <c r="AG44" s="1198"/>
    </row>
    <row r="45" spans="4:33" ht="16.5" hidden="1" customHeight="1">
      <c r="D45" s="86"/>
      <c r="E45" s="86"/>
      <c r="F45" s="86"/>
      <c r="H45" s="86"/>
      <c r="I45" s="86"/>
      <c r="J45" s="86"/>
      <c r="K45" s="86"/>
      <c r="L45" s="86" t="b">
        <f>AND(Sheet5!K17&gt;1,'شرح الحالة'!Q56+'شرح الحالة'!Q57+'شرح الحالة'!Q64+'شرح الحالة'!Q65+'شرح الحالة'!Q70=0,F13&gt;0,F12&lt;=0,H13&gt;=1/6)</f>
        <v>0</v>
      </c>
      <c r="M45" s="86"/>
      <c r="N45" s="86"/>
      <c r="O45" s="86"/>
      <c r="P45" s="86"/>
      <c r="Q45" s="86"/>
      <c r="R45" s="86"/>
      <c r="S45" s="86"/>
      <c r="T45" s="86"/>
      <c r="U45" s="86"/>
      <c r="V45" s="86"/>
      <c r="AB45" s="1198"/>
      <c r="AC45" s="1198"/>
      <c r="AD45" s="1198"/>
      <c r="AE45" s="1198"/>
      <c r="AF45" s="1198"/>
      <c r="AG45" s="1198"/>
    </row>
    <row r="46" spans="4:33" ht="16.5" hidden="1" customHeight="1">
      <c r="D46" s="86"/>
      <c r="E46" s="86"/>
      <c r="F46" s="86"/>
      <c r="H46" s="86"/>
      <c r="I46" s="86"/>
      <c r="J46" s="86"/>
      <c r="K46" s="86"/>
      <c r="L46" s="86"/>
      <c r="M46" s="86"/>
      <c r="N46" s="86"/>
      <c r="O46" s="86"/>
      <c r="P46" s="86"/>
      <c r="Q46" s="86"/>
      <c r="R46" s="86"/>
      <c r="S46" s="86"/>
      <c r="T46" s="86"/>
      <c r="U46" s="86"/>
      <c r="V46" s="86"/>
    </row>
    <row r="47" spans="4:33" ht="16.5" hidden="1" customHeight="1">
      <c r="D47" s="86"/>
      <c r="E47" s="86"/>
      <c r="F47" s="86"/>
      <c r="G47" s="86"/>
      <c r="H47" s="86"/>
      <c r="I47" s="86"/>
      <c r="J47" s="86"/>
      <c r="K47" s="86"/>
      <c r="L47" s="86"/>
      <c r="M47" s="86"/>
      <c r="N47" s="86"/>
      <c r="O47" s="86"/>
      <c r="P47" s="86"/>
      <c r="Q47" s="86"/>
      <c r="R47" s="86"/>
      <c r="S47" s="86"/>
      <c r="T47" s="86"/>
      <c r="U47" s="86"/>
      <c r="V47" s="86"/>
    </row>
    <row r="48" spans="4:33" ht="16.5" hidden="1" customHeight="1">
      <c r="D48" s="86"/>
      <c r="E48" s="86"/>
      <c r="F48" s="86"/>
      <c r="G48" s="86"/>
      <c r="H48" s="86"/>
      <c r="I48" s="86"/>
      <c r="J48" s="86"/>
      <c r="K48" s="86"/>
      <c r="L48" s="86" t="str">
        <f>IF(L45=TRUE,"هذه الحالة هى الأفضل للجد",I37)</f>
        <v xml:space="preserve">      </v>
      </c>
      <c r="M48" s="86" t="e">
        <f>((N12+N13)/(M12+M13))-G14&gt;2/8</f>
        <v>#DIV/0!</v>
      </c>
      <c r="N48" s="86">
        <f>IF(M12+M13&gt;0,M48,0)</f>
        <v>0</v>
      </c>
      <c r="O48" s="86"/>
      <c r="P48" s="86" t="b">
        <f>AND(F13=1,F22&gt;0,S48=TRUE,F9+F10+F12+M9+M10+F11+M18+F14=0,L39=TRUE,L40=TRUE,S36=TRUE,M12+M13&gt;=1,M14+M15=0,M11&gt;0,F12=0,M12+M13=1,F15+F14=0)</f>
        <v>0</v>
      </c>
      <c r="Q48" s="86" t="b">
        <f>OR(M13=1,M12=1)</f>
        <v>0</v>
      </c>
      <c r="R48" s="86" t="b">
        <f>AND(G22=1/2,N11=1/6,N14+N15=1/3,M12&gt;0,F14&gt;0)</f>
        <v>0</v>
      </c>
      <c r="S48" s="86" t="b">
        <f>OR(M11&gt;0,M16+M17&gt;0)</f>
        <v>0</v>
      </c>
      <c r="T48" s="86"/>
      <c r="U48" s="86"/>
      <c r="V48" s="86"/>
    </row>
    <row r="49" spans="4:22" ht="16.5" hidden="1" customHeight="1">
      <c r="D49" s="86"/>
      <c r="E49" s="86"/>
      <c r="F49" s="86"/>
      <c r="G49" s="86"/>
      <c r="H49" s="86"/>
      <c r="K49" s="86"/>
      <c r="L49" s="86" t="str">
        <f>IF(G13&lt;1/6,"   ضع 1 فى خانة السدس","المقاسمة مع الأخوة")</f>
        <v xml:space="preserve">   ضع 1 فى خانة السدس</v>
      </c>
      <c r="M49" s="86"/>
      <c r="N49" s="86"/>
      <c r="O49" s="86"/>
      <c r="P49" s="86"/>
      <c r="Q49" s="86"/>
      <c r="R49" s="86"/>
      <c r="S49" s="86"/>
      <c r="T49" s="86"/>
      <c r="U49" s="86"/>
      <c r="V49" s="86"/>
    </row>
    <row r="50" spans="4:22" ht="16.5" hidden="1" customHeight="1">
      <c r="D50" s="86"/>
      <c r="E50" s="86"/>
      <c r="F50" s="86"/>
      <c r="G50" s="86"/>
      <c r="H50" s="86"/>
      <c r="I50" s="86" t="b">
        <f>AND(N18=1/5,G13=2/15,N12=2/5,M12=1,F13=1,1=1,M12&gt;0,M13&gt;0)</f>
        <v>0</v>
      </c>
      <c r="J50" s="86"/>
      <c r="K50" s="86"/>
      <c r="L50" s="1200" t="str">
        <f>IF(V43=TRUE," من الحالات  الشادة تسمى الحجرية والعمرية ,وهنا يفرض للزوج النصف وللأم السدس وللأخوة من الأم  مع الأخوة والأخوات الأشقاء الباقى يقسم عليهم سوية وبعاملون جميعا معاملة الولد للام من أصل أتنى عشرة حصة  ","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M50" s="1200"/>
      <c r="N50" s="1200"/>
      <c r="O50" s="1200"/>
      <c r="P50" s="1200"/>
      <c r="Q50" s="1200"/>
      <c r="R50" s="1200"/>
      <c r="S50" s="1200"/>
      <c r="T50" s="1200"/>
      <c r="U50" s="1200"/>
      <c r="V50" s="1200"/>
    </row>
    <row r="51" spans="4:22" ht="16.5" hidden="1" customHeight="1">
      <c r="D51" s="86"/>
      <c r="E51" s="86"/>
      <c r="F51" s="86"/>
      <c r="G51" s="86"/>
      <c r="H51" s="86"/>
      <c r="I51" s="86"/>
      <c r="J51" s="86"/>
      <c r="K51" s="86"/>
      <c r="L51" s="1200" t="str">
        <f>IF(P48=TRUE,"               فريضة شــــــــــــاذة  (الكدرية)  وهى مسألة فيها عول   تعول على تسعة   يفرض للزوج   وللأم   ما عالت أليه المسألة ويقسم الباقى للجد والأخت الشقيقة   أو للأخت للأب فى حالة عدم وجود الشقيقة للذكر مثل حظ الأنثيين ",L50)</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M51" s="1200"/>
      <c r="N51" s="1200"/>
      <c r="O51" s="1200"/>
      <c r="P51" s="1200"/>
      <c r="Q51" s="1200"/>
      <c r="R51" s="1200"/>
      <c r="S51" s="1200"/>
      <c r="T51" s="1200"/>
      <c r="U51" s="1200"/>
      <c r="V51" s="1200"/>
    </row>
    <row r="52" spans="4:22" ht="16.5" hidden="1" customHeight="1">
      <c r="D52" s="86"/>
      <c r="E52" s="86"/>
      <c r="F52" s="86"/>
      <c r="G52" s="86"/>
      <c r="H52" s="86"/>
      <c r="I52" s="86"/>
      <c r="J52" s="86"/>
      <c r="K52" s="86"/>
      <c r="L52" s="1200" t="str">
        <f>IF(V43=TRUE,"من الحالات الشادة تسمى الحجرية والعمرية ,وهنا يفرض للزوج النصف وللأم السدس وللأخوة من الأم السدس والشقيقتان السدس من أصل أتنى عشرة حصة","   تنبيــــــــــــــته!!!!   يطلب وضع القيم فى المربعات الخضراء والسوداء على الصفر أذا لا يوجد جد فى الفريضة ")</f>
        <v xml:space="preserve">   تنبيــــــــــــــته!!!!   يطلب وضع القيم فى المربعات الخضراء والسوداء على الصفر أذا لا يوجد جد فى الفريضة </v>
      </c>
      <c r="M52" s="1200"/>
      <c r="N52" s="1200"/>
      <c r="O52" s="1200"/>
      <c r="P52" s="1200"/>
      <c r="Q52" s="1200"/>
      <c r="R52" s="1200"/>
      <c r="S52" s="1200"/>
      <c r="T52" s="1200"/>
      <c r="U52" s="1200"/>
      <c r="V52" s="1200"/>
    </row>
    <row r="53" spans="4:22" ht="16.5" hidden="1" customHeight="1">
      <c r="D53" s="86"/>
      <c r="E53" s="86"/>
      <c r="F53" s="86"/>
      <c r="G53" s="86"/>
      <c r="H53" s="86"/>
      <c r="I53" s="86"/>
      <c r="J53" s="86"/>
      <c r="K53" s="86"/>
      <c r="L53" s="86"/>
      <c r="M53" s="86"/>
      <c r="N53" s="86"/>
      <c r="O53" s="86"/>
      <c r="P53" s="86"/>
      <c r="Q53" s="86"/>
      <c r="R53" s="86"/>
      <c r="S53" s="86"/>
      <c r="T53" s="86"/>
      <c r="U53" s="86"/>
      <c r="V53" s="86"/>
    </row>
    <row r="54" spans="4:22" ht="16.5" hidden="1" customHeight="1">
      <c r="D54" s="86"/>
      <c r="E54" s="86"/>
      <c r="F54" s="86"/>
      <c r="G54" s="86"/>
      <c r="H54" s="86"/>
      <c r="I54" s="86"/>
      <c r="J54" s="86"/>
      <c r="K54" s="86"/>
      <c r="L54" s="86"/>
      <c r="M54" s="86"/>
      <c r="N54" s="86"/>
      <c r="O54" s="86"/>
      <c r="P54" s="86"/>
      <c r="Q54" s="86"/>
      <c r="R54" s="86"/>
      <c r="S54" s="86"/>
      <c r="T54" s="86"/>
      <c r="U54" s="86"/>
      <c r="V54" s="86"/>
    </row>
    <row r="55" spans="4:22" ht="16.5" hidden="1" customHeight="1">
      <c r="D55" s="86">
        <f>K16</f>
        <v>8</v>
      </c>
      <c r="E55" s="92" t="str">
        <f t="shared" ref="E55:F58" si="0">L9</f>
        <v>البنات</v>
      </c>
      <c r="F55" s="86">
        <f t="shared" si="0"/>
        <v>0</v>
      </c>
      <c r="G55" s="86"/>
      <c r="H55" s="86"/>
      <c r="I55" s="86"/>
      <c r="J55" s="86"/>
      <c r="K55" s="86"/>
      <c r="L55" s="86"/>
      <c r="M55" s="86"/>
      <c r="N55" s="86"/>
      <c r="O55" s="86"/>
      <c r="P55" s="86"/>
      <c r="Q55" s="86"/>
      <c r="R55" s="86" t="str">
        <f>IF(R39=TRUE,"تسمى هذه المسألة بأم الفروخ لكثرة عولها حيث تعول الى عشرة ",E36)</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S55" s="86"/>
      <c r="T55" s="86"/>
      <c r="U55" s="86"/>
      <c r="V55" s="86"/>
    </row>
    <row r="56" spans="4:22" ht="16.5" hidden="1" customHeight="1">
      <c r="D56" s="86">
        <f>K17</f>
        <v>9</v>
      </c>
      <c r="E56" s="92" t="str">
        <f t="shared" si="0"/>
        <v>بنات الأبنــاء</v>
      </c>
      <c r="F56" s="86">
        <f t="shared" si="0"/>
        <v>0</v>
      </c>
      <c r="G56" s="86"/>
      <c r="H56" s="86"/>
      <c r="I56" s="86"/>
      <c r="J56" s="86"/>
      <c r="K56" s="86"/>
      <c r="L56" s="86"/>
      <c r="M56" s="86"/>
      <c r="N56" s="86"/>
      <c r="O56" s="86"/>
      <c r="P56" s="86"/>
      <c r="Q56" s="86"/>
      <c r="R56" s="86" t="str">
        <f>IF(E24="حالة خاصة لللأب والأم تسمى الغراوان","                 وسميا بالغراوين لاشتهارهما كالكوكب الأغر أو لأن الأم غرت فقيل لها الثلث الباقي، وهو في الحقيقة سدس أو ربع            ",R55)</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S56" s="86"/>
      <c r="T56" s="86"/>
      <c r="U56" s="86"/>
      <c r="V56" s="86"/>
    </row>
    <row r="57" spans="4:22" ht="16.5" hidden="1" customHeight="1">
      <c r="D57" s="86">
        <f>K18</f>
        <v>10</v>
      </c>
      <c r="E57" s="92" t="str">
        <f t="shared" si="0"/>
        <v>الأم</v>
      </c>
      <c r="F57" s="86">
        <f t="shared" si="0"/>
        <v>0</v>
      </c>
      <c r="G57" s="86"/>
      <c r="H57" s="86"/>
      <c r="I57" s="86"/>
      <c r="J57" s="86"/>
      <c r="K57" s="86"/>
      <c r="L57" s="86"/>
      <c r="M57" s="86"/>
      <c r="N57" s="86"/>
      <c r="O57" s="86"/>
      <c r="P57" s="93"/>
      <c r="Q57" s="86"/>
      <c r="R57" s="86" t="str">
        <f>IF(M60=TRUE,"           سميت المشركة، لأن بعض أهل العلم شرك فيها ولد الأبوين، وولد الأم في فرض ولد الأم، فقسمه بينهم بالسوية وتسمى اليتيمة والحجرية والمنبرية .               ",R56 )</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S57" s="86"/>
      <c r="T57" s="86"/>
      <c r="U57" s="86"/>
      <c r="V57" s="86"/>
    </row>
    <row r="58" spans="4:22" ht="16.5" hidden="1" customHeight="1">
      <c r="D58" s="86">
        <f>K19</f>
        <v>11</v>
      </c>
      <c r="E58" s="92" t="str">
        <f t="shared" si="0"/>
        <v>الأخوة(أناث)االشقيقات</v>
      </c>
      <c r="F58" s="86">
        <f t="shared" si="0"/>
        <v>0</v>
      </c>
      <c r="G58" s="86"/>
      <c r="H58" s="86"/>
      <c r="I58" s="86"/>
      <c r="J58" s="86"/>
      <c r="K58" s="86"/>
      <c r="L58" s="86" t="b">
        <f>OR(N11&gt;=1/6,N16+N17+N11&gt;=1/6)</f>
        <v>0</v>
      </c>
      <c r="M58" s="86" t="b">
        <f>AND(N14+N15&gt;=1/3,G22&gt;=1/2,N12+G14+G15+N13=0,F15+F14&gt;0,N13+G15=0,F22=1)</f>
        <v>0</v>
      </c>
      <c r="N58" s="86"/>
      <c r="O58" s="86"/>
      <c r="P58" s="93"/>
      <c r="Q58" s="93"/>
      <c r="R58" s="86" t="str">
        <f>IF(N14+N15+N11+G22=1/3,"قال تعالى وَإِنْ كَانَ رَجُلٌ يُورَثُ كَلالَةً أَوْ امْرَأَةٌ وَلَهُ أَخٌ أَوْ أُخْتٌ فَلِكُلِّ وَاحِدٍ مِنْهُمَا السُّدُسُ فَإِنْ كَانُوا أَكْثَرَ مِنْ ذَلِكَ فَهُمْ شُرَكَاءُ فِي الثُّلُثِ    ",R57)</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S58" s="86"/>
      <c r="T58" s="86"/>
      <c r="U58" s="86"/>
      <c r="V58" s="86"/>
    </row>
    <row r="59" spans="4:22" ht="16.5" hidden="1" customHeight="1">
      <c r="D59" s="86"/>
      <c r="E59" s="92" t="str">
        <f>L13</f>
        <v xml:space="preserve">الأخوة(أناث)من ألأب  </v>
      </c>
      <c r="F59" s="86">
        <f>M13</f>
        <v>0</v>
      </c>
      <c r="G59" s="86"/>
      <c r="H59" s="86"/>
      <c r="I59" s="86"/>
      <c r="J59" s="86"/>
      <c r="K59" s="86"/>
      <c r="L59" s="86"/>
      <c r="M59" s="86"/>
      <c r="N59" s="86"/>
      <c r="O59" s="86"/>
      <c r="P59" s="86"/>
      <c r="Q59" s="86"/>
      <c r="R59" s="86" t="str">
        <f>IF(H72=TRUE, 'أقرأ (2)'!C128, R57)</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S59" s="86"/>
      <c r="T59" s="86"/>
      <c r="U59" s="86"/>
      <c r="V59" s="86"/>
    </row>
    <row r="60" spans="4:22" ht="16.5" hidden="1" customHeight="1">
      <c r="D60" s="86"/>
      <c r="E60" s="92" t="str">
        <f>L14</f>
        <v xml:space="preserve">الأخوة(أناث) من الأم </v>
      </c>
      <c r="F60" s="86">
        <f>M14</f>
        <v>0</v>
      </c>
      <c r="G60" s="86"/>
      <c r="H60" s="86"/>
      <c r="I60" s="86"/>
      <c r="J60" s="86"/>
      <c r="K60" s="86"/>
      <c r="L60" s="86"/>
      <c r="M60" s="86" t="b">
        <f>AND(L58=TRUE,M58=TRUE,M12+F14&gt;0)</f>
        <v>0</v>
      </c>
      <c r="N60" s="86"/>
      <c r="P60" s="86"/>
      <c r="Q60" s="86"/>
      <c r="R60" s="86" t="str">
        <f>IF(L62=TRUE,M62,R59)</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S60" s="86"/>
      <c r="T60" s="86"/>
      <c r="U60" s="86"/>
      <c r="V60" s="86"/>
    </row>
    <row r="61" spans="4:22" ht="16.5" hidden="1" customHeight="1">
      <c r="D61" s="86"/>
      <c r="E61" s="92" t="str">
        <f t="shared" ref="E61:F63" si="1">L16</f>
        <v>الجدة(أم  الأم)</v>
      </c>
      <c r="F61" s="86">
        <f t="shared" si="1"/>
        <v>0</v>
      </c>
      <c r="G61" s="86"/>
      <c r="H61" s="86"/>
      <c r="I61" s="86"/>
      <c r="J61" s="86"/>
      <c r="K61" s="86"/>
      <c r="L61" s="86"/>
      <c r="M61" s="86"/>
      <c r="N61" s="86"/>
      <c r="O61" s="86"/>
      <c r="P61" s="86"/>
      <c r="Q61" s="86"/>
      <c r="R61" s="86" t="str">
        <f>IF(M63=TRUE,"   مختصرة  زيد، وهي أم وجد وأخت شقيقة، وأخ لأب وأخت لأب، للأم السدس لوجود العدد من الأخوة، وللجد ثلث الباقي، لأنه أحظ له، وللأخت للأبوين النصف، لأنه فرضها والباقي لولد الأب على ثلاثة . ",R60)</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S61" s="86"/>
      <c r="T61" s="86"/>
      <c r="U61" s="86"/>
      <c r="V61" s="86"/>
    </row>
    <row r="62" spans="4:22" ht="16.5" hidden="1" customHeight="1">
      <c r="D62" s="86"/>
      <c r="E62" s="92" t="str">
        <f>L17</f>
        <v>الجدة(أم الأب)</v>
      </c>
      <c r="F62" s="86">
        <f t="shared" si="1"/>
        <v>0</v>
      </c>
      <c r="G62" s="86"/>
      <c r="H62" s="86"/>
      <c r="I62" s="86"/>
      <c r="J62" s="86"/>
      <c r="K62" s="86"/>
      <c r="L62" s="86" t="b">
        <f>AND(G9+G10+G12+G13+G11+F14+F15=0,G16+G17+G18+G19+G20+G21&gt;0)</f>
        <v>0</v>
      </c>
      <c r="M62" s="86" t="str">
        <f>" . قال صلى الله عليه وسلم [أَلْحِقُوا الْفَرَائِضَ بِأَهْلِهَا فَمَا بَقِي  فَلِأَوْلَى رَجُلٍ ذَكَرٍ] متفق عليه  "</f>
        <v xml:space="preserve"> . قال صلى الله عليه وسلم [أَلْحِقُوا الْفَرَائِضَ بِأَهْلِهَا فَمَا بَقِي  فَلِأَوْلَى رَجُلٍ ذَكَرٍ] متفق عليه  </v>
      </c>
      <c r="N62" s="86"/>
      <c r="O62" s="86"/>
      <c r="P62" s="86"/>
      <c r="Q62" s="86"/>
      <c r="R62" s="86"/>
      <c r="S62" s="86"/>
      <c r="T62" s="86"/>
      <c r="U62" s="86"/>
      <c r="V62" s="86"/>
    </row>
    <row r="63" spans="4:22" ht="16.5" hidden="1" customHeight="1">
      <c r="D63" s="86"/>
      <c r="E63" s="92" t="str">
        <f t="shared" si="1"/>
        <v>الزوجات</v>
      </c>
      <c r="F63" s="86">
        <f t="shared" si="1"/>
        <v>0</v>
      </c>
      <c r="G63" s="86"/>
      <c r="H63" s="86"/>
      <c r="I63" s="86"/>
      <c r="J63" s="86"/>
      <c r="K63" s="86"/>
      <c r="L63" s="86" t="str">
        <f>IF(R55=" أم الأرامل سميت بأم الأرامل لأن جميع الورثة من الأنــــــات وكذلك تسمى بأم البنات ",R58,R60)</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M63" s="96" t="b">
        <f>AND(N11=1/6,N12=1/2,N13=1/54,G13=5/18,F15=1)</f>
        <v>0</v>
      </c>
      <c r="N63" s="86"/>
      <c r="O63" s="86"/>
      <c r="P63" s="86"/>
      <c r="Q63" s="86"/>
      <c r="R63" s="86"/>
      <c r="S63" s="86"/>
      <c r="T63" s="86"/>
      <c r="U63" s="86"/>
      <c r="V63" s="86"/>
    </row>
    <row r="64" spans="4:22" ht="16.5" hidden="1" customHeight="1">
      <c r="D64" s="86"/>
      <c r="E64" s="92" t="str">
        <f>E11</f>
        <v>أبناء  أبناء الأبناء(ذكور)</v>
      </c>
      <c r="F64" s="86">
        <f>F11</f>
        <v>0</v>
      </c>
      <c r="G64" s="86"/>
      <c r="H64" s="86"/>
      <c r="I64" s="86"/>
      <c r="J64" s="86"/>
      <c r="K64" s="86"/>
      <c r="L64" s="86"/>
      <c r="M64" s="86"/>
      <c r="N64" s="86"/>
      <c r="O64" s="86"/>
      <c r="P64" s="86"/>
      <c r="Q64" s="86"/>
      <c r="R64" s="86" t="b">
        <f>AND(E6="ترد على",M16=1,M17=1)</f>
        <v>0</v>
      </c>
      <c r="S64" s="86"/>
      <c r="T64" s="86"/>
      <c r="U64" s="86"/>
      <c r="V64" s="86"/>
    </row>
    <row r="65" spans="4:22" ht="16.5" hidden="1" customHeight="1">
      <c r="D65" s="86"/>
      <c r="E65" s="92">
        <f>L19</f>
        <v>0</v>
      </c>
      <c r="F65" s="86">
        <f>M19</f>
        <v>0</v>
      </c>
      <c r="G65" s="86"/>
      <c r="H65" s="86"/>
      <c r="I65" s="86"/>
      <c r="J65" s="86"/>
      <c r="K65" s="86"/>
      <c r="L65" s="86"/>
      <c r="M65" s="86" t="str">
        <f>IF(L63=" أم الأرامل سميت بأم الأرامل لأن جميع الورثة من الأنــــــات وكذلك تسمى بأم البنات ",R58,R61)</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65" s="86"/>
      <c r="O65" s="86"/>
      <c r="P65" s="86"/>
      <c r="Q65" s="86"/>
      <c r="R65" s="86"/>
      <c r="S65" s="86"/>
      <c r="T65" s="86"/>
      <c r="U65" s="86"/>
      <c r="V65" s="86"/>
    </row>
    <row r="66" spans="4:22" ht="16.5" hidden="1" customHeight="1">
      <c r="D66" s="86"/>
      <c r="E66" s="86"/>
      <c r="F66" s="86"/>
      <c r="G66" s="86" t="s">
        <v>114</v>
      </c>
      <c r="H66" s="86"/>
      <c r="I66" s="86"/>
      <c r="J66" s="86"/>
      <c r="K66" s="86"/>
      <c r="L66" s="86" t="b">
        <f>AND(N9=16/27, N11=4/27,G12=4/27, N18=3/27,R8=27)</f>
        <v>0</v>
      </c>
      <c r="M66" s="86" t="str">
        <f>IF(L66=TRUE, 'شرح الحالة'!M196, R58)</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66" s="86"/>
      <c r="O66" s="86"/>
      <c r="P66" s="86"/>
      <c r="Q66" s="86"/>
      <c r="R66" s="86"/>
      <c r="S66" s="86"/>
      <c r="T66" s="86"/>
      <c r="U66" s="86"/>
      <c r="V66" s="86"/>
    </row>
    <row r="67" spans="4:22" ht="16.5" hidden="1" customHeight="1">
      <c r="D67" s="86"/>
      <c r="E67" s="86"/>
      <c r="F67" s="86">
        <v>0</v>
      </c>
      <c r="G67" s="86"/>
      <c r="H67" s="86"/>
      <c r="I67" s="86"/>
      <c r="J67" s="86"/>
      <c r="K67" s="86"/>
      <c r="L67" s="86" t="b">
        <f>AND(N11=1/3,N12=2/9,G13=4/9)</f>
        <v>0</v>
      </c>
      <c r="M67" s="86"/>
      <c r="N67" s="86"/>
      <c r="O67" s="86"/>
      <c r="P67" s="86"/>
      <c r="Q67" s="86"/>
      <c r="R67" s="86"/>
      <c r="S67" s="86"/>
      <c r="T67" s="86"/>
      <c r="U67" s="86"/>
      <c r="V67" s="86"/>
    </row>
    <row r="68" spans="4:22" ht="16.5" hidden="1" customHeight="1">
      <c r="D68" s="86"/>
      <c r="E68" s="86"/>
      <c r="F68" s="86"/>
      <c r="G68" s="86"/>
      <c r="H68" s="86"/>
      <c r="I68" s="86"/>
      <c r="J68" s="86"/>
      <c r="K68" s="86"/>
      <c r="L68" s="86"/>
      <c r="M68" s="86" t="str">
        <f>IF(L67=TRUE,"تسمى المثلثة، لقسم عثمان لها من ثلاثة، ولذلك سميت العثمانية، وتسمى الشعبية والحجاجية لأن الحجاج امتحن بها الشعبي، فأصاب فعفي عنه . وتسمى هذه المسألة الخرقاء، لكثرة أقوال الصحابة فيها وتسمى المسبعة، لأن فيها سبعة أقوال .  ", M66)</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68" s="87" t="s">
        <v>114</v>
      </c>
      <c r="O68" s="87"/>
      <c r="P68" s="86"/>
      <c r="Q68" s="86"/>
      <c r="R68" s="86"/>
      <c r="S68" s="86"/>
      <c r="T68" s="86"/>
      <c r="U68" s="86"/>
      <c r="V68" s="86"/>
    </row>
    <row r="69" spans="4:22" ht="16.5" hidden="1" customHeight="1">
      <c r="D69" s="86"/>
      <c r="E69" s="86"/>
      <c r="F69" s="86"/>
      <c r="G69" s="86"/>
      <c r="H69" s="86"/>
      <c r="I69" s="86"/>
      <c r="J69" s="86"/>
      <c r="K69" s="86"/>
      <c r="L69" s="86" t="s">
        <v>114</v>
      </c>
      <c r="M69" s="86"/>
      <c r="N69" s="86"/>
      <c r="O69" s="86"/>
      <c r="P69" s="86"/>
      <c r="Q69" s="86"/>
      <c r="R69" s="86"/>
      <c r="S69" s="86"/>
      <c r="T69" s="86"/>
      <c r="U69" s="86"/>
      <c r="V69" s="86"/>
    </row>
    <row r="70" spans="4:22" ht="16.5" hidden="1" customHeight="1">
      <c r="D70" s="86"/>
      <c r="E70" s="86"/>
      <c r="F70" s="86"/>
      <c r="G70" s="86"/>
      <c r="H70" s="86"/>
      <c r="I70" s="86"/>
      <c r="J70" s="86"/>
      <c r="K70" s="86"/>
      <c r="L70" s="86" t="b">
        <f>OR(G9=2*N9,G10=2*N10,G11=2*N10)</f>
        <v>1</v>
      </c>
      <c r="M70" s="86"/>
      <c r="N70" s="86"/>
      <c r="O70" s="86"/>
      <c r="P70" s="86"/>
      <c r="Q70" s="86"/>
      <c r="R70" s="86"/>
      <c r="S70" s="86"/>
      <c r="T70" s="86"/>
      <c r="U70" s="86"/>
      <c r="V70" s="86"/>
    </row>
    <row r="71" spans="4:22" ht="16.5" hidden="1" customHeight="1">
      <c r="D71" s="86"/>
      <c r="E71" s="86"/>
      <c r="F71" s="86"/>
      <c r="G71" s="86" t="b">
        <f>AND(G15+G14+N12+N13&gt;=0,N9+N10&gt;=0)</f>
        <v>1</v>
      </c>
      <c r="H71" s="86" t="b">
        <f>OR(N14&gt;0,N15&gt;0)</f>
        <v>0</v>
      </c>
      <c r="I71" s="86"/>
      <c r="J71" s="86"/>
      <c r="K71" s="86" t="b">
        <f>AND(L70=TRUE,L71=TRUE)</f>
        <v>0</v>
      </c>
      <c r="L71" s="86" t="b">
        <f>OR(G9*N9&gt;0,G10*N10&gt;0,G11*N10&gt;0)</f>
        <v>0</v>
      </c>
      <c r="M71" s="86" t="str">
        <f>IF( K71=TRUE, AH20, M68)</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71" s="86"/>
      <c r="O71" s="86"/>
      <c r="P71" s="86"/>
      <c r="Q71" s="86"/>
      <c r="R71" s="86"/>
      <c r="S71" s="86"/>
      <c r="T71" s="86"/>
      <c r="U71" s="86"/>
      <c r="V71" s="86"/>
    </row>
    <row r="72" spans="4:22" ht="16.5" hidden="1" customHeight="1">
      <c r="D72" s="86"/>
      <c r="E72" s="86"/>
      <c r="F72" s="86"/>
      <c r="G72" s="86"/>
      <c r="H72" s="86" t="b">
        <f>AND(H71=TRUE,G71=TRUE)</f>
        <v>0</v>
      </c>
      <c r="I72" s="86"/>
      <c r="J72" s="86"/>
      <c r="K72" s="86"/>
      <c r="L72" s="86"/>
      <c r="M72" s="86"/>
      <c r="N72" s="86"/>
      <c r="O72" s="86"/>
      <c r="P72" s="86"/>
      <c r="Q72" s="86"/>
      <c r="R72" s="86"/>
      <c r="S72" s="86"/>
      <c r="T72" s="86"/>
      <c r="U72" s="86"/>
      <c r="V72" s="86"/>
    </row>
    <row r="73" spans="4:22" ht="16.5" hidden="1" customHeight="1">
      <c r="D73" s="86"/>
      <c r="E73" s="86"/>
      <c r="F73" s="86"/>
      <c r="G73" s="86"/>
      <c r="H73" s="86"/>
      <c r="I73" s="86"/>
      <c r="J73" s="86"/>
      <c r="K73" s="86"/>
      <c r="L73" s="86"/>
      <c r="M73" s="86" t="str">
        <f>IF(L74=TRUE,"     سميت بالمروانية: لأنها وقعت في زمن مروان بن الحكم وتسمى الغراء، لأنها حدثت بعد المباهلة، واشتهر بها العول   ",M71)</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73" s="86"/>
      <c r="O73" s="86"/>
      <c r="P73" s="86"/>
      <c r="Q73" s="86"/>
      <c r="R73" s="86"/>
      <c r="S73" s="86"/>
      <c r="T73" s="86"/>
      <c r="U73" s="86"/>
      <c r="V73" s="86"/>
    </row>
    <row r="74" spans="4:22" ht="16.5" hidden="1" customHeight="1">
      <c r="D74" s="86"/>
      <c r="E74" s="86"/>
      <c r="F74" s="86"/>
      <c r="G74" s="86" t="b">
        <f>OR(M12=2,M13=2)</f>
        <v>0</v>
      </c>
      <c r="H74" s="86" t="b">
        <f>AND(K74=TRUE,L74=TRUE)</f>
        <v>0</v>
      </c>
      <c r="I74" s="86"/>
      <c r="J74" s="86"/>
      <c r="K74" s="86" t="b">
        <f>AND(O12=2,O14=1)</f>
        <v>0</v>
      </c>
      <c r="L74" s="86" t="b">
        <f>AND(G74=TRUE,M14+M15&gt;=2,F22=1,O12+O13=2,N14+N15=2/9,G22=1/3,M12=2,M12=2,M13=2)</f>
        <v>0</v>
      </c>
      <c r="M74" s="86" t="str">
        <f>IF(L76=TRUE,"وهى أول مسألة عالت فى الأسلام سميت بالمباهلة: لأن ابن عباس خالف فيها رأي عمر بعد موته رضي الله عنهما بأن أعطى الزوج وللأخت  النصف وأعطى الأم الثلث والباقي ردا , وقال في ذلك من شاء باهلته بأن الذي أحصى رملا عالج عددا لم يجعل في المال نصفا ونصفا وثلثا    ",M73)</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74" s="86"/>
      <c r="O74" s="86"/>
      <c r="P74" s="86"/>
      <c r="Q74" s="86"/>
      <c r="R74" s="86"/>
      <c r="S74" s="86"/>
      <c r="T74" s="86"/>
      <c r="U74" s="86"/>
      <c r="V74" s="86"/>
    </row>
    <row r="75" spans="4:22" ht="16.5" hidden="1" customHeight="1">
      <c r="D75" s="86"/>
      <c r="E75" s="86"/>
      <c r="F75" s="86"/>
      <c r="G75" s="86"/>
      <c r="H75" s="86"/>
      <c r="I75" s="86"/>
      <c r="J75" s="86"/>
      <c r="K75" s="86"/>
      <c r="L75" s="86"/>
      <c r="M75" s="86"/>
      <c r="N75" s="86"/>
      <c r="O75" s="86"/>
      <c r="P75" s="86"/>
      <c r="Q75" s="86"/>
      <c r="R75" s="86"/>
      <c r="S75" s="86"/>
      <c r="T75" s="86"/>
      <c r="U75" s="86"/>
      <c r="V75" s="86"/>
    </row>
    <row r="76" spans="4:22" ht="16.5" hidden="1" customHeight="1">
      <c r="D76" s="86"/>
      <c r="E76" s="86"/>
      <c r="F76" s="86"/>
      <c r="G76" s="86"/>
      <c r="H76" s="86" t="b">
        <f>OR(M13=1,M12=1)</f>
        <v>0</v>
      </c>
      <c r="I76" s="86"/>
      <c r="J76" s="86"/>
      <c r="K76" s="86"/>
      <c r="L76" s="86" t="b">
        <f>AND(M11=1,H76=TRUE,F22=1,N11=1/4,N13+N12=3/8,G22=3/8,F13=0,N14=0,M14=0)</f>
        <v>0</v>
      </c>
      <c r="M76" s="86" t="str">
        <f>IF(L78=TRUE,"   سميت بالمالكية: لأن مالكا رضي الله عنه خالف فيها رأي الآخرين ",M74)</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76" s="86"/>
      <c r="O76" s="86"/>
      <c r="P76" s="86"/>
      <c r="Q76" s="86"/>
      <c r="R76" s="86"/>
      <c r="S76" s="86"/>
      <c r="T76" s="86"/>
      <c r="U76" s="86"/>
      <c r="V76" s="86"/>
    </row>
    <row r="77" spans="4:22" ht="16.5" hidden="1" customHeight="1">
      <c r="D77" s="86"/>
      <c r="E77" s="86"/>
      <c r="F77" s="86"/>
      <c r="G77" s="86"/>
      <c r="H77" s="86"/>
      <c r="I77" s="86"/>
      <c r="J77" s="86"/>
      <c r="K77" s="86"/>
      <c r="L77" s="86"/>
      <c r="M77" s="86"/>
      <c r="N77" s="86"/>
      <c r="O77" s="86"/>
      <c r="P77" s="86"/>
      <c r="Q77" s="86"/>
      <c r="R77" s="86"/>
      <c r="S77" s="86"/>
      <c r="T77" s="86"/>
      <c r="U77" s="86"/>
      <c r="V77" s="86"/>
    </row>
    <row r="78" spans="4:22" ht="16.5" hidden="1" customHeight="1">
      <c r="D78" s="86"/>
      <c r="E78" s="86"/>
      <c r="F78" s="86"/>
      <c r="G78" s="86"/>
      <c r="H78" s="86"/>
      <c r="I78" s="86"/>
      <c r="J78" s="86"/>
      <c r="K78" s="86"/>
      <c r="L78" s="86" t="b">
        <f>AND(M11&gt;0,F13&gt;0,F12=0,G15+N13&gt;0,N14+N15=0,M14+M15&gt;1,F22&gt;0,G22=1/2)</f>
        <v>0</v>
      </c>
      <c r="M78" s="86" t="str">
        <f>IF(L79=TRUE," سميت بشبه المالكية: لأن مالكا رضي الله عنه نحا فيها نحو المسألة المالكية (التي نسبت إليه).    ",M76)</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78" s="86"/>
      <c r="O78" s="86"/>
      <c r="P78" s="86"/>
      <c r="Q78" s="86"/>
      <c r="R78" s="86"/>
      <c r="S78" s="86"/>
      <c r="T78" s="86"/>
      <c r="U78" s="86"/>
      <c r="V78" s="86"/>
    </row>
    <row r="79" spans="4:22" ht="16.5" hidden="1" customHeight="1">
      <c r="D79" s="86"/>
      <c r="E79" s="86"/>
      <c r="F79" s="86"/>
      <c r="G79" s="86"/>
      <c r="H79" s="86"/>
      <c r="I79" s="86"/>
      <c r="J79" s="86"/>
      <c r="K79" s="86"/>
      <c r="L79" s="427" t="b">
        <f>AND(M11=1,M14+M15&gt;1,M11&gt;0,M15+M14&gt;1,F22=1,M11=1, F13&gt;0,O13=1/2*H15, O12+H14&gt;0,O14+O15=0,O15=0,O14=0,F15&gt;=0,M13&gt;=0,M12+F14&gt;0,F14&gt;=1,الأبناء__ذكور+F10+F12+F11=0)</f>
        <v>0</v>
      </c>
      <c r="M79" s="86"/>
      <c r="N79" s="86"/>
      <c r="O79" s="86"/>
      <c r="P79" s="86"/>
      <c r="Q79" s="86"/>
      <c r="R79" s="86"/>
      <c r="S79" s="86"/>
      <c r="T79" s="86"/>
      <c r="U79" s="86"/>
      <c r="V79" s="86"/>
    </row>
    <row r="80" spans="4:22" ht="16.5" hidden="1" customHeight="1">
      <c r="D80" s="86"/>
      <c r="E80" s="86"/>
      <c r="F80" s="86"/>
      <c r="G80" s="86"/>
      <c r="H80" s="86"/>
      <c r="I80" s="86"/>
      <c r="J80" s="86"/>
      <c r="K80" s="86"/>
      <c r="L80" s="86" t="b">
        <f>AND(M9&gt;=2,O9&gt;0,M10&gt;=1,O11+H12+H13&gt;=0,F11+F10&gt;0,H11+F10&gt;0,H11+H10=O10*2,M11+F12+F13&gt;=0,H11+H10&gt;0,O10&gt;0)</f>
        <v>0</v>
      </c>
      <c r="M80" s="86" t="str">
        <f>IF(L80=TRUE,"   سميت بالقريب المبارك: لأنه لولا وجود أبن الأبن أو  ابن ابن الابن لما ورثت بنت الابن لكونها محجوبة بالبنتين فكان لها قريبا مباركا.    ",M78)</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80" s="86"/>
      <c r="O80" s="86"/>
      <c r="P80" s="86"/>
      <c r="Q80" s="86"/>
      <c r="R80" s="86"/>
      <c r="S80" s="86"/>
      <c r="T80" s="86"/>
      <c r="U80" s="86"/>
      <c r="V80" s="86"/>
    </row>
    <row r="81" spans="4:22" ht="16.5" hidden="1" customHeight="1">
      <c r="D81" s="86"/>
      <c r="E81" s="86"/>
      <c r="F81" s="86"/>
      <c r="G81" s="86"/>
      <c r="H81" s="86"/>
      <c r="I81" s="86"/>
      <c r="J81" s="86"/>
      <c r="K81" s="86"/>
      <c r="L81" s="86" t="b">
        <f>AND(M9=1,M10&gt;=1,F10&gt;=1,N9=6/13,E6="تعول على")</f>
        <v>0</v>
      </c>
      <c r="M81" s="86" t="str">
        <f>IF(L81=TRUE," سميت بالقريب المشئوم: لأنه لولا وجود ابن الابن لورثت بنت الابن السدس تكملة للثلثين وتعول المسألة إلى (15) فكان لها قريبا مشئوما  ",M80)</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81" s="86"/>
      <c r="O81" s="86"/>
      <c r="P81" s="86"/>
      <c r="Q81" s="86"/>
      <c r="R81" s="86"/>
      <c r="S81" s="86"/>
      <c r="T81" s="86"/>
      <c r="U81" s="86"/>
      <c r="V81" s="86"/>
    </row>
    <row r="82" spans="4:22" ht="16.5" hidden="1" customHeight="1">
      <c r="D82" s="86"/>
      <c r="E82" s="86"/>
      <c r="F82" s="86"/>
      <c r="G82" s="86"/>
      <c r="H82" s="86"/>
      <c r="I82" s="86"/>
      <c r="J82" s="86"/>
      <c r="K82" s="86"/>
      <c r="L82" s="86" t="b">
        <f>AND(F13=1,M11=1,M12=1,M13=1,F15=1,N11=1/6,N12=1/2,N13=1/54,H15=2,H13=15,R8=54,AS10=1)</f>
        <v>0</v>
      </c>
      <c r="M82" s="86"/>
      <c r="N82" s="86"/>
      <c r="O82" s="86"/>
      <c r="P82" s="86"/>
      <c r="Q82" s="86"/>
      <c r="R82" s="86"/>
      <c r="S82" s="86"/>
      <c r="T82" s="86"/>
      <c r="U82" s="86"/>
      <c r="V82" s="86"/>
    </row>
    <row r="83" spans="4:22" ht="16.5" hidden="1" customHeight="1">
      <c r="D83" s="86"/>
      <c r="E83" s="86"/>
      <c r="F83" s="86"/>
      <c r="G83" s="86"/>
      <c r="H83" s="86" t="b">
        <f>AND(K83=TRUE,L83=TRUE)</f>
        <v>0</v>
      </c>
      <c r="I83" s="86"/>
      <c r="J83" s="86"/>
      <c r="K83" s="86" t="b">
        <f>AND(G22=1/2,N12+N13=1/2,O12=1,H22=1,R8=2)</f>
        <v>0</v>
      </c>
      <c r="L83" s="86" t="b">
        <f>OR(M12=1,M13=1)</f>
        <v>0</v>
      </c>
      <c r="M83" s="86" t="str">
        <f>IF(L82=TRUE,"  سميت بالمختصرة: لأنها من المسائل القليلة التي يختصر فيها التصحيح إلى رقم أصغر لو قاسم الجد الإخوة لصحت من (36) ويبقى سهمان على (3) فتصح من (108) ثم ترجع بالاختصار إلى (54).   ",M81)</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83" s="86"/>
      <c r="O83" s="86"/>
      <c r="P83" s="86"/>
      <c r="Q83" s="86"/>
      <c r="R83" s="86"/>
      <c r="S83" s="86"/>
      <c r="T83" s="86"/>
      <c r="U83" s="86"/>
      <c r="V83" s="86"/>
    </row>
    <row r="84" spans="4:22" ht="16.5" hidden="1" customHeight="1">
      <c r="D84" s="86"/>
      <c r="E84" s="86"/>
      <c r="F84" s="86"/>
      <c r="G84" s="86"/>
      <c r="H84" s="86"/>
      <c r="I84" s="86"/>
      <c r="J84" s="86"/>
      <c r="K84" s="86"/>
      <c r="L84" s="86"/>
      <c r="M84" s="86"/>
      <c r="N84" s="86"/>
      <c r="O84" s="86"/>
      <c r="P84" s="86"/>
      <c r="Q84" s="86"/>
      <c r="R84" s="86"/>
      <c r="S84" s="86"/>
      <c r="T84" s="86"/>
      <c r="U84" s="86"/>
      <c r="V84" s="86"/>
    </row>
    <row r="85" spans="4:22" ht="16.5" hidden="1" customHeight="1">
      <c r="D85" s="86"/>
      <c r="E85" s="86"/>
      <c r="F85" s="86"/>
      <c r="G85" s="86"/>
      <c r="H85" s="86"/>
      <c r="I85" s="86"/>
      <c r="J85" s="86"/>
      <c r="K85" s="86"/>
      <c r="L85" s="86"/>
      <c r="M85" s="86" t="str">
        <f>IF(H83=TRUE,"   سميت باليتيمة: لأن في هاذه المسألة يأخذ الزوج النصف والأخت من (الأم والأب أوالأخت من الأب)النصف وليس في الفرائض كلها مسألة يورث فيها المال بفرضين متساويين إلا في هذه المسألة.  ولا اختلاف بين أئمة المذاهب الأربعة في سهام هذه المسألة.    ",M83)</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85" s="86"/>
      <c r="O85" s="86"/>
      <c r="P85" s="86"/>
      <c r="Q85" s="86"/>
      <c r="R85" s="86"/>
      <c r="S85" s="86"/>
      <c r="T85" s="86"/>
      <c r="U85" s="86"/>
      <c r="V85" s="86"/>
    </row>
    <row r="86" spans="4:22" ht="16.5" hidden="1" customHeight="1">
      <c r="D86" s="86"/>
      <c r="E86" s="86"/>
      <c r="F86" s="86"/>
      <c r="G86" s="86"/>
      <c r="H86" s="86"/>
      <c r="I86" s="86"/>
      <c r="J86" s="86"/>
      <c r="K86" s="86"/>
      <c r="L86" s="86"/>
      <c r="M86" s="86"/>
      <c r="N86" s="86"/>
      <c r="O86" s="86"/>
      <c r="P86" s="86"/>
      <c r="Q86" s="86"/>
      <c r="R86" s="86"/>
      <c r="S86" s="86"/>
      <c r="T86" s="86"/>
      <c r="U86" s="86"/>
      <c r="V86" s="86"/>
    </row>
    <row r="87" spans="4:22" ht="16.5" hidden="1" customHeight="1">
      <c r="D87" s="86"/>
      <c r="E87" s="86"/>
      <c r="F87" s="86"/>
      <c r="G87" s="86"/>
      <c r="H87" s="86"/>
      <c r="I87" s="86"/>
      <c r="J87" s="86"/>
      <c r="K87" s="86"/>
      <c r="L87" s="86"/>
      <c r="M87" s="86" t="str">
        <f>IF(R26=TRUE,E37,M85)</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87" s="86"/>
      <c r="O87" s="86"/>
      <c r="P87" s="86"/>
      <c r="Q87" s="86"/>
      <c r="R87" s="86"/>
      <c r="S87" s="86"/>
      <c r="T87" s="86"/>
      <c r="U87" s="86"/>
      <c r="V87" s="86"/>
    </row>
    <row r="88" spans="4:22" ht="16.5" hidden="1" customHeight="1">
      <c r="D88" s="86"/>
      <c r="E88" s="86"/>
      <c r="F88" s="86"/>
      <c r="G88" s="86"/>
      <c r="H88" s="86"/>
      <c r="I88" s="86"/>
      <c r="J88" s="86"/>
      <c r="K88" s="86"/>
      <c r="L88" s="86" t="b">
        <f>AND(F14+F15&gt;0,M13+M12&gt;0,G15+G14&gt;0,N13+N12&gt;0,F13=0,الأبناء__ذكور+M9+F10+M10+F11+F12=0)</f>
        <v>0</v>
      </c>
      <c r="M88" s="440" t="str">
        <f>IF(M60=TRUE,R58,M87)</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88" s="86"/>
      <c r="O88" s="86"/>
      <c r="P88" s="86"/>
      <c r="Q88" s="86"/>
      <c r="R88" s="86"/>
      <c r="S88" s="86"/>
      <c r="T88" s="86"/>
      <c r="U88" s="86"/>
      <c r="V88" s="86"/>
    </row>
    <row r="89" spans="4:22" ht="16.5" hidden="1" customHeight="1">
      <c r="D89" s="86"/>
      <c r="E89" s="1201" t="s">
        <v>185</v>
      </c>
      <c r="F89" s="1201"/>
      <c r="G89" s="86"/>
      <c r="H89" s="86"/>
      <c r="I89" s="86"/>
      <c r="J89" s="86"/>
      <c r="K89" s="86"/>
      <c r="L89" s="86"/>
      <c r="M89" s="86"/>
      <c r="N89" s="86"/>
      <c r="O89" s="86"/>
      <c r="P89" s="86"/>
      <c r="Q89" s="86"/>
      <c r="R89" s="86"/>
      <c r="S89" s="86"/>
      <c r="T89" s="86"/>
      <c r="U89" s="86"/>
      <c r="V89" s="86"/>
    </row>
    <row r="90" spans="4:22" ht="16.5" hidden="1" customHeight="1" thickBot="1">
      <c r="D90" s="86"/>
      <c r="E90" s="1199">
        <v>3</v>
      </c>
      <c r="F90" s="1199"/>
      <c r="G90" s="86"/>
      <c r="H90" s="86"/>
      <c r="I90" s="86"/>
      <c r="J90" s="86"/>
      <c r="K90" s="86"/>
      <c r="L90" s="86" t="b">
        <f>AND(M11=1,N11=1/6,F22=1,G22=1/2,M15+M14=2,N15+N14=1/3,F14+M12+M13=0)</f>
        <v>0</v>
      </c>
      <c r="M90" s="86" t="str">
        <f>IF(L88=TRUE,'أقرأ (2)'!C129,M88)</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90" s="86"/>
      <c r="O90" s="86"/>
      <c r="P90" s="86"/>
      <c r="Q90" s="86"/>
      <c r="R90" s="86"/>
      <c r="S90" s="86"/>
      <c r="T90" s="86"/>
      <c r="U90" s="86"/>
      <c r="V90" s="86"/>
    </row>
    <row r="91" spans="4:22" ht="49.5" hidden="1" customHeight="1">
      <c r="D91" s="86"/>
      <c r="E91" s="86"/>
      <c r="F91" s="86"/>
      <c r="G91" s="86"/>
      <c r="H91" s="86"/>
      <c r="I91" s="86"/>
      <c r="J91" s="86"/>
      <c r="K91" s="86"/>
      <c r="L91" s="86" t="s">
        <v>114</v>
      </c>
      <c r="M91" s="119" t="str">
        <f>IF(L90=TRUE,"سميت هذه المسألة بالناقضة – بالضاد المعجمة – لأنها نقضت على عبد الله بن عباس – رضي الله عنهما – أحد أصلية ، وهذان الأصلان :   (1) أن الفرائض لا تعول عنده أصلا .   (2) أنه لا يحجب الأم من الثلث إلى السدس إلا بثلاثة من الإخوة فأكثر.",M90)</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91" s="120"/>
      <c r="O91" s="120"/>
      <c r="P91" s="120"/>
      <c r="Q91" s="120"/>
      <c r="R91" s="120"/>
      <c r="S91" s="120"/>
      <c r="T91" s="121"/>
      <c r="U91" s="86"/>
      <c r="V91" s="86"/>
    </row>
    <row r="92" spans="4:22" ht="16.5" hidden="1" customHeight="1">
      <c r="D92" s="86"/>
      <c r="E92" s="94" t="s">
        <v>179</v>
      </c>
      <c r="F92" s="87">
        <v>1</v>
      </c>
      <c r="G92" s="86"/>
      <c r="H92" s="86"/>
      <c r="I92" s="86"/>
      <c r="J92" s="86"/>
      <c r="K92" s="86"/>
      <c r="L92" s="86" t="s">
        <v>114</v>
      </c>
      <c r="M92" s="122"/>
      <c r="N92" s="123"/>
      <c r="O92" s="123"/>
      <c r="P92" s="123"/>
      <c r="Q92" s="123"/>
      <c r="R92" s="123"/>
      <c r="S92" s="123"/>
      <c r="T92" s="124"/>
      <c r="U92" s="86"/>
      <c r="V92" s="86"/>
    </row>
    <row r="93" spans="4:22" ht="16.5" hidden="1" customHeight="1">
      <c r="D93" s="86"/>
      <c r="E93" s="94" t="s">
        <v>180</v>
      </c>
      <c r="F93" s="86">
        <v>1</v>
      </c>
      <c r="G93" s="86"/>
      <c r="H93" s="86"/>
      <c r="I93" s="86"/>
      <c r="J93" s="86"/>
      <c r="K93" s="86"/>
      <c r="L93" s="86"/>
      <c r="M93" s="122"/>
      <c r="N93" s="123"/>
      <c r="O93" s="123"/>
      <c r="P93" s="123"/>
      <c r="Q93" s="123"/>
      <c r="R93" s="123"/>
      <c r="S93" s="123"/>
      <c r="T93" s="124"/>
      <c r="U93" s="86"/>
      <c r="V93" s="86"/>
    </row>
    <row r="94" spans="4:22" ht="16.5" hidden="1" customHeight="1" thickBot="1">
      <c r="D94" s="86"/>
      <c r="E94" s="94" t="s">
        <v>181</v>
      </c>
      <c r="F94" s="86">
        <v>1</v>
      </c>
      <c r="G94" s="86"/>
      <c r="H94" s="86"/>
      <c r="I94" s="86"/>
      <c r="J94" s="86"/>
      <c r="K94" s="86"/>
      <c r="L94" s="86"/>
      <c r="M94" s="125"/>
      <c r="N94" s="126"/>
      <c r="O94" s="126"/>
      <c r="P94" s="126"/>
      <c r="Q94" s="126"/>
      <c r="R94" s="126"/>
      <c r="S94" s="126"/>
      <c r="T94" s="127"/>
      <c r="U94" s="86"/>
      <c r="V94" s="86"/>
    </row>
    <row r="95" spans="4:22" ht="16.5" hidden="1" customHeight="1">
      <c r="D95" s="86"/>
      <c r="E95" s="94" t="s">
        <v>182</v>
      </c>
      <c r="F95" s="86">
        <v>1</v>
      </c>
      <c r="G95" s="86"/>
      <c r="H95" s="86"/>
      <c r="I95" s="86"/>
      <c r="J95" s="86"/>
      <c r="K95" s="86"/>
      <c r="L95" s="86"/>
      <c r="M95" s="86" t="str">
        <f>IF(G28=TRUE,"الأب أو الجد له حصة بالفرض والباقى تعصيبا",M91)</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95" s="86"/>
      <c r="O95" s="86"/>
      <c r="P95" s="86"/>
      <c r="Q95" s="86"/>
      <c r="R95" s="86" t="s">
        <v>114</v>
      </c>
      <c r="S95" s="86"/>
      <c r="T95" s="86"/>
      <c r="U95" s="86"/>
      <c r="V95" s="86"/>
    </row>
    <row r="96" spans="4:22" ht="16.5" hidden="1" customHeight="1">
      <c r="D96" s="86"/>
      <c r="E96" s="94" t="s">
        <v>183</v>
      </c>
      <c r="F96" s="86">
        <v>1</v>
      </c>
      <c r="G96" s="86"/>
      <c r="H96" s="86"/>
      <c r="I96" s="86"/>
      <c r="J96" s="86"/>
      <c r="K96" s="86"/>
      <c r="L96" s="86"/>
      <c r="M96" s="86"/>
      <c r="N96" s="86"/>
      <c r="O96" s="86"/>
      <c r="P96" s="86"/>
      <c r="Q96" s="86"/>
      <c r="R96" s="86"/>
      <c r="S96" s="86"/>
      <c r="T96" s="86"/>
      <c r="U96" s="86"/>
      <c r="V96" s="86"/>
    </row>
    <row r="97" spans="5:25" ht="16.5" hidden="1" customHeight="1" thickBot="1">
      <c r="E97" s="84" t="s">
        <v>184</v>
      </c>
      <c r="F97" s="85">
        <v>1</v>
      </c>
    </row>
    <row r="98" spans="5:25" ht="16.5" hidden="1" customHeight="1"/>
    <row r="99" spans="5:25" ht="30" customHeight="1">
      <c r="X99" s="45" t="str">
        <f>IF( AS9+AS10=0,"ضع  1  حالة السدس","")</f>
        <v/>
      </c>
    </row>
    <row r="100" spans="5:25" ht="22.5" customHeight="1">
      <c r="K100" s="45">
        <v>0</v>
      </c>
      <c r="N100" s="1164"/>
      <c r="O100" s="1164"/>
      <c r="P100" s="1164"/>
      <c r="Q100" s="1164"/>
      <c r="R100" s="1164"/>
      <c r="S100" s="1164"/>
      <c r="X100" s="45" t="str">
        <f>IF(L21="السدس ولو أدى الى العول","ضع رقم 1 فى الخلية الحمراء لأختيار السدس","")</f>
        <v/>
      </c>
      <c r="Y100" s="45" t="str">
        <f>IF( الأبناء__ذكور*M9&gt;0, 'أقرأ (2)'!C127,'أدخال البيانات'!E44)</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row>
    <row r="101" spans="5:25" ht="16.5" customHeight="1">
      <c r="N101" s="1164"/>
      <c r="O101" s="1164"/>
      <c r="P101" s="1164"/>
      <c r="Q101" s="1164"/>
      <c r="R101" s="1164"/>
      <c r="S101" s="1164"/>
      <c r="Y101" s="45" t="b">
        <f>AND(N12=2/3,G15&gt;0,N13&gt;0)</f>
        <v>0</v>
      </c>
    </row>
    <row r="102" spans="5:25" ht="16.5" customHeight="1">
      <c r="N102" s="1164"/>
      <c r="O102" s="1164"/>
      <c r="P102" s="1164"/>
      <c r="Q102" s="1164"/>
      <c r="R102" s="1164"/>
      <c r="S102" s="1164"/>
    </row>
    <row r="103" spans="5:25" ht="16.5" customHeight="1">
      <c r="N103" s="1164"/>
      <c r="O103" s="1164"/>
      <c r="P103" s="1164"/>
      <c r="Q103" s="1164"/>
      <c r="R103" s="1164"/>
      <c r="S103" s="1164"/>
    </row>
    <row r="104" spans="5:25" ht="16.5" customHeight="1">
      <c r="N104" s="1164"/>
      <c r="O104" s="1164"/>
      <c r="P104" s="1164"/>
      <c r="Q104" s="1164"/>
      <c r="R104" s="1164"/>
      <c r="S104" s="1164"/>
    </row>
    <row r="105" spans="5:25" ht="16.5" customHeight="1">
      <c r="N105" s="1164"/>
      <c r="O105" s="1164"/>
      <c r="P105" s="1164"/>
      <c r="Q105" s="1164"/>
      <c r="R105" s="1164"/>
      <c r="S105" s="1164"/>
    </row>
    <row r="108" spans="5:25" ht="16.5" customHeight="1">
      <c r="L108" s="45" t="s">
        <v>114</v>
      </c>
    </row>
    <row r="125" spans="13:13" ht="16.5" customHeight="1">
      <c r="M125" s="45" t="s">
        <v>114</v>
      </c>
    </row>
  </sheetData>
  <sheetProtection password="EF73" sheet="1" objects="1" scenarios="1" selectLockedCells="1" selectUnlockedCells="1"/>
  <protectedRanges>
    <protectedRange sqref="F14" name="Range5"/>
    <protectedRange sqref="AS9:AS11" name="Range3"/>
    <protectedRange sqref="M19" name="Range2"/>
    <protectedRange sqref="M9:M18 F9:F13 F15:F23" name="Range1"/>
    <protectedRange sqref="V7" name="Range4"/>
  </protectedRanges>
  <dataConsolidate/>
  <customSheetViews>
    <customSheetView guid="{D786A5C0-FBC0-4F24-9F75-D436CA99DC6C}" scale="70" colorId="19" showGridLines="0" outlineSymbols="0" zeroValues="0" printArea="1" hiddenRows="1" hiddenColumns="1" state="hidden" topLeftCell="D2">
      <selection activeCell="X2" sqref="X1:AZ1048576"/>
      <pageMargins left="0.23622047244094491" right="0.36" top="0.74803149606299213" bottom="0.48" header="0.31496062992125984" footer="0.31496062992125984"/>
      <printOptions gridLines="1"/>
      <pageSetup paperSize="9" scale="75" orientation="landscape" r:id="rId1"/>
    </customSheetView>
    <customSheetView guid="{257D8C62-BEC4-42F5-9011-98FE74A056C5}" scale="69" colorId="19" showGridLines="0" outlineSymbols="0" zeroValues="0" hiddenRows="1" hiddenColumns="1" topLeftCell="D3">
      <selection activeCell="L17" sqref="L17"/>
    </customSheetView>
    <customSheetView guid="{998369C8-AF8D-4C69-81C1-DF462985F742}" scale="70" colorId="19" outlineSymbols="0" zeroValues="0" hiddenRows="1" hiddenColumns="1" topLeftCell="E2">
      <selection activeCell="F9" sqref="F9"/>
      <pageMargins left="0.23622047244094491" right="0.36" top="0.74803149606299213" bottom="0.48" header="0.31496062992125984" footer="0.31496062992125984"/>
      <printOptions gridLines="1"/>
      <pageSetup paperSize="9" scale="75" orientation="landscape" r:id="rId2"/>
    </customSheetView>
  </customSheetViews>
  <mergeCells count="29">
    <mergeCell ref="E24:I24"/>
    <mergeCell ref="L23:N24"/>
    <mergeCell ref="AB44:AG45"/>
    <mergeCell ref="E90:F90"/>
    <mergeCell ref="L52:V52"/>
    <mergeCell ref="L51:V51"/>
    <mergeCell ref="L50:V50"/>
    <mergeCell ref="E89:F89"/>
    <mergeCell ref="N100:S105"/>
    <mergeCell ref="O21:V24"/>
    <mergeCell ref="R9:S9"/>
    <mergeCell ref="R17:S17"/>
    <mergeCell ref="R19:V20"/>
    <mergeCell ref="R10:S10"/>
    <mergeCell ref="L21:N22"/>
    <mergeCell ref="R11:V15"/>
    <mergeCell ref="R3:U3"/>
    <mergeCell ref="AK9:AL9"/>
    <mergeCell ref="R6:V7"/>
    <mergeCell ref="R8:V8"/>
    <mergeCell ref="AK5:AL5"/>
    <mergeCell ref="AK6:AL6"/>
    <mergeCell ref="R5:V5"/>
    <mergeCell ref="E3:I3"/>
    <mergeCell ref="L3:Q3"/>
    <mergeCell ref="L5:M5"/>
    <mergeCell ref="L6:M6"/>
    <mergeCell ref="E5:K5"/>
    <mergeCell ref="E6:K6"/>
  </mergeCells>
  <dataValidations xWindow="822" yWindow="609" count="12">
    <dataValidation allowBlank="1" showInputMessage="1" showErrorMessage="1" errorTitle="خلية محمية بكلمة السر" error="غير مخول بتغيير بيانات الخلية قد تفسد النظام" promptTitle="المواريث بالأكسل" prompt="غير مخول بتغيير البيانات قد تفسد النظام الخلية محمية بكلمة السر " sqref="K25:K93 M32:M33 L44:L93 L35:L36 L38:L42 E34:E40 X14:X16 K3:Q3 W6 R39:R94 O27:O59 O61:O94 O25 P25:Q94 S25:T94 R25:R26 L25:L33 R28:R37 M35:M94 M25:M29 N25:N94 E1:V2 W19 W8:W11 L7:L8 D24 E4:K7 AK5:AL5 W13 L4:M5 O4:O5 U25:V93 M7:Q7 N6 N4 P4:Q6 W15:W16"/>
    <dataValidation type="custom" allowBlank="1" showInputMessage="1" showErrorMessage="1" errorTitle="خلية محمية بكلمة السر" error="غير مخول بتغيير بيانات الخلية قد تفسد النظام" sqref="K8 W14 F8 R17:U17 N8 C8:C23 D7:D23 U5:V10 D3 L20:N20 K19:K24 H9:H22 G8:G22 R3:U4">
      <formula1>"a=84208420"</formula1>
    </dataValidation>
    <dataValidation allowBlank="1" showInputMessage="1" showErrorMessage="1" errorTitle="خلية محمية بكلمة السر" error="غير مخول بتغيير بيانات الخلية قد تفسد النظام" sqref="M8 E8 H8:J8 D4:D6 O21:V24 D1:D2 O8:Q8"/>
    <dataValidation type="decimal" allowBlank="1" showErrorMessage="1" errorTitle="ضع عدد الورثـــــــــــة 1---4" error=" تجاوز الحد المسموح يؤدى الى عدم ظهور الرقم فى الخلايا" promptTitle="عدد الورثــــــــــــــــــــــة" prompt="تجاوز عدد الورثة الحد المسموح يؤدى الى عدم ضهور العدد فى الخلية" sqref="M18">
      <formula1>0</formula1>
      <formula2>4</formula2>
    </dataValidation>
    <dataValidation type="custom" errorStyle="warning" allowBlank="1" showInputMessage="1" showErrorMessage="1" errorTitle="خلية محمية بكلمة السر" error="غير مخول بتغيير بيانات الخلية قد تفسد النظام" sqref="V17">
      <formula1>12341234</formula1>
    </dataValidation>
    <dataValidation type="custom" errorStyle="warning" allowBlank="1" showInputMessage="1" showErrorMessage="1" errorTitle="خلية محمية بكلمة السر" error="غير مخول بتغيير بيانات الخلية قد تفسد النظام" sqref="R5:T10 O19:V20 L21:N24 V3:X4">
      <formula1>"a=84208420"</formula1>
    </dataValidation>
    <dataValidation type="custom" errorStyle="information" allowBlank="1" showInputMessage="1" showErrorMessage="1" errorTitle="خلية محمية بكلمة السر" error="غير مخول بتغيير بيانات الخلية قد تفسد النظام" sqref="L19:N19 E23 G23:H23">
      <formula1>" "</formula1>
    </dataValidation>
    <dataValidation type="custom" errorStyle="information" allowBlank="1" showInputMessage="1" showErrorMessage="1" errorTitle="خلية محمية بكلمة السر" error="غير مخول بتغيير بيانات الخلية قد تفسد النظام" sqref="E9:E22 L9:L18">
      <formula1>"a=84208420"</formula1>
    </dataValidation>
    <dataValidation type="decimal" allowBlank="1" showErrorMessage="1" errorTitle="ضع عدد الورثـــــــــــة 1--  " error=" تجاوز الحد المسموح يؤدى الى عدم ظهور الرقم فى الخلايا" promptTitle="عدد الورثــــــــــــــــــــــة" prompt="تجاوز عدد الورثة الحد المسموح يؤدى الى عدم ضهور العدد فى الخلية" sqref="F12:F13 M11 M16:M17 F22:F23">
      <formula1>0</formula1>
      <formula2>1</formula2>
    </dataValidation>
    <dataValidation type="decimal" allowBlank="1" showErrorMessage="1" errorTitle="ضع عدد الورثـــــــــــة 1--12" error=" تجاوز الحد المسموح يؤدى الى عدم ظهور الرقم فى الخلايا" promptTitle="عدد الورثــــــــــــــــــــــة" prompt="تجاوز عدد الورثة الحد المسموح يؤدى الى عدم ضهور العدد فى الخلية" sqref="M12:M15 F14:F21 F10:F11 M10">
      <formula1>0</formula1>
      <formula2>12</formula2>
    </dataValidation>
    <dataValidation type="decimal" errorStyle="warning" allowBlank="1" showInputMessage="1" showErrorMessage="1" errorTitle="حالات الجد والأخوة" error="ضع 1أو 0" prompt="حالات الجد ضع 1 أو  0   للألغاء" sqref="AS9:AS11">
      <formula1>0</formula1>
      <formula2>1</formula2>
    </dataValidation>
    <dataValidation type="decimal" errorStyle="warning" allowBlank="1" showErrorMessage="1" errorTitle="ضع عدد الورثـــــــــــة 1--12" error=" تجاوز الحد المسموح يؤدى الى عدم ظهور الرقم فى الخلايا" promptTitle="عدد الورثــــــــــــــــــــــة" prompt="تجاوز عدد الورثة الحد المسموح يؤدى الى عدم ضهور العدد فى الخلية" sqref="F9 M9">
      <formula1>0</formula1>
      <formula2>12</formula2>
    </dataValidation>
  </dataValidations>
  <hyperlinks>
    <hyperlink ref="V3" r:id="rId3"/>
  </hyperlinks>
  <printOptions gridLines="1"/>
  <pageMargins left="0.23622047244094491" right="0.36" top="0.74803149606299213" bottom="0.48" header="0.31496062992125984" footer="0.31496062992125984"/>
  <pageSetup paperSize="9" scale="75" orientation="landscape" r:id="rId4"/>
  <legacy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00"/>
  </sheetPr>
  <dimension ref="A1:AX107"/>
  <sheetViews>
    <sheetView showZeros="0" rightToLeft="1" topLeftCell="B7" zoomScaleNormal="93" workbookViewId="0">
      <selection activeCell="AP16" sqref="AP16"/>
    </sheetView>
  </sheetViews>
  <sheetFormatPr defaultColWidth="7.75" defaultRowHeight="15"/>
  <cols>
    <col min="1" max="1" width="6.5" hidden="1" customWidth="1"/>
    <col min="2" max="2" width="3.125" customWidth="1"/>
    <col min="3" max="3" width="9.625" customWidth="1"/>
    <col min="4" max="4" width="14.75" customWidth="1"/>
    <col min="5" max="5" width="2.75" customWidth="1"/>
    <col min="6" max="6" width="14.625" hidden="1" customWidth="1"/>
    <col min="7" max="7" width="10.75" hidden="1" customWidth="1"/>
    <col min="8" max="8" width="5.375" hidden="1" customWidth="1"/>
    <col min="9" max="9" width="9.5" hidden="1" customWidth="1"/>
    <col min="10" max="12" width="8.625" hidden="1" customWidth="1"/>
    <col min="13" max="13" width="11" customWidth="1"/>
    <col min="14" max="14" width="8.875" hidden="1" customWidth="1"/>
    <col min="15" max="15" width="13.125" customWidth="1"/>
    <col min="16" max="16" width="16.125" hidden="1" customWidth="1"/>
    <col min="17" max="17" width="9.25" hidden="1" customWidth="1"/>
    <col min="18" max="18" width="11.5" hidden="1" customWidth="1"/>
    <col min="19" max="19" width="17.625" hidden="1" customWidth="1"/>
    <col min="20" max="20" width="11.125" hidden="1" customWidth="1"/>
    <col min="21" max="21" width="15.875" hidden="1" customWidth="1"/>
    <col min="22" max="22" width="18.25" hidden="1" customWidth="1"/>
    <col min="23" max="23" width="19.75" hidden="1" customWidth="1"/>
    <col min="24" max="24" width="16.375" hidden="1" customWidth="1"/>
    <col min="25" max="30" width="2" hidden="1" customWidth="1"/>
    <col min="31" max="31" width="9.75" hidden="1" customWidth="1"/>
    <col min="32" max="32" width="8.25" hidden="1" customWidth="1"/>
    <col min="33" max="33" width="9.625" hidden="1" customWidth="1"/>
    <col min="34" max="34" width="2.5" hidden="1" customWidth="1"/>
    <col min="35" max="35" width="20.75" hidden="1" customWidth="1"/>
    <col min="36" max="36" width="17.25" customWidth="1"/>
    <col min="37" max="37" width="8.25" hidden="1" customWidth="1"/>
    <col min="38" max="38" width="12" hidden="1" customWidth="1"/>
    <col min="39" max="39" width="17.125" hidden="1" customWidth="1"/>
    <col min="40" max="40" width="12.25" hidden="1" customWidth="1"/>
    <col min="41" max="41" width="16.5" hidden="1" customWidth="1"/>
    <col min="42" max="42" width="16.875" customWidth="1"/>
    <col min="43" max="43" width="11.625" customWidth="1"/>
    <col min="44" max="44" width="21" customWidth="1"/>
    <col min="45" max="45" width="7.75" customWidth="1"/>
    <col min="46" max="46" width="19" customWidth="1"/>
    <col min="47" max="47" width="23.125" customWidth="1"/>
    <col min="48" max="48" width="15.75" customWidth="1"/>
    <col min="49" max="49" width="7.75" customWidth="1"/>
    <col min="50" max="50" width="18.125" customWidth="1"/>
    <col min="51" max="51" width="8.375" customWidth="1"/>
    <col min="52" max="52" width="7.75" customWidth="1"/>
    <col min="53" max="53" width="10.25" customWidth="1"/>
  </cols>
  <sheetData>
    <row r="1" spans="1:50" ht="21.75" hidden="1" customHeight="1">
      <c r="G1" s="1">
        <f>1/3-'الأجـــازة للوصايا'!BD7</f>
        <v>0.33333333333333331</v>
      </c>
      <c r="H1" s="1">
        <f>R3</f>
        <v>1</v>
      </c>
      <c r="I1" s="1">
        <f>IF(SUM('الأجـــازة للوصايا'!K88:K99)=0,1,'الأجـــازة للوصايا'!BD10)</f>
        <v>1</v>
      </c>
      <c r="J1" s="1">
        <f>IF(SUM('الأجـــازة للوصايا'!L88:L99)=0,1,'الأجـــازة للوصايا'!BE10)</f>
        <v>1</v>
      </c>
      <c r="K1" s="1">
        <f>IF(SUM('الأجـــازة للوصايا'!M88:M99)=0,1,'الأجـــازة للوصايا'!BF10)</f>
        <v>1</v>
      </c>
      <c r="L1" s="1">
        <f>IF(SUM('الأجـــازة للوصايا'!N88:N99)=0,1,'الأجـــازة للوصايا'!BG10)</f>
        <v>1</v>
      </c>
      <c r="R1">
        <f>MINVERSE(I1)</f>
        <v>1</v>
      </c>
      <c r="S1">
        <f>MINVERSE(J1)</f>
        <v>1</v>
      </c>
      <c r="T1">
        <f>MINVERSE(K1)</f>
        <v>1</v>
      </c>
      <c r="U1">
        <f>MINVERSE(L1)</f>
        <v>1</v>
      </c>
    </row>
    <row r="2" spans="1:50" ht="30" hidden="1" customHeight="1">
      <c r="G2" s="1">
        <f>1/3-'الأجـــازة للوصايا'!BE7</f>
        <v>0.33333333333333331</v>
      </c>
      <c r="H2" s="1">
        <f>S3</f>
        <v>1</v>
      </c>
      <c r="I2" s="1">
        <f xml:space="preserve"> R3*(S3/V5)</f>
        <v>1</v>
      </c>
      <c r="J2" s="1">
        <f>T3*R3/V5</f>
        <v>1</v>
      </c>
      <c r="K2" s="1">
        <f>R3*U3/V5</f>
        <v>1</v>
      </c>
      <c r="L2" s="1">
        <f>R3*V3/V5</f>
        <v>1</v>
      </c>
      <c r="R2" s="1">
        <f>IFERROR(R1,1)</f>
        <v>1</v>
      </c>
      <c r="S2" s="1">
        <f>IFERROR(S1,1)</f>
        <v>1</v>
      </c>
      <c r="T2" s="1">
        <f>IFERROR(T1,1)</f>
        <v>1</v>
      </c>
      <c r="U2" s="1">
        <f>IFERROR(U1,1)</f>
        <v>1</v>
      </c>
      <c r="V2" s="1" t="s">
        <v>114</v>
      </c>
      <c r="W2" s="1">
        <f>V4*U4*T4*S4*R4*R4</f>
        <v>1</v>
      </c>
      <c r="X2" s="536">
        <f xml:space="preserve"> W3</f>
        <v>1</v>
      </c>
    </row>
    <row r="3" spans="1:50" ht="27" hidden="1" customHeight="1" thickBot="1">
      <c r="G3" s="1">
        <f>1/3-'الأجـــازة للوصايا'!BF7</f>
        <v>0.33333333333333331</v>
      </c>
      <c r="I3" s="1">
        <f>IFERROR( 'الأجـــازة للوصايا'!BD10,0)</f>
        <v>0</v>
      </c>
      <c r="J3" s="1">
        <f>IFERROR( 'الأجـــازة للوصايا'!BE10,0)</f>
        <v>0</v>
      </c>
      <c r="K3" s="1">
        <f>IFERROR( 'الأجـــازة للوصايا'!BF10,0)</f>
        <v>0</v>
      </c>
      <c r="L3" s="1">
        <f>IFERROR( 'الأجـــازة للوصايا'!BG10,0)</f>
        <v>0</v>
      </c>
      <c r="M3" s="478" t="b">
        <f>AND( 'الأجـــازة للوصايا'!BD9&gt;='الأجـــازة للوصايا'!BD10, 'الأجـــازة للوصايا'!BE9&gt;='الأجـــازة للوصايا'!BE10, 'الأجـــازة للوصايا'!BF9&gt;='الأجـــازة للوصايا'!BF10,'الأجـــازة للوصايا'!BG9&gt;='الأجـــازة للوصايا'!BG10)</f>
        <v>1</v>
      </c>
      <c r="N3" s="491" t="str">
        <f>IF('الأجـــازة للوصايا'!BD7+'الأجـــازة للوصايا'!BE7+'الأجـــازة للوصايا'!BF7+'الأجـــازة للوصايا'!BG7&gt;1,"تجاوز الوصايا التركــــــــــــة","")</f>
        <v/>
      </c>
      <c r="O3" s="491"/>
      <c r="P3" s="1">
        <f>1/Q3</f>
        <v>4</v>
      </c>
      <c r="Q3" s="1">
        <f>S4/(S4+T4+U4+V4)</f>
        <v>0.25</v>
      </c>
      <c r="R3" s="1">
        <f>1/R4</f>
        <v>1</v>
      </c>
      <c r="S3" s="1">
        <f>1/S4</f>
        <v>1</v>
      </c>
      <c r="T3" s="1">
        <f>1/T4</f>
        <v>1</v>
      </c>
      <c r="U3" s="1">
        <f>1/U4</f>
        <v>1</v>
      </c>
      <c r="V3" s="1">
        <f>1/V4</f>
        <v>1</v>
      </c>
      <c r="W3" s="521">
        <f xml:space="preserve"> W4*W7*R4</f>
        <v>1</v>
      </c>
      <c r="X3" s="1">
        <f>V4*U4*T4*S4</f>
        <v>1</v>
      </c>
      <c r="Y3" s="1">
        <f>X3*W3</f>
        <v>1</v>
      </c>
    </row>
    <row r="4" spans="1:50" ht="59.25" hidden="1" customHeight="1">
      <c r="G4" s="1">
        <f>1/3-'الأجـــازة للوصايا'!BG7</f>
        <v>0.33333333333333331</v>
      </c>
      <c r="I4">
        <f>IF(SUM('الأجـــازة للوصايا'!K88:K99)&gt;0,3,1)</f>
        <v>1</v>
      </c>
      <c r="J4">
        <f>IF(SUM('الأجـــازة للوصايا'!L88:L99)&gt;0,3,1)</f>
        <v>1</v>
      </c>
      <c r="K4">
        <f>IF(SUM('الأجـــازة للوصايا'!M88:M99)&gt;0,3,1)</f>
        <v>1</v>
      </c>
      <c r="L4">
        <f>IF(SUM('الأجـــازة للوصايا'!N88:N99)&gt;0,3,1)</f>
        <v>1</v>
      </c>
      <c r="P4" s="1">
        <f>SUM(M12:M27)</f>
        <v>0</v>
      </c>
      <c r="Q4" s="1">
        <f>IFERROR(  AF9,1)</f>
        <v>3</v>
      </c>
      <c r="R4" s="485">
        <f>IF('الأجـــازة للوصايا'!BD7+'الأجـــازة للوصايا'!BE7+'الأجـــازة للوصايا'!BF7+'الأجـــازة للوصايا'!BG7=0,1,Q4)</f>
        <v>1</v>
      </c>
      <c r="S4" s="485">
        <f>IFERROR(AG9,1)</f>
        <v>1</v>
      </c>
      <c r="T4" s="485">
        <f>IFERROR(AH9,1)</f>
        <v>1</v>
      </c>
      <c r="U4" s="485">
        <f>IFERROR(AI9,1)</f>
        <v>1</v>
      </c>
      <c r="V4" s="485">
        <f>IFERROR(AL7,1)</f>
        <v>1</v>
      </c>
      <c r="W4" s="1">
        <f>W8*W7</f>
        <v>1</v>
      </c>
      <c r="AB4" s="1">
        <f>P7*'الأجـــازة للوصايا'!BD7/V5</f>
        <v>0</v>
      </c>
      <c r="AC4" s="1">
        <f>'الأجـــازة للوصايا'!BG10+'الأجـــازة للوصايا'!BF10+'الأجـــازة للوصايا'!BE10+'الأجـــازة للوصايا'!BD10</f>
        <v>0</v>
      </c>
      <c r="AE4" s="13">
        <f xml:space="preserve"> AI7/(S4+AH7+AI7+AO8)</f>
        <v>0.25</v>
      </c>
      <c r="AF4" s="13"/>
      <c r="AG4" s="13"/>
      <c r="AH4" s="13"/>
      <c r="AI4" s="541"/>
      <c r="AJ4" s="478"/>
      <c r="AK4" s="478"/>
    </row>
    <row r="5" spans="1:50" ht="22.5" hidden="1" customHeight="1">
      <c r="P5" s="1" t="s">
        <v>114</v>
      </c>
      <c r="R5" s="309">
        <f>IF(S4&gt;1,1/S4,0)</f>
        <v>0</v>
      </c>
      <c r="S5" s="309">
        <f>IF(T4&gt;1,1/T4,0)</f>
        <v>0</v>
      </c>
      <c r="T5" s="309">
        <f>IF(U4&gt;1,1/U4,0)</f>
        <v>0</v>
      </c>
      <c r="U5" s="309">
        <f>IF(V4&gt;1,1/V4,0)</f>
        <v>0</v>
      </c>
      <c r="V5" s="1">
        <f>IFERROR(W5,1)</f>
        <v>1</v>
      </c>
      <c r="W5" s="1">
        <f>IF(U5+T5+S5+R5=0,1,U5+T5+S5+R5)</f>
        <v>1</v>
      </c>
      <c r="X5" s="1">
        <f>V4*U4*T4*S4</f>
        <v>1</v>
      </c>
      <c r="AC5" s="1" t="s">
        <v>114</v>
      </c>
      <c r="AE5" s="493">
        <f>AF7*AO8/(AG7+AH7+AI7+AO8)</f>
        <v>0.25</v>
      </c>
      <c r="AF5" s="493" t="s">
        <v>114</v>
      </c>
      <c r="AG5" s="493"/>
      <c r="AH5" s="493"/>
      <c r="AI5" s="542"/>
      <c r="AK5" s="478"/>
    </row>
    <row r="6" spans="1:50" ht="28.5" customHeight="1" thickTop="1" thickBot="1">
      <c r="A6" t="str">
        <f>IF( SUM('الأجـــازة للوصايا'!BD7:BG7)+SUM('الأجـــازة للوصايا'!I88:I99)&lt;=2,"العملية صحيحة","خطأ راجع المسألة")</f>
        <v>العملية صحيحة</v>
      </c>
      <c r="C6" s="848">
        <f>SUM(M12:M27)</f>
        <v>0</v>
      </c>
      <c r="D6" s="697"/>
      <c r="E6" s="697"/>
      <c r="F6" s="871">
        <f>SUM('الأجـــازة للوصايا'!BD10:BG10)</f>
        <v>0</v>
      </c>
      <c r="G6" s="697"/>
      <c r="H6" s="697"/>
      <c r="I6" s="697"/>
      <c r="J6" s="697"/>
      <c r="K6" s="697"/>
      <c r="L6" s="697"/>
      <c r="M6" s="697"/>
      <c r="N6" s="697"/>
      <c r="O6" s="697"/>
      <c r="P6" s="698"/>
      <c r="Q6" s="697"/>
      <c r="R6" s="649"/>
      <c r="S6" s="649"/>
      <c r="T6" s="649"/>
      <c r="U6" s="649"/>
      <c r="V6" s="698"/>
      <c r="W6" s="698"/>
      <c r="X6" s="698"/>
      <c r="Y6" s="697"/>
      <c r="Z6" s="697"/>
      <c r="AA6" s="697"/>
      <c r="AB6" s="697"/>
      <c r="AC6" s="698"/>
      <c r="AD6" s="697"/>
      <c r="AE6" s="699"/>
      <c r="AF6" s="699"/>
      <c r="AG6" s="699"/>
      <c r="AH6" s="699"/>
      <c r="AI6" s="700"/>
      <c r="AJ6" s="697"/>
      <c r="AK6" s="478"/>
    </row>
    <row r="7" spans="1:50" ht="27.75" customHeight="1" thickTop="1" thickBot="1">
      <c r="A7" s="1" t="str">
        <f>IF(F6=1/3,"الورثة أجازو الثلث",A6)</f>
        <v>العملية صحيحة</v>
      </c>
      <c r="B7" s="1"/>
      <c r="C7" s="1377" t="s">
        <v>69</v>
      </c>
      <c r="D7" s="848" t="e">
        <f>'ورقة أجازة وعدم الأجازة للمختصن'!C7</f>
        <v>#DIV/0!</v>
      </c>
      <c r="E7" s="697"/>
      <c r="M7" s="697"/>
      <c r="N7" s="697"/>
      <c r="O7" s="697"/>
      <c r="P7" s="830">
        <v>0.33333333333333331</v>
      </c>
      <c r="Q7" s="701" t="s">
        <v>114</v>
      </c>
      <c r="R7" s="702" t="s">
        <v>114</v>
      </c>
      <c r="S7" s="702" t="s">
        <v>114</v>
      </c>
      <c r="T7" s="701" t="s">
        <v>114</v>
      </c>
      <c r="U7" s="702" t="s">
        <v>114</v>
      </c>
      <c r="V7" s="702" t="s">
        <v>114</v>
      </c>
      <c r="W7" s="703">
        <f>V4*U4*T4*S4</f>
        <v>1</v>
      </c>
      <c r="X7" s="701"/>
      <c r="Y7" s="701"/>
      <c r="Z7" s="701"/>
      <c r="AA7" s="701"/>
      <c r="AB7" s="702" t="e">
        <f>'الأجـــازة للوصايا'!J88*1/X12</f>
        <v>#DIV/0!</v>
      </c>
      <c r="AC7" s="704" t="s">
        <v>114</v>
      </c>
      <c r="AD7" s="701"/>
      <c r="AE7" s="705">
        <f>IF(P7=0,1,1/P7)</f>
        <v>3</v>
      </c>
      <c r="AF7" s="705">
        <f>ROUNDDOWN( R4,0)</f>
        <v>1</v>
      </c>
      <c r="AG7" s="705">
        <f>ROUNDDOWN(S4,0)</f>
        <v>1</v>
      </c>
      <c r="AH7" s="705">
        <f>ROUNDDOWN(T4,0)</f>
        <v>1</v>
      </c>
      <c r="AI7" s="706">
        <f>ROUNDDOWN(U4,0)</f>
        <v>1</v>
      </c>
      <c r="AJ7" s="697"/>
      <c r="AK7" s="478" t="s">
        <v>114</v>
      </c>
      <c r="AL7" s="540" t="e">
        <f>MINVERSE(  'الأجـــازة للوصايا'!BG7)</f>
        <v>#NUM!</v>
      </c>
      <c r="AM7" s="28"/>
      <c r="AN7" s="28"/>
      <c r="AO7" s="478"/>
      <c r="AP7" s="28"/>
      <c r="AQ7" s="28"/>
      <c r="AR7" s="28"/>
      <c r="AS7" s="28"/>
      <c r="AT7" s="28"/>
      <c r="AU7" s="28"/>
      <c r="AV7" s="28"/>
      <c r="AW7" s="28"/>
      <c r="AX7" s="28"/>
    </row>
    <row r="8" spans="1:50" ht="27.75" customHeight="1" thickTop="1" thickBot="1">
      <c r="C8" s="1378"/>
      <c r="D8" s="848"/>
      <c r="E8" s="697"/>
      <c r="M8" s="697"/>
      <c r="N8" s="697"/>
      <c r="O8" s="697"/>
      <c r="P8" s="697"/>
      <c r="Q8" s="701" t="s">
        <v>114</v>
      </c>
      <c r="R8" s="702">
        <f>IF(N52*N53=0,1,N52*N53)</f>
        <v>1</v>
      </c>
      <c r="S8" s="702" t="s">
        <v>114</v>
      </c>
      <c r="T8" s="702" t="s">
        <v>114</v>
      </c>
      <c r="U8" s="702">
        <f>W3/W7</f>
        <v>1</v>
      </c>
      <c r="V8" s="702">
        <f>IFERROR(W3/W4,1)</f>
        <v>1</v>
      </c>
      <c r="W8" s="703">
        <f>V5*W7</f>
        <v>1</v>
      </c>
      <c r="X8" s="702">
        <f>V3*U3*T3*S3</f>
        <v>1</v>
      </c>
      <c r="Y8" s="701"/>
      <c r="Z8" s="701"/>
      <c r="AA8" s="701"/>
      <c r="AB8" s="701"/>
      <c r="AC8" s="701"/>
      <c r="AD8" s="701"/>
      <c r="AE8" s="707">
        <f>IF(P7=0,1,P7)</f>
        <v>0.33333333333333331</v>
      </c>
      <c r="AF8" s="701"/>
      <c r="AG8" s="701"/>
      <c r="AH8" s="701"/>
      <c r="AI8" s="701"/>
      <c r="AJ8" s="697"/>
      <c r="AK8" s="550"/>
      <c r="AL8" s="28"/>
      <c r="AM8" s="28"/>
      <c r="AN8" s="28"/>
      <c r="AO8" s="478">
        <f>ROUNDDOWN(V4,0)</f>
        <v>1</v>
      </c>
      <c r="AP8" s="28"/>
      <c r="AQ8" s="28"/>
      <c r="AR8" s="28"/>
      <c r="AS8" s="28"/>
      <c r="AT8" s="28"/>
      <c r="AU8" s="28"/>
      <c r="AV8" s="28"/>
      <c r="AW8" s="28"/>
      <c r="AX8" s="28"/>
    </row>
    <row r="9" spans="1:50" ht="27.75" customHeight="1" thickTop="1" thickBot="1">
      <c r="C9" s="793" t="s">
        <v>744</v>
      </c>
      <c r="D9" s="794">
        <f>S29</f>
        <v>0</v>
      </c>
      <c r="E9" s="697"/>
      <c r="M9" s="697"/>
      <c r="N9" s="697"/>
      <c r="O9" s="697"/>
      <c r="P9" s="697"/>
      <c r="Q9" s="708" t="s">
        <v>114</v>
      </c>
      <c r="R9" s="708">
        <f>IF(N52=0,1,N52)</f>
        <v>1</v>
      </c>
      <c r="S9" s="709">
        <f>S4*R4</f>
        <v>1</v>
      </c>
      <c r="T9" s="709">
        <f>T4*R4</f>
        <v>1</v>
      </c>
      <c r="U9" s="710">
        <f>U4*R4</f>
        <v>1</v>
      </c>
      <c r="V9" s="709">
        <f>V4*R4</f>
        <v>1</v>
      </c>
      <c r="W9" s="709">
        <f>R3*S3/V5</f>
        <v>1</v>
      </c>
      <c r="X9" s="711">
        <f>1/X8</f>
        <v>1</v>
      </c>
      <c r="Y9" s="795"/>
      <c r="Z9" s="708"/>
      <c r="AA9" s="708"/>
      <c r="AB9" s="708"/>
      <c r="AC9" s="708"/>
      <c r="AD9" s="708"/>
      <c r="AE9" s="712" t="s">
        <v>114</v>
      </c>
      <c r="AF9" s="713">
        <f>MINVERSE( AE8)</f>
        <v>3</v>
      </c>
      <c r="AG9" s="713" t="e">
        <f>MINVERSE('الأجـــازة للوصايا'!BD7)</f>
        <v>#NUM!</v>
      </c>
      <c r="AH9" s="713" t="e">
        <f>MINVERSE( 'الأجـــازة للوصايا'!BE7)</f>
        <v>#NUM!</v>
      </c>
      <c r="AI9" s="714" t="e">
        <f>MINVERSE(  'الأجـــازة للوصايا'!BF7)</f>
        <v>#NUM!</v>
      </c>
      <c r="AJ9" s="796" t="s">
        <v>747</v>
      </c>
      <c r="AK9" s="538"/>
      <c r="AN9" s="28"/>
      <c r="AO9" s="545"/>
      <c r="AP9" s="28"/>
      <c r="AQ9" s="28"/>
      <c r="AR9" s="28"/>
      <c r="AS9" s="28"/>
      <c r="AT9" s="28"/>
      <c r="AU9" s="28"/>
      <c r="AV9" s="28"/>
      <c r="AW9" s="28"/>
    </row>
    <row r="10" spans="1:50" ht="27.75" customHeight="1" thickTop="1" thickBot="1">
      <c r="C10" s="793" t="s">
        <v>755</v>
      </c>
      <c r="D10" s="794">
        <f>VLOOKUP('الأجـــازة للوصايا'!H88,'ورقة أجازة وعدم الأجازة للمختصن'!E12:F23,2,FALSE)</f>
        <v>0</v>
      </c>
      <c r="E10" s="697"/>
      <c r="M10" s="697"/>
      <c r="N10" s="697"/>
      <c r="O10" s="697"/>
      <c r="P10" s="697"/>
      <c r="Q10" s="708"/>
      <c r="R10" s="708">
        <f>IF(N53=0,1,N53)</f>
        <v>1</v>
      </c>
      <c r="S10" s="708"/>
      <c r="T10" s="708"/>
      <c r="U10" s="708"/>
      <c r="V10" s="709">
        <f>V9*U9*T9*S9</f>
        <v>1</v>
      </c>
      <c r="W10" s="709" t="s">
        <v>114</v>
      </c>
      <c r="X10" s="709">
        <f>V10/389</f>
        <v>2.5706940874035988E-3</v>
      </c>
      <c r="Y10" s="709" t="s">
        <v>114</v>
      </c>
      <c r="Z10" s="709"/>
      <c r="AA10" s="709"/>
      <c r="AB10" s="709"/>
      <c r="AC10" s="709"/>
      <c r="AD10" s="709"/>
      <c r="AE10" s="709"/>
      <c r="AF10" s="709"/>
      <c r="AG10" s="709"/>
      <c r="AH10" s="709" t="s">
        <v>114</v>
      </c>
      <c r="AI10" s="709" t="s">
        <v>114</v>
      </c>
      <c r="AJ10" s="866">
        <f>'ورقة أجازة وعدم الأجازة للمختصن'!AL11</f>
        <v>100</v>
      </c>
      <c r="AK10" s="28"/>
      <c r="AL10" s="478">
        <f>U5</f>
        <v>0</v>
      </c>
      <c r="AN10" s="478" t="s">
        <v>114</v>
      </c>
      <c r="AO10" s="540" t="e">
        <f>MINVERSE(  'الأجـــازة للوصايا'!BG7)</f>
        <v>#NUM!</v>
      </c>
      <c r="AP10" s="28"/>
      <c r="AQ10" s="28"/>
      <c r="AR10" s="28"/>
      <c r="AS10" s="28"/>
      <c r="AT10" s="28"/>
      <c r="AU10" s="28"/>
      <c r="AV10" s="28"/>
      <c r="AW10" s="28"/>
    </row>
    <row r="11" spans="1:50" ht="34.5" customHeight="1" thickTop="1" thickBot="1">
      <c r="C11" s="1384">
        <f>'الأجـــازة للوصايا'!H88</f>
        <v>0</v>
      </c>
      <c r="D11" s="1385"/>
      <c r="E11" s="698"/>
      <c r="M11" s="831" t="s">
        <v>739</v>
      </c>
      <c r="N11" s="832"/>
      <c r="O11" s="833" t="s">
        <v>540</v>
      </c>
      <c r="P11" s="834" t="s">
        <v>753</v>
      </c>
      <c r="Q11" s="835" t="s">
        <v>137</v>
      </c>
      <c r="R11" s="836"/>
      <c r="S11" s="837" t="s">
        <v>734</v>
      </c>
      <c r="T11" s="836" t="s">
        <v>733</v>
      </c>
      <c r="U11" s="836" t="s">
        <v>733</v>
      </c>
      <c r="V11" s="840"/>
      <c r="W11" s="841"/>
      <c r="X11" s="708"/>
      <c r="Y11" s="709"/>
      <c r="Z11" s="709"/>
      <c r="AA11" s="709"/>
      <c r="AB11" s="709"/>
      <c r="AC11" s="709"/>
      <c r="AD11" s="709"/>
      <c r="AE11" s="709"/>
      <c r="AF11" s="709"/>
      <c r="AG11" s="709"/>
      <c r="AH11" s="708"/>
      <c r="AI11" s="805">
        <f>'أدخال البيانات'!$R$8* X2</f>
        <v>0</v>
      </c>
      <c r="AJ11" s="866"/>
    </row>
    <row r="12" spans="1:50" ht="18.75" customHeight="1" thickTop="1" thickBot="1">
      <c r="C12" s="1295" t="str">
        <f>IF(SUM('الأجـــازة للوصايا'!K88:N99) &gt;0,"بعض الورثة أجازو الوصايا",A7)</f>
        <v>العملية صحيحة</v>
      </c>
      <c r="D12" s="1296"/>
      <c r="E12" s="697"/>
      <c r="M12" s="813">
        <f t="shared" ref="M12:M23" si="0">IF(X12&lt;0,"الوارث لم يبقى له شىء",X12)</f>
        <v>0</v>
      </c>
      <c r="N12" s="814" t="e">
        <f t="shared" ref="N12:N27" si="1">AK12*M12/S29</f>
        <v>#DIV/0!</v>
      </c>
      <c r="O12" s="848" t="e">
        <f>'ورقة أجازة وعدم الأجازة للمختصن'!BA60</f>
        <v>#DIV/0!</v>
      </c>
      <c r="P12" s="815" t="e">
        <f t="shared" ref="P12:P27" si="2">S12/T12</f>
        <v>#DIV/0!</v>
      </c>
      <c r="Q12" s="816">
        <f>IF('الأجـــازة للوصايا'!I88&gt;0,'الأجـــازة للوصايا'!I88,0)</f>
        <v>0</v>
      </c>
      <c r="R12" s="816" t="e">
        <f t="shared" ref="R12:R27" si="3">P12</f>
        <v>#DIV/0!</v>
      </c>
      <c r="S12" s="814">
        <f t="shared" ref="S12:S27" si="4">ROUNDDOWN(M12*AK12,0)</f>
        <v>0</v>
      </c>
      <c r="T12" s="814">
        <f t="shared" ref="T12:T27" si="5">$S$29</f>
        <v>0</v>
      </c>
      <c r="U12" s="709">
        <f t="shared" ref="U12:U27" si="6" xml:space="preserve"> AK12*M12</f>
        <v>0</v>
      </c>
      <c r="V12" s="814">
        <f t="shared" ref="V12:V27" si="7">W12*M12</f>
        <v>0</v>
      </c>
      <c r="W12" s="817">
        <f>AI11</f>
        <v>0</v>
      </c>
      <c r="X12" s="814">
        <f>IFERROR( ( (('الأجـــازة للوصايا'!I88-(( (AC12+AG12) +(AB12+AF12) +(AA12+AE12) +(Z12+AD12)  ))*'الأجـــازة للوصايا'!I88))),0)</f>
        <v>0</v>
      </c>
      <c r="Y12" s="817" t="str">
        <f>V32</f>
        <v xml:space="preserve"> </v>
      </c>
      <c r="Z12" s="818">
        <f>IF('الأجـــازة للوصايا'!K88=1, 'الأجـــازة للوصايا'!BD9,0)</f>
        <v>0</v>
      </c>
      <c r="AA12" s="818">
        <f>IF('الأجـــازة للوصايا'!L88=1, 'الأجـــازة للوصايا'!BE9,0)</f>
        <v>0</v>
      </c>
      <c r="AB12" s="818">
        <f>IF('الأجـــازة للوصايا'!M88=1, 'الأجـــازة للوصايا'!BF9,0)</f>
        <v>0</v>
      </c>
      <c r="AC12" s="818">
        <f>IF('الأجـــازة للوصايا'!N88=1, 'الأجـــازة للوصايا'!BG9,0)</f>
        <v>0</v>
      </c>
      <c r="AD12" s="818">
        <f>IF('الأجـــازة للوصايا'!K88=0,'الأجـــازة للوصايا'!BD10,0)</f>
        <v>0</v>
      </c>
      <c r="AE12" s="818">
        <f>IF('الأجـــازة للوصايا'!L88=0,'الأجـــازة للوصايا'!BE10,0)</f>
        <v>0</v>
      </c>
      <c r="AF12" s="818">
        <f>IF('الأجـــازة للوصايا'!M88=0,'الأجـــازة للوصايا'!BF10,0)</f>
        <v>0</v>
      </c>
      <c r="AG12" s="818">
        <f>IF('الأجـــازة للوصايا'!N88=0,'الأجـــازة للوصايا'!BG10,0)</f>
        <v>0</v>
      </c>
      <c r="AH12" s="817"/>
      <c r="AI12" s="819"/>
      <c r="AJ12" s="866">
        <f t="shared" ref="AJ12:AJ27" si="8">AL12*M12</f>
        <v>0</v>
      </c>
      <c r="AK12" s="293">
        <f>$AK$13</f>
        <v>0</v>
      </c>
      <c r="AL12" s="293">
        <f t="shared" ref="AL12:AL27" si="9">$AJ$10</f>
        <v>100</v>
      </c>
      <c r="AM12" s="1" t="e">
        <f t="shared" ref="AM12:AM27" si="10">P12</f>
        <v>#DIV/0!</v>
      </c>
    </row>
    <row r="13" spans="1:50" ht="18.75" customHeight="1" thickTop="1" thickBot="1">
      <c r="C13" s="1297"/>
      <c r="D13" s="1298"/>
      <c r="E13" s="697"/>
      <c r="M13" s="813">
        <f t="shared" si="0"/>
        <v>0</v>
      </c>
      <c r="N13" s="814" t="e">
        <f t="shared" si="1"/>
        <v>#DIV/0!</v>
      </c>
      <c r="O13" s="848" t="e">
        <f>'ورقة أجازة وعدم الأجازة للمختصن'!BA61</f>
        <v>#DIV/0!</v>
      </c>
      <c r="P13" s="815" t="e">
        <f t="shared" si="2"/>
        <v>#DIV/0!</v>
      </c>
      <c r="Q13" s="816">
        <f>IF('الأجـــازة للوصايا'!I89&gt;0,'الأجـــازة للوصايا'!I89,0)</f>
        <v>0</v>
      </c>
      <c r="R13" s="816" t="e">
        <f t="shared" si="3"/>
        <v>#DIV/0!</v>
      </c>
      <c r="S13" s="814">
        <f t="shared" si="4"/>
        <v>0</v>
      </c>
      <c r="T13" s="814">
        <f t="shared" si="5"/>
        <v>0</v>
      </c>
      <c r="U13" s="709">
        <f t="shared" si="6"/>
        <v>0</v>
      </c>
      <c r="V13" s="814">
        <f t="shared" si="7"/>
        <v>0</v>
      </c>
      <c r="W13" s="817">
        <f t="shared" ref="W13:W27" si="11">$W$12</f>
        <v>0</v>
      </c>
      <c r="X13" s="814">
        <f>IFERROR( ( (('الأجـــازة للوصايا'!I89-(( (AC13+AG13) +(AB13+AF13) +(AA13+AE13) +(Z13+AD13)  ))*'الأجـــازة للوصايا'!I89))),0)</f>
        <v>0</v>
      </c>
      <c r="Y13" s="817">
        <f t="shared" ref="Y13:Y27" si="12">V33</f>
        <v>0</v>
      </c>
      <c r="Z13" s="818">
        <f>IF('الأجـــازة للوصايا'!K89=1, 'الأجـــازة للوصايا'!BD9,0)</f>
        <v>0</v>
      </c>
      <c r="AA13" s="818">
        <f>IF('الأجـــازة للوصايا'!L89=1, 'الأجـــازة للوصايا'!BE9,0)</f>
        <v>0</v>
      </c>
      <c r="AB13" s="818">
        <f>IF('الأجـــازة للوصايا'!M89=1, 'الأجـــازة للوصايا'!BF9,0)</f>
        <v>0</v>
      </c>
      <c r="AC13" s="818">
        <f>IF('الأجـــازة للوصايا'!N89=1, 'الأجـــازة للوصايا'!BG9,0)</f>
        <v>0</v>
      </c>
      <c r="AD13" s="818">
        <f>IF('الأجـــازة للوصايا'!K89=0,'الأجـــازة للوصايا'!BD10,0)</f>
        <v>0</v>
      </c>
      <c r="AE13" s="818">
        <f>IF('الأجـــازة للوصايا'!L89=0,'الأجـــازة للوصايا'!BE10,0)</f>
        <v>0</v>
      </c>
      <c r="AF13" s="818">
        <f>IF('الأجـــازة للوصايا'!M89=0,'الأجـــازة للوصايا'!BF10,0)</f>
        <v>0</v>
      </c>
      <c r="AG13" s="818">
        <f>IF('الأجـــازة للوصايا'!N89=0,'الأجـــازة للوصايا'!BG10,0)</f>
        <v>0</v>
      </c>
      <c r="AH13" s="817"/>
      <c r="AI13" s="819"/>
      <c r="AJ13" s="866">
        <f t="shared" si="8"/>
        <v>0</v>
      </c>
      <c r="AK13" s="293">
        <f t="shared" ref="AK13:AK27" si="13">$AI$11</f>
        <v>0</v>
      </c>
      <c r="AL13" s="293">
        <f t="shared" si="9"/>
        <v>100</v>
      </c>
      <c r="AM13" s="1" t="e">
        <f t="shared" si="10"/>
        <v>#DIV/0!</v>
      </c>
    </row>
    <row r="14" spans="1:50" ht="18.75" customHeight="1" thickTop="1" thickBot="1">
      <c r="C14" s="1297"/>
      <c r="D14" s="1298"/>
      <c r="E14" s="697"/>
      <c r="M14" s="813">
        <f t="shared" si="0"/>
        <v>0</v>
      </c>
      <c r="N14" s="814" t="e">
        <f t="shared" si="1"/>
        <v>#DIV/0!</v>
      </c>
      <c r="O14" s="848" t="e">
        <f>'ورقة أجازة وعدم الأجازة للمختصن'!BA62</f>
        <v>#DIV/0!</v>
      </c>
      <c r="P14" s="815" t="e">
        <f t="shared" si="2"/>
        <v>#DIV/0!</v>
      </c>
      <c r="Q14" s="816">
        <f>IF('الأجـــازة للوصايا'!I90&gt;0,'الأجـــازة للوصايا'!I90,0)</f>
        <v>0</v>
      </c>
      <c r="R14" s="816" t="e">
        <f t="shared" si="3"/>
        <v>#DIV/0!</v>
      </c>
      <c r="S14" s="814">
        <f t="shared" si="4"/>
        <v>0</v>
      </c>
      <c r="T14" s="814">
        <f t="shared" si="5"/>
        <v>0</v>
      </c>
      <c r="U14" s="709">
        <f t="shared" si="6"/>
        <v>0</v>
      </c>
      <c r="V14" s="814">
        <f t="shared" si="7"/>
        <v>0</v>
      </c>
      <c r="W14" s="817">
        <f t="shared" si="11"/>
        <v>0</v>
      </c>
      <c r="X14" s="814">
        <f>IFERROR( ( (('الأجـــازة للوصايا'!I90-(( (AC14+AG14) +(AB14+AF14) +(AA14+AE14) +(Z14+AD14)  ))*'الأجـــازة للوصايا'!I90))),0)</f>
        <v>0</v>
      </c>
      <c r="Y14" s="817">
        <f t="shared" si="12"/>
        <v>0</v>
      </c>
      <c r="Z14" s="818">
        <f>IF('الأجـــازة للوصايا'!K90=1, 'الأجـــازة للوصايا'!BD9,0)</f>
        <v>0</v>
      </c>
      <c r="AA14" s="818">
        <f>IF('الأجـــازة للوصايا'!L90=1, 'الأجـــازة للوصايا'!BE9,0)</f>
        <v>0</v>
      </c>
      <c r="AB14" s="818">
        <f>IF('الأجـــازة للوصايا'!M90=1, 'الأجـــازة للوصايا'!BF9,0)</f>
        <v>0</v>
      </c>
      <c r="AC14" s="818">
        <f>IF('الأجـــازة للوصايا'!N90=1, 'الأجـــازة للوصايا'!BG9,0)</f>
        <v>0</v>
      </c>
      <c r="AD14" s="818">
        <f>IF('الأجـــازة للوصايا'!K90=0,'الأجـــازة للوصايا'!BD10,0)</f>
        <v>0</v>
      </c>
      <c r="AE14" s="818">
        <f>IF('الأجـــازة للوصايا'!L90=0,'الأجـــازة للوصايا'!BE10,0)</f>
        <v>0</v>
      </c>
      <c r="AF14" s="818">
        <f>IF('الأجـــازة للوصايا'!M90=0,'الأجـــازة للوصايا'!BF10,0)</f>
        <v>0</v>
      </c>
      <c r="AG14" s="818">
        <f>IF('الأجـــازة للوصايا'!N90=0,'الأجـــازة للوصايا'!BG10,0)</f>
        <v>0</v>
      </c>
      <c r="AH14" s="817"/>
      <c r="AI14" s="819"/>
      <c r="AJ14" s="866">
        <f t="shared" si="8"/>
        <v>0</v>
      </c>
      <c r="AK14" s="293">
        <f t="shared" si="13"/>
        <v>0</v>
      </c>
      <c r="AL14" s="293">
        <f t="shared" si="9"/>
        <v>100</v>
      </c>
      <c r="AM14" s="1" t="e">
        <f t="shared" si="10"/>
        <v>#DIV/0!</v>
      </c>
    </row>
    <row r="15" spans="1:50" ht="18.75" customHeight="1" thickTop="1" thickBot="1">
      <c r="C15" s="1297"/>
      <c r="D15" s="1298"/>
      <c r="E15" s="697"/>
      <c r="M15" s="813">
        <f t="shared" si="0"/>
        <v>0</v>
      </c>
      <c r="N15" s="814" t="e">
        <f t="shared" si="1"/>
        <v>#DIV/0!</v>
      </c>
      <c r="O15" s="848" t="e">
        <f>'ورقة أجازة وعدم الأجازة للمختصن'!BA63</f>
        <v>#DIV/0!</v>
      </c>
      <c r="P15" s="815" t="e">
        <f t="shared" si="2"/>
        <v>#DIV/0!</v>
      </c>
      <c r="Q15" s="816">
        <f>IF('الأجـــازة للوصايا'!I91&gt;0,'الأجـــازة للوصايا'!I91,0)</f>
        <v>0</v>
      </c>
      <c r="R15" s="816" t="e">
        <f t="shared" si="3"/>
        <v>#DIV/0!</v>
      </c>
      <c r="S15" s="814">
        <f t="shared" si="4"/>
        <v>0</v>
      </c>
      <c r="T15" s="814">
        <f t="shared" si="5"/>
        <v>0</v>
      </c>
      <c r="U15" s="709">
        <f t="shared" si="6"/>
        <v>0</v>
      </c>
      <c r="V15" s="814">
        <f t="shared" si="7"/>
        <v>0</v>
      </c>
      <c r="W15" s="817">
        <f t="shared" si="11"/>
        <v>0</v>
      </c>
      <c r="X15" s="814">
        <f>IFERROR( ( (('الأجـــازة للوصايا'!I91-(( (AC15+AG15) +(AB15+AF15) +(AA15+AE15) +(Z15+AD15)  ))*'الأجـــازة للوصايا'!I91))),0)</f>
        <v>0</v>
      </c>
      <c r="Y15" s="817">
        <f t="shared" si="12"/>
        <v>0</v>
      </c>
      <c r="Z15" s="818">
        <f>IF('الأجـــازة للوصايا'!K91=1, 'الأجـــازة للوصايا'!BD9,0)</f>
        <v>0</v>
      </c>
      <c r="AA15" s="818">
        <f>IF('الأجـــازة للوصايا'!L91=1, 'الأجـــازة للوصايا'!BE9,0)</f>
        <v>0</v>
      </c>
      <c r="AB15" s="818">
        <f>IF('الأجـــازة للوصايا'!M91=1, 'الأجـــازة للوصايا'!BF9,0)</f>
        <v>0</v>
      </c>
      <c r="AC15" s="818">
        <f>IF('الأجـــازة للوصايا'!N91=1, 'الأجـــازة للوصايا'!BG9,0)</f>
        <v>0</v>
      </c>
      <c r="AD15" s="818">
        <f>IF('الأجـــازة للوصايا'!K91=0,'الأجـــازة للوصايا'!BD10,0)</f>
        <v>0</v>
      </c>
      <c r="AE15" s="818">
        <f>IF('الأجـــازة للوصايا'!L91=0,'الأجـــازة للوصايا'!BE10,0)</f>
        <v>0</v>
      </c>
      <c r="AF15" s="818">
        <f>IF('الأجـــازة للوصايا'!M91=0,'الأجـــازة للوصايا'!BF10,0)</f>
        <v>0</v>
      </c>
      <c r="AG15" s="818">
        <f>IF('الأجـــازة للوصايا'!N91=0,'الأجـــازة للوصايا'!BG10,0)</f>
        <v>0</v>
      </c>
      <c r="AH15" s="817"/>
      <c r="AI15" s="819"/>
      <c r="AJ15" s="866">
        <f t="shared" si="8"/>
        <v>0</v>
      </c>
      <c r="AK15" s="293">
        <f t="shared" si="13"/>
        <v>0</v>
      </c>
      <c r="AL15" s="293">
        <f t="shared" si="9"/>
        <v>100</v>
      </c>
      <c r="AM15" s="1" t="e">
        <f t="shared" si="10"/>
        <v>#DIV/0!</v>
      </c>
    </row>
    <row r="16" spans="1:50" ht="18.75" customHeight="1" thickTop="1" thickBot="1">
      <c r="C16" s="1297"/>
      <c r="D16" s="1298"/>
      <c r="E16" s="697"/>
      <c r="M16" s="813">
        <f t="shared" si="0"/>
        <v>0</v>
      </c>
      <c r="N16" s="814" t="e">
        <f t="shared" si="1"/>
        <v>#DIV/0!</v>
      </c>
      <c r="O16" s="848" t="e">
        <f>'ورقة أجازة وعدم الأجازة للمختصن'!BA64</f>
        <v>#DIV/0!</v>
      </c>
      <c r="P16" s="815" t="e">
        <f t="shared" si="2"/>
        <v>#DIV/0!</v>
      </c>
      <c r="Q16" s="816">
        <f>IF('الأجـــازة للوصايا'!I92&gt;0,'الأجـــازة للوصايا'!I92,0)</f>
        <v>0</v>
      </c>
      <c r="R16" s="816" t="e">
        <f t="shared" si="3"/>
        <v>#DIV/0!</v>
      </c>
      <c r="S16" s="814">
        <f t="shared" si="4"/>
        <v>0</v>
      </c>
      <c r="T16" s="814">
        <f t="shared" si="5"/>
        <v>0</v>
      </c>
      <c r="U16" s="709">
        <f t="shared" si="6"/>
        <v>0</v>
      </c>
      <c r="V16" s="814">
        <f t="shared" si="7"/>
        <v>0</v>
      </c>
      <c r="W16" s="817">
        <f t="shared" si="11"/>
        <v>0</v>
      </c>
      <c r="X16" s="814">
        <f>IFERROR( ( (('الأجـــازة للوصايا'!I92-(( (AC16+AG16) +(AB16+AF16) +(AA16+AE16) +(Z16+AD16)  ))*'الأجـــازة للوصايا'!I92))),0)</f>
        <v>0</v>
      </c>
      <c r="Y16" s="817">
        <f t="shared" si="12"/>
        <v>0</v>
      </c>
      <c r="Z16" s="818">
        <f>IF('الأجـــازة للوصايا'!K92=1, 'الأجـــازة للوصايا'!BD9,0)</f>
        <v>0</v>
      </c>
      <c r="AA16" s="818">
        <f>IF('الأجـــازة للوصايا'!L92=1, 'الأجـــازة للوصايا'!BE9,0)</f>
        <v>0</v>
      </c>
      <c r="AB16" s="818">
        <f>IF('الأجـــازة للوصايا'!M92=1, 'الأجـــازة للوصايا'!BF9,0)</f>
        <v>0</v>
      </c>
      <c r="AC16" s="818">
        <f>IF('الأجـــازة للوصايا'!N92=1, 'الأجـــازة للوصايا'!BG9,0)</f>
        <v>0</v>
      </c>
      <c r="AD16" s="818">
        <f>IF('الأجـــازة للوصايا'!K92=0,'الأجـــازة للوصايا'!BD10,0)</f>
        <v>0</v>
      </c>
      <c r="AE16" s="818">
        <f>IF('الأجـــازة للوصايا'!L92=0,'الأجـــازة للوصايا'!BE10,0)</f>
        <v>0</v>
      </c>
      <c r="AF16" s="818">
        <f>IF('الأجـــازة للوصايا'!M92=0,'الأجـــازة للوصايا'!BF10,0)</f>
        <v>0</v>
      </c>
      <c r="AG16" s="818">
        <f>IF('الأجـــازة للوصايا'!N92=0,'الأجـــازة للوصايا'!BG10,0)</f>
        <v>0</v>
      </c>
      <c r="AH16" s="817"/>
      <c r="AI16" s="819"/>
      <c r="AJ16" s="866">
        <f t="shared" si="8"/>
        <v>0</v>
      </c>
      <c r="AK16" s="293">
        <f t="shared" si="13"/>
        <v>0</v>
      </c>
      <c r="AL16" s="293">
        <f t="shared" si="9"/>
        <v>100</v>
      </c>
      <c r="AM16" s="1" t="e">
        <f t="shared" si="10"/>
        <v>#DIV/0!</v>
      </c>
    </row>
    <row r="17" spans="3:44" ht="18.75" customHeight="1" thickTop="1" thickBot="1">
      <c r="C17" s="1297"/>
      <c r="D17" s="1298"/>
      <c r="E17" s="697"/>
      <c r="M17" s="813">
        <f t="shared" si="0"/>
        <v>0</v>
      </c>
      <c r="N17" s="814" t="e">
        <f t="shared" si="1"/>
        <v>#DIV/0!</v>
      </c>
      <c r="O17" s="848" t="e">
        <f>'ورقة أجازة وعدم الأجازة للمختصن'!BA65</f>
        <v>#DIV/0!</v>
      </c>
      <c r="P17" s="815" t="e">
        <f t="shared" si="2"/>
        <v>#DIV/0!</v>
      </c>
      <c r="Q17" s="816">
        <f>IF('الأجـــازة للوصايا'!I93&gt;0,'الأجـــازة للوصايا'!I93,0)</f>
        <v>0</v>
      </c>
      <c r="R17" s="816" t="e">
        <f t="shared" si="3"/>
        <v>#DIV/0!</v>
      </c>
      <c r="S17" s="814">
        <f t="shared" si="4"/>
        <v>0</v>
      </c>
      <c r="T17" s="814">
        <f t="shared" si="5"/>
        <v>0</v>
      </c>
      <c r="U17" s="709">
        <f t="shared" si="6"/>
        <v>0</v>
      </c>
      <c r="V17" s="814">
        <f t="shared" si="7"/>
        <v>0</v>
      </c>
      <c r="W17" s="817">
        <f t="shared" si="11"/>
        <v>0</v>
      </c>
      <c r="X17" s="814">
        <f>IFERROR( ( (('الأجـــازة للوصايا'!I93-(( (AC17+AG17) +(AB17+AF17) +(AA17+AE17) +(Z17+AD17)  ))*'الأجـــازة للوصايا'!I93))),0)</f>
        <v>0</v>
      </c>
      <c r="Y17" s="817">
        <f t="shared" si="12"/>
        <v>0</v>
      </c>
      <c r="Z17" s="818">
        <f>IF('الأجـــازة للوصايا'!K93=1, 'الأجـــازة للوصايا'!BD9,0)</f>
        <v>0</v>
      </c>
      <c r="AA17" s="818">
        <f>IF('الأجـــازة للوصايا'!L93=1, 'الأجـــازة للوصايا'!BE9,0)</f>
        <v>0</v>
      </c>
      <c r="AB17" s="818">
        <f>IF('الأجـــازة للوصايا'!M93=1, 'الأجـــازة للوصايا'!BF9,0)</f>
        <v>0</v>
      </c>
      <c r="AC17" s="818">
        <f>IF('الأجـــازة للوصايا'!N93=1, 'الأجـــازة للوصايا'!BG9,0)</f>
        <v>0</v>
      </c>
      <c r="AD17" s="818">
        <f>IF('الأجـــازة للوصايا'!K93=0,'الأجـــازة للوصايا'!BD10,0)</f>
        <v>0</v>
      </c>
      <c r="AE17" s="818">
        <f>IF('الأجـــازة للوصايا'!L93=0,'الأجـــازة للوصايا'!BE10,0)</f>
        <v>0</v>
      </c>
      <c r="AF17" s="818">
        <f>IF('الأجـــازة للوصايا'!M93=0,'الأجـــازة للوصايا'!BF10,0)</f>
        <v>0</v>
      </c>
      <c r="AG17" s="818">
        <f>IF('الأجـــازة للوصايا'!N93=0,'الأجـــازة للوصايا'!BG10,0)</f>
        <v>0</v>
      </c>
      <c r="AH17" s="817"/>
      <c r="AI17" s="819"/>
      <c r="AJ17" s="866">
        <f t="shared" si="8"/>
        <v>0</v>
      </c>
      <c r="AK17" s="293">
        <f t="shared" si="13"/>
        <v>0</v>
      </c>
      <c r="AL17" s="293">
        <f t="shared" si="9"/>
        <v>100</v>
      </c>
      <c r="AM17" s="1" t="e">
        <f t="shared" si="10"/>
        <v>#DIV/0!</v>
      </c>
    </row>
    <row r="18" spans="3:44" ht="18.75" customHeight="1" thickTop="1" thickBot="1">
      <c r="C18" s="1297"/>
      <c r="D18" s="1298"/>
      <c r="E18" s="697"/>
      <c r="M18" s="813">
        <f t="shared" si="0"/>
        <v>0</v>
      </c>
      <c r="N18" s="814" t="e">
        <f t="shared" si="1"/>
        <v>#DIV/0!</v>
      </c>
      <c r="O18" s="848" t="e">
        <f>'ورقة أجازة وعدم الأجازة للمختصن'!BA66</f>
        <v>#DIV/0!</v>
      </c>
      <c r="P18" s="815" t="e">
        <f t="shared" si="2"/>
        <v>#DIV/0!</v>
      </c>
      <c r="Q18" s="816">
        <f>IF('الأجـــازة للوصايا'!I94&gt;0,'الأجـــازة للوصايا'!I94,0)</f>
        <v>0</v>
      </c>
      <c r="R18" s="816" t="e">
        <f t="shared" si="3"/>
        <v>#DIV/0!</v>
      </c>
      <c r="S18" s="814">
        <f t="shared" si="4"/>
        <v>0</v>
      </c>
      <c r="T18" s="814">
        <f t="shared" si="5"/>
        <v>0</v>
      </c>
      <c r="U18" s="709">
        <f t="shared" si="6"/>
        <v>0</v>
      </c>
      <c r="V18" s="814">
        <f t="shared" si="7"/>
        <v>0</v>
      </c>
      <c r="W18" s="817">
        <f t="shared" si="11"/>
        <v>0</v>
      </c>
      <c r="X18" s="814">
        <f>IFERROR( ( (('الأجـــازة للوصايا'!I94-(( (AC18+AG18) +(AB18+AF18) +(AA18+AE18) +(Z18+AD18)  ))*'الأجـــازة للوصايا'!I94))),0)</f>
        <v>0</v>
      </c>
      <c r="Y18" s="817">
        <f t="shared" si="12"/>
        <v>0</v>
      </c>
      <c r="Z18" s="818">
        <f>IF('الأجـــازة للوصايا'!K94=1, 'الأجـــازة للوصايا'!BD9,0)</f>
        <v>0</v>
      </c>
      <c r="AA18" s="818">
        <f>IF('الأجـــازة للوصايا'!L94=1, 'الأجـــازة للوصايا'!BE9,0)</f>
        <v>0</v>
      </c>
      <c r="AB18" s="818">
        <f>IF('الأجـــازة للوصايا'!M94=1, 'الأجـــازة للوصايا'!BF9,0)</f>
        <v>0</v>
      </c>
      <c r="AC18" s="818">
        <f>IF('الأجـــازة للوصايا'!N94=1, 'الأجـــازة للوصايا'!BG9,0)</f>
        <v>0</v>
      </c>
      <c r="AD18" s="818">
        <f>IF('الأجـــازة للوصايا'!K94=0,'الأجـــازة للوصايا'!BD10,0)</f>
        <v>0</v>
      </c>
      <c r="AE18" s="818">
        <f>IF('الأجـــازة للوصايا'!L94=0,'الأجـــازة للوصايا'!BE10,0)</f>
        <v>0</v>
      </c>
      <c r="AF18" s="818">
        <f>IF('الأجـــازة للوصايا'!M94=0,'الأجـــازة للوصايا'!BF10,0)</f>
        <v>0</v>
      </c>
      <c r="AG18" s="818">
        <f>IF('الأجـــازة للوصايا'!N94=0,'الأجـــازة للوصايا'!BG10,0)</f>
        <v>0</v>
      </c>
      <c r="AH18" s="817"/>
      <c r="AI18" s="819"/>
      <c r="AJ18" s="866">
        <f t="shared" si="8"/>
        <v>0</v>
      </c>
      <c r="AK18" s="293">
        <f t="shared" si="13"/>
        <v>0</v>
      </c>
      <c r="AL18" s="293">
        <f t="shared" si="9"/>
        <v>100</v>
      </c>
      <c r="AM18" s="1" t="e">
        <f t="shared" si="10"/>
        <v>#DIV/0!</v>
      </c>
    </row>
    <row r="19" spans="3:44" ht="18.75" customHeight="1" thickTop="1" thickBot="1">
      <c r="C19" s="1297"/>
      <c r="D19" s="1298"/>
      <c r="E19" s="697"/>
      <c r="M19" s="813">
        <f t="shared" si="0"/>
        <v>0</v>
      </c>
      <c r="N19" s="814" t="e">
        <f t="shared" si="1"/>
        <v>#DIV/0!</v>
      </c>
      <c r="O19" s="848" t="e">
        <f>'ورقة أجازة وعدم الأجازة للمختصن'!BA67</f>
        <v>#DIV/0!</v>
      </c>
      <c r="P19" s="815" t="e">
        <f t="shared" si="2"/>
        <v>#DIV/0!</v>
      </c>
      <c r="Q19" s="816">
        <f>IF('الأجـــازة للوصايا'!I95&gt;0,'الأجـــازة للوصايا'!I95,0)</f>
        <v>0</v>
      </c>
      <c r="R19" s="816" t="e">
        <f t="shared" si="3"/>
        <v>#DIV/0!</v>
      </c>
      <c r="S19" s="814">
        <f t="shared" si="4"/>
        <v>0</v>
      </c>
      <c r="T19" s="814">
        <f t="shared" si="5"/>
        <v>0</v>
      </c>
      <c r="U19" s="709">
        <f t="shared" si="6"/>
        <v>0</v>
      </c>
      <c r="V19" s="814">
        <f t="shared" si="7"/>
        <v>0</v>
      </c>
      <c r="W19" s="817">
        <f t="shared" si="11"/>
        <v>0</v>
      </c>
      <c r="X19" s="814">
        <f>IFERROR( ( (('الأجـــازة للوصايا'!I95-(( (AC19+AG19) +(AB19+AF19) +(AA19+AE19) +(Z19+AD19)  ))*'الأجـــازة للوصايا'!I95))),0)</f>
        <v>0</v>
      </c>
      <c r="Y19" s="817">
        <f t="shared" si="12"/>
        <v>0</v>
      </c>
      <c r="Z19" s="818">
        <f>IF('الأجـــازة للوصايا'!K95=1, 'الأجـــازة للوصايا'!BD9,0)</f>
        <v>0</v>
      </c>
      <c r="AA19" s="818">
        <f>IF('الأجـــازة للوصايا'!L95=1, 'الأجـــازة للوصايا'!BE9,0)</f>
        <v>0</v>
      </c>
      <c r="AB19" s="818">
        <f>IF('الأجـــازة للوصايا'!M95=1, 'الأجـــازة للوصايا'!BF9,0)</f>
        <v>0</v>
      </c>
      <c r="AC19" s="818">
        <f>IF('الأجـــازة للوصايا'!N95=1, 'الأجـــازة للوصايا'!BG9,0)</f>
        <v>0</v>
      </c>
      <c r="AD19" s="818">
        <f>IF('الأجـــازة للوصايا'!K95=0,'الأجـــازة للوصايا'!BD10,0)</f>
        <v>0</v>
      </c>
      <c r="AE19" s="818">
        <f>IF('الأجـــازة للوصايا'!L95=0,'الأجـــازة للوصايا'!BE10,0)</f>
        <v>0</v>
      </c>
      <c r="AF19" s="818">
        <f>IF('الأجـــازة للوصايا'!M95=0,'الأجـــازة للوصايا'!BF10,0)</f>
        <v>0</v>
      </c>
      <c r="AG19" s="818">
        <f>IF('الأجـــازة للوصايا'!N95=0,'الأجـــازة للوصايا'!BG10,0)</f>
        <v>0</v>
      </c>
      <c r="AH19" s="817"/>
      <c r="AI19" s="819"/>
      <c r="AJ19" s="866">
        <f t="shared" si="8"/>
        <v>0</v>
      </c>
      <c r="AK19" s="293">
        <f t="shared" si="13"/>
        <v>0</v>
      </c>
      <c r="AL19" s="293">
        <f t="shared" si="9"/>
        <v>100</v>
      </c>
      <c r="AM19" s="1" t="e">
        <f t="shared" si="10"/>
        <v>#DIV/0!</v>
      </c>
    </row>
    <row r="20" spans="3:44" ht="18.75" customHeight="1" thickTop="1" thickBot="1">
      <c r="C20" s="1297"/>
      <c r="D20" s="1298"/>
      <c r="E20" s="697"/>
      <c r="M20" s="813">
        <f t="shared" si="0"/>
        <v>0</v>
      </c>
      <c r="N20" s="814" t="e">
        <f t="shared" si="1"/>
        <v>#DIV/0!</v>
      </c>
      <c r="O20" s="848" t="e">
        <f>'ورقة أجازة وعدم الأجازة للمختصن'!BA68</f>
        <v>#DIV/0!</v>
      </c>
      <c r="P20" s="815" t="e">
        <f t="shared" si="2"/>
        <v>#DIV/0!</v>
      </c>
      <c r="Q20" s="816">
        <f>IF('الأجـــازة للوصايا'!I96&gt;0,'الأجـــازة للوصايا'!I96,0)</f>
        <v>0</v>
      </c>
      <c r="R20" s="816" t="e">
        <f t="shared" si="3"/>
        <v>#DIV/0!</v>
      </c>
      <c r="S20" s="814">
        <f t="shared" si="4"/>
        <v>0</v>
      </c>
      <c r="T20" s="814">
        <f t="shared" si="5"/>
        <v>0</v>
      </c>
      <c r="U20" s="709">
        <f t="shared" si="6"/>
        <v>0</v>
      </c>
      <c r="V20" s="814">
        <f t="shared" si="7"/>
        <v>0</v>
      </c>
      <c r="W20" s="817">
        <f t="shared" si="11"/>
        <v>0</v>
      </c>
      <c r="X20" s="814">
        <f>IFERROR( ( (('الأجـــازة للوصايا'!I96-(( (AC20+AG20) +(AB20+AF20) +(AA20+AE20) +(Z20+AD20)  ))*'الأجـــازة للوصايا'!I96))),0)</f>
        <v>0</v>
      </c>
      <c r="Y20" s="817">
        <f t="shared" si="12"/>
        <v>0</v>
      </c>
      <c r="Z20" s="818">
        <f>IF('الأجـــازة للوصايا'!K96=1, 'الأجـــازة للوصايا'!BD9,0)</f>
        <v>0</v>
      </c>
      <c r="AA20" s="818">
        <f>IF('الأجـــازة للوصايا'!L96=1, 'الأجـــازة للوصايا'!BE9,0)</f>
        <v>0</v>
      </c>
      <c r="AB20" s="818">
        <f>IF('الأجـــازة للوصايا'!M96=1, 'الأجـــازة للوصايا'!BF9,0)</f>
        <v>0</v>
      </c>
      <c r="AC20" s="818">
        <f>IF('الأجـــازة للوصايا'!N96=1, 'الأجـــازة للوصايا'!BG9,0)</f>
        <v>0</v>
      </c>
      <c r="AD20" s="818">
        <f>IF('الأجـــازة للوصايا'!K96=0,'الأجـــازة للوصايا'!BD10,0)</f>
        <v>0</v>
      </c>
      <c r="AE20" s="818">
        <f>IF('الأجـــازة للوصايا'!L96=0,'الأجـــازة للوصايا'!BE10,0)</f>
        <v>0</v>
      </c>
      <c r="AF20" s="818">
        <f>IF('الأجـــازة للوصايا'!M96=0,'الأجـــازة للوصايا'!BF10,0)</f>
        <v>0</v>
      </c>
      <c r="AG20" s="818">
        <f>IF('الأجـــازة للوصايا'!N96=0,'الأجـــازة للوصايا'!BG10,0)</f>
        <v>0</v>
      </c>
      <c r="AH20" s="817"/>
      <c r="AI20" s="819"/>
      <c r="AJ20" s="866">
        <f t="shared" si="8"/>
        <v>0</v>
      </c>
      <c r="AK20" s="293">
        <f t="shared" si="13"/>
        <v>0</v>
      </c>
      <c r="AL20" s="293">
        <f t="shared" si="9"/>
        <v>100</v>
      </c>
      <c r="AM20" s="1" t="e">
        <f t="shared" si="10"/>
        <v>#DIV/0!</v>
      </c>
    </row>
    <row r="21" spans="3:44" ht="18.75" customHeight="1" thickTop="1" thickBot="1">
      <c r="C21" s="1299"/>
      <c r="D21" s="1300"/>
      <c r="E21" s="697"/>
      <c r="M21" s="813">
        <f t="shared" si="0"/>
        <v>0</v>
      </c>
      <c r="N21" s="814" t="e">
        <f t="shared" si="1"/>
        <v>#DIV/0!</v>
      </c>
      <c r="O21" s="848" t="e">
        <f>'ورقة أجازة وعدم الأجازة للمختصن'!BA69</f>
        <v>#DIV/0!</v>
      </c>
      <c r="P21" s="815" t="e">
        <f t="shared" si="2"/>
        <v>#DIV/0!</v>
      </c>
      <c r="Q21" s="816">
        <f>IF('الأجـــازة للوصايا'!I97&gt;0,'الأجـــازة للوصايا'!I97,0)</f>
        <v>0</v>
      </c>
      <c r="R21" s="816" t="e">
        <f t="shared" si="3"/>
        <v>#DIV/0!</v>
      </c>
      <c r="S21" s="814">
        <f t="shared" si="4"/>
        <v>0</v>
      </c>
      <c r="T21" s="814">
        <f t="shared" si="5"/>
        <v>0</v>
      </c>
      <c r="U21" s="709">
        <f t="shared" si="6"/>
        <v>0</v>
      </c>
      <c r="V21" s="814">
        <f t="shared" si="7"/>
        <v>0</v>
      </c>
      <c r="W21" s="817">
        <f t="shared" si="11"/>
        <v>0</v>
      </c>
      <c r="X21" s="814">
        <f>IFERROR( ( (('الأجـــازة للوصايا'!I97-(( (AC21+AG21) +(AB21+AF21) +(AA21+AE21) +(Z21+AD21)  ))*'الأجـــازة للوصايا'!I97))),0)</f>
        <v>0</v>
      </c>
      <c r="Y21" s="817">
        <f t="shared" si="12"/>
        <v>0</v>
      </c>
      <c r="Z21" s="818">
        <f>IF('الأجـــازة للوصايا'!K97=1, 'الأجـــازة للوصايا'!BD9,0)</f>
        <v>0</v>
      </c>
      <c r="AA21" s="818">
        <f>IF('الأجـــازة للوصايا'!L97=1, 'الأجـــازة للوصايا'!BE9,0)</f>
        <v>0</v>
      </c>
      <c r="AB21" s="818">
        <f>IF('الأجـــازة للوصايا'!M97=1, 'الأجـــازة للوصايا'!BF9,0)</f>
        <v>0</v>
      </c>
      <c r="AC21" s="818">
        <f>IF('الأجـــازة للوصايا'!N97=1, 'الأجـــازة للوصايا'!BG9,0)</f>
        <v>0</v>
      </c>
      <c r="AD21" s="818">
        <f>IF('الأجـــازة للوصايا'!K97=0,'الأجـــازة للوصايا'!BD10,0)</f>
        <v>0</v>
      </c>
      <c r="AE21" s="818">
        <f>IF('الأجـــازة للوصايا'!L97=0,'الأجـــازة للوصايا'!BE10,0)</f>
        <v>0</v>
      </c>
      <c r="AF21" s="818">
        <f>IF('الأجـــازة للوصايا'!M97=0,'الأجـــازة للوصايا'!BF10,0)</f>
        <v>0</v>
      </c>
      <c r="AG21" s="818">
        <f>IF('الأجـــازة للوصايا'!N97=0,'الأجـــازة للوصايا'!BG10,0)</f>
        <v>0</v>
      </c>
      <c r="AH21" s="817"/>
      <c r="AI21" s="819"/>
      <c r="AJ21" s="866">
        <f t="shared" si="8"/>
        <v>0</v>
      </c>
      <c r="AK21" s="293">
        <f t="shared" si="13"/>
        <v>0</v>
      </c>
      <c r="AL21" s="293">
        <f t="shared" si="9"/>
        <v>100</v>
      </c>
      <c r="AM21" s="1" t="e">
        <f t="shared" si="10"/>
        <v>#DIV/0!</v>
      </c>
    </row>
    <row r="22" spans="3:44" ht="18.75" customHeight="1" thickTop="1" thickBot="1">
      <c r="C22" s="698"/>
      <c r="D22" s="698"/>
      <c r="E22" s="697"/>
      <c r="M22" s="813">
        <f t="shared" si="0"/>
        <v>0</v>
      </c>
      <c r="N22" s="814" t="e">
        <f t="shared" si="1"/>
        <v>#DIV/0!</v>
      </c>
      <c r="O22" s="848" t="e">
        <f>'ورقة أجازة وعدم الأجازة للمختصن'!BA70</f>
        <v>#DIV/0!</v>
      </c>
      <c r="P22" s="815" t="e">
        <f t="shared" si="2"/>
        <v>#DIV/0!</v>
      </c>
      <c r="Q22" s="816">
        <f>IF('الأجـــازة للوصايا'!I98&gt;0,'الأجـــازة للوصايا'!I98,0)</f>
        <v>0</v>
      </c>
      <c r="R22" s="816" t="e">
        <f t="shared" si="3"/>
        <v>#DIV/0!</v>
      </c>
      <c r="S22" s="814">
        <f t="shared" si="4"/>
        <v>0</v>
      </c>
      <c r="T22" s="814">
        <f t="shared" si="5"/>
        <v>0</v>
      </c>
      <c r="U22" s="709">
        <f t="shared" si="6"/>
        <v>0</v>
      </c>
      <c r="V22" s="814">
        <f t="shared" si="7"/>
        <v>0</v>
      </c>
      <c r="W22" s="817">
        <f t="shared" si="11"/>
        <v>0</v>
      </c>
      <c r="X22" s="814">
        <f>IFERROR( ( (('الأجـــازة للوصايا'!I98-(( (AC22+AG22) +(AB22+AF22) +(AA22+AE22) +(Z22+AD22)  ))*'الأجـــازة للوصايا'!I98))),0)</f>
        <v>0</v>
      </c>
      <c r="Y22" s="817">
        <f t="shared" si="12"/>
        <v>0</v>
      </c>
      <c r="Z22" s="818">
        <f>IF('الأجـــازة للوصايا'!K98=1, 'الأجـــازة للوصايا'!BD9,0)</f>
        <v>0</v>
      </c>
      <c r="AA22" s="818">
        <f>IF('الأجـــازة للوصايا'!L98=1, 'الأجـــازة للوصايا'!BE9,0)</f>
        <v>0</v>
      </c>
      <c r="AB22" s="818">
        <f>IF('الأجـــازة للوصايا'!M98=1, 'الأجـــازة للوصايا'!BF9,0)</f>
        <v>0</v>
      </c>
      <c r="AC22" s="818">
        <f>IF('الأجـــازة للوصايا'!N98=1, 'الأجـــازة للوصايا'!BG9,0)</f>
        <v>0</v>
      </c>
      <c r="AD22" s="818">
        <f>IF('الأجـــازة للوصايا'!K98=0,'الأجـــازة للوصايا'!BD10,0)</f>
        <v>0</v>
      </c>
      <c r="AE22" s="818">
        <f>IF('الأجـــازة للوصايا'!L98=0,'الأجـــازة للوصايا'!BE10,0)</f>
        <v>0</v>
      </c>
      <c r="AF22" s="818">
        <f>IF('الأجـــازة للوصايا'!M98=0,'الأجـــازة للوصايا'!BF10,0)</f>
        <v>0</v>
      </c>
      <c r="AG22" s="818">
        <f>IF('الأجـــازة للوصايا'!N98=0,'الأجـــازة للوصايا'!BG10,0)</f>
        <v>0</v>
      </c>
      <c r="AH22" s="817"/>
      <c r="AI22" s="819"/>
      <c r="AJ22" s="866">
        <f t="shared" si="8"/>
        <v>0</v>
      </c>
      <c r="AK22" s="293">
        <f t="shared" si="13"/>
        <v>0</v>
      </c>
      <c r="AL22" s="293">
        <f t="shared" si="9"/>
        <v>100</v>
      </c>
      <c r="AM22" s="1" t="e">
        <f t="shared" si="10"/>
        <v>#DIV/0!</v>
      </c>
    </row>
    <row r="23" spans="3:44" ht="18.75" customHeight="1" thickTop="1" thickBot="1">
      <c r="C23" s="698" t="s">
        <v>114</v>
      </c>
      <c r="D23" s="698"/>
      <c r="E23" s="697"/>
      <c r="M23" s="813">
        <f t="shared" si="0"/>
        <v>0</v>
      </c>
      <c r="N23" s="814" t="e">
        <f t="shared" si="1"/>
        <v>#DIV/0!</v>
      </c>
      <c r="O23" s="848" t="e">
        <f>'ورقة أجازة وعدم الأجازة للمختصن'!BA71</f>
        <v>#DIV/0!</v>
      </c>
      <c r="P23" s="815" t="e">
        <f t="shared" si="2"/>
        <v>#DIV/0!</v>
      </c>
      <c r="Q23" s="816">
        <f>IF('الأجـــازة للوصايا'!I99&gt;0,'الأجـــازة للوصايا'!I99,0)</f>
        <v>0</v>
      </c>
      <c r="R23" s="816" t="e">
        <f t="shared" si="3"/>
        <v>#DIV/0!</v>
      </c>
      <c r="S23" s="814">
        <f t="shared" si="4"/>
        <v>0</v>
      </c>
      <c r="T23" s="814">
        <f t="shared" si="5"/>
        <v>0</v>
      </c>
      <c r="U23" s="709">
        <f t="shared" si="6"/>
        <v>0</v>
      </c>
      <c r="V23" s="814">
        <f t="shared" si="7"/>
        <v>0</v>
      </c>
      <c r="W23" s="817">
        <f t="shared" si="11"/>
        <v>0</v>
      </c>
      <c r="X23" s="814">
        <f>IFERROR( ( (('الأجـــازة للوصايا'!I99-(( (AC23+AG23) +(AB23+AF23) +(AA23+AE23) +(Z23+AD23)  ))*'الأجـــازة للوصايا'!I99))),0)</f>
        <v>0</v>
      </c>
      <c r="Y23" s="817">
        <f t="shared" si="12"/>
        <v>0</v>
      </c>
      <c r="Z23" s="818">
        <f>IF('الأجـــازة للوصايا'!K99=1, 'الأجـــازة للوصايا'!BD9,0)</f>
        <v>0</v>
      </c>
      <c r="AA23" s="818">
        <f>IF('الأجـــازة للوصايا'!L99=1, 'الأجـــازة للوصايا'!BE9,0)</f>
        <v>0</v>
      </c>
      <c r="AB23" s="818">
        <f>IF('الأجـــازة للوصايا'!M99=1, 'الأجـــازة للوصايا'!BF9,0)</f>
        <v>0</v>
      </c>
      <c r="AC23" s="818">
        <f>IF('الأجـــازة للوصايا'!N99=1, 'الأجـــازة للوصايا'!BG9,0)</f>
        <v>0</v>
      </c>
      <c r="AD23" s="818">
        <f>IF('الأجـــازة للوصايا'!K99=0,'الأجـــازة للوصايا'!BD10,0)</f>
        <v>0</v>
      </c>
      <c r="AE23" s="818">
        <f>IF('الأجـــازة للوصايا'!L99=0,'الأجـــازة للوصايا'!BE10,0)</f>
        <v>0</v>
      </c>
      <c r="AF23" s="818">
        <f>IF('الأجـــازة للوصايا'!M99=0,'الأجـــازة للوصايا'!BF10,0)</f>
        <v>0</v>
      </c>
      <c r="AG23" s="818">
        <f>IF('الأجـــازة للوصايا'!N99=0,'الأجـــازة للوصايا'!BG10,0)</f>
        <v>0</v>
      </c>
      <c r="AH23" s="817"/>
      <c r="AI23" s="819"/>
      <c r="AJ23" s="866">
        <f t="shared" si="8"/>
        <v>0</v>
      </c>
      <c r="AK23" s="293">
        <f t="shared" si="13"/>
        <v>0</v>
      </c>
      <c r="AL23" s="293">
        <f t="shared" si="9"/>
        <v>100</v>
      </c>
      <c r="AM23" s="1" t="e">
        <f t="shared" si="10"/>
        <v>#DIV/0!</v>
      </c>
    </row>
    <row r="24" spans="3:44" ht="16.5" customHeight="1" thickTop="1" thickBot="1">
      <c r="C24" s="1386" t="s">
        <v>738</v>
      </c>
      <c r="D24" s="820">
        <f>'الأجـــازة للوصايا'!BD7</f>
        <v>0</v>
      </c>
      <c r="E24" s="697"/>
      <c r="M24" s="814">
        <f>IFERROR( 'الأجـــازة للوصايا'!BD24+'الأجـــازة للوصايا'!BF24,0)</f>
        <v>0</v>
      </c>
      <c r="N24" s="814" t="e">
        <f t="shared" si="1"/>
        <v>#DIV/0!</v>
      </c>
      <c r="O24" s="848" t="e">
        <f>'ورقة أجازة وعدم الأجازة للمختصن'!BA72</f>
        <v>#DIV/0!</v>
      </c>
      <c r="P24" s="815" t="e">
        <f t="shared" si="2"/>
        <v>#DIV/0!</v>
      </c>
      <c r="Q24" s="816">
        <f>IF('الأجـــازة للوصايا'!BD24&gt;0,'الأجـــازة للوصايا'!BD24,0)</f>
        <v>0</v>
      </c>
      <c r="R24" s="816" t="e">
        <f t="shared" si="3"/>
        <v>#DIV/0!</v>
      </c>
      <c r="S24" s="814">
        <f t="shared" si="4"/>
        <v>0</v>
      </c>
      <c r="T24" s="814">
        <f t="shared" si="5"/>
        <v>0</v>
      </c>
      <c r="U24" s="709">
        <f t="shared" si="6"/>
        <v>0</v>
      </c>
      <c r="V24" s="814">
        <f t="shared" si="7"/>
        <v>0</v>
      </c>
      <c r="W24" s="817">
        <f t="shared" si="11"/>
        <v>0</v>
      </c>
      <c r="X24" s="814"/>
      <c r="Y24" s="817">
        <f t="shared" si="12"/>
        <v>0</v>
      </c>
      <c r="Z24" s="817"/>
      <c r="AA24" s="817"/>
      <c r="AB24" s="817"/>
      <c r="AC24" s="817"/>
      <c r="AD24" s="817"/>
      <c r="AE24" s="817"/>
      <c r="AF24" s="817"/>
      <c r="AG24" s="817"/>
      <c r="AH24" s="817"/>
      <c r="AI24" s="819"/>
      <c r="AJ24" s="866">
        <f t="shared" si="8"/>
        <v>0</v>
      </c>
      <c r="AK24" s="293">
        <f t="shared" si="13"/>
        <v>0</v>
      </c>
      <c r="AL24" s="293">
        <f t="shared" si="9"/>
        <v>100</v>
      </c>
      <c r="AM24" s="1" t="e">
        <f t="shared" si="10"/>
        <v>#DIV/0!</v>
      </c>
    </row>
    <row r="25" spans="3:44" ht="16.5" customHeight="1" thickTop="1" thickBot="1">
      <c r="C25" s="1387"/>
      <c r="D25" s="820">
        <f>'الأجـــازة للوصايا'!BE7</f>
        <v>0</v>
      </c>
      <c r="E25" s="697"/>
      <c r="M25" s="814">
        <f>IFERROR( 'الأجـــازة للوصايا'!BD25+'الأجـــازة للوصايا'!BF25,0)</f>
        <v>0</v>
      </c>
      <c r="N25" s="814" t="e">
        <f t="shared" si="1"/>
        <v>#DIV/0!</v>
      </c>
      <c r="O25" s="848" t="e">
        <f>'ورقة أجازة وعدم الأجازة للمختصن'!BA73</f>
        <v>#DIV/0!</v>
      </c>
      <c r="P25" s="815" t="e">
        <f t="shared" si="2"/>
        <v>#DIV/0!</v>
      </c>
      <c r="Q25" s="816">
        <f>IF('الأجـــازة للوصايا'!BD25&gt;0,'الأجـــازة للوصايا'!BD25,0)</f>
        <v>0</v>
      </c>
      <c r="R25" s="816" t="e">
        <f t="shared" si="3"/>
        <v>#DIV/0!</v>
      </c>
      <c r="S25" s="814">
        <f t="shared" si="4"/>
        <v>0</v>
      </c>
      <c r="T25" s="814">
        <f t="shared" si="5"/>
        <v>0</v>
      </c>
      <c r="U25" s="709">
        <f t="shared" si="6"/>
        <v>0</v>
      </c>
      <c r="V25" s="814">
        <f t="shared" si="7"/>
        <v>0</v>
      </c>
      <c r="W25" s="817">
        <f t="shared" si="11"/>
        <v>0</v>
      </c>
      <c r="X25" s="814"/>
      <c r="Y25" s="817">
        <f t="shared" si="12"/>
        <v>0</v>
      </c>
      <c r="Z25" s="817"/>
      <c r="AA25" s="817"/>
      <c r="AB25" s="817"/>
      <c r="AC25" s="817"/>
      <c r="AD25" s="817"/>
      <c r="AE25" s="817"/>
      <c r="AF25" s="817"/>
      <c r="AG25" s="817"/>
      <c r="AH25" s="817"/>
      <c r="AI25" s="819"/>
      <c r="AJ25" s="866">
        <f t="shared" si="8"/>
        <v>0</v>
      </c>
      <c r="AK25" s="293">
        <f t="shared" si="13"/>
        <v>0</v>
      </c>
      <c r="AL25" s="293">
        <f t="shared" si="9"/>
        <v>100</v>
      </c>
      <c r="AM25" s="1" t="e">
        <f t="shared" si="10"/>
        <v>#DIV/0!</v>
      </c>
    </row>
    <row r="26" spans="3:44" ht="16.5" customHeight="1" thickTop="1" thickBot="1">
      <c r="C26" s="1387"/>
      <c r="D26" s="820">
        <f>'الأجـــازة للوصايا'!BF7</f>
        <v>0</v>
      </c>
      <c r="E26" s="697"/>
      <c r="M26" s="814">
        <f>IFERROR( 'الأجـــازة للوصايا'!BD26+'الأجـــازة للوصايا'!BF26,0)</f>
        <v>0</v>
      </c>
      <c r="N26" s="814" t="e">
        <f t="shared" si="1"/>
        <v>#DIV/0!</v>
      </c>
      <c r="O26" s="848" t="e">
        <f>'ورقة أجازة وعدم الأجازة للمختصن'!BA74</f>
        <v>#DIV/0!</v>
      </c>
      <c r="P26" s="815" t="e">
        <f t="shared" si="2"/>
        <v>#DIV/0!</v>
      </c>
      <c r="Q26" s="816">
        <f>IF('الأجـــازة للوصايا'!BD26&gt;0,'الأجـــازة للوصايا'!BD26,0)</f>
        <v>0</v>
      </c>
      <c r="R26" s="816" t="e">
        <f t="shared" si="3"/>
        <v>#DIV/0!</v>
      </c>
      <c r="S26" s="814">
        <f t="shared" si="4"/>
        <v>0</v>
      </c>
      <c r="T26" s="814">
        <f t="shared" si="5"/>
        <v>0</v>
      </c>
      <c r="U26" s="709">
        <f t="shared" si="6"/>
        <v>0</v>
      </c>
      <c r="V26" s="814">
        <f t="shared" si="7"/>
        <v>0</v>
      </c>
      <c r="W26" s="817">
        <f t="shared" si="11"/>
        <v>0</v>
      </c>
      <c r="X26" s="814"/>
      <c r="Y26" s="817">
        <f t="shared" si="12"/>
        <v>0</v>
      </c>
      <c r="Z26" s="817"/>
      <c r="AA26" s="817"/>
      <c r="AB26" s="817" t="s">
        <v>114</v>
      </c>
      <c r="AC26" s="817"/>
      <c r="AD26" s="817"/>
      <c r="AE26" s="817"/>
      <c r="AF26" s="817"/>
      <c r="AG26" s="817"/>
      <c r="AH26" s="817"/>
      <c r="AI26" s="819"/>
      <c r="AJ26" s="866">
        <f t="shared" si="8"/>
        <v>0</v>
      </c>
      <c r="AK26" s="293">
        <f t="shared" si="13"/>
        <v>0</v>
      </c>
      <c r="AL26" s="293">
        <f t="shared" si="9"/>
        <v>100</v>
      </c>
      <c r="AM26" s="1" t="e">
        <f t="shared" si="10"/>
        <v>#DIV/0!</v>
      </c>
    </row>
    <row r="27" spans="3:44" ht="16.5" customHeight="1" thickTop="1" thickBot="1">
      <c r="C27" s="1388"/>
      <c r="D27" s="820">
        <f>'الأجـــازة للوصايا'!BG7</f>
        <v>0</v>
      </c>
      <c r="E27" s="697"/>
      <c r="M27" s="825">
        <f>IFERROR( 'الأجـــازة للوصايا'!BD27+'الأجـــازة للوصايا'!BF27,0)</f>
        <v>0</v>
      </c>
      <c r="N27" s="814" t="e">
        <f t="shared" si="1"/>
        <v>#DIV/0!</v>
      </c>
      <c r="O27" s="848" t="e">
        <f>'ورقة أجازة وعدم الأجازة للمختصن'!BA75</f>
        <v>#DIV/0!</v>
      </c>
      <c r="P27" s="826" t="e">
        <f t="shared" si="2"/>
        <v>#DIV/0!</v>
      </c>
      <c r="Q27" s="827">
        <f>IF('الأجـــازة للوصايا'!BD27&gt;0,'الأجـــازة للوصايا'!BD27,0)</f>
        <v>0</v>
      </c>
      <c r="R27" s="827" t="e">
        <f t="shared" si="3"/>
        <v>#DIV/0!</v>
      </c>
      <c r="S27" s="814">
        <f t="shared" si="4"/>
        <v>0</v>
      </c>
      <c r="T27" s="825">
        <f t="shared" si="5"/>
        <v>0</v>
      </c>
      <c r="U27" s="716">
        <f t="shared" si="6"/>
        <v>0</v>
      </c>
      <c r="V27" s="825">
        <f t="shared" si="7"/>
        <v>0</v>
      </c>
      <c r="W27" s="828">
        <f t="shared" si="11"/>
        <v>0</v>
      </c>
      <c r="X27" s="825"/>
      <c r="Y27" s="817">
        <f t="shared" si="12"/>
        <v>0</v>
      </c>
      <c r="Z27" s="828"/>
      <c r="AA27" s="828"/>
      <c r="AB27" s="828"/>
      <c r="AC27" s="828"/>
      <c r="AD27" s="828"/>
      <c r="AE27" s="828"/>
      <c r="AF27" s="828"/>
      <c r="AG27" s="828"/>
      <c r="AH27" s="828"/>
      <c r="AI27" s="829"/>
      <c r="AJ27" s="866">
        <f t="shared" si="8"/>
        <v>0</v>
      </c>
      <c r="AK27" s="293">
        <f t="shared" si="13"/>
        <v>0</v>
      </c>
      <c r="AL27" s="293">
        <f t="shared" si="9"/>
        <v>100</v>
      </c>
      <c r="AM27" s="1" t="e">
        <f t="shared" si="10"/>
        <v>#DIV/0!</v>
      </c>
    </row>
    <row r="28" spans="3:44" ht="15.75" customHeight="1">
      <c r="C28" s="1"/>
      <c r="D28" s="1"/>
      <c r="F28" s="462" t="s">
        <v>114</v>
      </c>
      <c r="G28" s="462"/>
      <c r="H28" s="463"/>
      <c r="I28" s="464"/>
      <c r="J28" s="464"/>
      <c r="K28" s="464"/>
      <c r="L28" s="465"/>
      <c r="M28" s="465"/>
      <c r="N28" s="465"/>
      <c r="O28" s="465"/>
      <c r="P28" s="566" t="e">
        <f>SUM(AM12:AM27)</f>
        <v>#DIV/0!</v>
      </c>
      <c r="Q28" s="479"/>
      <c r="R28" s="480" t="e">
        <f>SUM(R12:R27)</f>
        <v>#DIV/0!</v>
      </c>
      <c r="S28" s="480"/>
      <c r="T28" s="481"/>
      <c r="U28" s="482"/>
      <c r="V28" s="481">
        <f>SUM(V12:V27)</f>
        <v>0</v>
      </c>
      <c r="W28" s="483"/>
      <c r="X28" s="481"/>
      <c r="Y28" s="28"/>
      <c r="Z28" s="478"/>
      <c r="AA28" s="478"/>
      <c r="AB28" s="1"/>
      <c r="AC28" s="1"/>
      <c r="AD28" s="1"/>
      <c r="AE28" s="1"/>
      <c r="AF28" s="1"/>
      <c r="AG28" s="1"/>
      <c r="AH28" s="1"/>
      <c r="AI28" s="1"/>
      <c r="AJ28" s="1"/>
      <c r="AK28" s="1"/>
      <c r="AR28" t="s">
        <v>114</v>
      </c>
    </row>
    <row r="29" spans="3:44" ht="15.75">
      <c r="G29" s="28"/>
      <c r="H29" s="28"/>
      <c r="I29" s="28"/>
      <c r="J29" s="28"/>
      <c r="K29" s="28"/>
      <c r="L29" s="28"/>
      <c r="N29" s="478" t="e">
        <f>SUM(N12:N27)</f>
        <v>#DIV/0!</v>
      </c>
      <c r="O29" s="478"/>
      <c r="Q29" s="28"/>
      <c r="R29" s="28"/>
      <c r="S29" s="537">
        <f>GCD(S12:S27)</f>
        <v>0</v>
      </c>
      <c r="T29" s="28"/>
      <c r="U29" s="28"/>
      <c r="V29" s="28"/>
      <c r="W29" s="28"/>
      <c r="X29" s="28"/>
      <c r="Y29" s="28"/>
      <c r="Z29" s="28"/>
      <c r="AA29" s="28"/>
      <c r="AC29" s="1"/>
    </row>
    <row r="30" spans="3:44" ht="18.75" hidden="1">
      <c r="G30" s="28"/>
      <c r="H30" s="28"/>
      <c r="I30" s="28"/>
      <c r="J30" s="28"/>
      <c r="K30" s="28"/>
      <c r="L30" s="28"/>
      <c r="M30" s="28"/>
      <c r="N30" s="28"/>
      <c r="O30" s="28"/>
      <c r="P30" s="549" t="e">
        <f>SUM(P12:P27)</f>
        <v>#DIV/0!</v>
      </c>
      <c r="Q30" s="28"/>
      <c r="R30" s="28"/>
      <c r="S30" s="478">
        <f t="shared" ref="S30:S47" si="14">$S$29</f>
        <v>0</v>
      </c>
      <c r="T30" s="28"/>
      <c r="U30" s="28"/>
      <c r="V30" s="478">
        <f>ROUNDDOWN(V28,0)</f>
        <v>0</v>
      </c>
      <c r="W30" s="28"/>
      <c r="X30" s="28"/>
      <c r="Y30" s="28"/>
      <c r="Z30" s="28"/>
      <c r="AA30" s="28"/>
      <c r="AC30" s="1"/>
    </row>
    <row r="31" spans="3:44" hidden="1">
      <c r="E31">
        <f>L31</f>
        <v>0</v>
      </c>
      <c r="F31" s="1">
        <f>'الأجـــازة للوصايا'!J88</f>
        <v>1</v>
      </c>
      <c r="G31" s="478">
        <f>'الأجـــازة للوصايا'!H88</f>
        <v>0</v>
      </c>
      <c r="I31" s="478">
        <f>'الأجـــازة للوصايا'!J88</f>
        <v>1</v>
      </c>
      <c r="J31" s="28">
        <f>IF(F31&gt;1,M31,0)</f>
        <v>0</v>
      </c>
      <c r="K31" t="e">
        <f>VLOOKUP(1,E31:J42,3,FALSE)</f>
        <v>#N/A</v>
      </c>
      <c r="L31" s="28">
        <f t="shared" ref="L31:L42" si="15">IF(I31&gt;1,1,0)</f>
        <v>0</v>
      </c>
      <c r="M31" s="28">
        <f>VLOOKUP(F31,F31:I40,2,FALSE)</f>
        <v>0</v>
      </c>
      <c r="N31" s="28"/>
      <c r="O31" s="28"/>
      <c r="P31" s="478">
        <f t="shared" ref="P31:P44" si="16">L31</f>
        <v>0</v>
      </c>
      <c r="Q31" s="28"/>
      <c r="R31" s="28"/>
      <c r="S31" s="478">
        <f t="shared" si="14"/>
        <v>0</v>
      </c>
      <c r="T31" s="28"/>
      <c r="U31" s="28"/>
      <c r="V31" s="478">
        <f>V28-V30</f>
        <v>0</v>
      </c>
      <c r="W31" s="28"/>
      <c r="X31" s="28"/>
      <c r="Y31" s="28"/>
      <c r="Z31" s="28"/>
      <c r="AA31" s="28"/>
      <c r="AC31" s="1"/>
      <c r="AJ31" s="478">
        <f>'الأجـــازة للوصايا'!I88</f>
        <v>0</v>
      </c>
    </row>
    <row r="32" spans="3:44" hidden="1">
      <c r="E32">
        <f>L32+SUM(L31)</f>
        <v>0</v>
      </c>
      <c r="F32" s="1">
        <f>'الأجـــازة للوصايا'!J89</f>
        <v>0</v>
      </c>
      <c r="G32" s="478">
        <f>'الأجـــازة للوصايا'!H89</f>
        <v>0</v>
      </c>
      <c r="I32" s="478">
        <f>'الأجـــازة للوصايا'!J89</f>
        <v>0</v>
      </c>
      <c r="J32" s="28">
        <f>IF(F32&gt;1,M32,0)</f>
        <v>0</v>
      </c>
      <c r="K32" t="e">
        <f>VLOOKUP(2,E31:J42,3,FALSE)</f>
        <v>#N/A</v>
      </c>
      <c r="L32" s="28">
        <f t="shared" si="15"/>
        <v>0</v>
      </c>
      <c r="M32" s="28">
        <f>VLOOKUP(F32,F31:I40,2,FALSE)</f>
        <v>0</v>
      </c>
      <c r="N32" s="28"/>
      <c r="O32" s="28"/>
      <c r="P32" s="478">
        <f t="shared" si="16"/>
        <v>0</v>
      </c>
      <c r="Q32" s="28"/>
      <c r="R32" s="28"/>
      <c r="S32" s="478">
        <f t="shared" si="14"/>
        <v>0</v>
      </c>
      <c r="T32" s="28"/>
      <c r="U32" s="28"/>
      <c r="V32" s="478" t="s">
        <v>114</v>
      </c>
      <c r="W32" s="28"/>
      <c r="X32" s="28"/>
      <c r="Y32" s="28"/>
      <c r="Z32" s="28"/>
      <c r="AA32" s="28"/>
      <c r="AC32" s="1"/>
      <c r="AJ32" s="478">
        <f>'الأجـــازة للوصايا'!I89</f>
        <v>0</v>
      </c>
    </row>
    <row r="33" spans="5:36" hidden="1">
      <c r="E33">
        <f>L33+SUM(L31:L32)</f>
        <v>0</v>
      </c>
      <c r="F33" s="1">
        <f>'الأجـــازة للوصايا'!J90</f>
        <v>-1</v>
      </c>
      <c r="G33" s="478">
        <f>'الأجـــازة للوصايا'!H90</f>
        <v>0</v>
      </c>
      <c r="I33" s="478">
        <f>'الأجـــازة للوصايا'!J90</f>
        <v>-1</v>
      </c>
      <c r="J33" s="28">
        <f>IF(F33&gt;1,M33,0)</f>
        <v>0</v>
      </c>
      <c r="K33" t="e">
        <f>VLOOKUP(3,E31:J42,3,FALSE)</f>
        <v>#N/A</v>
      </c>
      <c r="L33" s="28">
        <f t="shared" si="15"/>
        <v>0</v>
      </c>
      <c r="M33" s="28">
        <f>VLOOKUP(F33,F31:I40,2,FALSE)</f>
        <v>0</v>
      </c>
      <c r="N33" s="28"/>
      <c r="O33" s="28"/>
      <c r="P33" s="478">
        <f t="shared" si="16"/>
        <v>0</v>
      </c>
      <c r="Q33" s="28"/>
      <c r="R33" s="28"/>
      <c r="S33" s="478">
        <f t="shared" si="14"/>
        <v>0</v>
      </c>
      <c r="T33" s="28"/>
      <c r="U33" s="28"/>
      <c r="V33" s="28"/>
      <c r="W33" s="28"/>
      <c r="X33" s="28"/>
      <c r="Y33" s="28"/>
      <c r="Z33" s="28"/>
      <c r="AA33" s="28"/>
      <c r="AC33" s="1"/>
      <c r="AJ33" s="478">
        <f>'الأجـــازة للوصايا'!I90</f>
        <v>0</v>
      </c>
    </row>
    <row r="34" spans="5:36" hidden="1">
      <c r="E34">
        <f>L34+SUM(L31:L33)</f>
        <v>0</v>
      </c>
      <c r="F34" s="1">
        <f>'الأجـــازة للوصايا'!J91</f>
        <v>-2</v>
      </c>
      <c r="G34" s="478">
        <f>'الأجـــازة للوصايا'!H91</f>
        <v>0</v>
      </c>
      <c r="I34" s="478">
        <f>'الأجـــازة للوصايا'!J91</f>
        <v>-2</v>
      </c>
      <c r="J34" s="28">
        <f>IF(F34&gt;1,M34,0)</f>
        <v>0</v>
      </c>
      <c r="K34" t="e">
        <f>VLOOKUP(4,E31:J42,3,FALSE)</f>
        <v>#N/A</v>
      </c>
      <c r="L34" s="28">
        <f t="shared" si="15"/>
        <v>0</v>
      </c>
      <c r="M34" s="28">
        <f>VLOOKUP(F34,F31:I40,2,FALSE)</f>
        <v>0</v>
      </c>
      <c r="N34" s="28"/>
      <c r="O34" s="28"/>
      <c r="P34" s="28">
        <f t="shared" si="16"/>
        <v>0</v>
      </c>
      <c r="Q34" s="28"/>
      <c r="R34" s="28"/>
      <c r="S34" s="478">
        <f t="shared" si="14"/>
        <v>0</v>
      </c>
      <c r="T34" s="28"/>
      <c r="U34" s="28"/>
      <c r="V34" s="28"/>
      <c r="W34" s="28"/>
      <c r="X34" s="28"/>
      <c r="Y34" s="28"/>
      <c r="Z34" s="28"/>
      <c r="AA34" s="28"/>
      <c r="AC34" s="1"/>
      <c r="AJ34" s="478">
        <f>'الأجـــازة للوصايا'!I91</f>
        <v>0</v>
      </c>
    </row>
    <row r="35" spans="5:36" hidden="1">
      <c r="E35">
        <f>L35+SUM(L31:L34)</f>
        <v>0</v>
      </c>
      <c r="F35" s="1">
        <f>'الأجـــازة للوصايا'!J92</f>
        <v>-3</v>
      </c>
      <c r="G35" s="478">
        <f>'الأجـــازة للوصايا'!H92</f>
        <v>0</v>
      </c>
      <c r="I35" s="478">
        <f>'الأجـــازة للوصايا'!J92</f>
        <v>-3</v>
      </c>
      <c r="J35" s="28">
        <f>IF( F35&gt;1, G35,0)</f>
        <v>0</v>
      </c>
      <c r="K35" t="e">
        <f>VLOOKUP(5,E31:J42,3,FALSE)</f>
        <v>#N/A</v>
      </c>
      <c r="L35" s="28">
        <f t="shared" si="15"/>
        <v>0</v>
      </c>
      <c r="M35" s="28">
        <f>VLOOKUP(F35,F31:I40,2,FALSE)</f>
        <v>0</v>
      </c>
      <c r="N35" s="28"/>
      <c r="O35" s="28"/>
      <c r="P35" s="28">
        <f t="shared" si="16"/>
        <v>0</v>
      </c>
      <c r="Q35" s="28"/>
      <c r="R35" s="28"/>
      <c r="S35" s="478">
        <f t="shared" si="14"/>
        <v>0</v>
      </c>
      <c r="T35" s="28"/>
      <c r="U35" s="28"/>
      <c r="V35" s="28"/>
      <c r="W35" s="28"/>
      <c r="X35" s="28"/>
      <c r="Y35" s="28"/>
      <c r="Z35" s="28"/>
      <c r="AA35" s="28"/>
      <c r="AC35" s="1"/>
      <c r="AJ35" s="478">
        <f>'الأجـــازة للوصايا'!I92</f>
        <v>0</v>
      </c>
    </row>
    <row r="36" spans="5:36" hidden="1">
      <c r="E36">
        <f>L36+SUM(L31:L35)</f>
        <v>0</v>
      </c>
      <c r="F36" s="1">
        <f>'الأجـــازة للوصايا'!J93</f>
        <v>-4</v>
      </c>
      <c r="G36" s="478">
        <f>'الأجـــازة للوصايا'!H93</f>
        <v>0</v>
      </c>
      <c r="I36" s="478">
        <f>'الأجـــازة للوصايا'!J93</f>
        <v>-4</v>
      </c>
      <c r="J36" s="28">
        <f>IF(F36&gt;1, G36,0)</f>
        <v>0</v>
      </c>
      <c r="K36" t="e">
        <f>VLOOKUP(6,E31:J42,3,FALSE)</f>
        <v>#N/A</v>
      </c>
      <c r="L36" s="28">
        <f t="shared" si="15"/>
        <v>0</v>
      </c>
      <c r="M36" s="28"/>
      <c r="N36" s="28"/>
      <c r="O36" s="28"/>
      <c r="P36" s="28">
        <f t="shared" si="16"/>
        <v>0</v>
      </c>
      <c r="Q36" s="28"/>
      <c r="R36" s="28"/>
      <c r="S36" s="478">
        <f t="shared" si="14"/>
        <v>0</v>
      </c>
      <c r="T36" s="28"/>
      <c r="U36" s="28"/>
      <c r="V36" s="28"/>
      <c r="W36" s="28"/>
      <c r="X36" s="28"/>
      <c r="Y36" s="28"/>
      <c r="Z36" s="28"/>
      <c r="AA36" s="28"/>
      <c r="AC36" s="1"/>
      <c r="AJ36" s="478">
        <f>'الأجـــازة للوصايا'!I93</f>
        <v>0</v>
      </c>
    </row>
    <row r="37" spans="5:36" hidden="1">
      <c r="E37">
        <f>L37+SUM(L31:L36)</f>
        <v>0</v>
      </c>
      <c r="F37" s="1">
        <f>'الأجـــازة للوصايا'!J94</f>
        <v>-5</v>
      </c>
      <c r="G37" s="478">
        <f>'الأجـــازة للوصايا'!H94</f>
        <v>0</v>
      </c>
      <c r="I37" s="478">
        <f>'الأجـــازة للوصايا'!J94</f>
        <v>-5</v>
      </c>
      <c r="J37" s="28">
        <f>IF(F37&gt;1,#REF!,0)</f>
        <v>0</v>
      </c>
      <c r="K37" t="e">
        <f>VLOOKUP(7,E31:J42,3,FALSE)</f>
        <v>#N/A</v>
      </c>
      <c r="L37" s="28">
        <f t="shared" si="15"/>
        <v>0</v>
      </c>
      <c r="M37" s="28"/>
      <c r="N37" s="28"/>
      <c r="O37" s="28"/>
      <c r="P37" s="28">
        <f t="shared" si="16"/>
        <v>0</v>
      </c>
      <c r="Q37" s="28"/>
      <c r="R37" s="28"/>
      <c r="S37" s="478">
        <f t="shared" si="14"/>
        <v>0</v>
      </c>
      <c r="T37" s="28"/>
      <c r="U37" s="28"/>
      <c r="V37" s="28"/>
      <c r="W37" s="28"/>
      <c r="X37" s="28"/>
      <c r="Y37" s="28"/>
      <c r="Z37" s="28"/>
      <c r="AA37" s="28"/>
      <c r="AC37" s="1"/>
      <c r="AJ37" s="478">
        <f>'الأجـــازة للوصايا'!I94</f>
        <v>0</v>
      </c>
    </row>
    <row r="38" spans="5:36" hidden="1">
      <c r="E38">
        <f>L38+SUM(L31:L37)</f>
        <v>0</v>
      </c>
      <c r="F38" s="1">
        <f>'الأجـــازة للوصايا'!J95</f>
        <v>-6</v>
      </c>
      <c r="G38" s="478">
        <f>'الأجـــازة للوصايا'!H95</f>
        <v>0</v>
      </c>
      <c r="I38" s="478">
        <f>'الأجـــازة للوصايا'!J95</f>
        <v>-6</v>
      </c>
      <c r="J38" s="28">
        <f>IF(F38&gt;1,#REF!,0)</f>
        <v>0</v>
      </c>
      <c r="K38" t="e">
        <f>VLOOKUP(8,E31:J42,3,FALSE)</f>
        <v>#N/A</v>
      </c>
      <c r="L38" s="28">
        <f t="shared" si="15"/>
        <v>0</v>
      </c>
      <c r="M38" s="28"/>
      <c r="N38" s="28"/>
      <c r="O38" s="28"/>
      <c r="P38" s="28">
        <f t="shared" si="16"/>
        <v>0</v>
      </c>
      <c r="Q38" s="28"/>
      <c r="R38" s="28"/>
      <c r="S38" s="478">
        <f t="shared" si="14"/>
        <v>0</v>
      </c>
      <c r="T38" s="28"/>
      <c r="U38" s="28"/>
      <c r="V38" s="28"/>
      <c r="W38" s="28"/>
      <c r="X38" s="28"/>
      <c r="Y38" s="28"/>
      <c r="Z38" s="28"/>
      <c r="AA38" s="28"/>
      <c r="AC38" s="1"/>
      <c r="AJ38" s="478">
        <f>'الأجـــازة للوصايا'!I95</f>
        <v>0</v>
      </c>
    </row>
    <row r="39" spans="5:36" hidden="1">
      <c r="E39">
        <f>L39+SUM(L30:L38)</f>
        <v>0</v>
      </c>
      <c r="F39" s="1">
        <f>'الأجـــازة للوصايا'!J96</f>
        <v>-7</v>
      </c>
      <c r="G39" s="478">
        <f>'الأجـــازة للوصايا'!H96</f>
        <v>0</v>
      </c>
      <c r="I39" s="478">
        <f>'الأجـــازة للوصايا'!J96</f>
        <v>-7</v>
      </c>
      <c r="J39" s="28">
        <f>IF(F39&gt;1,#REF!,0)</f>
        <v>0</v>
      </c>
      <c r="K39" t="e">
        <f>VLOOKUP(9,E31:J42,3,FALSE)</f>
        <v>#N/A</v>
      </c>
      <c r="L39" s="28">
        <f t="shared" si="15"/>
        <v>0</v>
      </c>
      <c r="M39" s="28"/>
      <c r="N39" s="28"/>
      <c r="O39" s="28"/>
      <c r="P39" s="28">
        <f t="shared" si="16"/>
        <v>0</v>
      </c>
      <c r="Q39" s="28"/>
      <c r="R39" s="28"/>
      <c r="S39" s="478">
        <f t="shared" si="14"/>
        <v>0</v>
      </c>
      <c r="T39" s="28"/>
      <c r="U39" s="28"/>
      <c r="V39" s="28"/>
      <c r="W39" s="28"/>
      <c r="X39" s="28"/>
      <c r="Y39" s="28"/>
      <c r="Z39" s="28"/>
      <c r="AA39" s="28"/>
      <c r="AC39" s="1"/>
      <c r="AJ39" s="478">
        <f>'الأجـــازة للوصايا'!I96</f>
        <v>0</v>
      </c>
    </row>
    <row r="40" spans="5:36" hidden="1">
      <c r="E40">
        <f>L40+SUM(L31:L40)</f>
        <v>0</v>
      </c>
      <c r="F40" s="1">
        <f>'الأجـــازة للوصايا'!J97</f>
        <v>-8</v>
      </c>
      <c r="G40" s="478">
        <f>'الأجـــازة للوصايا'!H97</f>
        <v>0</v>
      </c>
      <c r="I40" s="478">
        <f>'الأجـــازة للوصايا'!J97</f>
        <v>-8</v>
      </c>
      <c r="J40" s="28"/>
      <c r="K40" t="e">
        <f>VLOOKUP(E40,H40:J51,3,FALSE)</f>
        <v>#N/A</v>
      </c>
      <c r="L40" s="28">
        <f t="shared" si="15"/>
        <v>0</v>
      </c>
      <c r="M40" s="28"/>
      <c r="N40" s="28"/>
      <c r="O40" s="28"/>
      <c r="P40" s="28">
        <f t="shared" si="16"/>
        <v>0</v>
      </c>
      <c r="Q40" s="28"/>
      <c r="R40" s="28"/>
      <c r="S40" s="478">
        <f t="shared" si="14"/>
        <v>0</v>
      </c>
      <c r="T40" s="28"/>
      <c r="U40" s="28"/>
      <c r="V40" s="28"/>
      <c r="W40" s="28"/>
      <c r="X40" s="28"/>
      <c r="Y40" s="28"/>
      <c r="Z40" s="28"/>
      <c r="AA40" s="28"/>
      <c r="AC40" s="1"/>
      <c r="AJ40" s="478">
        <f>'الأجـــازة للوصايا'!I97</f>
        <v>0</v>
      </c>
    </row>
    <row r="41" spans="5:36" hidden="1">
      <c r="E41">
        <f>L41+SUM(L30:L41)</f>
        <v>0</v>
      </c>
      <c r="F41" s="1">
        <f>'الأجـــازة للوصايا'!J98</f>
        <v>-9</v>
      </c>
      <c r="G41" s="478">
        <f>'الأجـــازة للوصايا'!H98</f>
        <v>0</v>
      </c>
      <c r="I41" s="478">
        <f>'الأجـــازة للوصايا'!J98</f>
        <v>-9</v>
      </c>
      <c r="J41" s="28"/>
      <c r="K41" t="e">
        <f>VLOOKUP(E41,H41:J52,3,FALSE)</f>
        <v>#N/A</v>
      </c>
      <c r="L41" s="28">
        <f t="shared" si="15"/>
        <v>0</v>
      </c>
      <c r="M41" s="28"/>
      <c r="N41" s="28"/>
      <c r="O41" s="28"/>
      <c r="P41" s="28">
        <f t="shared" si="16"/>
        <v>0</v>
      </c>
      <c r="Q41" s="28"/>
      <c r="R41" s="28"/>
      <c r="S41" s="478">
        <f t="shared" si="14"/>
        <v>0</v>
      </c>
      <c r="T41" s="28"/>
      <c r="U41" s="28"/>
      <c r="V41" s="28"/>
      <c r="W41" s="28"/>
      <c r="X41" s="28"/>
      <c r="Y41" s="28"/>
      <c r="Z41" s="28"/>
      <c r="AA41" s="28"/>
      <c r="AC41" s="1"/>
      <c r="AJ41" s="478">
        <f>'الأجـــازة للوصايا'!I98</f>
        <v>0</v>
      </c>
    </row>
    <row r="42" spans="5:36" hidden="1">
      <c r="E42">
        <f>L42+SUM(L41)</f>
        <v>0</v>
      </c>
      <c r="F42" s="1">
        <f>'الأجـــازة للوصايا'!J99</f>
        <v>-10</v>
      </c>
      <c r="G42" s="478">
        <f>'الأجـــازة للوصايا'!H99</f>
        <v>0</v>
      </c>
      <c r="I42" s="478">
        <f>'الأجـــازة للوصايا'!J99</f>
        <v>-10</v>
      </c>
      <c r="J42" s="28"/>
      <c r="K42" t="e">
        <f>VLOOKUP(E42,H42:J53,3,FALSE)</f>
        <v>#N/A</v>
      </c>
      <c r="L42" s="28">
        <f t="shared" si="15"/>
        <v>0</v>
      </c>
      <c r="M42" s="28"/>
      <c r="N42" s="28"/>
      <c r="O42" s="28"/>
      <c r="P42" s="28">
        <f t="shared" si="16"/>
        <v>0</v>
      </c>
      <c r="Q42" s="28"/>
      <c r="R42" s="28"/>
      <c r="S42" s="478">
        <f t="shared" si="14"/>
        <v>0</v>
      </c>
      <c r="T42" s="28"/>
      <c r="U42" s="28"/>
      <c r="V42" s="28"/>
      <c r="W42" s="28"/>
      <c r="X42" s="28"/>
      <c r="Y42" s="28"/>
      <c r="Z42" s="28"/>
      <c r="AA42" s="28"/>
      <c r="AC42" s="1"/>
      <c r="AJ42" s="478">
        <f>'الأجـــازة للوصايا'!I99</f>
        <v>0</v>
      </c>
    </row>
    <row r="43" spans="5:36" hidden="1">
      <c r="E43">
        <f>L43+L42</f>
        <v>0</v>
      </c>
      <c r="G43" s="28"/>
      <c r="I43" s="28"/>
      <c r="J43" s="28"/>
      <c r="L43" s="28"/>
      <c r="M43" s="28"/>
      <c r="N43" s="28"/>
      <c r="O43" s="28"/>
      <c r="P43" s="28">
        <f t="shared" si="16"/>
        <v>0</v>
      </c>
      <c r="Q43" s="28"/>
      <c r="R43" s="28"/>
      <c r="S43" s="478">
        <f t="shared" si="14"/>
        <v>0</v>
      </c>
      <c r="T43" s="28"/>
      <c r="U43" s="28"/>
      <c r="V43" s="28"/>
      <c r="W43" s="28"/>
      <c r="X43" s="28"/>
      <c r="Y43" s="28"/>
      <c r="Z43" s="28"/>
      <c r="AA43" s="28"/>
      <c r="AC43" s="1"/>
    </row>
    <row r="44" spans="5:36">
      <c r="E44" s="28"/>
      <c r="G44" s="28"/>
      <c r="I44" s="28"/>
      <c r="J44" s="28"/>
      <c r="K44" s="28"/>
      <c r="L44" s="28"/>
      <c r="M44" s="28"/>
      <c r="N44" s="28"/>
      <c r="O44" s="28"/>
      <c r="P44" s="28">
        <f t="shared" si="16"/>
        <v>0</v>
      </c>
      <c r="Q44" s="28"/>
      <c r="R44" s="28"/>
      <c r="S44" s="478">
        <f t="shared" si="14"/>
        <v>0</v>
      </c>
      <c r="T44" s="28"/>
      <c r="U44" s="28"/>
      <c r="V44" s="28"/>
      <c r="W44" s="28"/>
      <c r="X44" s="28"/>
      <c r="Y44" s="28"/>
      <c r="Z44" s="28"/>
      <c r="AA44" s="28"/>
      <c r="AC44" s="1"/>
    </row>
    <row r="45" spans="5:36">
      <c r="E45" s="28"/>
      <c r="G45" s="28"/>
      <c r="I45" s="28"/>
      <c r="J45" s="28"/>
      <c r="K45" s="28"/>
      <c r="L45" s="28"/>
      <c r="M45" s="28"/>
      <c r="N45" s="28"/>
      <c r="O45" s="28"/>
      <c r="P45" s="28"/>
      <c r="Q45" s="28"/>
      <c r="R45" s="28"/>
      <c r="S45" s="478">
        <f t="shared" si="14"/>
        <v>0</v>
      </c>
      <c r="T45" s="28"/>
      <c r="U45" s="28"/>
      <c r="V45" s="28"/>
      <c r="W45" s="28"/>
      <c r="X45" s="28"/>
      <c r="Y45" s="28"/>
      <c r="Z45" s="28"/>
      <c r="AA45" s="28"/>
      <c r="AC45" s="1"/>
    </row>
    <row r="46" spans="5:36">
      <c r="G46" s="28"/>
      <c r="H46" s="28"/>
      <c r="I46" s="28"/>
      <c r="J46" s="28"/>
      <c r="K46" s="28"/>
      <c r="L46" s="28"/>
      <c r="M46" s="28"/>
      <c r="N46" s="28"/>
      <c r="O46" s="28"/>
      <c r="P46" s="28"/>
      <c r="Q46" s="28"/>
      <c r="R46" s="28"/>
      <c r="S46" s="478">
        <f t="shared" si="14"/>
        <v>0</v>
      </c>
      <c r="T46" s="28"/>
      <c r="U46" s="28"/>
      <c r="V46" s="28"/>
      <c r="W46" s="28"/>
      <c r="X46" s="28"/>
      <c r="Y46" s="28"/>
      <c r="Z46" s="28"/>
      <c r="AA46" s="28"/>
      <c r="AC46" s="1"/>
    </row>
    <row r="47" spans="5:36">
      <c r="G47" s="28"/>
      <c r="H47" s="28"/>
      <c r="I47" s="28"/>
      <c r="J47" s="28"/>
      <c r="K47" s="28"/>
      <c r="L47" s="28"/>
      <c r="M47" s="28"/>
      <c r="N47" s="28"/>
      <c r="O47" s="28"/>
      <c r="P47" s="28"/>
      <c r="Q47" s="28"/>
      <c r="R47" s="28"/>
      <c r="S47" s="478">
        <f t="shared" si="14"/>
        <v>0</v>
      </c>
      <c r="T47" s="28"/>
      <c r="U47" s="28"/>
      <c r="V47" s="28"/>
      <c r="W47" s="28"/>
      <c r="X47" s="28"/>
      <c r="Y47" s="28"/>
      <c r="Z47" s="28"/>
      <c r="AA47" s="28"/>
      <c r="AC47" s="1"/>
    </row>
    <row r="48" spans="5:36">
      <c r="G48" s="28"/>
      <c r="H48" s="28"/>
      <c r="I48" s="28"/>
      <c r="J48" s="28"/>
      <c r="K48" s="28"/>
      <c r="L48" s="28"/>
      <c r="M48" s="28"/>
      <c r="N48" s="28"/>
      <c r="O48" s="28"/>
      <c r="P48" s="28"/>
      <c r="Q48" s="28"/>
      <c r="R48" s="28"/>
      <c r="S48" s="28"/>
      <c r="U48" s="28"/>
      <c r="V48" s="28"/>
      <c r="W48" s="28"/>
      <c r="X48" s="28"/>
      <c r="Y48" s="28"/>
      <c r="Z48" s="28"/>
      <c r="AA48" s="28"/>
      <c r="AC48" s="1"/>
    </row>
    <row r="49" spans="7:29">
      <c r="G49" s="28"/>
      <c r="H49" s="28"/>
      <c r="I49" s="28"/>
      <c r="J49" s="28"/>
      <c r="K49" s="28"/>
      <c r="L49" s="28"/>
      <c r="M49" s="28"/>
      <c r="N49" s="28"/>
      <c r="O49" s="28"/>
      <c r="P49" s="28"/>
      <c r="Q49" s="28"/>
      <c r="R49" s="28"/>
      <c r="S49" s="28"/>
      <c r="T49" s="28"/>
      <c r="U49" s="28"/>
      <c r="V49" s="28"/>
      <c r="W49" s="28"/>
      <c r="X49" s="28"/>
      <c r="Y49" s="28"/>
      <c r="Z49" s="28"/>
      <c r="AA49" s="28"/>
      <c r="AC49" s="1"/>
    </row>
    <row r="50" spans="7:29" ht="17.25" hidden="1" thickTop="1" thickBot="1">
      <c r="G50" s="28"/>
      <c r="H50" s="28"/>
      <c r="I50" s="28"/>
      <c r="J50" s="28"/>
      <c r="K50" s="28"/>
      <c r="L50" s="552" t="s">
        <v>743</v>
      </c>
      <c r="M50" s="551"/>
      <c r="N50" s="570"/>
      <c r="O50" s="28"/>
      <c r="P50" s="28"/>
      <c r="Q50" s="28"/>
      <c r="R50" s="28"/>
      <c r="S50" s="28"/>
      <c r="T50" s="28"/>
      <c r="U50" s="28"/>
      <c r="V50" s="28"/>
      <c r="W50" s="28"/>
      <c r="X50" s="28"/>
      <c r="Y50" s="28"/>
      <c r="Z50" s="28"/>
      <c r="AA50" s="28"/>
      <c r="AC50" s="1"/>
    </row>
    <row r="51" spans="7:29" ht="21.75" hidden="1" thickTop="1">
      <c r="G51" s="28"/>
      <c r="H51" s="28"/>
      <c r="I51" s="28"/>
      <c r="J51" s="28"/>
      <c r="K51" s="28"/>
      <c r="L51" s="556" t="s">
        <v>742</v>
      </c>
      <c r="M51" s="494"/>
      <c r="N51" s="557" t="s">
        <v>114</v>
      </c>
      <c r="O51" s="555">
        <f>ROUNDDOWN(V4,0)</f>
        <v>1</v>
      </c>
      <c r="P51" s="28"/>
      <c r="Q51" s="28"/>
      <c r="R51" s="28"/>
      <c r="S51" s="28"/>
      <c r="T51" s="28"/>
      <c r="U51" s="28"/>
      <c r="V51" s="28"/>
      <c r="W51" s="28"/>
      <c r="X51" s="28"/>
      <c r="Y51" s="28"/>
      <c r="Z51" s="28"/>
      <c r="AA51" s="28"/>
      <c r="AC51" s="1"/>
    </row>
    <row r="52" spans="7:29" ht="15.75" hidden="1">
      <c r="G52" s="28"/>
      <c r="H52" s="28"/>
      <c r="I52" s="28"/>
      <c r="J52" s="28"/>
      <c r="K52" s="28"/>
      <c r="L52" s="476" t="s">
        <v>745</v>
      </c>
      <c r="M52" s="28"/>
      <c r="N52" s="524">
        <v>1</v>
      </c>
      <c r="O52" s="28"/>
      <c r="P52" s="28"/>
      <c r="Q52" s="28"/>
      <c r="R52" s="28"/>
      <c r="S52" s="28"/>
      <c r="T52" s="28"/>
      <c r="U52" s="28"/>
      <c r="V52" s="28"/>
      <c r="W52" s="28"/>
      <c r="X52" s="28"/>
      <c r="Y52" s="28"/>
      <c r="Z52" s="28"/>
      <c r="AA52" s="28"/>
      <c r="AC52" s="1"/>
    </row>
    <row r="53" spans="7:29" ht="15.75" hidden="1">
      <c r="G53" s="28"/>
      <c r="H53" s="28"/>
      <c r="I53" s="28"/>
      <c r="J53" s="28"/>
      <c r="K53" s="28"/>
      <c r="L53" s="497" t="s">
        <v>746</v>
      </c>
      <c r="M53" s="28"/>
      <c r="N53" s="524">
        <v>1</v>
      </c>
      <c r="O53" s="28"/>
      <c r="P53" s="28"/>
      <c r="Q53" s="28"/>
      <c r="R53" s="28"/>
      <c r="S53" s="28"/>
      <c r="T53" s="28"/>
      <c r="U53" s="28"/>
      <c r="V53" s="28"/>
      <c r="W53" s="28"/>
      <c r="X53" s="28"/>
      <c r="Y53" s="28"/>
      <c r="Z53" s="28"/>
      <c r="AA53" s="28"/>
      <c r="AC53" s="1"/>
    </row>
    <row r="54" spans="7:29">
      <c r="G54" s="28"/>
      <c r="H54" s="28"/>
      <c r="I54" s="28"/>
      <c r="J54" s="28"/>
      <c r="K54" s="28"/>
      <c r="L54" s="28"/>
      <c r="M54" s="28"/>
      <c r="N54" s="28"/>
      <c r="O54" s="28"/>
      <c r="P54" s="28"/>
      <c r="Q54" s="28"/>
      <c r="R54" s="28"/>
      <c r="S54" s="28"/>
      <c r="T54" s="28"/>
      <c r="U54" s="28"/>
      <c r="V54" s="28"/>
      <c r="W54" s="28"/>
      <c r="X54" s="28"/>
      <c r="Y54" s="28"/>
      <c r="Z54" s="28"/>
      <c r="AA54" s="28"/>
      <c r="AC54" s="1"/>
    </row>
    <row r="55" spans="7:29">
      <c r="G55" s="28"/>
      <c r="H55" s="28"/>
      <c r="I55" s="28"/>
      <c r="J55" s="28"/>
      <c r="K55" s="28"/>
      <c r="L55" s="28"/>
      <c r="M55" s="28"/>
      <c r="N55" s="28"/>
      <c r="O55" s="28"/>
      <c r="P55" s="28"/>
      <c r="Q55" s="28"/>
      <c r="R55" s="28"/>
      <c r="S55" s="28"/>
      <c r="T55" s="28"/>
      <c r="U55" s="28"/>
      <c r="V55" s="28"/>
      <c r="W55" s="28"/>
      <c r="X55" s="28"/>
      <c r="Y55" s="28"/>
      <c r="Z55" s="28"/>
      <c r="AA55" s="28"/>
      <c r="AC55" s="1"/>
    </row>
    <row r="56" spans="7:29">
      <c r="G56" s="28"/>
      <c r="H56" s="28"/>
      <c r="I56" s="28"/>
      <c r="J56" s="28"/>
      <c r="K56" s="28"/>
      <c r="L56" s="28"/>
      <c r="M56" s="28"/>
      <c r="N56" s="28"/>
      <c r="O56" s="28"/>
      <c r="P56" s="28"/>
      <c r="Q56" s="28"/>
      <c r="R56" s="28"/>
      <c r="S56" s="28"/>
      <c r="T56" s="28"/>
      <c r="U56" s="28"/>
      <c r="V56" s="28"/>
      <c r="W56" s="28"/>
      <c r="X56" s="28"/>
      <c r="Y56" s="28"/>
      <c r="Z56" s="28"/>
      <c r="AA56" s="28"/>
      <c r="AC56" s="1"/>
    </row>
    <row r="57" spans="7:29">
      <c r="G57" s="28"/>
      <c r="H57" s="28"/>
      <c r="I57" s="28"/>
      <c r="J57" s="28"/>
      <c r="K57" s="28"/>
      <c r="L57" s="28"/>
      <c r="M57" s="28"/>
      <c r="N57" s="28"/>
      <c r="O57" s="28"/>
      <c r="P57" s="28"/>
      <c r="Q57" s="28"/>
      <c r="R57" s="28"/>
      <c r="S57" s="28"/>
      <c r="T57" s="28"/>
      <c r="U57" s="28"/>
      <c r="V57" s="28"/>
      <c r="W57" s="28"/>
      <c r="X57" s="28"/>
      <c r="Y57" s="28"/>
      <c r="Z57" s="28"/>
      <c r="AA57" s="28"/>
      <c r="AC57" s="1"/>
    </row>
    <row r="58" spans="7:29">
      <c r="G58" s="28"/>
      <c r="H58" s="28"/>
      <c r="I58" s="28"/>
      <c r="J58" s="28"/>
      <c r="K58" s="28"/>
      <c r="L58" s="28"/>
      <c r="M58" s="28"/>
      <c r="N58" s="28"/>
      <c r="O58" s="28"/>
      <c r="P58" s="28"/>
      <c r="Q58" s="28"/>
      <c r="R58" s="28"/>
      <c r="S58" s="28"/>
      <c r="T58" s="28"/>
      <c r="U58" s="28"/>
      <c r="V58" s="28"/>
      <c r="W58" s="28"/>
      <c r="X58" s="28"/>
      <c r="Y58" s="28"/>
      <c r="Z58" s="28"/>
      <c r="AA58" s="28"/>
      <c r="AC58" s="1"/>
    </row>
    <row r="59" spans="7:29">
      <c r="G59" s="28"/>
      <c r="H59" s="28"/>
      <c r="I59" s="28"/>
      <c r="J59" s="28"/>
      <c r="K59" s="28"/>
      <c r="L59" s="28"/>
      <c r="M59" s="28"/>
      <c r="N59" s="28"/>
      <c r="O59" s="28"/>
      <c r="P59" s="28"/>
      <c r="Q59" s="28"/>
      <c r="R59" s="28"/>
      <c r="S59" s="28"/>
      <c r="T59" s="28"/>
      <c r="U59" s="28"/>
      <c r="V59" s="28"/>
      <c r="W59" s="28"/>
      <c r="X59" s="28"/>
      <c r="Y59" s="28"/>
      <c r="Z59" s="28"/>
      <c r="AA59" s="28"/>
      <c r="AC59" s="1"/>
    </row>
    <row r="60" spans="7:29">
      <c r="G60" s="28"/>
      <c r="H60" s="28"/>
      <c r="I60" s="28"/>
      <c r="J60" s="28"/>
      <c r="K60" s="28"/>
      <c r="L60" s="28"/>
      <c r="M60" s="28"/>
      <c r="N60" s="28"/>
      <c r="O60" s="28"/>
      <c r="P60" s="28"/>
      <c r="Q60" s="28"/>
      <c r="R60" s="28"/>
      <c r="S60" s="28"/>
      <c r="T60" s="28"/>
      <c r="U60" s="28"/>
      <c r="V60" s="28"/>
      <c r="W60" s="28"/>
      <c r="X60" s="28"/>
      <c r="Y60" s="28"/>
      <c r="Z60" s="28"/>
      <c r="AA60" s="28"/>
      <c r="AC60" s="1"/>
    </row>
    <row r="61" spans="7:29">
      <c r="G61" s="28"/>
      <c r="H61" s="28"/>
      <c r="I61" s="28"/>
      <c r="J61" s="28"/>
      <c r="K61" s="28"/>
      <c r="L61" s="28"/>
      <c r="M61" s="28"/>
      <c r="N61" s="28"/>
      <c r="O61" s="28"/>
      <c r="P61" s="28"/>
      <c r="Q61" s="28"/>
      <c r="R61" s="28"/>
      <c r="S61" s="28"/>
      <c r="T61" s="28"/>
      <c r="U61" s="28"/>
      <c r="V61" s="28"/>
      <c r="W61" s="28"/>
      <c r="X61" s="28"/>
      <c r="Y61" s="28"/>
      <c r="Z61" s="28"/>
      <c r="AA61" s="28"/>
      <c r="AC61" s="1"/>
    </row>
    <row r="62" spans="7:29">
      <c r="G62" s="28"/>
      <c r="H62" s="28"/>
      <c r="I62" s="28"/>
      <c r="J62" s="28"/>
      <c r="K62" s="28"/>
      <c r="L62" s="28"/>
      <c r="M62" s="28"/>
      <c r="N62" s="28"/>
      <c r="O62" s="28"/>
      <c r="P62" s="28"/>
      <c r="Q62" s="28"/>
      <c r="R62" s="28"/>
      <c r="S62" s="28"/>
      <c r="T62" s="28"/>
      <c r="U62" s="28"/>
      <c r="V62" s="28"/>
      <c r="W62" s="28"/>
      <c r="X62" s="28"/>
      <c r="Y62" s="28"/>
      <c r="Z62" s="28"/>
      <c r="AA62" s="28"/>
      <c r="AC62" s="1"/>
    </row>
    <row r="63" spans="7:29">
      <c r="G63" s="28"/>
      <c r="H63" s="28"/>
      <c r="I63" s="28"/>
      <c r="J63" s="28"/>
      <c r="K63" s="28"/>
      <c r="L63" s="28"/>
      <c r="M63" s="28"/>
      <c r="N63" s="28"/>
      <c r="O63" s="28"/>
      <c r="P63" s="28"/>
      <c r="Q63" s="28"/>
      <c r="R63" s="28"/>
      <c r="S63" s="28"/>
      <c r="T63" s="28"/>
      <c r="U63" s="28"/>
      <c r="V63" s="28"/>
      <c r="W63" s="28"/>
      <c r="X63" s="28"/>
      <c r="Y63" s="28"/>
      <c r="Z63" s="28"/>
      <c r="AA63" s="28"/>
      <c r="AC63" s="1"/>
    </row>
    <row r="64" spans="7:29">
      <c r="G64" s="28"/>
      <c r="H64" s="28"/>
      <c r="I64" s="28"/>
      <c r="J64" s="28"/>
      <c r="K64" s="28"/>
      <c r="L64" s="28"/>
      <c r="M64" s="28"/>
      <c r="N64" s="28"/>
      <c r="O64" s="28"/>
      <c r="P64" s="28"/>
      <c r="Q64" s="28"/>
      <c r="R64" s="28"/>
      <c r="S64" s="28"/>
      <c r="T64" s="28"/>
      <c r="U64" s="28"/>
      <c r="V64" s="28"/>
      <c r="W64" s="28"/>
      <c r="X64" s="28"/>
      <c r="Y64" s="28"/>
      <c r="Z64" s="28"/>
      <c r="AA64" s="28"/>
      <c r="AC64" s="1"/>
    </row>
    <row r="65" spans="7:29">
      <c r="G65" s="28"/>
      <c r="H65" s="28"/>
      <c r="I65" s="28"/>
      <c r="J65" s="28"/>
      <c r="K65" s="28"/>
      <c r="L65" s="28"/>
      <c r="M65" s="28"/>
      <c r="N65" s="28"/>
      <c r="O65" s="28"/>
      <c r="P65" s="28"/>
      <c r="Q65" s="28"/>
      <c r="R65" s="28"/>
      <c r="S65" s="28"/>
      <c r="T65" s="28"/>
      <c r="U65" s="28"/>
      <c r="V65" s="28"/>
      <c r="W65" s="28"/>
      <c r="X65" s="28"/>
      <c r="Y65" s="28"/>
      <c r="Z65" s="28"/>
      <c r="AA65" s="28"/>
      <c r="AC65" s="1"/>
    </row>
    <row r="66" spans="7:29">
      <c r="G66" s="28"/>
      <c r="H66" s="28"/>
      <c r="I66" s="28"/>
      <c r="J66" s="28"/>
      <c r="K66" s="28"/>
      <c r="L66" s="28"/>
      <c r="M66" s="28"/>
      <c r="N66" s="28"/>
      <c r="O66" s="28"/>
      <c r="P66" s="28"/>
      <c r="Q66" s="28"/>
      <c r="R66" s="28"/>
      <c r="S66" s="28"/>
      <c r="T66" s="28"/>
      <c r="U66" s="28"/>
      <c r="V66" s="28"/>
      <c r="W66" s="28"/>
      <c r="X66" s="28"/>
      <c r="Y66" s="28"/>
      <c r="Z66" s="28"/>
      <c r="AA66" s="28"/>
      <c r="AC66" s="1"/>
    </row>
    <row r="67" spans="7:29">
      <c r="G67" s="28"/>
      <c r="H67" s="28"/>
      <c r="I67" s="28"/>
      <c r="J67" s="28"/>
      <c r="K67" s="28"/>
      <c r="L67" s="28"/>
      <c r="M67" s="28"/>
      <c r="N67" s="28"/>
      <c r="O67" s="28"/>
      <c r="P67" s="28"/>
      <c r="Q67" s="28"/>
      <c r="R67" s="28"/>
      <c r="S67" s="28"/>
      <c r="T67" s="28"/>
      <c r="U67" s="28"/>
      <c r="V67" s="28"/>
      <c r="W67" s="28"/>
      <c r="X67" s="28"/>
      <c r="Y67" s="28"/>
      <c r="Z67" s="28"/>
      <c r="AA67" s="28"/>
      <c r="AC67" s="1"/>
    </row>
    <row r="68" spans="7:29">
      <c r="G68" s="28"/>
      <c r="H68" s="28"/>
      <c r="I68" s="28"/>
      <c r="J68" s="28"/>
      <c r="K68" s="28"/>
      <c r="L68" s="28"/>
      <c r="M68" s="28"/>
      <c r="N68" s="28"/>
      <c r="O68" s="28"/>
      <c r="P68" s="28"/>
      <c r="Q68" s="28"/>
      <c r="R68" s="28"/>
      <c r="S68" s="28"/>
      <c r="T68" s="28"/>
      <c r="U68" s="28"/>
      <c r="V68" s="28"/>
      <c r="W68" s="28"/>
      <c r="X68" s="28"/>
      <c r="Y68" s="28"/>
      <c r="Z68" s="28"/>
      <c r="AA68" s="28"/>
      <c r="AC68" s="1"/>
    </row>
    <row r="69" spans="7:29">
      <c r="G69" s="28"/>
      <c r="H69" s="28"/>
      <c r="I69" s="28"/>
      <c r="J69" s="28"/>
      <c r="K69" s="28"/>
      <c r="L69" s="28"/>
      <c r="M69" s="28"/>
      <c r="N69" s="28"/>
      <c r="O69" s="28"/>
      <c r="P69" s="28"/>
      <c r="Q69" s="28"/>
      <c r="R69" s="28"/>
      <c r="S69" s="28"/>
      <c r="T69" s="28"/>
      <c r="U69" s="28"/>
      <c r="V69" s="28"/>
      <c r="W69" s="28"/>
      <c r="X69" s="28"/>
      <c r="Y69" s="28"/>
      <c r="Z69" s="28"/>
      <c r="AA69" s="28"/>
      <c r="AC69" s="1"/>
    </row>
    <row r="70" spans="7:29">
      <c r="G70" s="28"/>
      <c r="H70" s="28"/>
      <c r="I70" s="28"/>
      <c r="J70" s="28"/>
      <c r="K70" s="28"/>
      <c r="L70" s="28"/>
      <c r="M70" s="28"/>
      <c r="N70" s="28"/>
      <c r="O70" s="28"/>
      <c r="P70" s="28"/>
      <c r="Q70" s="28"/>
      <c r="R70" s="28"/>
      <c r="S70" s="28"/>
      <c r="T70" s="28"/>
      <c r="U70" s="28"/>
      <c r="V70" s="28"/>
      <c r="W70" s="28"/>
      <c r="X70" s="28"/>
      <c r="Y70" s="28"/>
      <c r="Z70" s="28"/>
      <c r="AA70" s="28"/>
      <c r="AC70" s="1"/>
    </row>
    <row r="71" spans="7:29">
      <c r="G71" s="28"/>
      <c r="H71" s="28"/>
      <c r="I71" s="28"/>
      <c r="J71" s="28"/>
      <c r="K71" s="28"/>
      <c r="L71" s="28"/>
      <c r="M71" s="28"/>
      <c r="N71" s="28"/>
      <c r="O71" s="28"/>
      <c r="P71" s="28"/>
      <c r="Q71" s="28"/>
      <c r="R71" s="28"/>
      <c r="S71" s="28"/>
      <c r="T71" s="28"/>
      <c r="U71" s="28"/>
      <c r="V71" s="28"/>
      <c r="W71" s="28"/>
      <c r="X71" s="28"/>
      <c r="Y71" s="28"/>
      <c r="Z71" s="28"/>
      <c r="AA71" s="28"/>
      <c r="AC71" s="1"/>
    </row>
    <row r="72" spans="7:29">
      <c r="G72" s="28"/>
      <c r="H72" s="28"/>
      <c r="I72" s="28"/>
      <c r="J72" s="28"/>
      <c r="K72" s="28"/>
      <c r="L72" s="28"/>
      <c r="M72" s="28"/>
      <c r="N72" s="28"/>
      <c r="O72" s="28"/>
      <c r="P72" s="28"/>
      <c r="Q72" s="28"/>
      <c r="R72" s="28"/>
      <c r="S72" s="28"/>
      <c r="T72" s="28"/>
      <c r="U72" s="28"/>
      <c r="V72" s="28"/>
      <c r="W72" s="28"/>
      <c r="X72" s="28"/>
      <c r="Y72" s="28"/>
      <c r="Z72" s="28"/>
      <c r="AA72" s="28"/>
      <c r="AC72" s="1"/>
    </row>
    <row r="73" spans="7:29">
      <c r="G73" s="28"/>
      <c r="H73" s="28"/>
      <c r="I73" s="28"/>
      <c r="J73" s="28"/>
      <c r="K73" s="28"/>
      <c r="L73" s="28"/>
      <c r="M73" s="28"/>
      <c r="N73" s="28"/>
      <c r="O73" s="28"/>
      <c r="P73" s="28"/>
      <c r="Q73" s="28"/>
      <c r="R73" s="28"/>
      <c r="S73" s="28"/>
      <c r="T73" s="28"/>
      <c r="U73" s="28"/>
      <c r="V73" s="28"/>
      <c r="W73" s="28"/>
      <c r="X73" s="28"/>
      <c r="Y73" s="28"/>
      <c r="Z73" s="28"/>
      <c r="AA73" s="28"/>
      <c r="AC73" s="1"/>
    </row>
    <row r="74" spans="7:29">
      <c r="G74" s="28"/>
      <c r="H74" s="28"/>
      <c r="I74" s="28"/>
      <c r="J74" s="28"/>
      <c r="K74" s="28"/>
      <c r="L74" s="28"/>
      <c r="M74" s="28"/>
      <c r="N74" s="28"/>
      <c r="O74" s="28"/>
      <c r="P74" s="28"/>
      <c r="Q74" s="28"/>
      <c r="R74" s="28"/>
      <c r="S74" s="28"/>
      <c r="T74" s="28"/>
      <c r="U74" s="28"/>
      <c r="V74" s="28"/>
      <c r="W74" s="28"/>
      <c r="X74" s="28"/>
      <c r="Y74" s="28"/>
      <c r="Z74" s="28"/>
      <c r="AA74" s="28"/>
      <c r="AC74" s="1"/>
    </row>
    <row r="75" spans="7:29">
      <c r="G75" s="28"/>
      <c r="H75" s="28"/>
      <c r="I75" s="28"/>
      <c r="J75" s="28"/>
      <c r="K75" s="28"/>
      <c r="L75" s="28"/>
      <c r="M75" s="28"/>
      <c r="N75" s="28"/>
      <c r="O75" s="28"/>
      <c r="P75" s="28"/>
      <c r="Q75" s="28"/>
      <c r="R75" s="28"/>
      <c r="S75" s="28"/>
      <c r="T75" s="28"/>
      <c r="U75" s="28"/>
      <c r="V75" s="28"/>
      <c r="W75" s="28"/>
      <c r="X75" s="28"/>
      <c r="Y75" s="28"/>
      <c r="Z75" s="28"/>
      <c r="AA75" s="28"/>
      <c r="AC75" s="1"/>
    </row>
    <row r="76" spans="7:29">
      <c r="G76" s="28"/>
      <c r="H76" s="28"/>
      <c r="I76" s="28"/>
      <c r="J76" s="28"/>
      <c r="K76" s="28"/>
      <c r="L76" s="28"/>
      <c r="M76" s="28"/>
      <c r="N76" s="28"/>
      <c r="O76" s="28"/>
      <c r="P76" s="28"/>
      <c r="Q76" s="28"/>
      <c r="R76" s="28"/>
      <c r="S76" s="28"/>
      <c r="T76" s="28"/>
      <c r="U76" s="28"/>
      <c r="V76" s="28"/>
      <c r="W76" s="28"/>
      <c r="X76" s="28"/>
      <c r="Y76" s="28"/>
      <c r="Z76" s="28"/>
      <c r="AA76" s="28"/>
      <c r="AC76" s="1"/>
    </row>
    <row r="77" spans="7:29">
      <c r="G77" s="28"/>
      <c r="H77" s="28"/>
      <c r="I77" s="28"/>
      <c r="J77" s="28"/>
      <c r="K77" s="28"/>
      <c r="L77" s="28"/>
      <c r="M77" s="28"/>
      <c r="N77" s="28"/>
      <c r="O77" s="28"/>
      <c r="P77" s="28"/>
      <c r="Q77" s="28"/>
      <c r="R77" s="28"/>
      <c r="S77" s="28"/>
      <c r="T77" s="28"/>
      <c r="U77" s="28"/>
      <c r="V77" s="28"/>
      <c r="W77" s="28"/>
      <c r="X77" s="28"/>
      <c r="Y77" s="28"/>
      <c r="Z77" s="28"/>
      <c r="AA77" s="28"/>
      <c r="AC77" s="1"/>
    </row>
    <row r="78" spans="7:29">
      <c r="G78" s="28"/>
      <c r="H78" s="28"/>
      <c r="I78" s="28"/>
      <c r="J78" s="28"/>
      <c r="K78" s="28"/>
      <c r="L78" s="28"/>
      <c r="M78" s="28"/>
      <c r="N78" s="28"/>
      <c r="O78" s="28"/>
      <c r="P78" s="28"/>
      <c r="Q78" s="28"/>
      <c r="R78" s="28"/>
      <c r="S78" s="28"/>
      <c r="T78" s="28"/>
      <c r="U78" s="28"/>
      <c r="V78" s="28"/>
      <c r="W78" s="28"/>
      <c r="X78" s="28"/>
      <c r="Y78" s="28"/>
      <c r="Z78" s="28"/>
      <c r="AA78" s="28"/>
      <c r="AC78" s="1"/>
    </row>
    <row r="79" spans="7:29">
      <c r="G79" s="28"/>
      <c r="H79" s="28"/>
      <c r="I79" s="28"/>
      <c r="J79" s="28"/>
      <c r="K79" s="28"/>
      <c r="L79" s="28"/>
      <c r="M79" s="28"/>
      <c r="N79" s="28"/>
      <c r="O79" s="28"/>
      <c r="P79" s="28"/>
      <c r="Q79" s="28"/>
      <c r="R79" s="28"/>
      <c r="S79" s="28"/>
      <c r="T79" s="28"/>
      <c r="U79" s="28"/>
      <c r="V79" s="28"/>
      <c r="W79" s="28"/>
      <c r="X79" s="28"/>
      <c r="Y79" s="28"/>
      <c r="Z79" s="28"/>
      <c r="AA79" s="28"/>
      <c r="AC79" s="1"/>
    </row>
    <row r="80" spans="7:29">
      <c r="G80" s="28"/>
      <c r="H80" s="28"/>
      <c r="I80" s="28"/>
      <c r="J80" s="28"/>
      <c r="K80" s="28"/>
      <c r="L80" s="28"/>
      <c r="M80" s="28"/>
      <c r="N80" s="28"/>
      <c r="O80" s="28"/>
      <c r="P80" s="28"/>
      <c r="Q80" s="28"/>
      <c r="R80" s="28"/>
      <c r="S80" s="28"/>
      <c r="T80" s="28"/>
      <c r="U80" s="28"/>
      <c r="V80" s="28"/>
      <c r="W80" s="28"/>
      <c r="X80" s="28"/>
      <c r="Y80" s="28"/>
      <c r="Z80" s="28"/>
      <c r="AA80" s="28"/>
      <c r="AC80" s="1"/>
    </row>
    <row r="81" spans="7:29">
      <c r="G81" s="28"/>
      <c r="H81" s="28"/>
      <c r="I81" s="28"/>
      <c r="J81" s="28"/>
      <c r="K81" s="28"/>
      <c r="L81" s="28"/>
      <c r="M81" s="28"/>
      <c r="N81" s="28"/>
      <c r="O81" s="28"/>
      <c r="P81" s="28"/>
      <c r="Q81" s="28"/>
      <c r="R81" s="28"/>
      <c r="S81" s="28"/>
      <c r="T81" s="28"/>
      <c r="U81" s="28"/>
      <c r="V81" s="28"/>
      <c r="W81" s="28"/>
      <c r="X81" s="28"/>
      <c r="Y81" s="28"/>
      <c r="Z81" s="28"/>
      <c r="AA81" s="28"/>
      <c r="AC81" s="1"/>
    </row>
    <row r="82" spans="7:29">
      <c r="G82" s="28"/>
      <c r="H82" s="28"/>
      <c r="I82" s="28"/>
      <c r="J82" s="28"/>
      <c r="K82" s="28"/>
      <c r="L82" s="28"/>
      <c r="M82" s="28"/>
      <c r="N82" s="28"/>
      <c r="O82" s="28"/>
      <c r="P82" s="28"/>
      <c r="Q82" s="28"/>
      <c r="R82" s="28"/>
      <c r="S82" s="28"/>
      <c r="T82" s="28"/>
      <c r="U82" s="28"/>
      <c r="V82" s="28"/>
      <c r="W82" s="28"/>
      <c r="X82" s="28"/>
      <c r="Y82" s="28"/>
      <c r="Z82" s="28"/>
      <c r="AA82" s="28"/>
      <c r="AC82" s="1"/>
    </row>
    <row r="83" spans="7:29">
      <c r="G83" s="28"/>
      <c r="H83" s="28"/>
      <c r="I83" s="28"/>
      <c r="J83" s="28"/>
      <c r="K83" s="28"/>
      <c r="L83" s="28"/>
      <c r="M83" s="28"/>
      <c r="N83" s="28"/>
      <c r="O83" s="28"/>
      <c r="P83" s="28"/>
      <c r="Q83" s="28"/>
      <c r="R83" s="28"/>
      <c r="S83" s="28"/>
      <c r="T83" s="28"/>
      <c r="U83" s="28"/>
      <c r="V83" s="28"/>
      <c r="W83" s="28"/>
      <c r="X83" s="28"/>
      <c r="Y83" s="28"/>
      <c r="Z83" s="28"/>
      <c r="AA83" s="28"/>
      <c r="AC83" s="1"/>
    </row>
    <row r="84" spans="7:29">
      <c r="G84" s="28"/>
      <c r="H84" s="28"/>
      <c r="I84" s="28"/>
      <c r="J84" s="28"/>
      <c r="K84" s="28"/>
      <c r="L84" s="28"/>
      <c r="M84" s="28"/>
      <c r="N84" s="28"/>
      <c r="O84" s="28"/>
      <c r="P84" s="28"/>
      <c r="Q84" s="28"/>
      <c r="R84" s="28"/>
      <c r="S84" s="28"/>
      <c r="T84" s="28"/>
      <c r="U84" s="28"/>
      <c r="V84" s="28"/>
      <c r="W84" s="28"/>
      <c r="X84" s="28"/>
      <c r="Y84" s="28"/>
      <c r="Z84" s="28"/>
      <c r="AA84" s="28"/>
      <c r="AC84" s="1"/>
    </row>
    <row r="85" spans="7:29">
      <c r="G85" s="28"/>
      <c r="H85" s="28"/>
      <c r="I85" s="28"/>
      <c r="J85" s="28"/>
      <c r="K85" s="28"/>
      <c r="L85" s="28"/>
      <c r="M85" s="28"/>
      <c r="N85" s="28"/>
      <c r="O85" s="28"/>
      <c r="P85" s="28"/>
      <c r="Q85" s="28"/>
      <c r="R85" s="28"/>
      <c r="S85" s="28"/>
      <c r="T85" s="28"/>
      <c r="U85" s="28"/>
      <c r="V85" s="28"/>
      <c r="W85" s="28"/>
      <c r="X85" s="28"/>
      <c r="Y85" s="28"/>
      <c r="Z85" s="28"/>
      <c r="AA85" s="28"/>
      <c r="AC85" s="1"/>
    </row>
    <row r="86" spans="7:29">
      <c r="G86" s="28"/>
      <c r="H86" s="28"/>
      <c r="I86" s="28"/>
      <c r="J86" s="28"/>
      <c r="K86" s="28"/>
      <c r="L86" s="28"/>
      <c r="M86" s="28"/>
      <c r="N86" s="28"/>
      <c r="O86" s="28"/>
      <c r="P86" s="28"/>
      <c r="Q86" s="28"/>
      <c r="R86" s="28"/>
      <c r="S86" s="28"/>
      <c r="T86" s="28"/>
      <c r="U86" s="28"/>
      <c r="V86" s="28"/>
      <c r="W86" s="28"/>
      <c r="X86" s="28"/>
      <c r="Y86" s="28"/>
      <c r="Z86" s="28"/>
      <c r="AA86" s="28"/>
      <c r="AC86" s="1"/>
    </row>
    <row r="87" spans="7:29">
      <c r="G87" s="28"/>
      <c r="H87" s="28"/>
      <c r="I87" s="28"/>
      <c r="J87" s="28"/>
      <c r="K87" s="28"/>
      <c r="L87" s="28"/>
      <c r="M87" s="28"/>
      <c r="N87" s="28"/>
      <c r="O87" s="28"/>
      <c r="P87" s="28"/>
      <c r="Q87" s="28"/>
      <c r="R87" s="28"/>
      <c r="S87" s="28"/>
      <c r="T87" s="28"/>
      <c r="U87" s="28"/>
      <c r="V87" s="28"/>
      <c r="W87" s="28"/>
      <c r="X87" s="28"/>
      <c r="Y87" s="28"/>
      <c r="Z87" s="28"/>
      <c r="AA87" s="28"/>
      <c r="AC87" s="1"/>
    </row>
    <row r="88" spans="7:29">
      <c r="G88" s="28"/>
      <c r="H88" s="28"/>
      <c r="I88" s="28"/>
      <c r="J88" s="28"/>
      <c r="K88" s="28"/>
      <c r="L88" s="28"/>
      <c r="M88" s="28"/>
      <c r="N88" s="28"/>
      <c r="O88" s="28"/>
      <c r="P88" s="28"/>
      <c r="Q88" s="28"/>
      <c r="R88" s="28"/>
      <c r="S88" s="28"/>
      <c r="T88" s="28"/>
      <c r="U88" s="28"/>
      <c r="V88" s="28"/>
      <c r="W88" s="28"/>
      <c r="X88" s="28"/>
      <c r="Y88" s="28"/>
      <c r="Z88" s="28"/>
      <c r="AA88" s="28"/>
      <c r="AC88" s="1"/>
    </row>
    <row r="89" spans="7:29">
      <c r="G89" s="28"/>
      <c r="H89" s="28"/>
      <c r="I89" s="28"/>
      <c r="J89" s="28"/>
      <c r="K89" s="28"/>
      <c r="L89" s="28"/>
      <c r="M89" s="28"/>
      <c r="N89" s="28"/>
      <c r="O89" s="28"/>
      <c r="P89" s="28"/>
      <c r="Q89" s="28"/>
      <c r="R89" s="28"/>
      <c r="S89" s="28"/>
      <c r="T89" s="28"/>
      <c r="U89" s="28"/>
      <c r="V89" s="28"/>
      <c r="W89" s="28"/>
      <c r="X89" s="28"/>
      <c r="Y89" s="28"/>
      <c r="Z89" s="28"/>
      <c r="AA89" s="28"/>
      <c r="AC89" s="1"/>
    </row>
    <row r="90" spans="7:29">
      <c r="G90" s="28"/>
      <c r="H90" s="28"/>
      <c r="I90" s="28"/>
      <c r="J90" s="28"/>
      <c r="K90" s="28"/>
      <c r="L90" s="28"/>
      <c r="M90" s="28"/>
      <c r="N90" s="28"/>
      <c r="O90" s="28"/>
      <c r="P90" s="28"/>
      <c r="Q90" s="28"/>
      <c r="R90" s="28"/>
      <c r="S90" s="28"/>
      <c r="T90" s="28"/>
      <c r="U90" s="28"/>
      <c r="V90" s="28"/>
      <c r="W90" s="28"/>
      <c r="X90" s="28"/>
      <c r="Y90" s="28"/>
      <c r="Z90" s="28"/>
      <c r="AA90" s="28"/>
      <c r="AC90" s="1"/>
    </row>
    <row r="91" spans="7:29">
      <c r="G91" s="28"/>
      <c r="H91" s="28"/>
      <c r="I91" s="28"/>
      <c r="J91" s="28"/>
      <c r="K91" s="28"/>
      <c r="L91" s="28"/>
      <c r="M91" s="28"/>
      <c r="N91" s="28"/>
      <c r="O91" s="28"/>
      <c r="P91" s="28"/>
      <c r="Q91" s="28"/>
      <c r="R91" s="28"/>
      <c r="S91" s="28"/>
      <c r="T91" s="28"/>
      <c r="U91" s="28"/>
      <c r="V91" s="28"/>
      <c r="W91" s="28"/>
      <c r="X91" s="28"/>
      <c r="Y91" s="28"/>
      <c r="Z91" s="28"/>
      <c r="AA91" s="28"/>
      <c r="AC91" s="1"/>
    </row>
    <row r="92" spans="7:29">
      <c r="G92" s="28"/>
      <c r="H92" s="28"/>
      <c r="I92" s="28"/>
      <c r="J92" s="28"/>
      <c r="K92" s="28"/>
      <c r="L92" s="28"/>
      <c r="M92" s="28"/>
      <c r="N92" s="28"/>
      <c r="O92" s="28"/>
      <c r="P92" s="28"/>
      <c r="Q92" s="28"/>
      <c r="R92" s="28"/>
      <c r="S92" s="28"/>
      <c r="T92" s="28"/>
      <c r="U92" s="28"/>
      <c r="V92" s="28"/>
      <c r="W92" s="28"/>
      <c r="X92" s="28"/>
      <c r="Y92" s="28"/>
      <c r="Z92" s="28"/>
      <c r="AA92" s="28"/>
      <c r="AC92" s="1"/>
    </row>
    <row r="93" spans="7:29">
      <c r="G93" s="28"/>
      <c r="H93" s="28"/>
      <c r="I93" s="28"/>
      <c r="J93" s="28"/>
      <c r="K93" s="28"/>
      <c r="L93" s="28"/>
      <c r="M93" s="28"/>
      <c r="N93" s="28"/>
      <c r="O93" s="28"/>
      <c r="P93" s="28"/>
      <c r="Q93" s="28"/>
      <c r="R93" s="28"/>
      <c r="S93" s="28"/>
      <c r="T93" s="28"/>
      <c r="U93" s="28"/>
      <c r="V93" s="28"/>
      <c r="W93" s="28"/>
      <c r="X93" s="28"/>
      <c r="Y93" s="28"/>
      <c r="Z93" s="28"/>
      <c r="AA93" s="28"/>
      <c r="AC93" s="1"/>
    </row>
    <row r="94" spans="7:29">
      <c r="G94" s="28"/>
      <c r="H94" s="28"/>
      <c r="I94" s="28"/>
      <c r="J94" s="28"/>
      <c r="K94" s="28"/>
      <c r="L94" s="28"/>
      <c r="M94" s="28"/>
      <c r="N94" s="28"/>
      <c r="O94" s="28"/>
      <c r="P94" s="28"/>
      <c r="Q94" s="28"/>
      <c r="R94" s="28"/>
      <c r="S94" s="28"/>
      <c r="T94" s="28"/>
      <c r="U94" s="28"/>
      <c r="V94" s="28"/>
      <c r="W94" s="28"/>
      <c r="X94" s="28"/>
      <c r="Y94" s="28"/>
      <c r="Z94" s="28"/>
      <c r="AA94" s="28"/>
      <c r="AC94" s="1"/>
    </row>
    <row r="95" spans="7:29">
      <c r="G95" s="28"/>
      <c r="H95" s="28"/>
      <c r="I95" s="28"/>
      <c r="J95" s="28"/>
      <c r="K95" s="28"/>
      <c r="L95" s="28"/>
      <c r="M95" s="28"/>
      <c r="N95" s="28"/>
      <c r="O95" s="28"/>
      <c r="P95" s="28"/>
      <c r="Q95" s="28"/>
      <c r="R95" s="28"/>
      <c r="S95" s="28"/>
      <c r="T95" s="28"/>
      <c r="U95" s="28"/>
      <c r="V95" s="28"/>
      <c r="W95" s="28"/>
      <c r="X95" s="28"/>
      <c r="Y95" s="28"/>
      <c r="Z95" s="28"/>
      <c r="AA95" s="28"/>
      <c r="AC95" s="1"/>
    </row>
    <row r="96" spans="7:29">
      <c r="G96" s="28"/>
      <c r="H96" s="28"/>
      <c r="I96" s="28"/>
      <c r="J96" s="28"/>
      <c r="K96" s="28"/>
      <c r="L96" s="28"/>
      <c r="M96" s="28"/>
      <c r="N96" s="28"/>
      <c r="O96" s="28"/>
      <c r="P96" s="28"/>
      <c r="Q96" s="28"/>
      <c r="R96" s="28"/>
      <c r="S96" s="28"/>
      <c r="T96" s="28"/>
      <c r="U96" s="28"/>
      <c r="V96" s="28"/>
      <c r="W96" s="28"/>
      <c r="X96" s="28"/>
      <c r="Y96" s="28"/>
      <c r="Z96" s="28"/>
      <c r="AA96" s="28"/>
      <c r="AC96" s="1"/>
    </row>
    <row r="97" spans="7:29">
      <c r="G97" s="28"/>
      <c r="H97" s="28"/>
      <c r="I97" s="28"/>
      <c r="J97" s="28"/>
      <c r="K97" s="28"/>
      <c r="L97" s="28"/>
      <c r="M97" s="28"/>
      <c r="N97" s="28"/>
      <c r="O97" s="28"/>
      <c r="P97" s="28"/>
      <c r="Q97" s="28"/>
      <c r="R97" s="28"/>
      <c r="S97" s="28"/>
      <c r="T97" s="28"/>
      <c r="U97" s="28"/>
      <c r="V97" s="28"/>
      <c r="W97" s="28"/>
      <c r="X97" s="28"/>
      <c r="Y97" s="28"/>
      <c r="Z97" s="28"/>
      <c r="AA97" s="28"/>
      <c r="AC97" s="1"/>
    </row>
    <row r="98" spans="7:29">
      <c r="G98" s="28"/>
      <c r="H98" s="28"/>
      <c r="I98" s="28"/>
      <c r="J98" s="28"/>
      <c r="K98" s="28"/>
      <c r="L98" s="28"/>
      <c r="M98" s="28"/>
      <c r="N98" s="28"/>
      <c r="O98" s="28"/>
      <c r="P98" s="28"/>
      <c r="Q98" s="28"/>
      <c r="R98" s="28"/>
      <c r="S98" s="28"/>
      <c r="T98" s="28"/>
      <c r="U98" s="28"/>
      <c r="V98" s="28"/>
      <c r="W98" s="28"/>
      <c r="X98" s="28"/>
      <c r="Y98" s="28"/>
      <c r="Z98" s="28"/>
      <c r="AA98" s="28"/>
      <c r="AC98" s="1"/>
    </row>
    <row r="99" spans="7:29">
      <c r="G99" s="28"/>
      <c r="H99" s="28"/>
      <c r="I99" s="28"/>
      <c r="J99" s="28"/>
      <c r="K99" s="28"/>
      <c r="L99" s="28"/>
      <c r="M99" s="28"/>
      <c r="N99" s="28"/>
      <c r="O99" s="28"/>
      <c r="P99" s="28"/>
      <c r="Q99" s="28"/>
      <c r="R99" s="28"/>
      <c r="S99" s="28"/>
      <c r="T99" s="28"/>
      <c r="U99" s="28"/>
      <c r="V99" s="28"/>
      <c r="W99" s="28"/>
      <c r="X99" s="28"/>
      <c r="Y99" s="28"/>
      <c r="Z99" s="28"/>
      <c r="AA99" s="28"/>
      <c r="AC99" s="1"/>
    </row>
    <row r="100" spans="7:29">
      <c r="G100" s="28"/>
      <c r="H100" s="28"/>
      <c r="I100" s="28"/>
      <c r="J100" s="28"/>
      <c r="K100" s="28"/>
      <c r="L100" s="28"/>
      <c r="M100" s="28"/>
      <c r="N100" s="28"/>
      <c r="O100" s="28"/>
      <c r="P100" s="28"/>
      <c r="Q100" s="28"/>
      <c r="R100" s="28"/>
      <c r="S100" s="28"/>
      <c r="T100" s="28"/>
      <c r="U100" s="28"/>
      <c r="V100" s="28"/>
      <c r="W100" s="28"/>
      <c r="X100" s="28"/>
      <c r="Y100" s="28"/>
      <c r="Z100" s="28"/>
      <c r="AA100" s="28"/>
      <c r="AC100" s="1"/>
    </row>
    <row r="101" spans="7:29">
      <c r="AC101" s="1"/>
    </row>
    <row r="102" spans="7:29">
      <c r="AC102" s="1"/>
    </row>
    <row r="103" spans="7:29">
      <c r="AC103" s="1"/>
    </row>
    <row r="104" spans="7:29">
      <c r="AC104" s="1"/>
    </row>
    <row r="105" spans="7:29">
      <c r="AC105" s="1"/>
    </row>
    <row r="106" spans="7:29">
      <c r="AC106" s="1"/>
    </row>
    <row r="107" spans="7:29">
      <c r="AC107" s="1"/>
    </row>
  </sheetData>
  <sheetProtection password="EF73" sheet="1" objects="1" scenarios="1" formatCells="0"/>
  <customSheetViews>
    <customSheetView guid="{D786A5C0-FBC0-4F24-9F75-D436CA99DC6C}" zeroValues="0" hiddenRows="1" hiddenColumns="1" state="hidden" topLeftCell="B7">
      <selection activeCell="F7" sqref="F7:L27"/>
      <pageMargins left="0.7" right="0.7" top="0.75" bottom="0.75" header="0.3" footer="0.3"/>
      <pageSetup orientation="portrait" r:id="rId1"/>
    </customSheetView>
  </customSheetViews>
  <mergeCells count="4">
    <mergeCell ref="C7:C8"/>
    <mergeCell ref="C11:D11"/>
    <mergeCell ref="C12:D21"/>
    <mergeCell ref="C24:C27"/>
  </mergeCells>
  <dataValidations count="9">
    <dataValidation type="decimal" allowBlank="1" showInputMessage="1" showErrorMessage="1" error="أدخال غير صحيح" promptTitle="أجاز الوصية ضع 1 غير ذلك ضع 0  " prompt=" " sqref="IR12:IU23 I65527:L65536">
      <formula1>0</formula1>
      <formula2>1</formula2>
    </dataValidation>
    <dataValidation type="decimal" allowBlank="1" showInputMessage="1" showErrorMessage="1" error="أدخال غير صحيح" prompt="هذه الخلية مخصصة لتصحيح المسألة  ضع مقام الكسر أعلاه هنا" sqref="N52:N53 P65524:P65525">
      <formula1>0</formula1>
      <formula2>1000</formula2>
    </dataValidation>
    <dataValidation type="decimal" allowBlank="1" showInputMessage="1" showErrorMessage="1" error="أدخال غير صحيح" prompt="ضع بسط الفريضة أن لزم الأمر " sqref="IQ12:IQ23 H65527:H65536">
      <formula1>1</formula1>
      <formula2>100</formula2>
    </dataValidation>
    <dataValidation type="decimal" allowBlank="1" showInputMessage="1" showErrorMessage="1" error="أدخال غير صحيح (تأكد من الكسر)" promptTitle=" " prompt="وصى المتوفى (ضع الوصية الرابعة)" sqref="L65522">
      <formula1>0</formula1>
      <formula2>99/100</formula2>
    </dataValidation>
    <dataValidation type="textLength" operator="lessThan" allowBlank="1" showInputMessage="1" showErrorMessage="1" error="أدخال غير صحيح" prompt="ضع أسم الوارث فى هذه الخلية" sqref="IO12:IO23 F65527:F65536">
      <formula1>20</formula1>
    </dataValidation>
    <dataValidation type="decimal" allowBlank="1" showInputMessage="1" showErrorMessage="1" error="أدخال غير صحيح (ضع صفر ان لم يوصى)" promptTitle=" " prompt="وصى المتوفى  (ضع الوصية الأولى)" sqref="I65522">
      <formula1>0</formula1>
      <formula2>99/100</formula2>
    </dataValidation>
    <dataValidation type="decimal" allowBlank="1" showInputMessage="1" showErrorMessage="1" error="أدخال غير صحيح (تأكد من الكسر)" promptTitle=" " prompt="وصى المتوفى (ضع الوصية التانية)" sqref="J65522">
      <formula1>0</formula1>
      <formula2>99/100</formula2>
    </dataValidation>
    <dataValidation type="decimal" allowBlank="1" showInputMessage="1" showErrorMessage="1" error="أدخال غير صحيح (تأكد من الكسر)" promptTitle=" " prompt="وصى المتوفى (ضع الوصية التالثة)" sqref="K65522">
      <formula1>0</formula1>
      <formula2>99/100</formula2>
    </dataValidation>
    <dataValidation type="decimal" allowBlank="1" showInputMessage="1" showErrorMessage="1" error="أدخال غير صحيح" prompt="ضع فريضة الوارث فى هذه الخلية" sqref="IP12:IP23 G65527:G65536">
      <formula1>0</formula1>
      <formula2>1</formula2>
    </dataValidation>
  </dataValidations>
  <pageMargins left="0.7" right="0.7" top="0.75" bottom="0.75" header="0.3" footer="0.3"/>
  <pageSetup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00"/>
  </sheetPr>
  <dimension ref="A1:AX107"/>
  <sheetViews>
    <sheetView showZeros="0" rightToLeft="1" topLeftCell="B6" zoomScaleNormal="86" workbookViewId="0">
      <selection activeCell="AP12" sqref="AP12"/>
    </sheetView>
  </sheetViews>
  <sheetFormatPr defaultColWidth="7.75" defaultRowHeight="15"/>
  <cols>
    <col min="1" max="1" width="2.25" hidden="1" customWidth="1"/>
    <col min="2" max="2" width="2.25" customWidth="1"/>
    <col min="3" max="3" width="9.625" customWidth="1"/>
    <col min="4" max="4" width="14.5" customWidth="1"/>
    <col min="5" max="5" width="3.625" customWidth="1"/>
    <col min="6" max="6" width="17.625" hidden="1" customWidth="1"/>
    <col min="7" max="7" width="12.25" hidden="1" customWidth="1"/>
    <col min="8" max="8" width="6" hidden="1" customWidth="1"/>
    <col min="9" max="9" width="8.625" hidden="1" customWidth="1"/>
    <col min="10" max="10" width="9" hidden="1" customWidth="1"/>
    <col min="11" max="11" width="8.625" hidden="1" customWidth="1"/>
    <col min="12" max="12" width="9.125" hidden="1" customWidth="1"/>
    <col min="13" max="13" width="11" customWidth="1"/>
    <col min="14" max="14" width="9.125" hidden="1" customWidth="1"/>
    <col min="15" max="15" width="13" customWidth="1"/>
    <col min="16" max="16" width="17.75" hidden="1" customWidth="1"/>
    <col min="17" max="17" width="9.25" hidden="1" customWidth="1"/>
    <col min="18" max="18" width="11.5" hidden="1" customWidth="1"/>
    <col min="19" max="19" width="17.625" hidden="1" customWidth="1"/>
    <col min="20" max="20" width="11.125" hidden="1" customWidth="1"/>
    <col min="21" max="21" width="15.875" hidden="1" customWidth="1"/>
    <col min="22" max="22" width="18.25" hidden="1" customWidth="1"/>
    <col min="23" max="23" width="19.75" hidden="1" customWidth="1"/>
    <col min="24" max="24" width="16.375" hidden="1" customWidth="1"/>
    <col min="25" max="30" width="2" hidden="1" customWidth="1"/>
    <col min="31" max="31" width="9.75" hidden="1" customWidth="1"/>
    <col min="32" max="32" width="8.25" hidden="1" customWidth="1"/>
    <col min="33" max="33" width="9.625" hidden="1" customWidth="1"/>
    <col min="34" max="34" width="2.5" hidden="1" customWidth="1"/>
    <col min="35" max="35" width="20.75" hidden="1" customWidth="1"/>
    <col min="36" max="36" width="17.25" customWidth="1"/>
    <col min="37" max="37" width="8.25" hidden="1" customWidth="1"/>
    <col min="38" max="38" width="12" hidden="1" customWidth="1"/>
    <col min="39" max="39" width="17.125" hidden="1" customWidth="1"/>
    <col min="40" max="40" width="12.25" hidden="1" customWidth="1"/>
    <col min="41" max="41" width="16.5" hidden="1" customWidth="1"/>
    <col min="42" max="42" width="16.875" customWidth="1"/>
    <col min="43" max="43" width="11.625" customWidth="1"/>
    <col min="44" max="44" width="21" customWidth="1"/>
    <col min="45" max="45" width="7.75" customWidth="1"/>
    <col min="46" max="46" width="19" customWidth="1"/>
    <col min="47" max="47" width="23.125" customWidth="1"/>
    <col min="48" max="48" width="15.75" customWidth="1"/>
    <col min="49" max="49" width="7.75" customWidth="1"/>
    <col min="50" max="50" width="18.125" customWidth="1"/>
    <col min="51" max="51" width="8.375" customWidth="1"/>
    <col min="52" max="52" width="7.75" customWidth="1"/>
    <col min="53" max="53" width="10.25" customWidth="1"/>
  </cols>
  <sheetData>
    <row r="1" spans="1:50" ht="21.75" hidden="1" customHeight="1">
      <c r="G1" s="1">
        <f>1/3-'الأجـــازة للوصايا'!BL7</f>
        <v>0.33333333333333331</v>
      </c>
      <c r="H1" s="1">
        <f>R3</f>
        <v>1</v>
      </c>
      <c r="I1" s="1">
        <f>IF(SUM('الأجـــازة للوصايا'!K100:K111)=0,1,'الأجـــازة للوصايا'!BL10)</f>
        <v>1</v>
      </c>
      <c r="J1" s="1">
        <f>IF(SUM('الأجـــازة للوصايا'!L100:L111)=0,1,'الأجـــازة للوصايا'!BM10)</f>
        <v>1</v>
      </c>
      <c r="K1" s="1">
        <f>IF(SUM('الأجـــازة للوصايا'!M100:M111)=0,1,'الأجـــازة للوصايا'!BN10)</f>
        <v>1</v>
      </c>
      <c r="L1" s="1">
        <f>IF(SUM('الأجـــازة للوصايا'!N100:N111)=0,1,'الأجـــازة للوصايا'!BO10)</f>
        <v>1</v>
      </c>
      <c r="R1">
        <f>MINVERSE(I1)</f>
        <v>1</v>
      </c>
      <c r="S1">
        <f>MINVERSE(J1)</f>
        <v>1</v>
      </c>
      <c r="T1">
        <f>MINVERSE(K1)</f>
        <v>1</v>
      </c>
      <c r="U1">
        <f>MINVERSE(L1)</f>
        <v>1</v>
      </c>
    </row>
    <row r="2" spans="1:50" ht="30" hidden="1" customHeight="1">
      <c r="G2" s="1">
        <f>1/3-'الأجـــازة للوصايا'!BM7</f>
        <v>0.33333333333333331</v>
      </c>
      <c r="H2" s="1">
        <f>S3</f>
        <v>1</v>
      </c>
      <c r="I2" s="1">
        <f xml:space="preserve"> R3*(S3/V5)</f>
        <v>1</v>
      </c>
      <c r="J2" s="1">
        <f>T3*R3/V5</f>
        <v>1</v>
      </c>
      <c r="K2" s="1">
        <f>R3*U3/V5</f>
        <v>1</v>
      </c>
      <c r="L2" s="1">
        <f>R3*V3/V5</f>
        <v>1</v>
      </c>
      <c r="R2" s="1">
        <f>IFERROR(R1,1)</f>
        <v>1</v>
      </c>
      <c r="S2" s="1">
        <f>IFERROR(S1,1)</f>
        <v>1</v>
      </c>
      <c r="T2" s="1">
        <f>IFERROR(T1,1)</f>
        <v>1</v>
      </c>
      <c r="U2" s="1">
        <f>IFERROR(U1,1)</f>
        <v>1</v>
      </c>
      <c r="V2" s="1" t="s">
        <v>114</v>
      </c>
      <c r="W2" s="1">
        <f>V4*U4*T4*S4*R4*R4</f>
        <v>1</v>
      </c>
      <c r="X2" s="536">
        <f xml:space="preserve"> W3</f>
        <v>1</v>
      </c>
    </row>
    <row r="3" spans="1:50" ht="27" hidden="1" customHeight="1" thickBot="1">
      <c r="G3" s="1">
        <f>1/3-'الأجـــازة للوصايا'!BN7</f>
        <v>0.33333333333333331</v>
      </c>
      <c r="I3" s="1">
        <f>IFERROR( 'الأجـــازة للوصايا'!BL10,0)</f>
        <v>0</v>
      </c>
      <c r="J3" s="1">
        <f>IFERROR( 'الأجـــازة للوصايا'!BM10,0)</f>
        <v>0</v>
      </c>
      <c r="K3" s="1">
        <f>IFERROR( 'الأجـــازة للوصايا'!BN10,0)</f>
        <v>0</v>
      </c>
      <c r="L3" s="1">
        <f>IFERROR( 'الأجـــازة للوصايا'!BO10,0)</f>
        <v>0</v>
      </c>
      <c r="M3" s="478" t="b">
        <f>AND( 'الأجـــازة للوصايا'!BL9&gt;='الأجـــازة للوصايا'!BL10, 'الأجـــازة للوصايا'!BM9&gt;='الأجـــازة للوصايا'!BM10, 'الأجـــازة للوصايا'!BN9&gt;='الأجـــازة للوصايا'!BN10,'الأجـــازة للوصايا'!BO9&gt;='الأجـــازة للوصايا'!BO10)</f>
        <v>1</v>
      </c>
      <c r="N3" s="491" t="str">
        <f>IF('الأجـــازة للوصايا'!BL7+'الأجـــازة للوصايا'!BM7+'الأجـــازة للوصايا'!BN7+'الأجـــازة للوصايا'!BO7&gt;1,"تجاوز الوصايا التركــــــــــــة","")</f>
        <v/>
      </c>
      <c r="O3" s="491"/>
      <c r="P3" s="1">
        <f>1/Q3</f>
        <v>4</v>
      </c>
      <c r="Q3" s="1">
        <f>S4/(S4+T4+U4+V4)</f>
        <v>0.25</v>
      </c>
      <c r="R3" s="1">
        <f>1/R4</f>
        <v>1</v>
      </c>
      <c r="S3" s="1">
        <f>1/S4</f>
        <v>1</v>
      </c>
      <c r="T3" s="1">
        <f>1/T4</f>
        <v>1</v>
      </c>
      <c r="U3" s="1">
        <f>1/U4</f>
        <v>1</v>
      </c>
      <c r="V3" s="1">
        <f>1/V4</f>
        <v>1</v>
      </c>
      <c r="W3" s="521">
        <f xml:space="preserve"> W4*W7*R4</f>
        <v>1</v>
      </c>
      <c r="X3" s="1">
        <f>V4*U4*T4*S4</f>
        <v>1</v>
      </c>
      <c r="Y3" s="1">
        <f>X3*W3</f>
        <v>1</v>
      </c>
    </row>
    <row r="4" spans="1:50" ht="59.25" hidden="1" customHeight="1">
      <c r="G4" s="1">
        <f>1/3-'الأجـــازة للوصايا'!BO7</f>
        <v>0.33333333333333331</v>
      </c>
      <c r="I4">
        <f>IF(SUM('الأجـــازة للوصايا'!K100:K111)&gt;0,3,1)</f>
        <v>1</v>
      </c>
      <c r="J4">
        <f>IF(SUM('الأجـــازة للوصايا'!L100:L111)&gt;0,3,1)</f>
        <v>1</v>
      </c>
      <c r="K4">
        <f>IF(SUM('الأجـــازة للوصايا'!M100:M111)&gt;0,3,1)</f>
        <v>1</v>
      </c>
      <c r="L4">
        <f>IF(SUM('الأجـــازة للوصايا'!N100:N111)&gt;0,3,1)</f>
        <v>1</v>
      </c>
      <c r="P4" s="1">
        <f>SUM(M12:M27)</f>
        <v>0</v>
      </c>
      <c r="Q4" s="1">
        <f>IFERROR(  AF9,1)</f>
        <v>3</v>
      </c>
      <c r="R4" s="485">
        <f>IF('الأجـــازة للوصايا'!BL7+'الأجـــازة للوصايا'!BM7+'الأجـــازة للوصايا'!BN7+'الأجـــازة للوصايا'!BO7=0,1,Q4)</f>
        <v>1</v>
      </c>
      <c r="S4" s="485">
        <f>IFERROR(AG9,1)</f>
        <v>1</v>
      </c>
      <c r="T4" s="485">
        <f>IFERROR(AH9,1)</f>
        <v>1</v>
      </c>
      <c r="U4" s="485">
        <f>IFERROR(AI9,1)</f>
        <v>1</v>
      </c>
      <c r="V4" s="485">
        <f>IFERROR(AL7,1)</f>
        <v>1</v>
      </c>
      <c r="W4" s="1">
        <f>W8*W7</f>
        <v>1</v>
      </c>
      <c r="AB4" s="1">
        <f>P7*'الأجـــازة للوصايا'!BL7/V5</f>
        <v>0</v>
      </c>
      <c r="AC4" s="1">
        <f>'الأجـــازة للوصايا'!BO10+'الأجـــازة للوصايا'!BN10+'الأجـــازة للوصايا'!BM10+'الأجـــازة للوصايا'!BL10</f>
        <v>0</v>
      </c>
      <c r="AE4" s="13">
        <f xml:space="preserve"> AI7/(S4+AH7+AI7+AO8)</f>
        <v>0.25</v>
      </c>
      <c r="AF4" s="13"/>
      <c r="AG4" s="13"/>
      <c r="AH4" s="13"/>
      <c r="AI4" s="541"/>
      <c r="AJ4" s="478"/>
      <c r="AK4" s="478"/>
    </row>
    <row r="5" spans="1:50" ht="22.5" hidden="1" customHeight="1">
      <c r="P5" s="1" t="s">
        <v>114</v>
      </c>
      <c r="R5" s="309">
        <f>IF(S4&gt;1,1/S4,0)</f>
        <v>0</v>
      </c>
      <c r="S5" s="309">
        <f>IF(T4&gt;1,1/T4,0)</f>
        <v>0</v>
      </c>
      <c r="T5" s="309">
        <f>IF(U4&gt;1,1/U4,0)</f>
        <v>0</v>
      </c>
      <c r="U5" s="309">
        <f>IF(V4&gt;1,1/V4,0)</f>
        <v>0</v>
      </c>
      <c r="V5" s="1">
        <f>IFERROR(W5,1)</f>
        <v>1</v>
      </c>
      <c r="W5" s="1">
        <f>IF(U5+T5+S5+R5=0,1,U5+T5+S5+R5)</f>
        <v>1</v>
      </c>
      <c r="X5" s="1">
        <f>V4*U4*T4*S4</f>
        <v>1</v>
      </c>
      <c r="AC5" s="1" t="s">
        <v>114</v>
      </c>
      <c r="AE5" s="493">
        <f>AF7*AO8/(AG7+AH7+AI7+AO8)</f>
        <v>0.25</v>
      </c>
      <c r="AF5" s="493" t="s">
        <v>114</v>
      </c>
      <c r="AG5" s="493"/>
      <c r="AH5" s="493"/>
      <c r="AI5" s="542"/>
      <c r="AK5" s="478"/>
    </row>
    <row r="6" spans="1:50" ht="28.5" customHeight="1" thickBot="1">
      <c r="A6" t="str">
        <f>IF( SUM('الأجـــازة للوصايا'!BL7:BO7)+SUM('الأجـــازة للوصايا'!I100:I111)&lt;=2,"العملية صحيحة","خطأ راجع المسألة")</f>
        <v>العملية صحيحة</v>
      </c>
      <c r="C6" s="549">
        <f>SUM(M12:M27)</f>
        <v>0</v>
      </c>
      <c r="F6" s="872">
        <f>SUM('الأجـــازة للوصايا'!BL10:BO10)</f>
        <v>0</v>
      </c>
      <c r="P6" s="1"/>
      <c r="R6" s="309"/>
      <c r="S6" s="309"/>
      <c r="T6" s="309"/>
      <c r="U6" s="309"/>
      <c r="V6" s="1"/>
      <c r="W6" s="1"/>
      <c r="X6" s="1"/>
      <c r="AC6" s="1"/>
      <c r="AE6" s="564"/>
      <c r="AF6" s="564"/>
      <c r="AG6" s="564"/>
      <c r="AH6" s="564"/>
      <c r="AI6" s="565"/>
      <c r="AK6" s="478"/>
    </row>
    <row r="7" spans="1:50" ht="27.75" customHeight="1" thickTop="1" thickBot="1">
      <c r="A7" s="1" t="str">
        <f>IF(F6=1/3,"الورثة أجازو الثلث",A6)</f>
        <v>العملية صحيحة</v>
      </c>
      <c r="B7" s="1"/>
      <c r="C7" s="1377" t="s">
        <v>69</v>
      </c>
      <c r="D7" s="848" t="e">
        <f>'ورقة أجازة وعدم الأجازة للمختصن'!C7</f>
        <v>#DIV/0!</v>
      </c>
      <c r="E7" s="697"/>
      <c r="M7" s="697"/>
      <c r="N7" s="697"/>
      <c r="O7" s="697"/>
      <c r="P7" s="830">
        <v>0.33333333333333331</v>
      </c>
      <c r="Q7" s="701" t="s">
        <v>114</v>
      </c>
      <c r="R7" s="702" t="s">
        <v>114</v>
      </c>
      <c r="S7" s="702" t="s">
        <v>114</v>
      </c>
      <c r="T7" s="701" t="s">
        <v>114</v>
      </c>
      <c r="U7" s="702" t="s">
        <v>114</v>
      </c>
      <c r="V7" s="702" t="s">
        <v>114</v>
      </c>
      <c r="W7" s="703">
        <f>V4*U4*T4*S4</f>
        <v>1</v>
      </c>
      <c r="X7" s="701"/>
      <c r="Y7" s="701"/>
      <c r="Z7" s="701"/>
      <c r="AA7" s="701"/>
      <c r="AB7" s="702" t="e">
        <f>'الأجـــازة للوصايا'!J100*1/X12</f>
        <v>#DIV/0!</v>
      </c>
      <c r="AC7" s="704" t="s">
        <v>114</v>
      </c>
      <c r="AD7" s="701"/>
      <c r="AE7" s="705">
        <f>IF(P7=0,1,1/P7)</f>
        <v>3</v>
      </c>
      <c r="AF7" s="705">
        <f>ROUNDDOWN( R4,0)</f>
        <v>1</v>
      </c>
      <c r="AG7" s="705">
        <f>ROUNDDOWN(S4,0)</f>
        <v>1</v>
      </c>
      <c r="AH7" s="705">
        <f>ROUNDDOWN(T4,0)</f>
        <v>1</v>
      </c>
      <c r="AI7" s="706">
        <f>ROUNDDOWN(U4,0)</f>
        <v>1</v>
      </c>
      <c r="AJ7" s="697"/>
      <c r="AK7" s="478" t="s">
        <v>114</v>
      </c>
      <c r="AL7" s="540" t="e">
        <f>MINVERSE(  'الأجـــازة للوصايا'!BO7)</f>
        <v>#NUM!</v>
      </c>
      <c r="AM7" s="28"/>
      <c r="AN7" s="28"/>
      <c r="AO7" s="478"/>
      <c r="AP7" s="28"/>
      <c r="AQ7" s="28"/>
      <c r="AR7" s="28"/>
      <c r="AS7" s="28"/>
      <c r="AT7" s="28"/>
      <c r="AU7" s="28"/>
      <c r="AV7" s="28"/>
      <c r="AW7" s="28"/>
      <c r="AX7" s="28"/>
    </row>
    <row r="8" spans="1:50" ht="24" customHeight="1" thickTop="1" thickBot="1">
      <c r="C8" s="1378"/>
      <c r="D8" s="848"/>
      <c r="E8" s="697"/>
      <c r="M8" s="697"/>
      <c r="N8" s="697"/>
      <c r="O8" s="697"/>
      <c r="P8" s="697"/>
      <c r="Q8" s="701" t="s">
        <v>114</v>
      </c>
      <c r="R8" s="702">
        <f>IF(O52*O53=0,1,O52*O53)</f>
        <v>1</v>
      </c>
      <c r="S8" s="702" t="s">
        <v>114</v>
      </c>
      <c r="T8" s="702" t="s">
        <v>114</v>
      </c>
      <c r="U8" s="702">
        <f>W3/W7</f>
        <v>1</v>
      </c>
      <c r="V8" s="702">
        <f>IFERROR(W3/W4,1)</f>
        <v>1</v>
      </c>
      <c r="W8" s="703">
        <f>V5*W7</f>
        <v>1</v>
      </c>
      <c r="X8" s="702">
        <f>V3*U3*T3*S3</f>
        <v>1</v>
      </c>
      <c r="Y8" s="701"/>
      <c r="Z8" s="701"/>
      <c r="AA8" s="701"/>
      <c r="AB8" s="701"/>
      <c r="AC8" s="701"/>
      <c r="AD8" s="701"/>
      <c r="AE8" s="707">
        <f>IF(P7=0,1,P7)</f>
        <v>0.33333333333333331</v>
      </c>
      <c r="AF8" s="701"/>
      <c r="AG8" s="701"/>
      <c r="AH8" s="701"/>
      <c r="AI8" s="701"/>
      <c r="AJ8" s="697"/>
      <c r="AK8" s="550"/>
      <c r="AL8" s="28"/>
      <c r="AM8" s="28"/>
      <c r="AN8" s="28"/>
      <c r="AO8" s="478">
        <f>ROUNDDOWN(V4,0)</f>
        <v>1</v>
      </c>
      <c r="AP8" s="28"/>
      <c r="AQ8" s="28"/>
      <c r="AR8" s="28"/>
      <c r="AS8" s="28"/>
      <c r="AT8" s="28"/>
      <c r="AU8" s="28"/>
      <c r="AV8" s="28"/>
      <c r="AW8" s="28"/>
      <c r="AX8" s="28"/>
    </row>
    <row r="9" spans="1:50" ht="27.75" customHeight="1" thickTop="1" thickBot="1">
      <c r="C9" s="793" t="s">
        <v>744</v>
      </c>
      <c r="D9" s="794">
        <f>S29</f>
        <v>0</v>
      </c>
      <c r="E9" s="697"/>
      <c r="M9" s="697"/>
      <c r="N9" s="697"/>
      <c r="O9" s="697"/>
      <c r="P9" s="697"/>
      <c r="Q9" s="708" t="s">
        <v>114</v>
      </c>
      <c r="R9" s="708">
        <f>IF(O52=0,1,O52)</f>
        <v>1</v>
      </c>
      <c r="S9" s="709">
        <f>S4*R4</f>
        <v>1</v>
      </c>
      <c r="T9" s="709">
        <f>T4*R4</f>
        <v>1</v>
      </c>
      <c r="U9" s="710">
        <f>U4*R4</f>
        <v>1</v>
      </c>
      <c r="V9" s="709">
        <f>V4*R4</f>
        <v>1</v>
      </c>
      <c r="W9" s="709">
        <f>R3*S3/V5</f>
        <v>1</v>
      </c>
      <c r="X9" s="711">
        <f>1/X8</f>
        <v>1</v>
      </c>
      <c r="Y9" s="795"/>
      <c r="Z9" s="708"/>
      <c r="AA9" s="708"/>
      <c r="AB9" s="708"/>
      <c r="AC9" s="708"/>
      <c r="AD9" s="708"/>
      <c r="AE9" s="712" t="s">
        <v>114</v>
      </c>
      <c r="AF9" s="713">
        <f>MINVERSE( AE8)</f>
        <v>3</v>
      </c>
      <c r="AG9" s="713" t="e">
        <f>MINVERSE('الأجـــازة للوصايا'!BL7)</f>
        <v>#NUM!</v>
      </c>
      <c r="AH9" s="713" t="e">
        <f>MINVERSE( 'الأجـــازة للوصايا'!BM7)</f>
        <v>#NUM!</v>
      </c>
      <c r="AI9" s="714" t="e">
        <f>MINVERSE(  'الأجـــازة للوصايا'!BN7)</f>
        <v>#NUM!</v>
      </c>
      <c r="AJ9" s="796" t="s">
        <v>747</v>
      </c>
      <c r="AK9" s="538"/>
      <c r="AN9" s="28"/>
      <c r="AO9" s="545"/>
      <c r="AP9" s="28"/>
      <c r="AQ9" s="28"/>
      <c r="AR9" s="28"/>
      <c r="AS9" s="28"/>
      <c r="AT9" s="28"/>
      <c r="AU9" s="28"/>
      <c r="AV9" s="28"/>
      <c r="AW9" s="28"/>
    </row>
    <row r="10" spans="1:50" ht="27.75" customHeight="1" thickTop="1" thickBot="1">
      <c r="C10" s="793" t="s">
        <v>755</v>
      </c>
      <c r="D10" s="794">
        <f>VLOOKUP('الأجـــازة للوصايا'!H100,'ورقة أجازة وعدم الأجازة للمختصن'!E12:F23,2,FALSE)</f>
        <v>0</v>
      </c>
      <c r="E10" s="697"/>
      <c r="M10" s="697"/>
      <c r="N10" s="697"/>
      <c r="O10" s="697"/>
      <c r="P10" s="697"/>
      <c r="Q10" s="708"/>
      <c r="R10" s="708">
        <f>IF(O53=0,1,O53)</f>
        <v>1</v>
      </c>
      <c r="S10" s="708"/>
      <c r="T10" s="708"/>
      <c r="U10" s="708"/>
      <c r="V10" s="709">
        <f>V9*U9*T9*S9</f>
        <v>1</v>
      </c>
      <c r="W10" s="709" t="s">
        <v>114</v>
      </c>
      <c r="X10" s="709">
        <f>V10/389</f>
        <v>2.5706940874035988E-3</v>
      </c>
      <c r="Y10" s="709" t="s">
        <v>114</v>
      </c>
      <c r="Z10" s="709"/>
      <c r="AA10" s="709"/>
      <c r="AB10" s="709"/>
      <c r="AC10" s="709"/>
      <c r="AD10" s="709"/>
      <c r="AE10" s="709"/>
      <c r="AF10" s="709"/>
      <c r="AG10" s="709"/>
      <c r="AH10" s="709" t="s">
        <v>114</v>
      </c>
      <c r="AI10" s="709" t="s">
        <v>114</v>
      </c>
      <c r="AJ10" s="866">
        <f>'ورقة أجازة وعدم الأجازة للمختصن'!AL11</f>
        <v>100</v>
      </c>
      <c r="AK10" s="28"/>
      <c r="AL10" s="478">
        <f>U5</f>
        <v>0</v>
      </c>
      <c r="AN10" s="478" t="s">
        <v>114</v>
      </c>
      <c r="AO10" s="540" t="e">
        <f>MINVERSE(  'الأجـــازة للوصايا'!BO7)</f>
        <v>#NUM!</v>
      </c>
      <c r="AP10" s="28"/>
      <c r="AQ10" s="28"/>
      <c r="AR10" s="28"/>
      <c r="AS10" s="28"/>
      <c r="AT10" s="28"/>
      <c r="AU10" s="28"/>
      <c r="AV10" s="28"/>
      <c r="AW10" s="28"/>
    </row>
    <row r="11" spans="1:50" ht="34.5" customHeight="1" thickTop="1" thickBot="1">
      <c r="C11" s="1379">
        <f>'الأجـــازة للوصايا'!H100</f>
        <v>0</v>
      </c>
      <c r="D11" s="1380"/>
      <c r="E11" s="698"/>
      <c r="M11" s="797" t="s">
        <v>739</v>
      </c>
      <c r="N11" s="676"/>
      <c r="O11" s="798" t="s">
        <v>540</v>
      </c>
      <c r="P11" s="799" t="s">
        <v>753</v>
      </c>
      <c r="Q11" s="800" t="s">
        <v>137</v>
      </c>
      <c r="R11" s="801"/>
      <c r="S11" s="802" t="s">
        <v>734</v>
      </c>
      <c r="T11" s="801" t="s">
        <v>733</v>
      </c>
      <c r="U11" s="801" t="s">
        <v>733</v>
      </c>
      <c r="V11" s="803"/>
      <c r="W11" s="804"/>
      <c r="X11" s="708"/>
      <c r="Y11" s="709"/>
      <c r="Z11" s="709"/>
      <c r="AA11" s="709"/>
      <c r="AB11" s="709"/>
      <c r="AC11" s="709"/>
      <c r="AD11" s="709"/>
      <c r="AE11" s="709"/>
      <c r="AF11" s="709"/>
      <c r="AG11" s="709"/>
      <c r="AH11" s="708"/>
      <c r="AI11" s="805">
        <f>'أدخال البيانات'!$R$8* X2</f>
        <v>0</v>
      </c>
      <c r="AJ11" s="866"/>
    </row>
    <row r="12" spans="1:50" ht="18.75" customHeight="1" thickTop="1" thickBot="1">
      <c r="C12" s="1295" t="str">
        <f>IF(SUM('الأجـــازة للوصايا'!K100:N111) &gt;0,"بعض الورثة أجازو الوصايا",A7)</f>
        <v>العملية صحيحة</v>
      </c>
      <c r="D12" s="1296"/>
      <c r="E12" s="697"/>
      <c r="M12" s="806">
        <f>IF(X12&lt;0,"الوارث لم يبقى له شىء",X12)</f>
        <v>0</v>
      </c>
      <c r="N12" s="807" t="e">
        <f t="shared" ref="N12:N27" si="0">AK12*M12/S29</f>
        <v>#DIV/0!</v>
      </c>
      <c r="O12" s="848" t="e">
        <f>'ورقة أجازة وعدم الأجازة للمختصن'!BA76</f>
        <v>#DIV/0!</v>
      </c>
      <c r="P12" s="848" t="e">
        <f t="shared" ref="P12:P27" si="1">S12/T12</f>
        <v>#DIV/0!</v>
      </c>
      <c r="Q12" s="848">
        <f>IF('الأجـــازة للوصايا'!I100&gt;0,'الأجـــازة للوصايا'!I100,0)</f>
        <v>0</v>
      </c>
      <c r="R12" s="848" t="e">
        <f>P12</f>
        <v>#DIV/0!</v>
      </c>
      <c r="S12" s="848">
        <f t="shared" ref="S12:S27" si="2">ROUNDDOWN(M12*AK12,0)</f>
        <v>0</v>
      </c>
      <c r="T12" s="848">
        <f t="shared" ref="T12:T27" si="3">$S$29</f>
        <v>0</v>
      </c>
      <c r="U12" s="848">
        <f t="shared" ref="U12:U27" si="4" xml:space="preserve"> AK12*M12</f>
        <v>0</v>
      </c>
      <c r="V12" s="848">
        <f t="shared" ref="V12:V27" si="5">W12*M12</f>
        <v>0</v>
      </c>
      <c r="W12" s="848">
        <f>AI11</f>
        <v>0</v>
      </c>
      <c r="X12" s="848">
        <f>IFERROR( ( (('الأجـــازة للوصايا'!I100-(( (AC12+AG12) +(AB12+AF12) +(AA12+AE12) +(Z12+AD12)  ))*'الأجـــازة للوصايا'!I100))),0)</f>
        <v>0</v>
      </c>
      <c r="Y12" s="848" t="str">
        <f>V32</f>
        <v xml:space="preserve"> </v>
      </c>
      <c r="Z12" s="848">
        <f>IF('الأجـــازة للوصايا'!K100=1, 'الأجـــازة للوصايا'!BL9,0)</f>
        <v>0</v>
      </c>
      <c r="AA12" s="848">
        <f>IF('الأجـــازة للوصايا'!L100=1, 'الأجـــازة للوصايا'!BM9,0)</f>
        <v>0</v>
      </c>
      <c r="AB12" s="848">
        <f>IF('الأجـــازة للوصايا'!M100=1, 'الأجـــازة للوصايا'!BN9,0)</f>
        <v>0</v>
      </c>
      <c r="AC12" s="848">
        <f>IF('الأجـــازة للوصايا'!N100=1, 'الأجـــازة للوصايا'!BO9,0)</f>
        <v>0</v>
      </c>
      <c r="AD12" s="848">
        <f>IF('الأجـــازة للوصايا'!K100=0,'الأجـــازة للوصايا'!BL10,0)</f>
        <v>0</v>
      </c>
      <c r="AE12" s="848">
        <f>IF('الأجـــازة للوصايا'!L100=0,'الأجـــازة للوصايا'!BM10,0)</f>
        <v>0</v>
      </c>
      <c r="AF12" s="848">
        <f>IF('الأجـــازة للوصايا'!M100=0,'الأجـــازة للوصايا'!BN10,0)</f>
        <v>0</v>
      </c>
      <c r="AG12" s="848">
        <f>IF('الأجـــازة للوصايا'!N100=0,'الأجـــازة للوصايا'!BO10,0)</f>
        <v>0</v>
      </c>
      <c r="AH12" s="848"/>
      <c r="AI12" s="848"/>
      <c r="AJ12" s="866">
        <f t="shared" ref="AJ12:AJ27" si="6">AL12*M12</f>
        <v>0</v>
      </c>
      <c r="AK12" s="293">
        <f>$AK$13</f>
        <v>0</v>
      </c>
      <c r="AL12" s="293">
        <f t="shared" ref="AL12:AL27" si="7">$AJ$10</f>
        <v>100</v>
      </c>
      <c r="AM12" s="1" t="e">
        <f>P12</f>
        <v>#DIV/0!</v>
      </c>
    </row>
    <row r="13" spans="1:50" ht="18.75" customHeight="1" thickTop="1" thickBot="1">
      <c r="C13" s="1297"/>
      <c r="D13" s="1298"/>
      <c r="E13" s="697"/>
      <c r="M13" s="813">
        <f t="shared" ref="M13:M23" si="8">IF(X13&lt;0,"الوارث لم يبقى له شىء",X13)</f>
        <v>0</v>
      </c>
      <c r="N13" s="814" t="e">
        <f t="shared" si="0"/>
        <v>#DIV/0!</v>
      </c>
      <c r="O13" s="848" t="e">
        <f>'ورقة أجازة وعدم الأجازة للمختصن'!BA77</f>
        <v>#DIV/0!</v>
      </c>
      <c r="P13" s="848" t="e">
        <f t="shared" si="1"/>
        <v>#DIV/0!</v>
      </c>
      <c r="Q13" s="848">
        <f>IF('الأجـــازة للوصايا'!I101&gt;0,'الأجـــازة للوصايا'!I101,0)</f>
        <v>0</v>
      </c>
      <c r="R13" s="848" t="e">
        <f t="shared" ref="R13:R27" si="9">P13</f>
        <v>#DIV/0!</v>
      </c>
      <c r="S13" s="848">
        <f t="shared" si="2"/>
        <v>0</v>
      </c>
      <c r="T13" s="848">
        <f t="shared" si="3"/>
        <v>0</v>
      </c>
      <c r="U13" s="848">
        <f t="shared" si="4"/>
        <v>0</v>
      </c>
      <c r="V13" s="848">
        <f t="shared" si="5"/>
        <v>0</v>
      </c>
      <c r="W13" s="848">
        <f t="shared" ref="W13:W27" si="10">$W$12</f>
        <v>0</v>
      </c>
      <c r="X13" s="848">
        <f>IFERROR( ( (('الأجـــازة للوصايا'!I101-(( (AC13+AG13) +(AB13+AF13) +(AA13+AE13) +(Z13+AD13)  ))*'الأجـــازة للوصايا'!I101))),0)</f>
        <v>0</v>
      </c>
      <c r="Y13" s="848">
        <f t="shared" ref="Y13:Y27" si="11">V33</f>
        <v>0</v>
      </c>
      <c r="Z13" s="848">
        <f>IF('الأجـــازة للوصايا'!K101=1, 'الأجـــازة للوصايا'!BL9,0)</f>
        <v>0</v>
      </c>
      <c r="AA13" s="848">
        <f>IF('الأجـــازة للوصايا'!L101=1, 'الأجـــازة للوصايا'!BM9,0)</f>
        <v>0</v>
      </c>
      <c r="AB13" s="848">
        <f>IF('الأجـــازة للوصايا'!M101=1, 'الأجـــازة للوصايا'!BN9,0)</f>
        <v>0</v>
      </c>
      <c r="AC13" s="848">
        <f>IF('الأجـــازة للوصايا'!N101=1, 'الأجـــازة للوصايا'!BO9,0)</f>
        <v>0</v>
      </c>
      <c r="AD13" s="848">
        <f>IF('الأجـــازة للوصايا'!K101=0,'الأجـــازة للوصايا'!BL10,0)</f>
        <v>0</v>
      </c>
      <c r="AE13" s="848">
        <f>IF('الأجـــازة للوصايا'!L101=0,'الأجـــازة للوصايا'!BM10,0)</f>
        <v>0</v>
      </c>
      <c r="AF13" s="848">
        <f>IF('الأجـــازة للوصايا'!M101=0,'الأجـــازة للوصايا'!BN10,0)</f>
        <v>0</v>
      </c>
      <c r="AG13" s="848">
        <f>IF('الأجـــازة للوصايا'!N101=0,'الأجـــازة للوصايا'!BO10,0)</f>
        <v>0</v>
      </c>
      <c r="AH13" s="848"/>
      <c r="AI13" s="848"/>
      <c r="AJ13" s="866">
        <f t="shared" si="6"/>
        <v>0</v>
      </c>
      <c r="AK13" s="293">
        <f t="shared" ref="AK13:AK27" si="12">$AI$11</f>
        <v>0</v>
      </c>
      <c r="AL13" s="293">
        <f t="shared" si="7"/>
        <v>100</v>
      </c>
      <c r="AM13" s="1" t="e">
        <f t="shared" ref="AM13:AM27" si="13">P13</f>
        <v>#DIV/0!</v>
      </c>
    </row>
    <row r="14" spans="1:50" ht="18.75" customHeight="1" thickTop="1" thickBot="1">
      <c r="C14" s="1297"/>
      <c r="D14" s="1298"/>
      <c r="E14" s="697"/>
      <c r="M14" s="813">
        <f t="shared" si="8"/>
        <v>0</v>
      </c>
      <c r="N14" s="814" t="e">
        <f t="shared" si="0"/>
        <v>#DIV/0!</v>
      </c>
      <c r="O14" s="848" t="e">
        <f>'ورقة أجازة وعدم الأجازة للمختصن'!BA78</f>
        <v>#DIV/0!</v>
      </c>
      <c r="P14" s="848" t="e">
        <f t="shared" si="1"/>
        <v>#DIV/0!</v>
      </c>
      <c r="Q14" s="848">
        <f>IF('الأجـــازة للوصايا'!I102&gt;0,'الأجـــازة للوصايا'!I102,0)</f>
        <v>0</v>
      </c>
      <c r="R14" s="848" t="e">
        <f t="shared" si="9"/>
        <v>#DIV/0!</v>
      </c>
      <c r="S14" s="848">
        <f t="shared" si="2"/>
        <v>0</v>
      </c>
      <c r="T14" s="848">
        <f t="shared" si="3"/>
        <v>0</v>
      </c>
      <c r="U14" s="848">
        <f t="shared" si="4"/>
        <v>0</v>
      </c>
      <c r="V14" s="848">
        <f t="shared" si="5"/>
        <v>0</v>
      </c>
      <c r="W14" s="848">
        <f t="shared" si="10"/>
        <v>0</v>
      </c>
      <c r="X14" s="848">
        <f>IFERROR( ( (('الأجـــازة للوصايا'!I102-(( (AC14+AG14) +(AB14+AF14) +(AA14+AE14) +(Z14+AD14)  ))*'الأجـــازة للوصايا'!I102))),0)</f>
        <v>0</v>
      </c>
      <c r="Y14" s="848">
        <f t="shared" si="11"/>
        <v>0</v>
      </c>
      <c r="Z14" s="848">
        <f>IF('الأجـــازة للوصايا'!K102=1, 'الأجـــازة للوصايا'!BL9,0)</f>
        <v>0</v>
      </c>
      <c r="AA14" s="848">
        <f>IF('الأجـــازة للوصايا'!L102=1, 'الأجـــازة للوصايا'!BM9,0)</f>
        <v>0</v>
      </c>
      <c r="AB14" s="848">
        <f>IF('الأجـــازة للوصايا'!M102=1, 'الأجـــازة للوصايا'!BN9,0)</f>
        <v>0</v>
      </c>
      <c r="AC14" s="848">
        <f>IF('الأجـــازة للوصايا'!N102=1, 'الأجـــازة للوصايا'!BO9,0)</f>
        <v>0</v>
      </c>
      <c r="AD14" s="848">
        <f>IF('الأجـــازة للوصايا'!K102=0,'الأجـــازة للوصايا'!BL10,0)</f>
        <v>0</v>
      </c>
      <c r="AE14" s="848">
        <f>IF('الأجـــازة للوصايا'!L102=0,'الأجـــازة للوصايا'!BM10,0)</f>
        <v>0</v>
      </c>
      <c r="AF14" s="848">
        <f>IF('الأجـــازة للوصايا'!M102=0,'الأجـــازة للوصايا'!BN10,0)</f>
        <v>0</v>
      </c>
      <c r="AG14" s="848">
        <f>IF('الأجـــازة للوصايا'!N102=0,'الأجـــازة للوصايا'!BO10,0)</f>
        <v>0</v>
      </c>
      <c r="AH14" s="848"/>
      <c r="AI14" s="848"/>
      <c r="AJ14" s="866">
        <f t="shared" si="6"/>
        <v>0</v>
      </c>
      <c r="AK14" s="293">
        <f t="shared" si="12"/>
        <v>0</v>
      </c>
      <c r="AL14" s="293">
        <f t="shared" si="7"/>
        <v>100</v>
      </c>
      <c r="AM14" s="1" t="e">
        <f t="shared" si="13"/>
        <v>#DIV/0!</v>
      </c>
    </row>
    <row r="15" spans="1:50" ht="18.75" customHeight="1" thickTop="1" thickBot="1">
      <c r="C15" s="1297"/>
      <c r="D15" s="1298"/>
      <c r="E15" s="697"/>
      <c r="M15" s="813">
        <f t="shared" si="8"/>
        <v>0</v>
      </c>
      <c r="N15" s="814" t="e">
        <f t="shared" si="0"/>
        <v>#DIV/0!</v>
      </c>
      <c r="O15" s="848" t="e">
        <f>'ورقة أجازة وعدم الأجازة للمختصن'!BA79</f>
        <v>#DIV/0!</v>
      </c>
      <c r="P15" s="848" t="e">
        <f t="shared" si="1"/>
        <v>#DIV/0!</v>
      </c>
      <c r="Q15" s="848">
        <f>IF('الأجـــازة للوصايا'!I103&gt;0,'الأجـــازة للوصايا'!I103,0)</f>
        <v>0</v>
      </c>
      <c r="R15" s="848" t="e">
        <f t="shared" si="9"/>
        <v>#DIV/0!</v>
      </c>
      <c r="S15" s="848">
        <f t="shared" si="2"/>
        <v>0</v>
      </c>
      <c r="T15" s="848">
        <f t="shared" si="3"/>
        <v>0</v>
      </c>
      <c r="U15" s="848">
        <f t="shared" si="4"/>
        <v>0</v>
      </c>
      <c r="V15" s="848">
        <f t="shared" si="5"/>
        <v>0</v>
      </c>
      <c r="W15" s="848">
        <f t="shared" si="10"/>
        <v>0</v>
      </c>
      <c r="X15" s="848">
        <f>IFERROR( ( (('الأجـــازة للوصايا'!I103-(( (AC15+AG15) +(AB15+AF15) +(AA15+AE15) +(Z15+AD15)  ))*'الأجـــازة للوصايا'!I103))),0)</f>
        <v>0</v>
      </c>
      <c r="Y15" s="848">
        <f t="shared" si="11"/>
        <v>0</v>
      </c>
      <c r="Z15" s="848">
        <f>IF('الأجـــازة للوصايا'!K103=1, 'الأجـــازة للوصايا'!BL9,0)</f>
        <v>0</v>
      </c>
      <c r="AA15" s="848">
        <f>IF('الأجـــازة للوصايا'!L103=1, 'الأجـــازة للوصايا'!BM9,0)</f>
        <v>0</v>
      </c>
      <c r="AB15" s="848">
        <f>IF('الأجـــازة للوصايا'!M103=1, 'الأجـــازة للوصايا'!BN9,0)</f>
        <v>0</v>
      </c>
      <c r="AC15" s="848">
        <f>IF('الأجـــازة للوصايا'!N103=1, 'الأجـــازة للوصايا'!BO9,0)</f>
        <v>0</v>
      </c>
      <c r="AD15" s="848">
        <f>IF('الأجـــازة للوصايا'!K103=0,'الأجـــازة للوصايا'!BL10,0)</f>
        <v>0</v>
      </c>
      <c r="AE15" s="848">
        <f>IF('الأجـــازة للوصايا'!L103=0,'الأجـــازة للوصايا'!BM10,0)</f>
        <v>0</v>
      </c>
      <c r="AF15" s="848">
        <f>IF('الأجـــازة للوصايا'!M103=0,'الأجـــازة للوصايا'!BN10,0)</f>
        <v>0</v>
      </c>
      <c r="AG15" s="848">
        <f>IF('الأجـــازة للوصايا'!N103=0,'الأجـــازة للوصايا'!BO10,0)</f>
        <v>0</v>
      </c>
      <c r="AH15" s="848"/>
      <c r="AI15" s="848"/>
      <c r="AJ15" s="866">
        <f t="shared" si="6"/>
        <v>0</v>
      </c>
      <c r="AK15" s="293">
        <f t="shared" si="12"/>
        <v>0</v>
      </c>
      <c r="AL15" s="293">
        <f t="shared" si="7"/>
        <v>100</v>
      </c>
      <c r="AM15" s="1" t="e">
        <f t="shared" si="13"/>
        <v>#DIV/0!</v>
      </c>
    </row>
    <row r="16" spans="1:50" ht="18.75" customHeight="1" thickTop="1" thickBot="1">
      <c r="C16" s="1297"/>
      <c r="D16" s="1298"/>
      <c r="E16" s="697"/>
      <c r="M16" s="813">
        <f t="shared" si="8"/>
        <v>0</v>
      </c>
      <c r="N16" s="814" t="e">
        <f t="shared" si="0"/>
        <v>#DIV/0!</v>
      </c>
      <c r="O16" s="848" t="e">
        <f>'ورقة أجازة وعدم الأجازة للمختصن'!BA80</f>
        <v>#DIV/0!</v>
      </c>
      <c r="P16" s="848" t="e">
        <f t="shared" si="1"/>
        <v>#DIV/0!</v>
      </c>
      <c r="Q16" s="848">
        <f>IF('الأجـــازة للوصايا'!I104&gt;0,'الأجـــازة للوصايا'!I104,0)</f>
        <v>0</v>
      </c>
      <c r="R16" s="848" t="e">
        <f t="shared" si="9"/>
        <v>#DIV/0!</v>
      </c>
      <c r="S16" s="848">
        <f t="shared" si="2"/>
        <v>0</v>
      </c>
      <c r="T16" s="848">
        <f t="shared" si="3"/>
        <v>0</v>
      </c>
      <c r="U16" s="848">
        <f t="shared" si="4"/>
        <v>0</v>
      </c>
      <c r="V16" s="848">
        <f t="shared" si="5"/>
        <v>0</v>
      </c>
      <c r="W16" s="848">
        <f t="shared" si="10"/>
        <v>0</v>
      </c>
      <c r="X16" s="848">
        <f>IFERROR( ( (('الأجـــازة للوصايا'!I104-(( (AC16+AG16) +(AB16+AF16) +(AA16+AE16) +(Z16+AD16)  ))*'الأجـــازة للوصايا'!I104))),0)</f>
        <v>0</v>
      </c>
      <c r="Y16" s="848">
        <f t="shared" si="11"/>
        <v>0</v>
      </c>
      <c r="Z16" s="848">
        <f>IF('الأجـــازة للوصايا'!K104=1, 'الأجـــازة للوصايا'!BL9,0)</f>
        <v>0</v>
      </c>
      <c r="AA16" s="848">
        <f>IF('الأجـــازة للوصايا'!L104=1, 'الأجـــازة للوصايا'!BM9,0)</f>
        <v>0</v>
      </c>
      <c r="AB16" s="848">
        <f>IF('الأجـــازة للوصايا'!M104=1, 'الأجـــازة للوصايا'!BN9,0)</f>
        <v>0</v>
      </c>
      <c r="AC16" s="848">
        <f>IF('الأجـــازة للوصايا'!N104=1, 'الأجـــازة للوصايا'!BO9,0)</f>
        <v>0</v>
      </c>
      <c r="AD16" s="848">
        <f>IF('الأجـــازة للوصايا'!K104=0,'الأجـــازة للوصايا'!BL10,0)</f>
        <v>0</v>
      </c>
      <c r="AE16" s="848">
        <f>IF('الأجـــازة للوصايا'!L104=0,'الأجـــازة للوصايا'!BM10,0)</f>
        <v>0</v>
      </c>
      <c r="AF16" s="848">
        <f>IF('الأجـــازة للوصايا'!M104=0,'الأجـــازة للوصايا'!BN10,0)</f>
        <v>0</v>
      </c>
      <c r="AG16" s="848">
        <f>IF('الأجـــازة للوصايا'!N104=0,'الأجـــازة للوصايا'!BO10,0)</f>
        <v>0</v>
      </c>
      <c r="AH16" s="848"/>
      <c r="AI16" s="848"/>
      <c r="AJ16" s="866">
        <f t="shared" si="6"/>
        <v>0</v>
      </c>
      <c r="AK16" s="293">
        <f t="shared" si="12"/>
        <v>0</v>
      </c>
      <c r="AL16" s="293">
        <f t="shared" si="7"/>
        <v>100</v>
      </c>
      <c r="AM16" s="1" t="e">
        <f t="shared" si="13"/>
        <v>#DIV/0!</v>
      </c>
    </row>
    <row r="17" spans="3:44" ht="18.75" customHeight="1" thickTop="1" thickBot="1">
      <c r="C17" s="1297"/>
      <c r="D17" s="1298"/>
      <c r="E17" s="697"/>
      <c r="M17" s="813">
        <f t="shared" si="8"/>
        <v>0</v>
      </c>
      <c r="N17" s="814" t="e">
        <f t="shared" si="0"/>
        <v>#DIV/0!</v>
      </c>
      <c r="O17" s="848" t="e">
        <f>'ورقة أجازة وعدم الأجازة للمختصن'!BA81</f>
        <v>#DIV/0!</v>
      </c>
      <c r="P17" s="848" t="e">
        <f t="shared" si="1"/>
        <v>#DIV/0!</v>
      </c>
      <c r="Q17" s="848">
        <f>IF('الأجـــازة للوصايا'!I105&gt;0,'الأجـــازة للوصايا'!I105,0)</f>
        <v>0</v>
      </c>
      <c r="R17" s="848" t="e">
        <f t="shared" si="9"/>
        <v>#DIV/0!</v>
      </c>
      <c r="S17" s="848">
        <f t="shared" si="2"/>
        <v>0</v>
      </c>
      <c r="T17" s="848">
        <f t="shared" si="3"/>
        <v>0</v>
      </c>
      <c r="U17" s="848">
        <f t="shared" si="4"/>
        <v>0</v>
      </c>
      <c r="V17" s="848">
        <f t="shared" si="5"/>
        <v>0</v>
      </c>
      <c r="W17" s="848">
        <f t="shared" si="10"/>
        <v>0</v>
      </c>
      <c r="X17" s="848">
        <f>IFERROR( ( (('الأجـــازة للوصايا'!I105-(( (AC17+AG17) +(AB17+AF17) +(AA17+AE17) +(Z17+AD17)  ))*'الأجـــازة للوصايا'!I105))),0)</f>
        <v>0</v>
      </c>
      <c r="Y17" s="848">
        <f t="shared" si="11"/>
        <v>0</v>
      </c>
      <c r="Z17" s="848">
        <f>IF('الأجـــازة للوصايا'!K105=1, 'الأجـــازة للوصايا'!BL9,0)</f>
        <v>0</v>
      </c>
      <c r="AA17" s="848">
        <f>IF('الأجـــازة للوصايا'!L105=1, 'الأجـــازة للوصايا'!BM9,0)</f>
        <v>0</v>
      </c>
      <c r="AB17" s="848">
        <f>IF('الأجـــازة للوصايا'!M105=1, 'الأجـــازة للوصايا'!BN9,0)</f>
        <v>0</v>
      </c>
      <c r="AC17" s="848">
        <f>IF('الأجـــازة للوصايا'!N105=1, 'الأجـــازة للوصايا'!BO9,0)</f>
        <v>0</v>
      </c>
      <c r="AD17" s="848">
        <f>IF('الأجـــازة للوصايا'!K105=0,'الأجـــازة للوصايا'!BL10,0)</f>
        <v>0</v>
      </c>
      <c r="AE17" s="848">
        <f>IF('الأجـــازة للوصايا'!L105=0,'الأجـــازة للوصايا'!BM10,0)</f>
        <v>0</v>
      </c>
      <c r="AF17" s="848">
        <f>IF('الأجـــازة للوصايا'!M105=0,'الأجـــازة للوصايا'!BN10,0)</f>
        <v>0</v>
      </c>
      <c r="AG17" s="848">
        <f>IF('الأجـــازة للوصايا'!N105=0,'الأجـــازة للوصايا'!BO10,0)</f>
        <v>0</v>
      </c>
      <c r="AH17" s="848"/>
      <c r="AI17" s="848"/>
      <c r="AJ17" s="866">
        <f t="shared" si="6"/>
        <v>0</v>
      </c>
      <c r="AK17" s="293">
        <f t="shared" si="12"/>
        <v>0</v>
      </c>
      <c r="AL17" s="293">
        <f t="shared" si="7"/>
        <v>100</v>
      </c>
      <c r="AM17" s="1" t="e">
        <f t="shared" si="13"/>
        <v>#DIV/0!</v>
      </c>
    </row>
    <row r="18" spans="3:44" ht="18.75" customHeight="1" thickTop="1" thickBot="1">
      <c r="C18" s="1297"/>
      <c r="D18" s="1298"/>
      <c r="E18" s="697"/>
      <c r="M18" s="813">
        <f t="shared" si="8"/>
        <v>0</v>
      </c>
      <c r="N18" s="814" t="e">
        <f t="shared" si="0"/>
        <v>#DIV/0!</v>
      </c>
      <c r="O18" s="848" t="e">
        <f>'ورقة أجازة وعدم الأجازة للمختصن'!BA82</f>
        <v>#DIV/0!</v>
      </c>
      <c r="P18" s="848" t="e">
        <f t="shared" si="1"/>
        <v>#DIV/0!</v>
      </c>
      <c r="Q18" s="848">
        <f>IF('الأجـــازة للوصايا'!I106&gt;0,'الأجـــازة للوصايا'!I106,0)</f>
        <v>0</v>
      </c>
      <c r="R18" s="848" t="e">
        <f t="shared" si="9"/>
        <v>#DIV/0!</v>
      </c>
      <c r="S18" s="848">
        <f t="shared" si="2"/>
        <v>0</v>
      </c>
      <c r="T18" s="848">
        <f t="shared" si="3"/>
        <v>0</v>
      </c>
      <c r="U18" s="848">
        <f t="shared" si="4"/>
        <v>0</v>
      </c>
      <c r="V18" s="848">
        <f t="shared" si="5"/>
        <v>0</v>
      </c>
      <c r="W18" s="848">
        <f t="shared" si="10"/>
        <v>0</v>
      </c>
      <c r="X18" s="848">
        <f>IFERROR( ( (('الأجـــازة للوصايا'!I106-(( (AC18+AG18) +(AB18+AF18) +(AA18+AE18) +(Z18+AD18)  ))*'الأجـــازة للوصايا'!I106))),0)</f>
        <v>0</v>
      </c>
      <c r="Y18" s="848">
        <f t="shared" si="11"/>
        <v>0</v>
      </c>
      <c r="Z18" s="848">
        <f>IF('الأجـــازة للوصايا'!K106=1, 'الأجـــازة للوصايا'!BL9,0)</f>
        <v>0</v>
      </c>
      <c r="AA18" s="848">
        <f>IF('الأجـــازة للوصايا'!L106=1, 'الأجـــازة للوصايا'!BM9,0)</f>
        <v>0</v>
      </c>
      <c r="AB18" s="848">
        <f>IF('الأجـــازة للوصايا'!M106=1, 'الأجـــازة للوصايا'!BN9,0)</f>
        <v>0</v>
      </c>
      <c r="AC18" s="848">
        <f>IF('الأجـــازة للوصايا'!N106=1, 'الأجـــازة للوصايا'!BO9,0)</f>
        <v>0</v>
      </c>
      <c r="AD18" s="848">
        <f>IF('الأجـــازة للوصايا'!K106=0,'الأجـــازة للوصايا'!BL10,0)</f>
        <v>0</v>
      </c>
      <c r="AE18" s="848">
        <f>IF('الأجـــازة للوصايا'!L106=0,'الأجـــازة للوصايا'!BM10,0)</f>
        <v>0</v>
      </c>
      <c r="AF18" s="848">
        <f>IF('الأجـــازة للوصايا'!M106=0,'الأجـــازة للوصايا'!BN10,0)</f>
        <v>0</v>
      </c>
      <c r="AG18" s="848">
        <f>IF('الأجـــازة للوصايا'!N106=0,'الأجـــازة للوصايا'!BO10,0)</f>
        <v>0</v>
      </c>
      <c r="AH18" s="848"/>
      <c r="AI18" s="848"/>
      <c r="AJ18" s="866">
        <f t="shared" si="6"/>
        <v>0</v>
      </c>
      <c r="AK18" s="293">
        <f t="shared" si="12"/>
        <v>0</v>
      </c>
      <c r="AL18" s="293">
        <f t="shared" si="7"/>
        <v>100</v>
      </c>
      <c r="AM18" s="1" t="e">
        <f t="shared" si="13"/>
        <v>#DIV/0!</v>
      </c>
    </row>
    <row r="19" spans="3:44" ht="18.75" customHeight="1" thickTop="1" thickBot="1">
      <c r="C19" s="1297"/>
      <c r="D19" s="1298"/>
      <c r="E19" s="697"/>
      <c r="M19" s="813">
        <f t="shared" si="8"/>
        <v>0</v>
      </c>
      <c r="N19" s="814" t="e">
        <f t="shared" si="0"/>
        <v>#DIV/0!</v>
      </c>
      <c r="O19" s="848" t="e">
        <f>'ورقة أجازة وعدم الأجازة للمختصن'!BA83</f>
        <v>#DIV/0!</v>
      </c>
      <c r="P19" s="848" t="e">
        <f t="shared" si="1"/>
        <v>#DIV/0!</v>
      </c>
      <c r="Q19" s="848">
        <f>IF('الأجـــازة للوصايا'!I107&gt;0,'الأجـــازة للوصايا'!I107,0)</f>
        <v>0</v>
      </c>
      <c r="R19" s="848" t="e">
        <f t="shared" si="9"/>
        <v>#DIV/0!</v>
      </c>
      <c r="S19" s="848">
        <f t="shared" si="2"/>
        <v>0</v>
      </c>
      <c r="T19" s="848">
        <f t="shared" si="3"/>
        <v>0</v>
      </c>
      <c r="U19" s="848">
        <f t="shared" si="4"/>
        <v>0</v>
      </c>
      <c r="V19" s="848">
        <f t="shared" si="5"/>
        <v>0</v>
      </c>
      <c r="W19" s="848">
        <f t="shared" si="10"/>
        <v>0</v>
      </c>
      <c r="X19" s="848">
        <f>IFERROR( ( (('الأجـــازة للوصايا'!I107-(( (AC19+AG19) +(AB19+AF19) +(AA19+AE19) +(Z19+AD19)  ))*'الأجـــازة للوصايا'!I107))),0)</f>
        <v>0</v>
      </c>
      <c r="Y19" s="848">
        <f t="shared" si="11"/>
        <v>0</v>
      </c>
      <c r="Z19" s="848">
        <f>IF('الأجـــازة للوصايا'!K107=1, 'الأجـــازة للوصايا'!BL9,0)</f>
        <v>0</v>
      </c>
      <c r="AA19" s="848">
        <f>IF('الأجـــازة للوصايا'!L107=1, 'الأجـــازة للوصايا'!BM9,0)</f>
        <v>0</v>
      </c>
      <c r="AB19" s="848">
        <f>IF('الأجـــازة للوصايا'!M107=1, 'الأجـــازة للوصايا'!BN9,0)</f>
        <v>0</v>
      </c>
      <c r="AC19" s="848">
        <f>IF('الأجـــازة للوصايا'!N107=1, 'الأجـــازة للوصايا'!BO9,0)</f>
        <v>0</v>
      </c>
      <c r="AD19" s="848">
        <f>IF('الأجـــازة للوصايا'!K107=0,'الأجـــازة للوصايا'!BL10,0)</f>
        <v>0</v>
      </c>
      <c r="AE19" s="848">
        <f>IF('الأجـــازة للوصايا'!L107=0,'الأجـــازة للوصايا'!BM10,0)</f>
        <v>0</v>
      </c>
      <c r="AF19" s="848">
        <f>IF('الأجـــازة للوصايا'!M107=0,'الأجـــازة للوصايا'!BN10,0)</f>
        <v>0</v>
      </c>
      <c r="AG19" s="848">
        <f>IF('الأجـــازة للوصايا'!N107=0,'الأجـــازة للوصايا'!BO10,0)</f>
        <v>0</v>
      </c>
      <c r="AH19" s="848"/>
      <c r="AI19" s="848"/>
      <c r="AJ19" s="866">
        <f t="shared" si="6"/>
        <v>0</v>
      </c>
      <c r="AK19" s="293">
        <f t="shared" si="12"/>
        <v>0</v>
      </c>
      <c r="AL19" s="293">
        <f t="shared" si="7"/>
        <v>100</v>
      </c>
      <c r="AM19" s="1" t="e">
        <f t="shared" si="13"/>
        <v>#DIV/0!</v>
      </c>
    </row>
    <row r="20" spans="3:44" ht="18.75" customHeight="1" thickTop="1" thickBot="1">
      <c r="C20" s="1297"/>
      <c r="D20" s="1298"/>
      <c r="E20" s="697"/>
      <c r="M20" s="813">
        <f t="shared" si="8"/>
        <v>0</v>
      </c>
      <c r="N20" s="814" t="e">
        <f t="shared" si="0"/>
        <v>#DIV/0!</v>
      </c>
      <c r="O20" s="848" t="e">
        <f>'ورقة أجازة وعدم الأجازة للمختصن'!BA84</f>
        <v>#DIV/0!</v>
      </c>
      <c r="P20" s="848" t="e">
        <f t="shared" si="1"/>
        <v>#DIV/0!</v>
      </c>
      <c r="Q20" s="848">
        <f>IF('الأجـــازة للوصايا'!I108&gt;0,'الأجـــازة للوصايا'!I108,0)</f>
        <v>0</v>
      </c>
      <c r="R20" s="848" t="e">
        <f t="shared" si="9"/>
        <v>#DIV/0!</v>
      </c>
      <c r="S20" s="848">
        <f t="shared" si="2"/>
        <v>0</v>
      </c>
      <c r="T20" s="848">
        <f t="shared" si="3"/>
        <v>0</v>
      </c>
      <c r="U20" s="848">
        <f t="shared" si="4"/>
        <v>0</v>
      </c>
      <c r="V20" s="848">
        <f t="shared" si="5"/>
        <v>0</v>
      </c>
      <c r="W20" s="848">
        <f t="shared" si="10"/>
        <v>0</v>
      </c>
      <c r="X20" s="848">
        <f>IFERROR( ( (('الأجـــازة للوصايا'!I108-(( (AC20+AG20) +(AB20+AF20) +(AA20+AE20) +(Z20+AD20)  ))*'الأجـــازة للوصايا'!I108))),0)</f>
        <v>0</v>
      </c>
      <c r="Y20" s="848">
        <f t="shared" si="11"/>
        <v>0</v>
      </c>
      <c r="Z20" s="848">
        <f>IF('الأجـــازة للوصايا'!K108=1, 'الأجـــازة للوصايا'!BL9,0)</f>
        <v>0</v>
      </c>
      <c r="AA20" s="848">
        <f>IF('الأجـــازة للوصايا'!L108=1, 'الأجـــازة للوصايا'!BM9,0)</f>
        <v>0</v>
      </c>
      <c r="AB20" s="848">
        <f>IF('الأجـــازة للوصايا'!M108=1, 'الأجـــازة للوصايا'!BN9,0)</f>
        <v>0</v>
      </c>
      <c r="AC20" s="848">
        <f>IF('الأجـــازة للوصايا'!N108=1, 'الأجـــازة للوصايا'!BO9,0)</f>
        <v>0</v>
      </c>
      <c r="AD20" s="848">
        <f>IF('الأجـــازة للوصايا'!K108=0,'الأجـــازة للوصايا'!BL10,0)</f>
        <v>0</v>
      </c>
      <c r="AE20" s="848">
        <f>IF('الأجـــازة للوصايا'!L108=0,'الأجـــازة للوصايا'!BM10,0)</f>
        <v>0</v>
      </c>
      <c r="AF20" s="848">
        <f>IF('الأجـــازة للوصايا'!M108=0,'الأجـــازة للوصايا'!BN10,0)</f>
        <v>0</v>
      </c>
      <c r="AG20" s="848">
        <f>IF('الأجـــازة للوصايا'!N108=0,'الأجـــازة للوصايا'!BO10,0)</f>
        <v>0</v>
      </c>
      <c r="AH20" s="848"/>
      <c r="AI20" s="848"/>
      <c r="AJ20" s="866">
        <f t="shared" si="6"/>
        <v>0</v>
      </c>
      <c r="AK20" s="293">
        <f t="shared" si="12"/>
        <v>0</v>
      </c>
      <c r="AL20" s="293">
        <f t="shared" si="7"/>
        <v>100</v>
      </c>
      <c r="AM20" s="1" t="e">
        <f t="shared" si="13"/>
        <v>#DIV/0!</v>
      </c>
    </row>
    <row r="21" spans="3:44" ht="18.75" customHeight="1" thickTop="1" thickBot="1">
      <c r="C21" s="1299"/>
      <c r="D21" s="1300"/>
      <c r="E21" s="697"/>
      <c r="M21" s="813">
        <f t="shared" si="8"/>
        <v>0</v>
      </c>
      <c r="N21" s="814" t="e">
        <f t="shared" si="0"/>
        <v>#DIV/0!</v>
      </c>
      <c r="O21" s="848" t="e">
        <f>'ورقة أجازة وعدم الأجازة للمختصن'!BA85</f>
        <v>#DIV/0!</v>
      </c>
      <c r="P21" s="848" t="e">
        <f t="shared" si="1"/>
        <v>#DIV/0!</v>
      </c>
      <c r="Q21" s="848">
        <f>IF('الأجـــازة للوصايا'!I109&gt;0,'الأجـــازة للوصايا'!I109,0)</f>
        <v>0</v>
      </c>
      <c r="R21" s="848" t="e">
        <f t="shared" si="9"/>
        <v>#DIV/0!</v>
      </c>
      <c r="S21" s="848">
        <f t="shared" si="2"/>
        <v>0</v>
      </c>
      <c r="T21" s="848">
        <f t="shared" si="3"/>
        <v>0</v>
      </c>
      <c r="U21" s="848">
        <f t="shared" si="4"/>
        <v>0</v>
      </c>
      <c r="V21" s="848">
        <f t="shared" si="5"/>
        <v>0</v>
      </c>
      <c r="W21" s="848">
        <f t="shared" si="10"/>
        <v>0</v>
      </c>
      <c r="X21" s="848">
        <f>IFERROR( ( (('الأجـــازة للوصايا'!I109-(( (AC21+AG21) +(AB21+AF21) +(AA21+AE21) +(Z21+AD21)  ))*'الأجـــازة للوصايا'!I109))),0)</f>
        <v>0</v>
      </c>
      <c r="Y21" s="848">
        <f t="shared" si="11"/>
        <v>0</v>
      </c>
      <c r="Z21" s="848">
        <f>IF('الأجـــازة للوصايا'!K109=1, 'الأجـــازة للوصايا'!BL9,0)</f>
        <v>0</v>
      </c>
      <c r="AA21" s="848">
        <f>IF('الأجـــازة للوصايا'!L109=1, 'الأجـــازة للوصايا'!BM9,0)</f>
        <v>0</v>
      </c>
      <c r="AB21" s="848">
        <f>IF('الأجـــازة للوصايا'!M109=1, 'الأجـــازة للوصايا'!BN9,0)</f>
        <v>0</v>
      </c>
      <c r="AC21" s="848">
        <f>IF('الأجـــازة للوصايا'!N109=1, 'الأجـــازة للوصايا'!BO9,0)</f>
        <v>0</v>
      </c>
      <c r="AD21" s="848">
        <f>IF('الأجـــازة للوصايا'!K109=0,'الأجـــازة للوصايا'!BL10,0)</f>
        <v>0</v>
      </c>
      <c r="AE21" s="848">
        <f>IF('الأجـــازة للوصايا'!L109=0,'الأجـــازة للوصايا'!BM10,0)</f>
        <v>0</v>
      </c>
      <c r="AF21" s="848">
        <f>IF('الأجـــازة للوصايا'!M109=0,'الأجـــازة للوصايا'!BN10,0)</f>
        <v>0</v>
      </c>
      <c r="AG21" s="848">
        <f>IF('الأجـــازة للوصايا'!N109=0,'الأجـــازة للوصايا'!BO10,0)</f>
        <v>0</v>
      </c>
      <c r="AH21" s="848"/>
      <c r="AI21" s="848"/>
      <c r="AJ21" s="866">
        <f t="shared" si="6"/>
        <v>0</v>
      </c>
      <c r="AK21" s="293">
        <f t="shared" si="12"/>
        <v>0</v>
      </c>
      <c r="AL21" s="293">
        <f t="shared" si="7"/>
        <v>100</v>
      </c>
      <c r="AM21" s="1" t="e">
        <f t="shared" si="13"/>
        <v>#DIV/0!</v>
      </c>
    </row>
    <row r="22" spans="3:44" ht="18.75" customHeight="1" thickTop="1" thickBot="1">
      <c r="C22" s="698"/>
      <c r="D22" s="698"/>
      <c r="E22" s="697"/>
      <c r="M22" s="813">
        <f t="shared" si="8"/>
        <v>0</v>
      </c>
      <c r="N22" s="814" t="e">
        <f t="shared" si="0"/>
        <v>#DIV/0!</v>
      </c>
      <c r="O22" s="848" t="e">
        <f>'ورقة أجازة وعدم الأجازة للمختصن'!BA86</f>
        <v>#DIV/0!</v>
      </c>
      <c r="P22" s="848" t="e">
        <f t="shared" si="1"/>
        <v>#DIV/0!</v>
      </c>
      <c r="Q22" s="848">
        <f>IF('الأجـــازة للوصايا'!I110&gt;0,'الأجـــازة للوصايا'!I110,0)</f>
        <v>0</v>
      </c>
      <c r="R22" s="848" t="e">
        <f t="shared" si="9"/>
        <v>#DIV/0!</v>
      </c>
      <c r="S22" s="848">
        <f t="shared" si="2"/>
        <v>0</v>
      </c>
      <c r="T22" s="848">
        <f t="shared" si="3"/>
        <v>0</v>
      </c>
      <c r="U22" s="848">
        <f t="shared" si="4"/>
        <v>0</v>
      </c>
      <c r="V22" s="848">
        <f t="shared" si="5"/>
        <v>0</v>
      </c>
      <c r="W22" s="848">
        <f t="shared" si="10"/>
        <v>0</v>
      </c>
      <c r="X22" s="848">
        <f>IFERROR( ( (('الأجـــازة للوصايا'!I110-(( (AC22+AG22) +(AB22+AF22) +(AA22+AE22) +(Z22+AD22)  ))*'الأجـــازة للوصايا'!I110))),0)</f>
        <v>0</v>
      </c>
      <c r="Y22" s="848">
        <f t="shared" si="11"/>
        <v>0</v>
      </c>
      <c r="Z22" s="848">
        <f>IF('الأجـــازة للوصايا'!K110=1, 'الأجـــازة للوصايا'!BL9,0)</f>
        <v>0</v>
      </c>
      <c r="AA22" s="848">
        <f>IF('الأجـــازة للوصايا'!L110=1, 'الأجـــازة للوصايا'!BM9,0)</f>
        <v>0</v>
      </c>
      <c r="AB22" s="848">
        <f>IF('الأجـــازة للوصايا'!M110=1, 'الأجـــازة للوصايا'!BN9,0)</f>
        <v>0</v>
      </c>
      <c r="AC22" s="848">
        <f>IF('الأجـــازة للوصايا'!N110=1, 'الأجـــازة للوصايا'!BO9,0)</f>
        <v>0</v>
      </c>
      <c r="AD22" s="848">
        <f>IF('الأجـــازة للوصايا'!K110=0,'الأجـــازة للوصايا'!BL10,0)</f>
        <v>0</v>
      </c>
      <c r="AE22" s="848">
        <f>IF('الأجـــازة للوصايا'!L110=0,'الأجـــازة للوصايا'!BM10,0)</f>
        <v>0</v>
      </c>
      <c r="AF22" s="848">
        <f>IF('الأجـــازة للوصايا'!M110=0,'الأجـــازة للوصايا'!BN10,0)</f>
        <v>0</v>
      </c>
      <c r="AG22" s="848">
        <f>IF('الأجـــازة للوصايا'!N110=0,'الأجـــازة للوصايا'!BO10,0)</f>
        <v>0</v>
      </c>
      <c r="AH22" s="848"/>
      <c r="AI22" s="848"/>
      <c r="AJ22" s="866">
        <f t="shared" si="6"/>
        <v>0</v>
      </c>
      <c r="AK22" s="293">
        <f t="shared" si="12"/>
        <v>0</v>
      </c>
      <c r="AL22" s="293">
        <f t="shared" si="7"/>
        <v>100</v>
      </c>
      <c r="AM22" s="1" t="e">
        <f t="shared" si="13"/>
        <v>#DIV/0!</v>
      </c>
    </row>
    <row r="23" spans="3:44" ht="18.75" customHeight="1" thickTop="1" thickBot="1">
      <c r="C23" s="698" t="s">
        <v>114</v>
      </c>
      <c r="D23" s="698"/>
      <c r="E23" s="697"/>
      <c r="M23" s="813">
        <f t="shared" si="8"/>
        <v>0</v>
      </c>
      <c r="N23" s="814" t="e">
        <f t="shared" si="0"/>
        <v>#DIV/0!</v>
      </c>
      <c r="O23" s="848" t="e">
        <f>'ورقة أجازة وعدم الأجازة للمختصن'!BA87</f>
        <v>#DIV/0!</v>
      </c>
      <c r="P23" s="848" t="e">
        <f t="shared" si="1"/>
        <v>#DIV/0!</v>
      </c>
      <c r="Q23" s="848">
        <f>IF('الأجـــازة للوصايا'!I111&gt;0,'الأجـــازة للوصايا'!I111,0)</f>
        <v>0</v>
      </c>
      <c r="R23" s="848" t="e">
        <f t="shared" si="9"/>
        <v>#DIV/0!</v>
      </c>
      <c r="S23" s="848">
        <f t="shared" si="2"/>
        <v>0</v>
      </c>
      <c r="T23" s="848">
        <f t="shared" si="3"/>
        <v>0</v>
      </c>
      <c r="U23" s="848">
        <f t="shared" si="4"/>
        <v>0</v>
      </c>
      <c r="V23" s="848">
        <f t="shared" si="5"/>
        <v>0</v>
      </c>
      <c r="W23" s="848">
        <f t="shared" si="10"/>
        <v>0</v>
      </c>
      <c r="X23" s="848">
        <f>IFERROR( ( (('الأجـــازة للوصايا'!I111-(( (AC23+AG23) +(AB23+AF23) +(AA23+AE23) +(Z23+AD23)  ))*'الأجـــازة للوصايا'!I111))),0)</f>
        <v>0</v>
      </c>
      <c r="Y23" s="848">
        <f t="shared" si="11"/>
        <v>0</v>
      </c>
      <c r="Z23" s="848">
        <f>IF('الأجـــازة للوصايا'!K111=1, 'الأجـــازة للوصايا'!BL9,0)</f>
        <v>0</v>
      </c>
      <c r="AA23" s="848">
        <f>IF('الأجـــازة للوصايا'!L111=1, 'الأجـــازة للوصايا'!BM9,0)</f>
        <v>0</v>
      </c>
      <c r="AB23" s="848">
        <f>IF('الأجـــازة للوصايا'!M111=1, 'الأجـــازة للوصايا'!BN9,0)</f>
        <v>0</v>
      </c>
      <c r="AC23" s="848">
        <f>IF('الأجـــازة للوصايا'!N111=1, 'الأجـــازة للوصايا'!BO9,0)</f>
        <v>0</v>
      </c>
      <c r="AD23" s="848">
        <f>IF('الأجـــازة للوصايا'!K111=0,'الأجـــازة للوصايا'!BL10,0)</f>
        <v>0</v>
      </c>
      <c r="AE23" s="848">
        <f>IF('الأجـــازة للوصايا'!L111=0,'الأجـــازة للوصايا'!BM10,0)</f>
        <v>0</v>
      </c>
      <c r="AF23" s="848">
        <f>IF('الأجـــازة للوصايا'!M111=0,'الأجـــازة للوصايا'!BN10,0)</f>
        <v>0</v>
      </c>
      <c r="AG23" s="848">
        <f>IF('الأجـــازة للوصايا'!N111=0,'الأجـــازة للوصايا'!BO10,0)</f>
        <v>0</v>
      </c>
      <c r="AH23" s="848"/>
      <c r="AI23" s="848"/>
      <c r="AJ23" s="866">
        <f t="shared" si="6"/>
        <v>0</v>
      </c>
      <c r="AK23" s="293">
        <f t="shared" si="12"/>
        <v>0</v>
      </c>
      <c r="AL23" s="293">
        <f t="shared" si="7"/>
        <v>100</v>
      </c>
      <c r="AM23" s="1" t="e">
        <f t="shared" si="13"/>
        <v>#DIV/0!</v>
      </c>
    </row>
    <row r="24" spans="3:44" ht="16.5" customHeight="1" thickTop="1" thickBot="1">
      <c r="C24" s="1386" t="s">
        <v>738</v>
      </c>
      <c r="D24" s="820">
        <f>'الأجـــازة للوصايا'!BL7</f>
        <v>0</v>
      </c>
      <c r="E24" s="697"/>
      <c r="M24" s="814">
        <f>IFERROR( 'الأجـــازة للوصايا'!BL24+'الأجـــازة للوصايا'!BN24,0)</f>
        <v>0</v>
      </c>
      <c r="N24" s="814" t="e">
        <f t="shared" si="0"/>
        <v>#DIV/0!</v>
      </c>
      <c r="O24" s="848" t="e">
        <f>'ورقة أجازة وعدم الأجازة للمختصن'!BA88</f>
        <v>#DIV/0!</v>
      </c>
      <c r="P24" s="848" t="e">
        <f t="shared" si="1"/>
        <v>#DIV/0!</v>
      </c>
      <c r="Q24" s="848">
        <f>IF('الأجـــازة للوصايا'!BL24&gt;0,'الأجـــازة للوصايا'!BL24,0)</f>
        <v>0</v>
      </c>
      <c r="R24" s="848" t="e">
        <f t="shared" si="9"/>
        <v>#DIV/0!</v>
      </c>
      <c r="S24" s="848">
        <f t="shared" si="2"/>
        <v>0</v>
      </c>
      <c r="T24" s="848">
        <f t="shared" si="3"/>
        <v>0</v>
      </c>
      <c r="U24" s="848">
        <f t="shared" si="4"/>
        <v>0</v>
      </c>
      <c r="V24" s="848">
        <f t="shared" si="5"/>
        <v>0</v>
      </c>
      <c r="W24" s="848">
        <f t="shared" si="10"/>
        <v>0</v>
      </c>
      <c r="X24" s="848"/>
      <c r="Y24" s="848">
        <f t="shared" si="11"/>
        <v>0</v>
      </c>
      <c r="Z24" s="848"/>
      <c r="AA24" s="848"/>
      <c r="AB24" s="848"/>
      <c r="AC24" s="848"/>
      <c r="AD24" s="848"/>
      <c r="AE24" s="848"/>
      <c r="AF24" s="848"/>
      <c r="AG24" s="848"/>
      <c r="AH24" s="848"/>
      <c r="AI24" s="848"/>
      <c r="AJ24" s="866">
        <f t="shared" si="6"/>
        <v>0</v>
      </c>
      <c r="AK24" s="293">
        <f t="shared" si="12"/>
        <v>0</v>
      </c>
      <c r="AL24" s="293">
        <f t="shared" si="7"/>
        <v>100</v>
      </c>
      <c r="AM24" s="1" t="e">
        <f t="shared" si="13"/>
        <v>#DIV/0!</v>
      </c>
    </row>
    <row r="25" spans="3:44" ht="16.5" customHeight="1" thickTop="1" thickBot="1">
      <c r="C25" s="1387"/>
      <c r="D25" s="820">
        <f>'الأجـــازة للوصايا'!BM7</f>
        <v>0</v>
      </c>
      <c r="E25" s="697"/>
      <c r="M25" s="814">
        <f>IFERROR( 'الأجـــازة للوصايا'!BL25+'الأجـــازة للوصايا'!BN25,0)</f>
        <v>0</v>
      </c>
      <c r="N25" s="814" t="e">
        <f t="shared" si="0"/>
        <v>#DIV/0!</v>
      </c>
      <c r="O25" s="848" t="e">
        <f>'ورقة أجازة وعدم الأجازة للمختصن'!BA89</f>
        <v>#DIV/0!</v>
      </c>
      <c r="P25" s="848" t="e">
        <f t="shared" si="1"/>
        <v>#DIV/0!</v>
      </c>
      <c r="Q25" s="848">
        <f>IF('الأجـــازة للوصايا'!BL25&gt;0,'الأجـــازة للوصايا'!BL25,0)</f>
        <v>0</v>
      </c>
      <c r="R25" s="848" t="e">
        <f t="shared" si="9"/>
        <v>#DIV/0!</v>
      </c>
      <c r="S25" s="848">
        <f t="shared" si="2"/>
        <v>0</v>
      </c>
      <c r="T25" s="848">
        <f t="shared" si="3"/>
        <v>0</v>
      </c>
      <c r="U25" s="848">
        <f t="shared" si="4"/>
        <v>0</v>
      </c>
      <c r="V25" s="848">
        <f t="shared" si="5"/>
        <v>0</v>
      </c>
      <c r="W25" s="848">
        <f t="shared" si="10"/>
        <v>0</v>
      </c>
      <c r="X25" s="848"/>
      <c r="Y25" s="848">
        <f t="shared" si="11"/>
        <v>0</v>
      </c>
      <c r="Z25" s="848"/>
      <c r="AA25" s="848"/>
      <c r="AB25" s="848"/>
      <c r="AC25" s="848"/>
      <c r="AD25" s="848"/>
      <c r="AE25" s="848"/>
      <c r="AF25" s="848"/>
      <c r="AG25" s="848"/>
      <c r="AH25" s="848"/>
      <c r="AI25" s="848"/>
      <c r="AJ25" s="866">
        <f t="shared" si="6"/>
        <v>0</v>
      </c>
      <c r="AK25" s="293">
        <f t="shared" si="12"/>
        <v>0</v>
      </c>
      <c r="AL25" s="293">
        <f t="shared" si="7"/>
        <v>100</v>
      </c>
      <c r="AM25" s="1" t="e">
        <f t="shared" si="13"/>
        <v>#DIV/0!</v>
      </c>
    </row>
    <row r="26" spans="3:44" ht="16.5" customHeight="1" thickTop="1" thickBot="1">
      <c r="C26" s="1387"/>
      <c r="D26" s="820">
        <f>'الأجـــازة للوصايا'!BN7</f>
        <v>0</v>
      </c>
      <c r="E26" s="697"/>
      <c r="M26" s="814">
        <f>IFERROR( 'الأجـــازة للوصايا'!BL26+'الأجـــازة للوصايا'!BN26,0)</f>
        <v>0</v>
      </c>
      <c r="N26" s="814" t="e">
        <f t="shared" si="0"/>
        <v>#DIV/0!</v>
      </c>
      <c r="O26" s="848" t="e">
        <f>'ورقة أجازة وعدم الأجازة للمختصن'!BA90</f>
        <v>#DIV/0!</v>
      </c>
      <c r="P26" s="848" t="e">
        <f t="shared" si="1"/>
        <v>#DIV/0!</v>
      </c>
      <c r="Q26" s="848">
        <f>IF('الأجـــازة للوصايا'!BL26&gt;0,'الأجـــازة للوصايا'!BL26,0)</f>
        <v>0</v>
      </c>
      <c r="R26" s="848" t="e">
        <f t="shared" si="9"/>
        <v>#DIV/0!</v>
      </c>
      <c r="S26" s="848">
        <f t="shared" si="2"/>
        <v>0</v>
      </c>
      <c r="T26" s="848">
        <f t="shared" si="3"/>
        <v>0</v>
      </c>
      <c r="U26" s="848">
        <f t="shared" si="4"/>
        <v>0</v>
      </c>
      <c r="V26" s="848">
        <f t="shared" si="5"/>
        <v>0</v>
      </c>
      <c r="W26" s="848">
        <f t="shared" si="10"/>
        <v>0</v>
      </c>
      <c r="X26" s="848"/>
      <c r="Y26" s="848">
        <f t="shared" si="11"/>
        <v>0</v>
      </c>
      <c r="Z26" s="848"/>
      <c r="AA26" s="848"/>
      <c r="AB26" s="848" t="s">
        <v>114</v>
      </c>
      <c r="AC26" s="848"/>
      <c r="AD26" s="848"/>
      <c r="AE26" s="848"/>
      <c r="AF26" s="848"/>
      <c r="AG26" s="848"/>
      <c r="AH26" s="848"/>
      <c r="AI26" s="848"/>
      <c r="AJ26" s="866">
        <f t="shared" si="6"/>
        <v>0</v>
      </c>
      <c r="AK26" s="293">
        <f t="shared" si="12"/>
        <v>0</v>
      </c>
      <c r="AL26" s="293">
        <f t="shared" si="7"/>
        <v>100</v>
      </c>
      <c r="AM26" s="1" t="e">
        <f t="shared" si="13"/>
        <v>#DIV/0!</v>
      </c>
    </row>
    <row r="27" spans="3:44" ht="16.5" customHeight="1" thickTop="1" thickBot="1">
      <c r="C27" s="1388"/>
      <c r="D27" s="820">
        <f>'الأجـــازة للوصايا'!BO7</f>
        <v>0</v>
      </c>
      <c r="E27" s="697"/>
      <c r="M27" s="825">
        <f>IFERROR( 'الأجـــازة للوصايا'!BL27+'الأجـــازة للوصايا'!BN27,0)</f>
        <v>0</v>
      </c>
      <c r="N27" s="825" t="e">
        <f t="shared" si="0"/>
        <v>#DIV/0!</v>
      </c>
      <c r="O27" s="848" t="e">
        <f>'ورقة أجازة وعدم الأجازة للمختصن'!BA91</f>
        <v>#DIV/0!</v>
      </c>
      <c r="P27" s="848" t="e">
        <f t="shared" si="1"/>
        <v>#DIV/0!</v>
      </c>
      <c r="Q27" s="848">
        <f>IF('الأجـــازة للوصايا'!BL27&gt;0,'الأجـــازة للوصايا'!BL27,0)</f>
        <v>0</v>
      </c>
      <c r="R27" s="848" t="e">
        <f t="shared" si="9"/>
        <v>#DIV/0!</v>
      </c>
      <c r="S27" s="848">
        <f t="shared" si="2"/>
        <v>0</v>
      </c>
      <c r="T27" s="848">
        <f t="shared" si="3"/>
        <v>0</v>
      </c>
      <c r="U27" s="848">
        <f t="shared" si="4"/>
        <v>0</v>
      </c>
      <c r="V27" s="848">
        <f t="shared" si="5"/>
        <v>0</v>
      </c>
      <c r="W27" s="848">
        <f t="shared" si="10"/>
        <v>0</v>
      </c>
      <c r="X27" s="848"/>
      <c r="Y27" s="848">
        <f t="shared" si="11"/>
        <v>0</v>
      </c>
      <c r="Z27" s="848"/>
      <c r="AA27" s="848"/>
      <c r="AB27" s="848"/>
      <c r="AC27" s="848"/>
      <c r="AD27" s="848"/>
      <c r="AE27" s="848"/>
      <c r="AF27" s="848"/>
      <c r="AG27" s="848"/>
      <c r="AH27" s="848"/>
      <c r="AI27" s="848"/>
      <c r="AJ27" s="866">
        <f t="shared" si="6"/>
        <v>0</v>
      </c>
      <c r="AK27" s="293">
        <f t="shared" si="12"/>
        <v>0</v>
      </c>
      <c r="AL27" s="293">
        <f t="shared" si="7"/>
        <v>100</v>
      </c>
      <c r="AM27" s="1" t="e">
        <f t="shared" si="13"/>
        <v>#DIV/0!</v>
      </c>
    </row>
    <row r="28" spans="3:44" ht="15.75" customHeight="1">
      <c r="C28" s="1"/>
      <c r="D28" s="1"/>
      <c r="F28" s="462" t="s">
        <v>114</v>
      </c>
      <c r="G28" s="462"/>
      <c r="H28" s="463"/>
      <c r="I28" s="464"/>
      <c r="J28" s="464"/>
      <c r="K28" s="464"/>
      <c r="L28" s="465"/>
      <c r="M28" s="465"/>
      <c r="N28" s="465"/>
      <c r="O28" s="465"/>
      <c r="P28" s="566" t="e">
        <f>SUM(AM12:AM27)</f>
        <v>#DIV/0!</v>
      </c>
      <c r="Q28" s="479"/>
      <c r="R28" s="480" t="e">
        <f>SUM(R12:R27)</f>
        <v>#DIV/0!</v>
      </c>
      <c r="S28" s="480"/>
      <c r="T28" s="481"/>
      <c r="U28" s="482"/>
      <c r="V28" s="481">
        <f>SUM(V12:V27)</f>
        <v>0</v>
      </c>
      <c r="W28" s="483"/>
      <c r="X28" s="481"/>
      <c r="Y28" s="28"/>
      <c r="Z28" s="478"/>
      <c r="AA28" s="478"/>
      <c r="AB28" s="1"/>
      <c r="AC28" s="1"/>
      <c r="AD28" s="1"/>
      <c r="AE28" s="1"/>
      <c r="AF28" s="1"/>
      <c r="AG28" s="1"/>
      <c r="AH28" s="1"/>
      <c r="AI28" s="1"/>
      <c r="AJ28" s="1"/>
      <c r="AK28" s="1"/>
      <c r="AR28" t="s">
        <v>114</v>
      </c>
    </row>
    <row r="29" spans="3:44" ht="15.75">
      <c r="G29" s="28"/>
      <c r="H29" s="28"/>
      <c r="I29" s="28"/>
      <c r="J29" s="28"/>
      <c r="K29" s="28"/>
      <c r="L29" s="28"/>
      <c r="N29" s="478" t="e">
        <f>SUM(N12:N27)</f>
        <v>#DIV/0!</v>
      </c>
      <c r="O29" s="478"/>
      <c r="Q29" s="28"/>
      <c r="R29" s="28"/>
      <c r="S29" s="537">
        <f>GCD(S12:S27)</f>
        <v>0</v>
      </c>
      <c r="T29" s="28"/>
      <c r="U29" s="28"/>
      <c r="V29" s="28"/>
      <c r="W29" s="28"/>
      <c r="X29" s="28"/>
      <c r="Y29" s="28"/>
      <c r="Z29" s="28"/>
      <c r="AA29" s="28"/>
      <c r="AC29" s="1"/>
    </row>
    <row r="30" spans="3:44" ht="18.75" hidden="1">
      <c r="G30" s="28"/>
      <c r="H30" s="28"/>
      <c r="I30" s="28"/>
      <c r="J30" s="28"/>
      <c r="K30" s="28"/>
      <c r="L30" s="28"/>
      <c r="M30" s="28"/>
      <c r="N30" s="28"/>
      <c r="O30" s="28"/>
      <c r="P30" s="549" t="e">
        <f>SUM(P12:P27)</f>
        <v>#DIV/0!</v>
      </c>
      <c r="Q30" s="28"/>
      <c r="R30" s="28"/>
      <c r="S30" s="478">
        <f t="shared" ref="S30:S47" si="14">$S$29</f>
        <v>0</v>
      </c>
      <c r="T30" s="28"/>
      <c r="U30" s="28"/>
      <c r="V30" s="478">
        <f>ROUNDDOWN(V28,0)</f>
        <v>0</v>
      </c>
      <c r="W30" s="28"/>
      <c r="X30" s="28"/>
      <c r="Y30" s="28"/>
      <c r="Z30" s="28"/>
      <c r="AA30" s="28"/>
      <c r="AC30" s="1"/>
    </row>
    <row r="31" spans="3:44" hidden="1">
      <c r="E31">
        <f>L31</f>
        <v>0</v>
      </c>
      <c r="F31" s="1">
        <f>'الأجـــازة للوصايا'!J100</f>
        <v>1</v>
      </c>
      <c r="G31" s="478">
        <f>'الأجـــازة للوصايا'!H100</f>
        <v>0</v>
      </c>
      <c r="I31" s="478">
        <f>'الأجـــازة للوصايا'!J100</f>
        <v>1</v>
      </c>
      <c r="J31" s="28">
        <f>IF(F31&gt;1,M31,0)</f>
        <v>0</v>
      </c>
      <c r="K31" t="e">
        <f>VLOOKUP(1,E31:J42,3,FALSE)</f>
        <v>#N/A</v>
      </c>
      <c r="L31" s="28">
        <f t="shared" ref="L31:L42" si="15">IF(I31&gt;1,1,0)</f>
        <v>0</v>
      </c>
      <c r="M31" s="28">
        <f>VLOOKUP(F31,F31:I40,2,FALSE)</f>
        <v>0</v>
      </c>
      <c r="N31" s="28"/>
      <c r="O31" s="28"/>
      <c r="P31" s="478">
        <f t="shared" ref="P31:P44" si="16">L31</f>
        <v>0</v>
      </c>
      <c r="Q31" s="28"/>
      <c r="R31" s="28"/>
      <c r="S31" s="478">
        <f t="shared" si="14"/>
        <v>0</v>
      </c>
      <c r="T31" s="28"/>
      <c r="U31" s="28"/>
      <c r="V31" s="478">
        <f>V28-V30</f>
        <v>0</v>
      </c>
      <c r="W31" s="28"/>
      <c r="X31" s="28"/>
      <c r="Y31" s="28"/>
      <c r="Z31" s="28"/>
      <c r="AA31" s="28"/>
      <c r="AC31" s="1"/>
      <c r="AJ31" s="478">
        <f>'الأجـــازة للوصايا'!I100</f>
        <v>0</v>
      </c>
    </row>
    <row r="32" spans="3:44" hidden="1">
      <c r="E32">
        <f>L32+SUM(L31)</f>
        <v>0</v>
      </c>
      <c r="F32" s="1">
        <f>'الأجـــازة للوصايا'!J101</f>
        <v>0</v>
      </c>
      <c r="G32" s="478">
        <f>'الأجـــازة للوصايا'!H101</f>
        <v>0</v>
      </c>
      <c r="I32" s="478">
        <f>'الأجـــازة للوصايا'!J101</f>
        <v>0</v>
      </c>
      <c r="J32" s="28">
        <f>IF(F32&gt;1,M32,0)</f>
        <v>0</v>
      </c>
      <c r="K32" t="e">
        <f>VLOOKUP(2,E31:J42,3,FALSE)</f>
        <v>#N/A</v>
      </c>
      <c r="L32" s="28">
        <f t="shared" si="15"/>
        <v>0</v>
      </c>
      <c r="M32" s="28">
        <f>VLOOKUP(F32,F31:I40,2,FALSE)</f>
        <v>0</v>
      </c>
      <c r="N32" s="28"/>
      <c r="O32" s="28"/>
      <c r="P32" s="478">
        <f t="shared" si="16"/>
        <v>0</v>
      </c>
      <c r="Q32" s="28"/>
      <c r="R32" s="28"/>
      <c r="S32" s="478">
        <f t="shared" si="14"/>
        <v>0</v>
      </c>
      <c r="T32" s="28"/>
      <c r="U32" s="28"/>
      <c r="V32" s="478" t="s">
        <v>114</v>
      </c>
      <c r="W32" s="28"/>
      <c r="X32" s="28"/>
      <c r="Y32" s="28"/>
      <c r="Z32" s="28"/>
      <c r="AA32" s="28"/>
      <c r="AC32" s="1"/>
      <c r="AJ32" s="478">
        <f>'الأجـــازة للوصايا'!I101</f>
        <v>0</v>
      </c>
    </row>
    <row r="33" spans="5:36" hidden="1">
      <c r="E33">
        <f>L33+SUM(L31:L32)</f>
        <v>0</v>
      </c>
      <c r="F33" s="1">
        <f>'الأجـــازة للوصايا'!J102</f>
        <v>-1</v>
      </c>
      <c r="G33" s="478">
        <f>'الأجـــازة للوصايا'!H102</f>
        <v>0</v>
      </c>
      <c r="I33" s="478">
        <f>'الأجـــازة للوصايا'!J102</f>
        <v>-1</v>
      </c>
      <c r="J33" s="28">
        <f>IF(F33&gt;1,M33,0)</f>
        <v>0</v>
      </c>
      <c r="K33" t="e">
        <f>VLOOKUP(3,E31:J42,3,FALSE)</f>
        <v>#N/A</v>
      </c>
      <c r="L33" s="28">
        <f t="shared" si="15"/>
        <v>0</v>
      </c>
      <c r="M33" s="28">
        <f>VLOOKUP(F33,F31:I40,2,FALSE)</f>
        <v>0</v>
      </c>
      <c r="N33" s="28"/>
      <c r="O33" s="28"/>
      <c r="P33" s="478">
        <f t="shared" si="16"/>
        <v>0</v>
      </c>
      <c r="Q33" s="28"/>
      <c r="R33" s="28"/>
      <c r="S33" s="478">
        <f t="shared" si="14"/>
        <v>0</v>
      </c>
      <c r="T33" s="28"/>
      <c r="U33" s="28"/>
      <c r="V33" s="28"/>
      <c r="W33" s="28"/>
      <c r="X33" s="28"/>
      <c r="Y33" s="28"/>
      <c r="Z33" s="28"/>
      <c r="AA33" s="28"/>
      <c r="AC33" s="1"/>
      <c r="AJ33" s="478">
        <f>'الأجـــازة للوصايا'!I102</f>
        <v>0</v>
      </c>
    </row>
    <row r="34" spans="5:36" hidden="1">
      <c r="E34">
        <f>L34+SUM(L31:L33)</f>
        <v>0</v>
      </c>
      <c r="F34" s="1">
        <f>'الأجـــازة للوصايا'!J103</f>
        <v>-2</v>
      </c>
      <c r="G34" s="478">
        <f>'الأجـــازة للوصايا'!H103</f>
        <v>0</v>
      </c>
      <c r="I34" s="478">
        <f>'الأجـــازة للوصايا'!J103</f>
        <v>-2</v>
      </c>
      <c r="J34" s="28">
        <f>IF(F34&gt;1,M34,0)</f>
        <v>0</v>
      </c>
      <c r="K34" t="e">
        <f>VLOOKUP(4,E31:J42,3,FALSE)</f>
        <v>#N/A</v>
      </c>
      <c r="L34" s="28">
        <f t="shared" si="15"/>
        <v>0</v>
      </c>
      <c r="M34" s="28">
        <f>VLOOKUP(F34,F31:I40,2,FALSE)</f>
        <v>0</v>
      </c>
      <c r="N34" s="28"/>
      <c r="O34" s="28"/>
      <c r="P34" s="28">
        <f t="shared" si="16"/>
        <v>0</v>
      </c>
      <c r="Q34" s="28"/>
      <c r="R34" s="28"/>
      <c r="S34" s="478">
        <f t="shared" si="14"/>
        <v>0</v>
      </c>
      <c r="T34" s="28"/>
      <c r="U34" s="28"/>
      <c r="V34" s="28"/>
      <c r="W34" s="28"/>
      <c r="X34" s="28"/>
      <c r="Y34" s="28"/>
      <c r="Z34" s="28"/>
      <c r="AA34" s="28"/>
      <c r="AC34" s="1"/>
      <c r="AJ34" s="478">
        <f>'الأجـــازة للوصايا'!I103</f>
        <v>0</v>
      </c>
    </row>
    <row r="35" spans="5:36" hidden="1">
      <c r="E35">
        <f>L35+SUM(L31:L34)</f>
        <v>0</v>
      </c>
      <c r="F35" s="1">
        <f>'الأجـــازة للوصايا'!J104</f>
        <v>-3</v>
      </c>
      <c r="G35" s="478">
        <f>'الأجـــازة للوصايا'!H104</f>
        <v>0</v>
      </c>
      <c r="I35" s="478">
        <f>'الأجـــازة للوصايا'!J104</f>
        <v>-3</v>
      </c>
      <c r="J35" s="28">
        <f>IF( F35&gt;1, G35,0)</f>
        <v>0</v>
      </c>
      <c r="K35" t="e">
        <f>VLOOKUP(5,E31:J42,3,FALSE)</f>
        <v>#N/A</v>
      </c>
      <c r="L35" s="28">
        <f t="shared" si="15"/>
        <v>0</v>
      </c>
      <c r="M35" s="28">
        <f>VLOOKUP(F35,F31:I40,2,FALSE)</f>
        <v>0</v>
      </c>
      <c r="N35" s="28"/>
      <c r="O35" s="28"/>
      <c r="P35" s="28">
        <f t="shared" si="16"/>
        <v>0</v>
      </c>
      <c r="Q35" s="28"/>
      <c r="R35" s="28"/>
      <c r="S35" s="478">
        <f t="shared" si="14"/>
        <v>0</v>
      </c>
      <c r="T35" s="28"/>
      <c r="U35" s="28"/>
      <c r="V35" s="28"/>
      <c r="W35" s="28"/>
      <c r="X35" s="28"/>
      <c r="Y35" s="28"/>
      <c r="Z35" s="28"/>
      <c r="AA35" s="28"/>
      <c r="AC35" s="1"/>
      <c r="AJ35" s="478">
        <f>'الأجـــازة للوصايا'!I104</f>
        <v>0</v>
      </c>
    </row>
    <row r="36" spans="5:36" hidden="1">
      <c r="E36">
        <f>L36+SUM(L31:L35)</f>
        <v>0</v>
      </c>
      <c r="F36" s="1">
        <f>'الأجـــازة للوصايا'!J105</f>
        <v>-4</v>
      </c>
      <c r="G36" s="478">
        <f>'الأجـــازة للوصايا'!H105</f>
        <v>0</v>
      </c>
      <c r="I36" s="478">
        <f>'الأجـــازة للوصايا'!J105</f>
        <v>-4</v>
      </c>
      <c r="J36" s="28">
        <f>IF(F36&gt;1, G36,0)</f>
        <v>0</v>
      </c>
      <c r="K36" t="e">
        <f>VLOOKUP(6,E31:J42,3,FALSE)</f>
        <v>#N/A</v>
      </c>
      <c r="L36" s="28">
        <f t="shared" si="15"/>
        <v>0</v>
      </c>
      <c r="M36" s="28"/>
      <c r="N36" s="28"/>
      <c r="O36" s="28"/>
      <c r="P36" s="28">
        <f t="shared" si="16"/>
        <v>0</v>
      </c>
      <c r="Q36" s="28"/>
      <c r="R36" s="28"/>
      <c r="S36" s="478">
        <f t="shared" si="14"/>
        <v>0</v>
      </c>
      <c r="T36" s="28"/>
      <c r="U36" s="28"/>
      <c r="V36" s="28"/>
      <c r="W36" s="28"/>
      <c r="X36" s="28"/>
      <c r="Y36" s="28"/>
      <c r="Z36" s="28"/>
      <c r="AA36" s="28"/>
      <c r="AC36" s="1"/>
      <c r="AJ36" s="478">
        <f>'الأجـــازة للوصايا'!I105</f>
        <v>0</v>
      </c>
    </row>
    <row r="37" spans="5:36" hidden="1">
      <c r="E37">
        <f>L37+SUM(L31:L36)</f>
        <v>0</v>
      </c>
      <c r="F37" s="1">
        <f>'الأجـــازة للوصايا'!J106</f>
        <v>-5</v>
      </c>
      <c r="G37" s="478">
        <f>'الأجـــازة للوصايا'!H106</f>
        <v>0</v>
      </c>
      <c r="I37" s="478">
        <f>'الأجـــازة للوصايا'!J106</f>
        <v>-5</v>
      </c>
      <c r="J37" s="28">
        <f>IF(F37&gt;1,#REF!,0)</f>
        <v>0</v>
      </c>
      <c r="K37" t="e">
        <f>VLOOKUP(7,E31:J42,3,FALSE)</f>
        <v>#N/A</v>
      </c>
      <c r="L37" s="28">
        <f t="shared" si="15"/>
        <v>0</v>
      </c>
      <c r="M37" s="28"/>
      <c r="N37" s="28"/>
      <c r="O37" s="28"/>
      <c r="P37" s="28">
        <f t="shared" si="16"/>
        <v>0</v>
      </c>
      <c r="Q37" s="28"/>
      <c r="R37" s="28"/>
      <c r="S37" s="478">
        <f t="shared" si="14"/>
        <v>0</v>
      </c>
      <c r="T37" s="28"/>
      <c r="U37" s="28"/>
      <c r="V37" s="28"/>
      <c r="W37" s="28"/>
      <c r="X37" s="28"/>
      <c r="Y37" s="28"/>
      <c r="Z37" s="28"/>
      <c r="AA37" s="28"/>
      <c r="AC37" s="1"/>
      <c r="AJ37" s="478">
        <f>'الأجـــازة للوصايا'!I106</f>
        <v>0</v>
      </c>
    </row>
    <row r="38" spans="5:36" hidden="1">
      <c r="E38">
        <f>L38+SUM(L31:L37)</f>
        <v>0</v>
      </c>
      <c r="F38" s="1">
        <f>'الأجـــازة للوصايا'!J107</f>
        <v>-6</v>
      </c>
      <c r="G38" s="478">
        <f>'الأجـــازة للوصايا'!H107</f>
        <v>0</v>
      </c>
      <c r="I38" s="478">
        <f>'الأجـــازة للوصايا'!J107</f>
        <v>-6</v>
      </c>
      <c r="J38" s="28">
        <f>IF(F38&gt;1,#REF!,0)</f>
        <v>0</v>
      </c>
      <c r="K38" t="e">
        <f>VLOOKUP(8,E31:J42,3,FALSE)</f>
        <v>#N/A</v>
      </c>
      <c r="L38" s="28">
        <f t="shared" si="15"/>
        <v>0</v>
      </c>
      <c r="M38" s="28"/>
      <c r="N38" s="28"/>
      <c r="O38" s="28"/>
      <c r="P38" s="28">
        <f t="shared" si="16"/>
        <v>0</v>
      </c>
      <c r="Q38" s="28"/>
      <c r="R38" s="28"/>
      <c r="S38" s="478">
        <f t="shared" si="14"/>
        <v>0</v>
      </c>
      <c r="T38" s="28"/>
      <c r="U38" s="28"/>
      <c r="V38" s="28"/>
      <c r="W38" s="28"/>
      <c r="X38" s="28"/>
      <c r="Y38" s="28"/>
      <c r="Z38" s="28"/>
      <c r="AA38" s="28"/>
      <c r="AC38" s="1"/>
      <c r="AJ38" s="478">
        <f>'الأجـــازة للوصايا'!I107</f>
        <v>0</v>
      </c>
    </row>
    <row r="39" spans="5:36" hidden="1">
      <c r="E39">
        <f>L39+SUM(L30:L38)</f>
        <v>0</v>
      </c>
      <c r="F39" s="1">
        <f>'الأجـــازة للوصايا'!J108</f>
        <v>-7</v>
      </c>
      <c r="G39" s="478">
        <f>'الأجـــازة للوصايا'!H108</f>
        <v>0</v>
      </c>
      <c r="I39" s="478">
        <f>'الأجـــازة للوصايا'!J108</f>
        <v>-7</v>
      </c>
      <c r="J39" s="28">
        <f>IF(F39&gt;1,#REF!,0)</f>
        <v>0</v>
      </c>
      <c r="K39" t="e">
        <f>VLOOKUP(9,E31:J42,3,FALSE)</f>
        <v>#N/A</v>
      </c>
      <c r="L39" s="28">
        <f t="shared" si="15"/>
        <v>0</v>
      </c>
      <c r="M39" s="28"/>
      <c r="N39" s="28"/>
      <c r="O39" s="28"/>
      <c r="P39" s="28">
        <f t="shared" si="16"/>
        <v>0</v>
      </c>
      <c r="Q39" s="28"/>
      <c r="R39" s="28"/>
      <c r="S39" s="478">
        <f t="shared" si="14"/>
        <v>0</v>
      </c>
      <c r="T39" s="28"/>
      <c r="U39" s="28"/>
      <c r="V39" s="28"/>
      <c r="W39" s="28"/>
      <c r="X39" s="28"/>
      <c r="Y39" s="28"/>
      <c r="Z39" s="28"/>
      <c r="AA39" s="28"/>
      <c r="AC39" s="1"/>
      <c r="AJ39" s="478">
        <f>'الأجـــازة للوصايا'!I108</f>
        <v>0</v>
      </c>
    </row>
    <row r="40" spans="5:36" hidden="1">
      <c r="E40">
        <f>L40+SUM(L31:L40)</f>
        <v>0</v>
      </c>
      <c r="F40" s="1">
        <f>'الأجـــازة للوصايا'!J109</f>
        <v>-8</v>
      </c>
      <c r="G40" s="478">
        <f>'الأجـــازة للوصايا'!H109</f>
        <v>0</v>
      </c>
      <c r="I40" s="478">
        <f>'الأجـــازة للوصايا'!J109</f>
        <v>-8</v>
      </c>
      <c r="J40" s="28"/>
      <c r="K40" t="e">
        <f>VLOOKUP(E40,H40:J51,3,FALSE)</f>
        <v>#N/A</v>
      </c>
      <c r="L40" s="28">
        <f t="shared" si="15"/>
        <v>0</v>
      </c>
      <c r="M40" s="28"/>
      <c r="N40" s="28"/>
      <c r="O40" s="28"/>
      <c r="P40" s="28">
        <f t="shared" si="16"/>
        <v>0</v>
      </c>
      <c r="Q40" s="28"/>
      <c r="R40" s="28"/>
      <c r="S40" s="478">
        <f t="shared" si="14"/>
        <v>0</v>
      </c>
      <c r="T40" s="28"/>
      <c r="U40" s="28"/>
      <c r="V40" s="28"/>
      <c r="W40" s="28"/>
      <c r="X40" s="28"/>
      <c r="Y40" s="28"/>
      <c r="Z40" s="28"/>
      <c r="AA40" s="28"/>
      <c r="AC40" s="1"/>
      <c r="AJ40" s="478">
        <f>'الأجـــازة للوصايا'!I109</f>
        <v>0</v>
      </c>
    </row>
    <row r="41" spans="5:36" hidden="1">
      <c r="E41">
        <f>L41+SUM(L30:L41)</f>
        <v>0</v>
      </c>
      <c r="F41" s="1">
        <f>'الأجـــازة للوصايا'!J110</f>
        <v>-9</v>
      </c>
      <c r="G41" s="478">
        <f>'الأجـــازة للوصايا'!H110</f>
        <v>0</v>
      </c>
      <c r="I41" s="478">
        <f>'الأجـــازة للوصايا'!J110</f>
        <v>-9</v>
      </c>
      <c r="J41" s="28"/>
      <c r="K41" t="e">
        <f>VLOOKUP(E41,H41:J52,3,FALSE)</f>
        <v>#N/A</v>
      </c>
      <c r="L41" s="28">
        <f t="shared" si="15"/>
        <v>0</v>
      </c>
      <c r="M41" s="28"/>
      <c r="N41" s="28"/>
      <c r="O41" s="28"/>
      <c r="P41" s="28">
        <f t="shared" si="16"/>
        <v>0</v>
      </c>
      <c r="Q41" s="28"/>
      <c r="R41" s="28"/>
      <c r="S41" s="478">
        <f t="shared" si="14"/>
        <v>0</v>
      </c>
      <c r="T41" s="28"/>
      <c r="U41" s="28"/>
      <c r="V41" s="28"/>
      <c r="W41" s="28"/>
      <c r="X41" s="28"/>
      <c r="Y41" s="28"/>
      <c r="Z41" s="28"/>
      <c r="AA41" s="28"/>
      <c r="AC41" s="1"/>
      <c r="AJ41" s="478">
        <f>'الأجـــازة للوصايا'!I110</f>
        <v>0</v>
      </c>
    </row>
    <row r="42" spans="5:36" hidden="1">
      <c r="E42">
        <f>L42+SUM(L41)</f>
        <v>0</v>
      </c>
      <c r="F42" s="1">
        <f>'الأجـــازة للوصايا'!J111</f>
        <v>-10</v>
      </c>
      <c r="G42" s="478">
        <f>'الأجـــازة للوصايا'!H111</f>
        <v>0</v>
      </c>
      <c r="I42" s="478">
        <f>'الأجـــازة للوصايا'!J111</f>
        <v>-10</v>
      </c>
      <c r="J42" s="28"/>
      <c r="K42" t="e">
        <f>VLOOKUP(E42,H42:J53,3,FALSE)</f>
        <v>#N/A</v>
      </c>
      <c r="L42" s="28">
        <f t="shared" si="15"/>
        <v>0</v>
      </c>
      <c r="M42" s="28"/>
      <c r="N42" s="28"/>
      <c r="O42" s="28"/>
      <c r="P42" s="28">
        <f t="shared" si="16"/>
        <v>0</v>
      </c>
      <c r="Q42" s="28"/>
      <c r="R42" s="28"/>
      <c r="S42" s="478">
        <f t="shared" si="14"/>
        <v>0</v>
      </c>
      <c r="T42" s="28"/>
      <c r="U42" s="28"/>
      <c r="V42" s="28"/>
      <c r="W42" s="28"/>
      <c r="X42" s="28"/>
      <c r="Y42" s="28"/>
      <c r="Z42" s="28"/>
      <c r="AA42" s="28"/>
      <c r="AC42" s="1"/>
      <c r="AJ42" s="478">
        <f>'الأجـــازة للوصايا'!I111</f>
        <v>0</v>
      </c>
    </row>
    <row r="43" spans="5:36" hidden="1">
      <c r="E43">
        <f>L43+L42</f>
        <v>0</v>
      </c>
      <c r="G43" s="28"/>
      <c r="I43" s="28"/>
      <c r="J43" s="28"/>
      <c r="L43" s="28"/>
      <c r="M43" s="28"/>
      <c r="N43" s="28"/>
      <c r="O43" s="28"/>
      <c r="P43" s="28">
        <f t="shared" si="16"/>
        <v>0</v>
      </c>
      <c r="Q43" s="28"/>
      <c r="R43" s="28"/>
      <c r="S43" s="478">
        <f t="shared" si="14"/>
        <v>0</v>
      </c>
      <c r="T43" s="28"/>
      <c r="U43" s="28"/>
      <c r="V43" s="28"/>
      <c r="W43" s="28"/>
      <c r="X43" s="28"/>
      <c r="Y43" s="28"/>
      <c r="Z43" s="28"/>
      <c r="AA43" s="28"/>
      <c r="AC43" s="1"/>
    </row>
    <row r="44" spans="5:36">
      <c r="E44" s="28"/>
      <c r="G44" s="28"/>
      <c r="I44" s="28"/>
      <c r="J44" s="28"/>
      <c r="K44" s="28"/>
      <c r="L44" s="28"/>
      <c r="M44" s="28"/>
      <c r="N44" s="28"/>
      <c r="O44" s="28"/>
      <c r="P44" s="28">
        <f t="shared" si="16"/>
        <v>0</v>
      </c>
      <c r="Q44" s="28"/>
      <c r="R44" s="28"/>
      <c r="S44" s="478">
        <f t="shared" si="14"/>
        <v>0</v>
      </c>
      <c r="T44" s="28"/>
      <c r="U44" s="28"/>
      <c r="V44" s="28"/>
      <c r="W44" s="28"/>
      <c r="X44" s="28"/>
      <c r="Y44" s="28"/>
      <c r="Z44" s="28"/>
      <c r="AA44" s="28"/>
      <c r="AC44" s="1"/>
    </row>
    <row r="45" spans="5:36">
      <c r="E45" s="28"/>
      <c r="G45" s="28"/>
      <c r="I45" s="28"/>
      <c r="J45" s="28"/>
      <c r="K45" s="28"/>
      <c r="L45" s="28"/>
      <c r="M45" s="28"/>
      <c r="N45" s="28"/>
      <c r="O45" s="28"/>
      <c r="P45" s="28"/>
      <c r="Q45" s="28"/>
      <c r="R45" s="28"/>
      <c r="S45" s="478">
        <f t="shared" si="14"/>
        <v>0</v>
      </c>
      <c r="T45" s="28"/>
      <c r="U45" s="28"/>
      <c r="V45" s="28"/>
      <c r="W45" s="28"/>
      <c r="X45" s="28"/>
      <c r="Y45" s="28"/>
      <c r="Z45" s="28"/>
      <c r="AA45" s="28"/>
      <c r="AC45" s="1"/>
    </row>
    <row r="46" spans="5:36">
      <c r="G46" s="28"/>
      <c r="H46" s="28"/>
      <c r="I46" s="28"/>
      <c r="J46" s="28"/>
      <c r="K46" s="28"/>
      <c r="L46" s="28"/>
      <c r="M46" s="28"/>
      <c r="N46" s="28"/>
      <c r="O46" s="28"/>
      <c r="P46" s="28"/>
      <c r="Q46" s="28"/>
      <c r="R46" s="28"/>
      <c r="S46" s="478">
        <f t="shared" si="14"/>
        <v>0</v>
      </c>
      <c r="T46" s="28"/>
      <c r="U46" s="28"/>
      <c r="V46" s="28"/>
      <c r="W46" s="28"/>
      <c r="X46" s="28"/>
      <c r="Y46" s="28"/>
      <c r="Z46" s="28"/>
      <c r="AA46" s="28"/>
      <c r="AC46" s="1"/>
    </row>
    <row r="47" spans="5:36">
      <c r="G47" s="28"/>
      <c r="H47" s="28"/>
      <c r="I47" s="28"/>
      <c r="J47" s="28"/>
      <c r="K47" s="28"/>
      <c r="L47" s="28"/>
      <c r="M47" s="28"/>
      <c r="N47" s="28"/>
      <c r="O47" s="28"/>
      <c r="P47" s="28"/>
      <c r="Q47" s="28"/>
      <c r="R47" s="28"/>
      <c r="S47" s="478">
        <f t="shared" si="14"/>
        <v>0</v>
      </c>
      <c r="T47" s="28"/>
      <c r="U47" s="28"/>
      <c r="V47" s="28"/>
      <c r="W47" s="28"/>
      <c r="X47" s="28"/>
      <c r="Y47" s="28"/>
      <c r="Z47" s="28"/>
      <c r="AA47" s="28"/>
      <c r="AC47" s="1"/>
    </row>
    <row r="48" spans="5:36">
      <c r="G48" s="28"/>
      <c r="H48" s="28"/>
      <c r="I48" s="28"/>
      <c r="J48" s="28"/>
      <c r="K48" s="28"/>
      <c r="L48" s="28"/>
      <c r="M48" s="28"/>
      <c r="N48" s="28"/>
      <c r="O48" s="28"/>
      <c r="P48" s="28"/>
      <c r="Q48" s="28"/>
      <c r="R48" s="28"/>
      <c r="S48" s="28"/>
      <c r="U48" s="28"/>
      <c r="V48" s="28"/>
      <c r="W48" s="28"/>
      <c r="X48" s="28"/>
      <c r="Y48" s="28"/>
      <c r="Z48" s="28"/>
      <c r="AA48" s="28"/>
      <c r="AC48" s="1"/>
    </row>
    <row r="49" spans="7:29">
      <c r="G49" s="28"/>
      <c r="H49" s="28"/>
      <c r="I49" s="28"/>
      <c r="J49" s="28"/>
      <c r="K49" s="28"/>
      <c r="L49" s="28"/>
      <c r="M49" s="28"/>
      <c r="N49" s="28"/>
      <c r="O49" s="28"/>
      <c r="P49" s="28"/>
      <c r="Q49" s="28"/>
      <c r="R49" s="28"/>
      <c r="S49" s="28"/>
      <c r="T49" s="28"/>
      <c r="U49" s="28"/>
      <c r="V49" s="28"/>
      <c r="W49" s="28"/>
      <c r="X49" s="28"/>
      <c r="Y49" s="28"/>
      <c r="Z49" s="28"/>
      <c r="AA49" s="28"/>
      <c r="AC49" s="1"/>
    </row>
    <row r="50" spans="7:29" ht="17.25" hidden="1" thickTop="1" thickBot="1">
      <c r="G50" s="28"/>
      <c r="H50" s="28"/>
      <c r="I50" s="28"/>
      <c r="J50" s="28"/>
      <c r="K50" s="28"/>
      <c r="L50" s="28"/>
      <c r="M50" s="552" t="s">
        <v>743</v>
      </c>
      <c r="N50" s="551"/>
      <c r="O50" s="570"/>
      <c r="P50" s="28"/>
      <c r="Q50" s="28"/>
      <c r="R50" s="28"/>
      <c r="S50" s="28"/>
      <c r="T50" s="28"/>
      <c r="U50" s="28"/>
      <c r="V50" s="28"/>
      <c r="W50" s="28"/>
      <c r="X50" s="28"/>
      <c r="Y50" s="28"/>
      <c r="Z50" s="28"/>
      <c r="AA50" s="28"/>
      <c r="AC50" s="1"/>
    </row>
    <row r="51" spans="7:29" ht="21.75" hidden="1" thickTop="1">
      <c r="G51" s="28"/>
      <c r="H51" s="28"/>
      <c r="I51" s="28"/>
      <c r="J51" s="28"/>
      <c r="K51" s="28"/>
      <c r="L51" s="28"/>
      <c r="M51" s="556" t="s">
        <v>742</v>
      </c>
      <c r="N51" s="494"/>
      <c r="O51" s="557" t="s">
        <v>114</v>
      </c>
      <c r="P51" s="28"/>
      <c r="Q51" s="28"/>
      <c r="R51" s="28"/>
      <c r="S51" s="28"/>
      <c r="T51" s="28"/>
      <c r="U51" s="28"/>
      <c r="V51" s="28"/>
      <c r="W51" s="28"/>
      <c r="X51" s="28"/>
      <c r="Y51" s="28"/>
      <c r="Z51" s="28"/>
      <c r="AA51" s="28"/>
      <c r="AC51" s="1"/>
    </row>
    <row r="52" spans="7:29" ht="15.75" hidden="1">
      <c r="G52" s="28"/>
      <c r="H52" s="28"/>
      <c r="I52" s="28"/>
      <c r="J52" s="28"/>
      <c r="K52" s="28"/>
      <c r="L52" s="28"/>
      <c r="M52" s="476" t="s">
        <v>745</v>
      </c>
      <c r="N52" s="28"/>
      <c r="O52" s="524">
        <v>1</v>
      </c>
      <c r="P52" s="28"/>
      <c r="Q52" s="28"/>
      <c r="R52" s="28"/>
      <c r="S52" s="28"/>
      <c r="T52" s="28"/>
      <c r="U52" s="28"/>
      <c r="V52" s="28"/>
      <c r="W52" s="28"/>
      <c r="X52" s="28"/>
      <c r="Y52" s="28"/>
      <c r="Z52" s="28"/>
      <c r="AA52" s="28"/>
      <c r="AC52" s="1"/>
    </row>
    <row r="53" spans="7:29" ht="15.75" hidden="1">
      <c r="G53" s="28"/>
      <c r="H53" s="28"/>
      <c r="I53" s="28"/>
      <c r="J53" s="28"/>
      <c r="K53" s="28"/>
      <c r="L53" s="28"/>
      <c r="M53" s="497" t="s">
        <v>746</v>
      </c>
      <c r="N53" s="28"/>
      <c r="O53" s="524">
        <v>1</v>
      </c>
      <c r="P53" s="28"/>
      <c r="Q53" s="28"/>
      <c r="R53" s="28"/>
      <c r="S53" s="28"/>
      <c r="T53" s="28"/>
      <c r="U53" s="28"/>
      <c r="V53" s="28"/>
      <c r="W53" s="28"/>
      <c r="X53" s="28"/>
      <c r="Y53" s="28"/>
      <c r="Z53" s="28"/>
      <c r="AA53" s="28"/>
      <c r="AC53" s="1"/>
    </row>
    <row r="54" spans="7:29" hidden="1">
      <c r="G54" s="28"/>
      <c r="H54" s="28"/>
      <c r="I54" s="28"/>
      <c r="J54" s="28"/>
      <c r="K54" s="28"/>
      <c r="L54" s="28"/>
      <c r="M54" s="28"/>
      <c r="N54" s="28"/>
      <c r="O54" s="28"/>
      <c r="P54" s="28"/>
      <c r="Q54" s="28"/>
      <c r="R54" s="28"/>
      <c r="S54" s="28"/>
      <c r="T54" s="28"/>
      <c r="U54" s="28"/>
      <c r="V54" s="28"/>
      <c r="W54" s="28"/>
      <c r="X54" s="28"/>
      <c r="Y54" s="28"/>
      <c r="Z54" s="28"/>
      <c r="AA54" s="28"/>
      <c r="AC54" s="1"/>
    </row>
    <row r="55" spans="7:29" ht="15.75" hidden="1" thickBot="1">
      <c r="G55" s="28"/>
      <c r="H55" s="28"/>
      <c r="I55" s="28"/>
      <c r="J55" s="28"/>
      <c r="K55" s="28"/>
      <c r="L55" s="28"/>
      <c r="M55" s="28"/>
      <c r="N55" s="28"/>
      <c r="O55" s="28"/>
      <c r="P55" s="28"/>
      <c r="Q55" s="28"/>
      <c r="R55" s="28"/>
      <c r="S55" s="28"/>
      <c r="T55" s="28"/>
      <c r="U55" s="28"/>
      <c r="V55" s="28"/>
      <c r="W55" s="28"/>
      <c r="X55" s="28"/>
      <c r="Y55" s="28"/>
      <c r="Z55" s="28"/>
      <c r="AA55" s="28"/>
      <c r="AC55" s="1"/>
    </row>
    <row r="56" spans="7:29" ht="15.75" hidden="1" thickTop="1">
      <c r="G56" s="28"/>
      <c r="H56" s="28"/>
      <c r="I56" s="28"/>
      <c r="J56" s="28"/>
      <c r="K56" s="28"/>
      <c r="L56" s="28"/>
      <c r="M56" s="555">
        <f>ROUNDDOWN(V4,0)</f>
        <v>1</v>
      </c>
      <c r="N56" s="28"/>
      <c r="O56" s="28"/>
      <c r="P56" s="28"/>
      <c r="Q56" s="28"/>
      <c r="R56" s="28"/>
      <c r="S56" s="28"/>
      <c r="T56" s="28"/>
      <c r="U56" s="28"/>
      <c r="V56" s="28"/>
      <c r="W56" s="28"/>
      <c r="X56" s="28"/>
      <c r="Y56" s="28"/>
      <c r="Z56" s="28"/>
      <c r="AA56" s="28"/>
      <c r="AC56" s="1"/>
    </row>
    <row r="57" spans="7:29" hidden="1">
      <c r="G57" s="28"/>
      <c r="H57" s="28"/>
      <c r="I57" s="28"/>
      <c r="J57" s="28"/>
      <c r="K57" s="28"/>
      <c r="L57" s="28"/>
      <c r="M57" s="28"/>
      <c r="N57" s="28"/>
      <c r="O57" s="28"/>
      <c r="P57" s="28"/>
      <c r="Q57" s="28"/>
      <c r="R57" s="28"/>
      <c r="S57" s="28"/>
      <c r="T57" s="28"/>
      <c r="U57" s="28"/>
      <c r="V57" s="28"/>
      <c r="W57" s="28"/>
      <c r="X57" s="28"/>
      <c r="Y57" s="28"/>
      <c r="Z57" s="28"/>
      <c r="AA57" s="28"/>
      <c r="AC57" s="1"/>
    </row>
    <row r="58" spans="7:29" hidden="1">
      <c r="G58" s="28"/>
      <c r="H58" s="28"/>
      <c r="I58" s="28"/>
      <c r="J58" s="28"/>
      <c r="K58" s="28"/>
      <c r="L58" s="28"/>
      <c r="M58" s="28"/>
      <c r="N58" s="28"/>
      <c r="O58" s="28"/>
      <c r="P58" s="28"/>
      <c r="Q58" s="28"/>
      <c r="R58" s="28"/>
      <c r="S58" s="28"/>
      <c r="T58" s="28"/>
      <c r="U58" s="28"/>
      <c r="V58" s="28"/>
      <c r="W58" s="28"/>
      <c r="X58" s="28"/>
      <c r="Y58" s="28"/>
      <c r="Z58" s="28"/>
      <c r="AA58" s="28"/>
      <c r="AC58" s="1"/>
    </row>
    <row r="59" spans="7:29">
      <c r="G59" s="28"/>
      <c r="H59" s="28"/>
      <c r="I59" s="28"/>
      <c r="J59" s="28"/>
      <c r="K59" s="28"/>
      <c r="L59" s="28"/>
      <c r="M59" s="28"/>
      <c r="N59" s="28"/>
      <c r="O59" s="28"/>
      <c r="P59" s="28"/>
      <c r="Q59" s="28"/>
      <c r="R59" s="28"/>
      <c r="S59" s="28"/>
      <c r="T59" s="28"/>
      <c r="U59" s="28"/>
      <c r="V59" s="28"/>
      <c r="W59" s="28"/>
      <c r="X59" s="28"/>
      <c r="Y59" s="28"/>
      <c r="Z59" s="28"/>
      <c r="AA59" s="28"/>
      <c r="AC59" s="1"/>
    </row>
    <row r="60" spans="7:29">
      <c r="G60" s="28"/>
      <c r="H60" s="28"/>
      <c r="I60" s="28"/>
      <c r="J60" s="28"/>
      <c r="K60" s="28"/>
      <c r="L60" s="28"/>
      <c r="M60" s="28"/>
      <c r="N60" s="28"/>
      <c r="O60" s="28"/>
      <c r="P60" s="28"/>
      <c r="Q60" s="28"/>
      <c r="R60" s="28"/>
      <c r="S60" s="28"/>
      <c r="T60" s="28"/>
      <c r="U60" s="28"/>
      <c r="V60" s="28"/>
      <c r="W60" s="28"/>
      <c r="X60" s="28"/>
      <c r="Y60" s="28"/>
      <c r="Z60" s="28"/>
      <c r="AA60" s="28"/>
      <c r="AC60" s="1"/>
    </row>
    <row r="61" spans="7:29">
      <c r="G61" s="28"/>
      <c r="H61" s="28"/>
      <c r="I61" s="28"/>
      <c r="J61" s="28"/>
      <c r="K61" s="28"/>
      <c r="L61" s="28"/>
      <c r="M61" s="28"/>
      <c r="N61" s="28"/>
      <c r="O61" s="28"/>
      <c r="P61" s="28"/>
      <c r="Q61" s="28"/>
      <c r="R61" s="28"/>
      <c r="S61" s="28"/>
      <c r="T61" s="28"/>
      <c r="U61" s="28"/>
      <c r="V61" s="28"/>
      <c r="W61" s="28"/>
      <c r="X61" s="28"/>
      <c r="Y61" s="28"/>
      <c r="Z61" s="28"/>
      <c r="AA61" s="28"/>
      <c r="AC61" s="1"/>
    </row>
    <row r="62" spans="7:29">
      <c r="G62" s="28"/>
      <c r="H62" s="28"/>
      <c r="I62" s="28"/>
      <c r="J62" s="28"/>
      <c r="K62" s="28"/>
      <c r="L62" s="28"/>
      <c r="M62" s="28"/>
      <c r="N62" s="28"/>
      <c r="O62" s="28"/>
      <c r="P62" s="28"/>
      <c r="Q62" s="28"/>
      <c r="R62" s="28"/>
      <c r="S62" s="28"/>
      <c r="T62" s="28"/>
      <c r="U62" s="28"/>
      <c r="V62" s="28"/>
      <c r="W62" s="28"/>
      <c r="X62" s="28"/>
      <c r="Y62" s="28"/>
      <c r="Z62" s="28"/>
      <c r="AA62" s="28"/>
      <c r="AC62" s="1"/>
    </row>
    <row r="63" spans="7:29">
      <c r="G63" s="28"/>
      <c r="H63" s="28"/>
      <c r="I63" s="28"/>
      <c r="J63" s="28"/>
      <c r="K63" s="28"/>
      <c r="L63" s="28"/>
      <c r="M63" s="28"/>
      <c r="N63" s="28"/>
      <c r="O63" s="28"/>
      <c r="P63" s="28"/>
      <c r="Q63" s="28"/>
      <c r="R63" s="28"/>
      <c r="S63" s="28"/>
      <c r="T63" s="28"/>
      <c r="U63" s="28"/>
      <c r="V63" s="28"/>
      <c r="W63" s="28"/>
      <c r="X63" s="28"/>
      <c r="Y63" s="28"/>
      <c r="Z63" s="28"/>
      <c r="AA63" s="28"/>
      <c r="AC63" s="1"/>
    </row>
    <row r="64" spans="7:29">
      <c r="G64" s="28"/>
      <c r="H64" s="28"/>
      <c r="I64" s="28"/>
      <c r="J64" s="28"/>
      <c r="K64" s="28"/>
      <c r="L64" s="28"/>
      <c r="M64" s="28"/>
      <c r="N64" s="28"/>
      <c r="O64" s="28"/>
      <c r="P64" s="28"/>
      <c r="Q64" s="28"/>
      <c r="R64" s="28"/>
      <c r="S64" s="28"/>
      <c r="T64" s="28"/>
      <c r="U64" s="28"/>
      <c r="V64" s="28"/>
      <c r="W64" s="28"/>
      <c r="X64" s="28"/>
      <c r="Y64" s="28"/>
      <c r="Z64" s="28"/>
      <c r="AA64" s="28"/>
      <c r="AC64" s="1"/>
    </row>
    <row r="65" spans="7:29">
      <c r="G65" s="28"/>
      <c r="H65" s="28"/>
      <c r="I65" s="28"/>
      <c r="J65" s="28"/>
      <c r="K65" s="28"/>
      <c r="L65" s="28"/>
      <c r="M65" s="28"/>
      <c r="N65" s="28"/>
      <c r="O65" s="28"/>
      <c r="P65" s="28"/>
      <c r="Q65" s="28"/>
      <c r="R65" s="28"/>
      <c r="S65" s="28"/>
      <c r="T65" s="28"/>
      <c r="U65" s="28"/>
      <c r="V65" s="28"/>
      <c r="W65" s="28"/>
      <c r="X65" s="28"/>
      <c r="Y65" s="28"/>
      <c r="Z65" s="28"/>
      <c r="AA65" s="28"/>
      <c r="AC65" s="1"/>
    </row>
    <row r="66" spans="7:29">
      <c r="G66" s="28"/>
      <c r="H66" s="28"/>
      <c r="I66" s="28"/>
      <c r="J66" s="28"/>
      <c r="K66" s="28"/>
      <c r="L66" s="28"/>
      <c r="M66" s="28"/>
      <c r="N66" s="28"/>
      <c r="O66" s="28"/>
      <c r="P66" s="28"/>
      <c r="Q66" s="28"/>
      <c r="R66" s="28"/>
      <c r="S66" s="28"/>
      <c r="T66" s="28"/>
      <c r="U66" s="28"/>
      <c r="V66" s="28"/>
      <c r="W66" s="28"/>
      <c r="X66" s="28"/>
      <c r="Y66" s="28"/>
      <c r="Z66" s="28"/>
      <c r="AA66" s="28"/>
      <c r="AC66" s="1"/>
    </row>
    <row r="67" spans="7:29">
      <c r="G67" s="28"/>
      <c r="H67" s="28"/>
      <c r="I67" s="28"/>
      <c r="J67" s="28"/>
      <c r="K67" s="28"/>
      <c r="L67" s="28"/>
      <c r="M67" s="28"/>
      <c r="N67" s="28"/>
      <c r="O67" s="28"/>
      <c r="P67" s="28"/>
      <c r="Q67" s="28"/>
      <c r="R67" s="28"/>
      <c r="S67" s="28"/>
      <c r="T67" s="28"/>
      <c r="U67" s="28"/>
      <c r="V67" s="28"/>
      <c r="W67" s="28"/>
      <c r="X67" s="28"/>
      <c r="Y67" s="28"/>
      <c r="Z67" s="28"/>
      <c r="AA67" s="28"/>
      <c r="AC67" s="1"/>
    </row>
    <row r="68" spans="7:29">
      <c r="G68" s="28"/>
      <c r="H68" s="28"/>
      <c r="I68" s="28"/>
      <c r="J68" s="28"/>
      <c r="K68" s="28"/>
      <c r="L68" s="28"/>
      <c r="M68" s="28"/>
      <c r="N68" s="28"/>
      <c r="O68" s="28"/>
      <c r="P68" s="28"/>
      <c r="Q68" s="28"/>
      <c r="R68" s="28"/>
      <c r="S68" s="28"/>
      <c r="T68" s="28"/>
      <c r="U68" s="28"/>
      <c r="V68" s="28"/>
      <c r="W68" s="28"/>
      <c r="X68" s="28"/>
      <c r="Y68" s="28"/>
      <c r="Z68" s="28"/>
      <c r="AA68" s="28"/>
      <c r="AC68" s="1"/>
    </row>
    <row r="69" spans="7:29">
      <c r="G69" s="28"/>
      <c r="H69" s="28"/>
      <c r="I69" s="28"/>
      <c r="J69" s="28"/>
      <c r="K69" s="28"/>
      <c r="L69" s="28"/>
      <c r="M69" s="28"/>
      <c r="N69" s="28"/>
      <c r="O69" s="28"/>
      <c r="P69" s="28"/>
      <c r="Q69" s="28"/>
      <c r="R69" s="28"/>
      <c r="S69" s="28"/>
      <c r="T69" s="28"/>
      <c r="U69" s="28"/>
      <c r="V69" s="28"/>
      <c r="W69" s="28"/>
      <c r="X69" s="28"/>
      <c r="Y69" s="28"/>
      <c r="Z69" s="28"/>
      <c r="AA69" s="28"/>
      <c r="AC69" s="1"/>
    </row>
    <row r="70" spans="7:29">
      <c r="G70" s="28"/>
      <c r="H70" s="28"/>
      <c r="I70" s="28"/>
      <c r="J70" s="28"/>
      <c r="K70" s="28"/>
      <c r="L70" s="28"/>
      <c r="M70" s="28"/>
      <c r="N70" s="28"/>
      <c r="O70" s="28"/>
      <c r="P70" s="28"/>
      <c r="Q70" s="28"/>
      <c r="R70" s="28"/>
      <c r="S70" s="28"/>
      <c r="T70" s="28"/>
      <c r="U70" s="28"/>
      <c r="V70" s="28"/>
      <c r="W70" s="28"/>
      <c r="X70" s="28"/>
      <c r="Y70" s="28"/>
      <c r="Z70" s="28"/>
      <c r="AA70" s="28"/>
      <c r="AC70" s="1"/>
    </row>
    <row r="71" spans="7:29">
      <c r="G71" s="28"/>
      <c r="H71" s="28"/>
      <c r="I71" s="28"/>
      <c r="J71" s="28"/>
      <c r="K71" s="28"/>
      <c r="L71" s="28"/>
      <c r="M71" s="28"/>
      <c r="N71" s="28"/>
      <c r="O71" s="28"/>
      <c r="P71" s="28"/>
      <c r="Q71" s="28"/>
      <c r="R71" s="28"/>
      <c r="S71" s="28"/>
      <c r="T71" s="28"/>
      <c r="U71" s="28"/>
      <c r="V71" s="28"/>
      <c r="W71" s="28"/>
      <c r="X71" s="28"/>
      <c r="Y71" s="28"/>
      <c r="Z71" s="28"/>
      <c r="AA71" s="28"/>
      <c r="AC71" s="1"/>
    </row>
    <row r="72" spans="7:29">
      <c r="G72" s="28"/>
      <c r="H72" s="28"/>
      <c r="I72" s="28"/>
      <c r="J72" s="28"/>
      <c r="K72" s="28"/>
      <c r="L72" s="28"/>
      <c r="M72" s="28"/>
      <c r="N72" s="28"/>
      <c r="O72" s="28"/>
      <c r="P72" s="28"/>
      <c r="Q72" s="28"/>
      <c r="R72" s="28"/>
      <c r="S72" s="28"/>
      <c r="T72" s="28"/>
      <c r="U72" s="28"/>
      <c r="V72" s="28"/>
      <c r="W72" s="28"/>
      <c r="X72" s="28"/>
      <c r="Y72" s="28"/>
      <c r="Z72" s="28"/>
      <c r="AA72" s="28"/>
      <c r="AC72" s="1"/>
    </row>
    <row r="73" spans="7:29">
      <c r="G73" s="28"/>
      <c r="H73" s="28"/>
      <c r="I73" s="28"/>
      <c r="J73" s="28"/>
      <c r="K73" s="28"/>
      <c r="L73" s="28"/>
      <c r="M73" s="28"/>
      <c r="N73" s="28"/>
      <c r="O73" s="28"/>
      <c r="P73" s="28"/>
      <c r="Q73" s="28"/>
      <c r="R73" s="28"/>
      <c r="S73" s="28"/>
      <c r="T73" s="28"/>
      <c r="U73" s="28"/>
      <c r="V73" s="28"/>
      <c r="W73" s="28"/>
      <c r="X73" s="28"/>
      <c r="Y73" s="28"/>
      <c r="Z73" s="28"/>
      <c r="AA73" s="28"/>
      <c r="AC73" s="1"/>
    </row>
    <row r="74" spans="7:29">
      <c r="G74" s="28"/>
      <c r="H74" s="28"/>
      <c r="I74" s="28"/>
      <c r="J74" s="28"/>
      <c r="K74" s="28"/>
      <c r="L74" s="28"/>
      <c r="M74" s="28"/>
      <c r="N74" s="28"/>
      <c r="O74" s="28"/>
      <c r="P74" s="28"/>
      <c r="Q74" s="28"/>
      <c r="R74" s="28"/>
      <c r="S74" s="28"/>
      <c r="T74" s="28"/>
      <c r="U74" s="28"/>
      <c r="V74" s="28"/>
      <c r="W74" s="28"/>
      <c r="X74" s="28"/>
      <c r="Y74" s="28"/>
      <c r="Z74" s="28"/>
      <c r="AA74" s="28"/>
      <c r="AC74" s="1"/>
    </row>
    <row r="75" spans="7:29">
      <c r="G75" s="28"/>
      <c r="H75" s="28"/>
      <c r="I75" s="28"/>
      <c r="J75" s="28"/>
      <c r="K75" s="28"/>
      <c r="L75" s="28"/>
      <c r="M75" s="28"/>
      <c r="N75" s="28"/>
      <c r="O75" s="28"/>
      <c r="P75" s="28"/>
      <c r="Q75" s="28"/>
      <c r="R75" s="28"/>
      <c r="S75" s="28"/>
      <c r="T75" s="28"/>
      <c r="U75" s="28"/>
      <c r="V75" s="28"/>
      <c r="W75" s="28"/>
      <c r="X75" s="28"/>
      <c r="Y75" s="28"/>
      <c r="Z75" s="28"/>
      <c r="AA75" s="28"/>
      <c r="AC75" s="1"/>
    </row>
    <row r="76" spans="7:29">
      <c r="G76" s="28"/>
      <c r="H76" s="28"/>
      <c r="I76" s="28"/>
      <c r="J76" s="28"/>
      <c r="K76" s="28"/>
      <c r="L76" s="28"/>
      <c r="M76" s="28"/>
      <c r="N76" s="28"/>
      <c r="O76" s="28"/>
      <c r="P76" s="28"/>
      <c r="Q76" s="28"/>
      <c r="R76" s="28"/>
      <c r="S76" s="28"/>
      <c r="T76" s="28"/>
      <c r="U76" s="28"/>
      <c r="V76" s="28"/>
      <c r="W76" s="28"/>
      <c r="X76" s="28"/>
      <c r="Y76" s="28"/>
      <c r="Z76" s="28"/>
      <c r="AA76" s="28"/>
      <c r="AC76" s="1"/>
    </row>
    <row r="77" spans="7:29">
      <c r="G77" s="28"/>
      <c r="H77" s="28"/>
      <c r="I77" s="28"/>
      <c r="J77" s="28"/>
      <c r="K77" s="28"/>
      <c r="L77" s="28"/>
      <c r="M77" s="28"/>
      <c r="N77" s="28"/>
      <c r="O77" s="28"/>
      <c r="P77" s="28"/>
      <c r="Q77" s="28"/>
      <c r="R77" s="28"/>
      <c r="S77" s="28"/>
      <c r="T77" s="28"/>
      <c r="U77" s="28"/>
      <c r="V77" s="28"/>
      <c r="W77" s="28"/>
      <c r="X77" s="28"/>
      <c r="Y77" s="28"/>
      <c r="Z77" s="28"/>
      <c r="AA77" s="28"/>
      <c r="AC77" s="1"/>
    </row>
    <row r="78" spans="7:29">
      <c r="G78" s="28"/>
      <c r="H78" s="28"/>
      <c r="I78" s="28"/>
      <c r="J78" s="28"/>
      <c r="K78" s="28"/>
      <c r="L78" s="28"/>
      <c r="M78" s="28"/>
      <c r="N78" s="28"/>
      <c r="O78" s="28"/>
      <c r="P78" s="28"/>
      <c r="Q78" s="28"/>
      <c r="R78" s="28"/>
      <c r="S78" s="28"/>
      <c r="T78" s="28"/>
      <c r="U78" s="28"/>
      <c r="V78" s="28"/>
      <c r="W78" s="28"/>
      <c r="X78" s="28"/>
      <c r="Y78" s="28"/>
      <c r="Z78" s="28"/>
      <c r="AA78" s="28"/>
      <c r="AC78" s="1"/>
    </row>
    <row r="79" spans="7:29">
      <c r="G79" s="28"/>
      <c r="H79" s="28"/>
      <c r="I79" s="28"/>
      <c r="J79" s="28"/>
      <c r="K79" s="28"/>
      <c r="L79" s="28"/>
      <c r="M79" s="28"/>
      <c r="N79" s="28"/>
      <c r="O79" s="28"/>
      <c r="P79" s="28"/>
      <c r="Q79" s="28"/>
      <c r="R79" s="28"/>
      <c r="S79" s="28"/>
      <c r="T79" s="28"/>
      <c r="U79" s="28"/>
      <c r="V79" s="28"/>
      <c r="W79" s="28"/>
      <c r="X79" s="28"/>
      <c r="Y79" s="28"/>
      <c r="Z79" s="28"/>
      <c r="AA79" s="28"/>
      <c r="AC79" s="1"/>
    </row>
    <row r="80" spans="7:29">
      <c r="G80" s="28"/>
      <c r="H80" s="28"/>
      <c r="I80" s="28"/>
      <c r="J80" s="28"/>
      <c r="K80" s="28"/>
      <c r="L80" s="28"/>
      <c r="M80" s="28"/>
      <c r="N80" s="28"/>
      <c r="O80" s="28"/>
      <c r="P80" s="28"/>
      <c r="Q80" s="28"/>
      <c r="R80" s="28"/>
      <c r="S80" s="28"/>
      <c r="T80" s="28"/>
      <c r="U80" s="28"/>
      <c r="V80" s="28"/>
      <c r="W80" s="28"/>
      <c r="X80" s="28"/>
      <c r="Y80" s="28"/>
      <c r="Z80" s="28"/>
      <c r="AA80" s="28"/>
      <c r="AC80" s="1"/>
    </row>
    <row r="81" spans="7:29">
      <c r="G81" s="28"/>
      <c r="H81" s="28"/>
      <c r="I81" s="28"/>
      <c r="J81" s="28"/>
      <c r="K81" s="28"/>
      <c r="L81" s="28"/>
      <c r="M81" s="28"/>
      <c r="N81" s="28"/>
      <c r="O81" s="28"/>
      <c r="P81" s="28"/>
      <c r="Q81" s="28"/>
      <c r="R81" s="28"/>
      <c r="S81" s="28"/>
      <c r="T81" s="28"/>
      <c r="U81" s="28"/>
      <c r="V81" s="28"/>
      <c r="W81" s="28"/>
      <c r="X81" s="28"/>
      <c r="Y81" s="28"/>
      <c r="Z81" s="28"/>
      <c r="AA81" s="28"/>
      <c r="AC81" s="1"/>
    </row>
    <row r="82" spans="7:29">
      <c r="G82" s="28"/>
      <c r="H82" s="28"/>
      <c r="I82" s="28"/>
      <c r="J82" s="28"/>
      <c r="K82" s="28"/>
      <c r="L82" s="28"/>
      <c r="M82" s="28"/>
      <c r="N82" s="28"/>
      <c r="O82" s="28"/>
      <c r="P82" s="28"/>
      <c r="Q82" s="28"/>
      <c r="R82" s="28"/>
      <c r="S82" s="28"/>
      <c r="T82" s="28"/>
      <c r="U82" s="28"/>
      <c r="V82" s="28"/>
      <c r="W82" s="28"/>
      <c r="X82" s="28"/>
      <c r="Y82" s="28"/>
      <c r="Z82" s="28"/>
      <c r="AA82" s="28"/>
      <c r="AC82" s="1"/>
    </row>
    <row r="83" spans="7:29">
      <c r="G83" s="28"/>
      <c r="H83" s="28"/>
      <c r="I83" s="28"/>
      <c r="J83" s="28"/>
      <c r="K83" s="28"/>
      <c r="L83" s="28"/>
      <c r="M83" s="28"/>
      <c r="N83" s="28"/>
      <c r="O83" s="28"/>
      <c r="P83" s="28"/>
      <c r="Q83" s="28"/>
      <c r="R83" s="28"/>
      <c r="S83" s="28"/>
      <c r="T83" s="28"/>
      <c r="U83" s="28"/>
      <c r="V83" s="28"/>
      <c r="W83" s="28"/>
      <c r="X83" s="28"/>
      <c r="Y83" s="28"/>
      <c r="Z83" s="28"/>
      <c r="AA83" s="28"/>
      <c r="AC83" s="1"/>
    </row>
    <row r="84" spans="7:29">
      <c r="G84" s="28"/>
      <c r="H84" s="28"/>
      <c r="I84" s="28"/>
      <c r="J84" s="28"/>
      <c r="K84" s="28"/>
      <c r="L84" s="28"/>
      <c r="M84" s="28"/>
      <c r="N84" s="28"/>
      <c r="O84" s="28"/>
      <c r="P84" s="28"/>
      <c r="Q84" s="28"/>
      <c r="R84" s="28"/>
      <c r="S84" s="28"/>
      <c r="T84" s="28"/>
      <c r="U84" s="28"/>
      <c r="V84" s="28"/>
      <c r="W84" s="28"/>
      <c r="X84" s="28"/>
      <c r="Y84" s="28"/>
      <c r="Z84" s="28"/>
      <c r="AA84" s="28"/>
      <c r="AC84" s="1"/>
    </row>
    <row r="85" spans="7:29">
      <c r="G85" s="28"/>
      <c r="H85" s="28"/>
      <c r="I85" s="28"/>
      <c r="J85" s="28"/>
      <c r="K85" s="28"/>
      <c r="L85" s="28"/>
      <c r="M85" s="28"/>
      <c r="N85" s="28"/>
      <c r="O85" s="28"/>
      <c r="P85" s="28"/>
      <c r="Q85" s="28"/>
      <c r="R85" s="28"/>
      <c r="S85" s="28"/>
      <c r="T85" s="28"/>
      <c r="U85" s="28"/>
      <c r="V85" s="28"/>
      <c r="W85" s="28"/>
      <c r="X85" s="28"/>
      <c r="Y85" s="28"/>
      <c r="Z85" s="28"/>
      <c r="AA85" s="28"/>
      <c r="AC85" s="1"/>
    </row>
    <row r="86" spans="7:29">
      <c r="G86" s="28"/>
      <c r="H86" s="28"/>
      <c r="I86" s="28"/>
      <c r="J86" s="28"/>
      <c r="K86" s="28"/>
      <c r="L86" s="28"/>
      <c r="M86" s="28"/>
      <c r="N86" s="28"/>
      <c r="O86" s="28"/>
      <c r="P86" s="28"/>
      <c r="Q86" s="28"/>
      <c r="R86" s="28"/>
      <c r="S86" s="28"/>
      <c r="T86" s="28"/>
      <c r="U86" s="28"/>
      <c r="V86" s="28"/>
      <c r="W86" s="28"/>
      <c r="X86" s="28"/>
      <c r="Y86" s="28"/>
      <c r="Z86" s="28"/>
      <c r="AA86" s="28"/>
      <c r="AC86" s="1"/>
    </row>
    <row r="87" spans="7:29">
      <c r="G87" s="28"/>
      <c r="H87" s="28"/>
      <c r="I87" s="28"/>
      <c r="J87" s="28"/>
      <c r="K87" s="28"/>
      <c r="L87" s="28"/>
      <c r="M87" s="28"/>
      <c r="N87" s="28"/>
      <c r="O87" s="28"/>
      <c r="P87" s="28"/>
      <c r="Q87" s="28"/>
      <c r="R87" s="28"/>
      <c r="S87" s="28"/>
      <c r="T87" s="28"/>
      <c r="U87" s="28"/>
      <c r="V87" s="28"/>
      <c r="W87" s="28"/>
      <c r="X87" s="28"/>
      <c r="Y87" s="28"/>
      <c r="Z87" s="28"/>
      <c r="AA87" s="28"/>
      <c r="AC87" s="1"/>
    </row>
    <row r="88" spans="7:29">
      <c r="G88" s="28"/>
      <c r="H88" s="28"/>
      <c r="I88" s="28"/>
      <c r="J88" s="28"/>
      <c r="K88" s="28"/>
      <c r="L88" s="28"/>
      <c r="M88" s="28"/>
      <c r="N88" s="28"/>
      <c r="O88" s="28"/>
      <c r="P88" s="28"/>
      <c r="Q88" s="28"/>
      <c r="R88" s="28"/>
      <c r="S88" s="28"/>
      <c r="T88" s="28"/>
      <c r="U88" s="28"/>
      <c r="V88" s="28"/>
      <c r="W88" s="28"/>
      <c r="X88" s="28"/>
      <c r="Y88" s="28"/>
      <c r="Z88" s="28"/>
      <c r="AA88" s="28"/>
      <c r="AC88" s="1"/>
    </row>
    <row r="89" spans="7:29">
      <c r="G89" s="28"/>
      <c r="H89" s="28"/>
      <c r="I89" s="28"/>
      <c r="J89" s="28"/>
      <c r="K89" s="28"/>
      <c r="L89" s="28"/>
      <c r="M89" s="28"/>
      <c r="N89" s="28"/>
      <c r="O89" s="28"/>
      <c r="P89" s="28"/>
      <c r="Q89" s="28"/>
      <c r="R89" s="28"/>
      <c r="S89" s="28"/>
      <c r="T89" s="28"/>
      <c r="U89" s="28"/>
      <c r="V89" s="28"/>
      <c r="W89" s="28"/>
      <c r="X89" s="28"/>
      <c r="Y89" s="28"/>
      <c r="Z89" s="28"/>
      <c r="AA89" s="28"/>
      <c r="AC89" s="1"/>
    </row>
    <row r="90" spans="7:29">
      <c r="G90" s="28"/>
      <c r="H90" s="28"/>
      <c r="I90" s="28"/>
      <c r="J90" s="28"/>
      <c r="K90" s="28"/>
      <c r="L90" s="28"/>
      <c r="M90" s="28"/>
      <c r="N90" s="28"/>
      <c r="O90" s="28"/>
      <c r="P90" s="28"/>
      <c r="Q90" s="28"/>
      <c r="R90" s="28"/>
      <c r="S90" s="28"/>
      <c r="T90" s="28"/>
      <c r="U90" s="28"/>
      <c r="V90" s="28"/>
      <c r="W90" s="28"/>
      <c r="X90" s="28"/>
      <c r="Y90" s="28"/>
      <c r="Z90" s="28"/>
      <c r="AA90" s="28"/>
      <c r="AC90" s="1"/>
    </row>
    <row r="91" spans="7:29">
      <c r="G91" s="28"/>
      <c r="H91" s="28"/>
      <c r="I91" s="28"/>
      <c r="J91" s="28"/>
      <c r="K91" s="28"/>
      <c r="L91" s="28"/>
      <c r="M91" s="28"/>
      <c r="N91" s="28"/>
      <c r="O91" s="28"/>
      <c r="P91" s="28"/>
      <c r="Q91" s="28"/>
      <c r="R91" s="28"/>
      <c r="S91" s="28"/>
      <c r="T91" s="28"/>
      <c r="U91" s="28"/>
      <c r="V91" s="28"/>
      <c r="W91" s="28"/>
      <c r="X91" s="28"/>
      <c r="Y91" s="28"/>
      <c r="Z91" s="28"/>
      <c r="AA91" s="28"/>
      <c r="AC91" s="1"/>
    </row>
    <row r="92" spans="7:29">
      <c r="G92" s="28"/>
      <c r="H92" s="28"/>
      <c r="I92" s="28"/>
      <c r="J92" s="28"/>
      <c r="K92" s="28"/>
      <c r="L92" s="28"/>
      <c r="M92" s="28"/>
      <c r="N92" s="28"/>
      <c r="O92" s="28"/>
      <c r="P92" s="28"/>
      <c r="Q92" s="28"/>
      <c r="R92" s="28"/>
      <c r="S92" s="28"/>
      <c r="T92" s="28"/>
      <c r="U92" s="28"/>
      <c r="V92" s="28"/>
      <c r="W92" s="28"/>
      <c r="X92" s="28"/>
      <c r="Y92" s="28"/>
      <c r="Z92" s="28"/>
      <c r="AA92" s="28"/>
      <c r="AC92" s="1"/>
    </row>
    <row r="93" spans="7:29">
      <c r="G93" s="28"/>
      <c r="H93" s="28"/>
      <c r="I93" s="28"/>
      <c r="J93" s="28"/>
      <c r="K93" s="28"/>
      <c r="L93" s="28"/>
      <c r="M93" s="28"/>
      <c r="N93" s="28"/>
      <c r="O93" s="28"/>
      <c r="P93" s="28"/>
      <c r="Q93" s="28"/>
      <c r="R93" s="28"/>
      <c r="S93" s="28"/>
      <c r="T93" s="28"/>
      <c r="U93" s="28"/>
      <c r="V93" s="28"/>
      <c r="W93" s="28"/>
      <c r="X93" s="28"/>
      <c r="Y93" s="28"/>
      <c r="Z93" s="28"/>
      <c r="AA93" s="28"/>
      <c r="AC93" s="1"/>
    </row>
    <row r="94" spans="7:29">
      <c r="G94" s="28"/>
      <c r="H94" s="28"/>
      <c r="I94" s="28"/>
      <c r="J94" s="28"/>
      <c r="K94" s="28"/>
      <c r="L94" s="28"/>
      <c r="M94" s="28"/>
      <c r="N94" s="28"/>
      <c r="O94" s="28"/>
      <c r="P94" s="28"/>
      <c r="Q94" s="28"/>
      <c r="R94" s="28"/>
      <c r="S94" s="28"/>
      <c r="T94" s="28"/>
      <c r="U94" s="28"/>
      <c r="V94" s="28"/>
      <c r="W94" s="28"/>
      <c r="X94" s="28"/>
      <c r="Y94" s="28"/>
      <c r="Z94" s="28"/>
      <c r="AA94" s="28"/>
      <c r="AC94" s="1"/>
    </row>
    <row r="95" spans="7:29">
      <c r="G95" s="28"/>
      <c r="H95" s="28"/>
      <c r="I95" s="28"/>
      <c r="J95" s="28"/>
      <c r="K95" s="28"/>
      <c r="L95" s="28"/>
      <c r="M95" s="28"/>
      <c r="N95" s="28"/>
      <c r="O95" s="28"/>
      <c r="P95" s="28"/>
      <c r="Q95" s="28"/>
      <c r="R95" s="28"/>
      <c r="S95" s="28"/>
      <c r="T95" s="28"/>
      <c r="U95" s="28"/>
      <c r="V95" s="28"/>
      <c r="W95" s="28"/>
      <c r="X95" s="28"/>
      <c r="Y95" s="28"/>
      <c r="Z95" s="28"/>
      <c r="AA95" s="28"/>
      <c r="AC95" s="1"/>
    </row>
    <row r="96" spans="7:29">
      <c r="G96" s="28"/>
      <c r="H96" s="28"/>
      <c r="I96" s="28"/>
      <c r="J96" s="28"/>
      <c r="K96" s="28"/>
      <c r="L96" s="28"/>
      <c r="M96" s="28"/>
      <c r="N96" s="28"/>
      <c r="O96" s="28"/>
      <c r="P96" s="28"/>
      <c r="Q96" s="28"/>
      <c r="R96" s="28"/>
      <c r="S96" s="28"/>
      <c r="T96" s="28"/>
      <c r="U96" s="28"/>
      <c r="V96" s="28"/>
      <c r="W96" s="28"/>
      <c r="X96" s="28"/>
      <c r="Y96" s="28"/>
      <c r="Z96" s="28"/>
      <c r="AA96" s="28"/>
      <c r="AC96" s="1"/>
    </row>
    <row r="97" spans="7:29">
      <c r="G97" s="28"/>
      <c r="H97" s="28"/>
      <c r="I97" s="28"/>
      <c r="J97" s="28"/>
      <c r="K97" s="28"/>
      <c r="L97" s="28"/>
      <c r="M97" s="28"/>
      <c r="N97" s="28"/>
      <c r="O97" s="28"/>
      <c r="P97" s="28"/>
      <c r="Q97" s="28"/>
      <c r="R97" s="28"/>
      <c r="S97" s="28"/>
      <c r="T97" s="28"/>
      <c r="U97" s="28"/>
      <c r="V97" s="28"/>
      <c r="W97" s="28"/>
      <c r="X97" s="28"/>
      <c r="Y97" s="28"/>
      <c r="Z97" s="28"/>
      <c r="AA97" s="28"/>
      <c r="AC97" s="1"/>
    </row>
    <row r="98" spans="7:29">
      <c r="G98" s="28"/>
      <c r="H98" s="28"/>
      <c r="I98" s="28"/>
      <c r="J98" s="28"/>
      <c r="K98" s="28"/>
      <c r="L98" s="28"/>
      <c r="M98" s="28"/>
      <c r="N98" s="28"/>
      <c r="O98" s="28"/>
      <c r="P98" s="28"/>
      <c r="Q98" s="28"/>
      <c r="R98" s="28"/>
      <c r="S98" s="28"/>
      <c r="T98" s="28"/>
      <c r="U98" s="28"/>
      <c r="V98" s="28"/>
      <c r="W98" s="28"/>
      <c r="X98" s="28"/>
      <c r="Y98" s="28"/>
      <c r="Z98" s="28"/>
      <c r="AA98" s="28"/>
      <c r="AC98" s="1"/>
    </row>
    <row r="99" spans="7:29">
      <c r="G99" s="28"/>
      <c r="H99" s="28"/>
      <c r="I99" s="28"/>
      <c r="J99" s="28"/>
      <c r="K99" s="28"/>
      <c r="L99" s="28"/>
      <c r="M99" s="28"/>
      <c r="N99" s="28"/>
      <c r="O99" s="28"/>
      <c r="P99" s="28"/>
      <c r="Q99" s="28"/>
      <c r="R99" s="28"/>
      <c r="S99" s="28"/>
      <c r="T99" s="28"/>
      <c r="U99" s="28"/>
      <c r="V99" s="28"/>
      <c r="W99" s="28"/>
      <c r="X99" s="28"/>
      <c r="Y99" s="28"/>
      <c r="Z99" s="28"/>
      <c r="AA99" s="28"/>
      <c r="AC99" s="1"/>
    </row>
    <row r="100" spans="7:29">
      <c r="G100" s="28"/>
      <c r="H100" s="28"/>
      <c r="I100" s="28"/>
      <c r="J100" s="28"/>
      <c r="K100" s="28"/>
      <c r="L100" s="28"/>
      <c r="M100" s="28"/>
      <c r="N100" s="28"/>
      <c r="O100" s="28"/>
      <c r="P100" s="28"/>
      <c r="Q100" s="28"/>
      <c r="R100" s="28"/>
      <c r="S100" s="28"/>
      <c r="T100" s="28"/>
      <c r="U100" s="28"/>
      <c r="V100" s="28"/>
      <c r="W100" s="28"/>
      <c r="X100" s="28"/>
      <c r="Y100" s="28"/>
      <c r="Z100" s="28"/>
      <c r="AA100" s="28"/>
      <c r="AC100" s="1"/>
    </row>
    <row r="101" spans="7:29">
      <c r="AC101" s="1"/>
    </row>
    <row r="102" spans="7:29">
      <c r="AC102" s="1"/>
    </row>
    <row r="103" spans="7:29">
      <c r="AC103" s="1"/>
    </row>
    <row r="104" spans="7:29">
      <c r="AC104" s="1"/>
    </row>
    <row r="105" spans="7:29">
      <c r="AC105" s="1"/>
    </row>
    <row r="106" spans="7:29">
      <c r="AC106" s="1"/>
    </row>
    <row r="107" spans="7:29">
      <c r="AC107" s="1"/>
    </row>
  </sheetData>
  <sheetProtection password="EF73" sheet="1" objects="1" scenarios="1" formatCells="0"/>
  <customSheetViews>
    <customSheetView guid="{D786A5C0-FBC0-4F24-9F75-D436CA99DC6C}" zeroValues="0" hiddenRows="1" hiddenColumns="1" state="hidden" topLeftCell="B6">
      <selection activeCell="F7" sqref="F7:L27"/>
      <pageMargins left="0.7" right="0.7" top="0.75" bottom="0.75" header="0.3" footer="0.3"/>
      <pageSetup orientation="portrait" r:id="rId1"/>
    </customSheetView>
  </customSheetViews>
  <mergeCells count="4">
    <mergeCell ref="C7:C8"/>
    <mergeCell ref="C11:D11"/>
    <mergeCell ref="C12:D21"/>
    <mergeCell ref="C24:C27"/>
  </mergeCells>
  <dataValidations count="9">
    <dataValidation type="decimal" allowBlank="1" showInputMessage="1" showErrorMessage="1" error="أدخال غير صحيح" prompt="ضع فريضة الوارث فى هذه الخلية" sqref="IP12:IP23 G65527:G65536">
      <formula1>0</formula1>
      <formula2>1</formula2>
    </dataValidation>
    <dataValidation type="decimal" allowBlank="1" showInputMessage="1" showErrorMessage="1" error="أدخال غير صحيح (تأكد من الكسر)" promptTitle=" " prompt="وصى المتوفى (ضع الوصية التالثة)" sqref="K65522">
      <formula1>0</formula1>
      <formula2>99/100</formula2>
    </dataValidation>
    <dataValidation type="decimal" allowBlank="1" showInputMessage="1" showErrorMessage="1" error="أدخال غير صحيح (تأكد من الكسر)" promptTitle=" " prompt="وصى المتوفى (ضع الوصية التانية)" sqref="J65522">
      <formula1>0</formula1>
      <formula2>99/100</formula2>
    </dataValidation>
    <dataValidation type="decimal" allowBlank="1" showInputMessage="1" showErrorMessage="1" error="أدخال غير صحيح (ضع صفر ان لم يوصى)" promptTitle=" " prompt="وصى المتوفى  (ضع الوصية الأولى)" sqref="I65522">
      <formula1>0</formula1>
      <formula2>99/100</formula2>
    </dataValidation>
    <dataValidation type="textLength" operator="lessThan" allowBlank="1" showInputMessage="1" showErrorMessage="1" error="أدخال غير صحيح" prompt="ضع أسم الوارث فى هذه الخلية" sqref="IO12:IO23 F65527:F65536">
      <formula1>20</formula1>
    </dataValidation>
    <dataValidation type="decimal" allowBlank="1" showInputMessage="1" showErrorMessage="1" error="أدخال غير صحيح (تأكد من الكسر)" promptTitle=" " prompt="وصى المتوفى (ضع الوصية الرابعة)" sqref="L65522">
      <formula1>0</formula1>
      <formula2>99/100</formula2>
    </dataValidation>
    <dataValidation type="decimal" allowBlank="1" showInputMessage="1" showErrorMessage="1" error="أدخال غير صحيح" prompt="ضع بسط الفريضة أن لزم الأمر " sqref="IQ12:IQ23 H65527:H65536">
      <formula1>1</formula1>
      <formula2>100</formula2>
    </dataValidation>
    <dataValidation type="decimal" allowBlank="1" showInputMessage="1" showErrorMessage="1" error="أدخال غير صحيح" prompt="هذه الخلية مخصصة لتصحيح المسألة  ضع مقام الكسر أعلاه هنا" sqref="O52:O53 P65524:P65525">
      <formula1>0</formula1>
      <formula2>1000</formula2>
    </dataValidation>
    <dataValidation type="decimal" allowBlank="1" showInputMessage="1" showErrorMessage="1" error="أدخال غير صحيح" promptTitle="أجاز الوصية ضع 1 غير ذلك ضع 0  " prompt=" " sqref="IR12:IU23 I65527:L65536">
      <formula1>0</formula1>
      <formula2>1</formula2>
    </dataValidation>
  </dataValidations>
  <pageMargins left="0.7" right="0.7" top="0.75" bottom="0.75" header="0.3" footer="0.3"/>
  <pageSetup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FF00"/>
  </sheetPr>
  <dimension ref="A1:AX107"/>
  <sheetViews>
    <sheetView showZeros="0" rightToLeft="1" topLeftCell="B6" zoomScaleNormal="87" workbookViewId="0">
      <selection activeCell="AQ15" sqref="AQ15"/>
    </sheetView>
  </sheetViews>
  <sheetFormatPr defaultColWidth="7.75" defaultRowHeight="15"/>
  <cols>
    <col min="1" max="1" width="2.25" hidden="1" customWidth="1"/>
    <col min="2" max="2" width="2.25" customWidth="1"/>
    <col min="3" max="3" width="9.625" customWidth="1"/>
    <col min="4" max="4" width="14" customWidth="1"/>
    <col min="5" max="5" width="3.625" customWidth="1"/>
    <col min="6" max="6" width="18.375" hidden="1" customWidth="1"/>
    <col min="7" max="7" width="12.25" hidden="1" customWidth="1"/>
    <col min="8" max="8" width="6.75" hidden="1" customWidth="1"/>
    <col min="9" max="9" width="9" hidden="1" customWidth="1"/>
    <col min="10" max="11" width="8.875" hidden="1" customWidth="1"/>
    <col min="12" max="12" width="9" hidden="1" customWidth="1"/>
    <col min="13" max="13" width="11" customWidth="1"/>
    <col min="14" max="14" width="19.875" hidden="1" customWidth="1"/>
    <col min="15" max="15" width="11.5" customWidth="1"/>
    <col min="16" max="16" width="16" hidden="1" customWidth="1"/>
    <col min="17" max="17" width="9.25" hidden="1" customWidth="1"/>
    <col min="18" max="18" width="11.5" hidden="1" customWidth="1"/>
    <col min="19" max="19" width="17.625" hidden="1" customWidth="1"/>
    <col min="20" max="20" width="11.125" hidden="1" customWidth="1"/>
    <col min="21" max="21" width="15.875" hidden="1" customWidth="1"/>
    <col min="22" max="22" width="18.25" hidden="1" customWidth="1"/>
    <col min="23" max="23" width="19.75" hidden="1" customWidth="1"/>
    <col min="24" max="24" width="16.375" hidden="1" customWidth="1"/>
    <col min="25" max="30" width="2" hidden="1" customWidth="1"/>
    <col min="31" max="31" width="9.75" hidden="1" customWidth="1"/>
    <col min="32" max="32" width="8.25" hidden="1" customWidth="1"/>
    <col min="33" max="33" width="9.625" hidden="1" customWidth="1"/>
    <col min="34" max="34" width="2.5" hidden="1" customWidth="1"/>
    <col min="35" max="35" width="20.75" hidden="1" customWidth="1"/>
    <col min="36" max="36" width="17.25" customWidth="1"/>
    <col min="37" max="37" width="8.25" hidden="1" customWidth="1"/>
    <col min="38" max="38" width="12" hidden="1" customWidth="1"/>
    <col min="39" max="39" width="17.125" hidden="1" customWidth="1"/>
    <col min="40" max="40" width="12.25" hidden="1" customWidth="1"/>
    <col min="41" max="41" width="16.5" hidden="1" customWidth="1"/>
    <col min="42" max="42" width="16.875" customWidth="1"/>
    <col min="43" max="43" width="11.625" customWidth="1"/>
    <col min="44" max="44" width="21" customWidth="1"/>
    <col min="45" max="45" width="7.75" customWidth="1"/>
    <col min="46" max="46" width="19" customWidth="1"/>
    <col min="47" max="47" width="23.125" customWidth="1"/>
    <col min="48" max="48" width="15.75" customWidth="1"/>
    <col min="49" max="49" width="7.75" customWidth="1"/>
    <col min="50" max="50" width="18.125" customWidth="1"/>
    <col min="51" max="51" width="8.375" customWidth="1"/>
    <col min="52" max="52" width="7.75" customWidth="1"/>
    <col min="53" max="53" width="10.25" customWidth="1"/>
  </cols>
  <sheetData>
    <row r="1" spans="1:50" ht="21.75" hidden="1" customHeight="1">
      <c r="G1" s="1">
        <f>1/3-'الأجـــازة للوصايا'!BT7</f>
        <v>0.33333333333333331</v>
      </c>
      <c r="H1" s="1">
        <f>R3</f>
        <v>1</v>
      </c>
      <c r="I1" s="1">
        <f>IF(SUM('الأجـــازة للوصايا'!K112:K123)=0,1,'الأجـــازة للوصايا'!BT10)</f>
        <v>1</v>
      </c>
      <c r="J1" s="1">
        <f>IF(SUM('الأجـــازة للوصايا'!L112:L123)=0,1,'الأجـــازة للوصايا'!BU10)</f>
        <v>1</v>
      </c>
      <c r="K1" s="1">
        <f>IF(SUM('الأجـــازة للوصايا'!M112:M123)=0,1,'الأجـــازة للوصايا'!BV10)</f>
        <v>1</v>
      </c>
      <c r="L1" s="1">
        <f>IF(SUM('الأجـــازة للوصايا'!N112:N123)=0,1,'الأجـــازة للوصايا'!BW10)</f>
        <v>1</v>
      </c>
      <c r="R1">
        <f>MINVERSE(I1)</f>
        <v>1</v>
      </c>
      <c r="S1">
        <f>MINVERSE(J1)</f>
        <v>1</v>
      </c>
      <c r="T1">
        <f>MINVERSE(K1)</f>
        <v>1</v>
      </c>
      <c r="U1">
        <f>MINVERSE(L1)</f>
        <v>1</v>
      </c>
    </row>
    <row r="2" spans="1:50" ht="30" hidden="1" customHeight="1">
      <c r="G2" s="1">
        <f>1/3-'الأجـــازة للوصايا'!BU7</f>
        <v>0.33333333333333331</v>
      </c>
      <c r="H2" s="1">
        <f>S3</f>
        <v>1</v>
      </c>
      <c r="I2" s="1">
        <f xml:space="preserve"> R3*(S3/V5)</f>
        <v>1</v>
      </c>
      <c r="J2" s="1">
        <f>T3*R3/V5</f>
        <v>1</v>
      </c>
      <c r="K2" s="1">
        <f>R3*U3/V5</f>
        <v>1</v>
      </c>
      <c r="L2" s="1">
        <f>R3*V3/V5</f>
        <v>1</v>
      </c>
      <c r="R2" s="1">
        <f>IFERROR(R1,1)</f>
        <v>1</v>
      </c>
      <c r="S2" s="1">
        <f>IFERROR(S1,1)</f>
        <v>1</v>
      </c>
      <c r="T2" s="1">
        <f>IFERROR(T1,1)</f>
        <v>1</v>
      </c>
      <c r="U2" s="1">
        <f>IFERROR(U1,1)</f>
        <v>1</v>
      </c>
      <c r="V2" s="1" t="s">
        <v>114</v>
      </c>
      <c r="W2" s="1">
        <f>V4*U4*T4*S4*R4*R4</f>
        <v>1</v>
      </c>
      <c r="X2" s="536">
        <f xml:space="preserve"> W3</f>
        <v>1</v>
      </c>
    </row>
    <row r="3" spans="1:50" ht="27" hidden="1" customHeight="1" thickBot="1">
      <c r="G3" s="1">
        <f>1/3-'الأجـــازة للوصايا'!BV7</f>
        <v>0.33333333333333331</v>
      </c>
      <c r="I3" s="1">
        <f>IFERROR( 'الأجـــازة للوصايا'!BT10,0)</f>
        <v>0</v>
      </c>
      <c r="J3" s="1">
        <f>IFERROR( 'الأجـــازة للوصايا'!BU10,0)</f>
        <v>0</v>
      </c>
      <c r="K3" s="1">
        <f>IFERROR( 'الأجـــازة للوصايا'!BV10,0)</f>
        <v>0</v>
      </c>
      <c r="L3" s="1">
        <f>IFERROR( 'الأجـــازة للوصايا'!BW10,0)</f>
        <v>0</v>
      </c>
      <c r="M3" s="478" t="b">
        <f>AND( 'الأجـــازة للوصايا'!BT9&gt;='الأجـــازة للوصايا'!BT10, 'الأجـــازة للوصايا'!BU9&gt;='الأجـــازة للوصايا'!BU10, 'الأجـــازة للوصايا'!BV9&gt;='الأجـــازة للوصايا'!BV10,'الأجـــازة للوصايا'!BW9&gt;='الأجـــازة للوصايا'!BW10)</f>
        <v>1</v>
      </c>
      <c r="N3" s="491" t="str">
        <f>IF('الأجـــازة للوصايا'!BT7+'الأجـــازة للوصايا'!BU7+'الأجـــازة للوصايا'!BV7+'الأجـــازة للوصايا'!BW7&gt;1,"تجاوز الوصايا التركــــــــــــة","")</f>
        <v/>
      </c>
      <c r="O3" s="491"/>
      <c r="P3" s="1">
        <f>1/Q3</f>
        <v>4</v>
      </c>
      <c r="Q3" s="1">
        <f>S4/(S4+T4+U4+V4)</f>
        <v>0.25</v>
      </c>
      <c r="R3" s="1">
        <f>1/R4</f>
        <v>1</v>
      </c>
      <c r="S3" s="1">
        <f>1/S4</f>
        <v>1</v>
      </c>
      <c r="T3" s="1">
        <f>1/T4</f>
        <v>1</v>
      </c>
      <c r="U3" s="1">
        <f>1/U4</f>
        <v>1</v>
      </c>
      <c r="V3" s="1">
        <f>1/V4</f>
        <v>1</v>
      </c>
      <c r="W3" s="521">
        <f xml:space="preserve"> W4*W7*R4</f>
        <v>1</v>
      </c>
      <c r="X3" s="1">
        <f>V4*U4*T4*S4</f>
        <v>1</v>
      </c>
      <c r="Y3" s="1">
        <f>X3*W3</f>
        <v>1</v>
      </c>
    </row>
    <row r="4" spans="1:50" ht="59.25" hidden="1" customHeight="1">
      <c r="G4" s="1">
        <f>1/3-'الأجـــازة للوصايا'!BW7</f>
        <v>0.33333333333333331</v>
      </c>
      <c r="I4">
        <f>IF(SUM('الأجـــازة للوصايا'!K112:K123)&gt;0,3,1)</f>
        <v>1</v>
      </c>
      <c r="J4">
        <f>IF(SUM('الأجـــازة للوصايا'!L112:L123)&gt;0,3,1)</f>
        <v>1</v>
      </c>
      <c r="K4">
        <f>IF(SUM('الأجـــازة للوصايا'!M112:M123)&gt;0,3,1)</f>
        <v>1</v>
      </c>
      <c r="L4">
        <f>IF(SUM('الأجـــازة للوصايا'!N112:N123)&gt;0,3,1)</f>
        <v>1</v>
      </c>
      <c r="P4" s="1">
        <f>SUM(M12:M27)</f>
        <v>0</v>
      </c>
      <c r="Q4" s="1">
        <f>IFERROR(  AF9,1)</f>
        <v>3</v>
      </c>
      <c r="R4" s="485">
        <f>IF('الأجـــازة للوصايا'!BT7+'الأجـــازة للوصايا'!BU7+'الأجـــازة للوصايا'!BV7+'الأجـــازة للوصايا'!BW7=0,1,Q4)</f>
        <v>1</v>
      </c>
      <c r="S4" s="485">
        <f>IFERROR(AG9,1)</f>
        <v>1</v>
      </c>
      <c r="T4" s="485">
        <f>IFERROR(AH9,1)</f>
        <v>1</v>
      </c>
      <c r="U4" s="485">
        <f>IFERROR(AI9,1)</f>
        <v>1</v>
      </c>
      <c r="V4" s="485">
        <f>IFERROR(AL7,1)</f>
        <v>1</v>
      </c>
      <c r="W4" s="1">
        <f>W8*W7</f>
        <v>1</v>
      </c>
      <c r="AB4" s="1">
        <f>P7*'الأجـــازة للوصايا'!BT7/V5</f>
        <v>0</v>
      </c>
      <c r="AC4" s="1">
        <f>'الأجـــازة للوصايا'!BW10+'الأجـــازة للوصايا'!BV10+'الأجـــازة للوصايا'!BU10+'الأجـــازة للوصايا'!BT10</f>
        <v>0</v>
      </c>
      <c r="AE4" s="13">
        <f xml:space="preserve"> AI7/(S4+AH7+AI7+AO8)</f>
        <v>0.25</v>
      </c>
      <c r="AF4" s="13"/>
      <c r="AG4" s="13"/>
      <c r="AH4" s="13"/>
      <c r="AI4" s="541"/>
      <c r="AJ4" s="478"/>
      <c r="AK4" s="478"/>
    </row>
    <row r="5" spans="1:50" ht="22.5" hidden="1" customHeight="1">
      <c r="P5" s="1" t="s">
        <v>114</v>
      </c>
      <c r="R5" s="309">
        <f>IF(S4&gt;1,1/S4,0)</f>
        <v>0</v>
      </c>
      <c r="S5" s="309">
        <f>IF(T4&gt;1,1/T4,0)</f>
        <v>0</v>
      </c>
      <c r="T5" s="309">
        <f>IF(U4&gt;1,1/U4,0)</f>
        <v>0</v>
      </c>
      <c r="U5" s="309">
        <f>IF(V4&gt;1,1/V4,0)</f>
        <v>0</v>
      </c>
      <c r="V5" s="1">
        <f>IFERROR(W5,1)</f>
        <v>1</v>
      </c>
      <c r="W5" s="1">
        <f>IF(U5+T5+S5+R5=0,1,U5+T5+S5+R5)</f>
        <v>1</v>
      </c>
      <c r="X5" s="1">
        <f>V4*U4*T4*S4</f>
        <v>1</v>
      </c>
      <c r="AC5" s="1" t="s">
        <v>114</v>
      </c>
      <c r="AE5" s="493">
        <f>AF7*AO8/(AG7+AH7+AI7+AO8)</f>
        <v>0.25</v>
      </c>
      <c r="AF5" s="493" t="s">
        <v>114</v>
      </c>
      <c r="AG5" s="493"/>
      <c r="AH5" s="493"/>
      <c r="AI5" s="542"/>
      <c r="AK5" s="478"/>
    </row>
    <row r="6" spans="1:50" ht="28.5" customHeight="1" thickBot="1">
      <c r="A6" t="str">
        <f>IF( SUM('الأجـــازة للوصايا'!BT7:BW7)+SUM('الأجـــازة للوصايا'!I112:I123)&lt;=2,"العملية صحيحة","خطأ راجع المسألة")</f>
        <v>العملية صحيحة</v>
      </c>
      <c r="F6" s="872">
        <f>SUM('الأجـــازة للوصايا'!BT10:BW10)</f>
        <v>0</v>
      </c>
      <c r="P6" s="1"/>
      <c r="R6" s="309"/>
      <c r="S6" s="309"/>
      <c r="T6" s="309"/>
      <c r="U6" s="309"/>
      <c r="V6" s="1"/>
      <c r="W6" s="1"/>
      <c r="X6" s="1"/>
      <c r="AC6" s="1"/>
      <c r="AE6" s="564"/>
      <c r="AF6" s="564"/>
      <c r="AG6" s="564"/>
      <c r="AH6" s="564"/>
      <c r="AI6" s="565"/>
      <c r="AK6" s="478"/>
    </row>
    <row r="7" spans="1:50" ht="27.75" customHeight="1" thickTop="1" thickBot="1">
      <c r="A7" s="1" t="str">
        <f>IF(F6=1/3,"الورثة أجازو الثلث",A6)</f>
        <v>العملية صحيحة</v>
      </c>
      <c r="B7" s="1"/>
      <c r="C7" s="1389" t="s">
        <v>69</v>
      </c>
      <c r="D7" s="848" t="e">
        <f>'ورقة أجازة وعدم الأجازة للمختصن'!C7</f>
        <v>#DIV/0!</v>
      </c>
      <c r="E7" s="697"/>
      <c r="M7" s="697"/>
      <c r="N7" s="697"/>
      <c r="O7" s="697"/>
      <c r="P7" s="656">
        <v>0.33333333333333331</v>
      </c>
      <c r="Q7" s="701" t="s">
        <v>114</v>
      </c>
      <c r="R7" s="702" t="s">
        <v>114</v>
      </c>
      <c r="S7" s="702" t="s">
        <v>114</v>
      </c>
      <c r="T7" s="701" t="s">
        <v>114</v>
      </c>
      <c r="U7" s="702" t="s">
        <v>114</v>
      </c>
      <c r="V7" s="702" t="s">
        <v>114</v>
      </c>
      <c r="W7" s="703">
        <f>V4*U4*T4*S4</f>
        <v>1</v>
      </c>
      <c r="X7" s="701"/>
      <c r="Y7" s="701"/>
      <c r="Z7" s="701"/>
      <c r="AA7" s="701"/>
      <c r="AB7" s="702" t="e">
        <f>'الأجـــازة للوصايا'!J112*1/X12</f>
        <v>#DIV/0!</v>
      </c>
      <c r="AC7" s="704" t="s">
        <v>114</v>
      </c>
      <c r="AD7" s="701"/>
      <c r="AE7" s="705">
        <f>IF(P7=0,1,1/P7)</f>
        <v>3</v>
      </c>
      <c r="AF7" s="705">
        <f>ROUNDDOWN( R4,0)</f>
        <v>1</v>
      </c>
      <c r="AG7" s="705">
        <f>ROUNDDOWN(S4,0)</f>
        <v>1</v>
      </c>
      <c r="AH7" s="705">
        <f>ROUNDDOWN(T4,0)</f>
        <v>1</v>
      </c>
      <c r="AI7" s="706">
        <f>ROUNDDOWN(U4,0)</f>
        <v>1</v>
      </c>
      <c r="AJ7" s="697"/>
      <c r="AK7" s="478" t="s">
        <v>114</v>
      </c>
      <c r="AL7" s="540" t="e">
        <f>MINVERSE(  'الأجـــازة للوصايا'!BW7)</f>
        <v>#NUM!</v>
      </c>
      <c r="AM7" s="28"/>
      <c r="AN7" s="28"/>
      <c r="AO7" s="478"/>
      <c r="AP7" s="28"/>
      <c r="AQ7" s="28"/>
      <c r="AR7" s="28"/>
      <c r="AS7" s="28"/>
      <c r="AT7" s="28"/>
      <c r="AU7" s="28"/>
      <c r="AV7" s="28"/>
      <c r="AW7" s="28"/>
      <c r="AX7" s="28"/>
    </row>
    <row r="8" spans="1:50" ht="27.75" customHeight="1" thickTop="1" thickBot="1">
      <c r="C8" s="1390"/>
      <c r="D8" s="848"/>
      <c r="E8" s="697"/>
      <c r="M8" s="697"/>
      <c r="N8" s="697"/>
      <c r="O8" s="697"/>
      <c r="P8" s="697"/>
      <c r="Q8" s="701" t="s">
        <v>114</v>
      </c>
      <c r="R8" s="702">
        <f>IF(O51*O52=0,1,O51*O52)</f>
        <v>1</v>
      </c>
      <c r="S8" s="702" t="s">
        <v>114</v>
      </c>
      <c r="T8" s="702" t="s">
        <v>114</v>
      </c>
      <c r="U8" s="702">
        <f>W3/W7</f>
        <v>1</v>
      </c>
      <c r="V8" s="702">
        <f>IFERROR(W3/W4,1)</f>
        <v>1</v>
      </c>
      <c r="W8" s="703">
        <f>V5*W7</f>
        <v>1</v>
      </c>
      <c r="X8" s="702">
        <f>V3*U3*T3*S3</f>
        <v>1</v>
      </c>
      <c r="Y8" s="701"/>
      <c r="Z8" s="701"/>
      <c r="AA8" s="701"/>
      <c r="AB8" s="701"/>
      <c r="AC8" s="701"/>
      <c r="AD8" s="701"/>
      <c r="AE8" s="707">
        <f>IF(P7=0,1,P7)</f>
        <v>0.33333333333333331</v>
      </c>
      <c r="AF8" s="701"/>
      <c r="AG8" s="701"/>
      <c r="AH8" s="701"/>
      <c r="AI8" s="701"/>
      <c r="AJ8" s="697"/>
      <c r="AK8" s="550"/>
      <c r="AL8" s="28"/>
      <c r="AM8" s="28"/>
      <c r="AN8" s="28"/>
      <c r="AO8" s="478">
        <f>ROUNDDOWN(V4,0)</f>
        <v>1</v>
      </c>
      <c r="AP8" s="28"/>
      <c r="AQ8" s="28"/>
      <c r="AR8" s="28"/>
      <c r="AS8" s="28"/>
      <c r="AT8" s="28"/>
      <c r="AU8" s="28"/>
      <c r="AV8" s="28"/>
      <c r="AW8" s="28"/>
      <c r="AX8" s="28"/>
    </row>
    <row r="9" spans="1:50" ht="27.75" customHeight="1" thickTop="1" thickBot="1">
      <c r="C9" s="664" t="s">
        <v>744</v>
      </c>
      <c r="D9" s="665">
        <f>S29</f>
        <v>0</v>
      </c>
      <c r="E9" s="697"/>
      <c r="M9" s="697"/>
      <c r="N9" s="697"/>
      <c r="O9" s="697"/>
      <c r="P9" s="697"/>
      <c r="Q9" s="708" t="s">
        <v>114</v>
      </c>
      <c r="R9" s="708">
        <f>IF(O51=0,1,O51)</f>
        <v>1</v>
      </c>
      <c r="S9" s="709">
        <f>S4*R4</f>
        <v>1</v>
      </c>
      <c r="T9" s="709">
        <f>T4*R4</f>
        <v>1</v>
      </c>
      <c r="U9" s="710">
        <f>U4*R4</f>
        <v>1</v>
      </c>
      <c r="V9" s="709">
        <f>V4*R4</f>
        <v>1</v>
      </c>
      <c r="W9" s="709">
        <f>R3*S3/V5</f>
        <v>1</v>
      </c>
      <c r="X9" s="711">
        <f>1/X8</f>
        <v>1</v>
      </c>
      <c r="Y9" s="670"/>
      <c r="Z9" s="708"/>
      <c r="AA9" s="708"/>
      <c r="AB9" s="708"/>
      <c r="AC9" s="708"/>
      <c r="AD9" s="708"/>
      <c r="AE9" s="712" t="s">
        <v>114</v>
      </c>
      <c r="AF9" s="713">
        <f>MINVERSE( AE8)</f>
        <v>3</v>
      </c>
      <c r="AG9" s="713" t="e">
        <f>MINVERSE('الأجـــازة للوصايا'!BT7)</f>
        <v>#NUM!</v>
      </c>
      <c r="AH9" s="713" t="e">
        <f>MINVERSE( 'الأجـــازة للوصايا'!BU7)</f>
        <v>#NUM!</v>
      </c>
      <c r="AI9" s="714" t="e">
        <f>MINVERSE(  'الأجـــازة للوصايا'!BV7)</f>
        <v>#NUM!</v>
      </c>
      <c r="AJ9" s="674" t="s">
        <v>747</v>
      </c>
      <c r="AK9" s="538"/>
      <c r="AN9" s="28"/>
      <c r="AO9" s="545"/>
      <c r="AP9" s="28"/>
      <c r="AQ9" s="28"/>
      <c r="AR9" s="28"/>
      <c r="AS9" s="28"/>
      <c r="AT9" s="28"/>
      <c r="AU9" s="28"/>
      <c r="AV9" s="28"/>
      <c r="AW9" s="28"/>
    </row>
    <row r="10" spans="1:50" ht="27.75" customHeight="1" thickTop="1" thickBot="1">
      <c r="C10" s="664" t="s">
        <v>755</v>
      </c>
      <c r="D10" s="675">
        <f>VLOOKUP('الأجـــازة للوصايا'!H112,'ورقة أجازة وعدم الأجازة للمختصن'!E12:F23,2,FALSE)</f>
        <v>0</v>
      </c>
      <c r="E10" s="697"/>
      <c r="M10" s="697"/>
      <c r="N10" s="697"/>
      <c r="O10" s="697"/>
      <c r="P10" s="697"/>
      <c r="Q10" s="708"/>
      <c r="R10" s="708">
        <f>IF(O52=0,1,O52)</f>
        <v>1</v>
      </c>
      <c r="S10" s="708"/>
      <c r="T10" s="708"/>
      <c r="U10" s="708"/>
      <c r="V10" s="709">
        <f>V9*U9*T9*S9</f>
        <v>1</v>
      </c>
      <c r="W10" s="709" t="s">
        <v>114</v>
      </c>
      <c r="X10" s="709">
        <f>V10/389</f>
        <v>2.5706940874035988E-3</v>
      </c>
      <c r="Y10" s="709" t="s">
        <v>114</v>
      </c>
      <c r="Z10" s="709"/>
      <c r="AA10" s="709"/>
      <c r="AB10" s="709"/>
      <c r="AC10" s="709"/>
      <c r="AD10" s="709"/>
      <c r="AE10" s="709"/>
      <c r="AF10" s="709"/>
      <c r="AG10" s="709"/>
      <c r="AH10" s="709" t="s">
        <v>114</v>
      </c>
      <c r="AI10" s="709" t="s">
        <v>114</v>
      </c>
      <c r="AJ10" s="866">
        <f>'ورقة أجازة وعدم الأجازة للمختصن'!AL11</f>
        <v>100</v>
      </c>
      <c r="AK10" s="28"/>
      <c r="AL10" s="478">
        <f>U5</f>
        <v>0</v>
      </c>
      <c r="AN10" s="478" t="s">
        <v>114</v>
      </c>
      <c r="AO10" s="540" t="e">
        <f>MINVERSE(  'الأجـــازة للوصايا'!BW7)</f>
        <v>#NUM!</v>
      </c>
      <c r="AP10" s="28"/>
      <c r="AQ10" s="28"/>
      <c r="AR10" s="28"/>
      <c r="AS10" s="28"/>
      <c r="AT10" s="28"/>
      <c r="AU10" s="28"/>
      <c r="AV10" s="28"/>
      <c r="AW10" s="28"/>
    </row>
    <row r="11" spans="1:50" ht="34.5" customHeight="1" thickTop="1" thickBot="1">
      <c r="C11" s="1315">
        <f>'الأجـــازة للوصايا'!H112</f>
        <v>0</v>
      </c>
      <c r="D11" s="1316"/>
      <c r="E11" s="698"/>
      <c r="M11" s="717" t="s">
        <v>739</v>
      </c>
      <c r="N11" s="718"/>
      <c r="O11" s="719" t="s">
        <v>540</v>
      </c>
      <c r="P11" s="720" t="s">
        <v>753</v>
      </c>
      <c r="Q11" s="721" t="s">
        <v>137</v>
      </c>
      <c r="R11" s="722"/>
      <c r="S11" s="723" t="s">
        <v>734</v>
      </c>
      <c r="T11" s="722" t="s">
        <v>733</v>
      </c>
      <c r="U11" s="722" t="s">
        <v>733</v>
      </c>
      <c r="V11" s="724"/>
      <c r="W11" s="725"/>
      <c r="X11" s="708"/>
      <c r="Y11" s="709"/>
      <c r="Z11" s="709"/>
      <c r="AA11" s="709"/>
      <c r="AB11" s="709"/>
      <c r="AC11" s="709"/>
      <c r="AD11" s="709"/>
      <c r="AE11" s="709"/>
      <c r="AF11" s="709"/>
      <c r="AG11" s="709"/>
      <c r="AH11" s="708"/>
      <c r="AI11" s="678">
        <f>'أدخال البيانات'!$R$8* X2</f>
        <v>0</v>
      </c>
      <c r="AJ11" s="866"/>
    </row>
    <row r="12" spans="1:50" ht="18.75" customHeight="1" thickTop="1" thickBot="1">
      <c r="C12" s="1295" t="str">
        <f>IF(SUM('الأجـــازة للوصايا'!K112:N123) &gt;0,"بعض الورثة أجازو الوصايا",A7)</f>
        <v>العملية صحيحة</v>
      </c>
      <c r="D12" s="1296"/>
      <c r="E12" s="697"/>
      <c r="M12" s="726">
        <f t="shared" ref="M12:M23" si="0">IF(X12&lt;0,"الوارث لم يبقى له شىء",X12)</f>
        <v>0</v>
      </c>
      <c r="N12" s="727" t="e">
        <f t="shared" ref="N12:N27" si="1">AK12*M12/S29</f>
        <v>#DIV/0!</v>
      </c>
      <c r="O12" s="848" t="e">
        <f>'ورقة أجازة وعدم الأجازة للمختصن'!BA92</f>
        <v>#DIV/0!</v>
      </c>
      <c r="P12" s="848" t="e">
        <f t="shared" ref="P12:P27" si="2">S12/T12</f>
        <v>#DIV/0!</v>
      </c>
      <c r="Q12" s="848">
        <f>IF('الأجـــازة للوصايا'!I112&gt;0,'الأجـــازة للوصايا'!I112,0)</f>
        <v>0</v>
      </c>
      <c r="R12" s="848" t="e">
        <f t="shared" ref="R12:R27" si="3">P12</f>
        <v>#DIV/0!</v>
      </c>
      <c r="S12" s="848">
        <f t="shared" ref="S12:S27" si="4">ROUNDDOWN(M12*AK12,0)</f>
        <v>0</v>
      </c>
      <c r="T12" s="848">
        <f t="shared" ref="T12:T27" si="5">$S$29</f>
        <v>0</v>
      </c>
      <c r="U12" s="848">
        <f t="shared" ref="U12:U27" si="6" xml:space="preserve"> AK12*M12</f>
        <v>0</v>
      </c>
      <c r="V12" s="848">
        <f t="shared" ref="V12:V27" si="7">W12*M12</f>
        <v>0</v>
      </c>
      <c r="W12" s="848">
        <f>AI11</f>
        <v>0</v>
      </c>
      <c r="X12" s="848">
        <f>IFERROR( ( (('الأجـــازة للوصايا'!I112-(( (AC12+AG12) +(AB12+AF12) +(AA12+AE12) +(Z12+AD12)  ))*'الأجـــازة للوصايا'!I112))),0)</f>
        <v>0</v>
      </c>
      <c r="Y12" s="848" t="str">
        <f>V32</f>
        <v xml:space="preserve"> </v>
      </c>
      <c r="Z12" s="848">
        <f>IF('الأجـــازة للوصايا'!K112=1, 'الأجـــازة للوصايا'!BT9,0)</f>
        <v>0</v>
      </c>
      <c r="AA12" s="848">
        <f>IF('الأجـــازة للوصايا'!L112=1, 'الأجـــازة للوصايا'!BU9,0)</f>
        <v>0</v>
      </c>
      <c r="AB12" s="848">
        <f>IF('الأجـــازة للوصايا'!M112=1, 'الأجـــازة للوصايا'!BV9,0)</f>
        <v>0</v>
      </c>
      <c r="AC12" s="848">
        <f>IF('الأجـــازة للوصايا'!N112=1, 'الأجـــازة للوصايا'!BW9,0)</f>
        <v>0</v>
      </c>
      <c r="AD12" s="848">
        <f>IF('الأجـــازة للوصايا'!K112=0,'الأجـــازة للوصايا'!BT10,0)</f>
        <v>0</v>
      </c>
      <c r="AE12" s="848">
        <f>IF('الأجـــازة للوصايا'!L112=0,'الأجـــازة للوصايا'!BU10,0)</f>
        <v>0</v>
      </c>
      <c r="AF12" s="848">
        <f>IF('الأجـــازة للوصايا'!M112=0,'الأجـــازة للوصايا'!BV10,0)</f>
        <v>0</v>
      </c>
      <c r="AG12" s="848">
        <f>IF('الأجـــازة للوصايا'!N112=0,'الأجـــازة للوصايا'!BW10,0)</f>
        <v>0</v>
      </c>
      <c r="AH12" s="848"/>
      <c r="AI12" s="848"/>
      <c r="AJ12" s="866">
        <f t="shared" ref="AJ12:AJ27" si="8">AL12*M12</f>
        <v>0</v>
      </c>
      <c r="AK12" s="293">
        <f>$AK$13</f>
        <v>0</v>
      </c>
      <c r="AL12" s="293">
        <f t="shared" ref="AL12:AL27" si="9">$AJ$10</f>
        <v>100</v>
      </c>
      <c r="AM12" s="1" t="e">
        <f t="shared" ref="AM12:AM27" si="10">P12</f>
        <v>#DIV/0!</v>
      </c>
    </row>
    <row r="13" spans="1:50" ht="18.75" customHeight="1" thickTop="1" thickBot="1">
      <c r="C13" s="1297"/>
      <c r="D13" s="1298"/>
      <c r="E13" s="697"/>
      <c r="M13" s="679">
        <f t="shared" si="0"/>
        <v>0</v>
      </c>
      <c r="N13" s="680" t="e">
        <f t="shared" si="1"/>
        <v>#DIV/0!</v>
      </c>
      <c r="O13" s="848" t="e">
        <f>'ورقة أجازة وعدم الأجازة للمختصن'!BA93</f>
        <v>#DIV/0!</v>
      </c>
      <c r="P13" s="848" t="e">
        <f t="shared" si="2"/>
        <v>#DIV/0!</v>
      </c>
      <c r="Q13" s="848">
        <f>IF('الأجـــازة للوصايا'!I113&gt;0,'الأجـــازة للوصايا'!I113,0)</f>
        <v>0</v>
      </c>
      <c r="R13" s="848" t="e">
        <f t="shared" si="3"/>
        <v>#DIV/0!</v>
      </c>
      <c r="S13" s="848">
        <f t="shared" si="4"/>
        <v>0</v>
      </c>
      <c r="T13" s="848">
        <f t="shared" si="5"/>
        <v>0</v>
      </c>
      <c r="U13" s="848">
        <f t="shared" si="6"/>
        <v>0</v>
      </c>
      <c r="V13" s="848">
        <f t="shared" si="7"/>
        <v>0</v>
      </c>
      <c r="W13" s="848">
        <f t="shared" ref="W13:W27" si="11">$W$12</f>
        <v>0</v>
      </c>
      <c r="X13" s="848">
        <f>IFERROR( ( (('الأجـــازة للوصايا'!I113-(( (AC13+AG13) +(AB13+AF13) +(AA13+AE13) +(Z13+AD13)  ))*'الأجـــازة للوصايا'!I113))),0)</f>
        <v>0</v>
      </c>
      <c r="Y13" s="848">
        <f t="shared" ref="Y13:Y27" si="12">V33</f>
        <v>0</v>
      </c>
      <c r="Z13" s="848">
        <f>IF('الأجـــازة للوصايا'!K113=1, 'الأجـــازة للوصايا'!BT9,0)</f>
        <v>0</v>
      </c>
      <c r="AA13" s="848">
        <f>IF('الأجـــازة للوصايا'!L113=1, 'الأجـــازة للوصايا'!BU9,0)</f>
        <v>0</v>
      </c>
      <c r="AB13" s="848">
        <f>IF('الأجـــازة للوصايا'!M113=1, 'الأجـــازة للوصايا'!BV9,0)</f>
        <v>0</v>
      </c>
      <c r="AC13" s="848">
        <f>IF('الأجـــازة للوصايا'!N113=1, 'الأجـــازة للوصايا'!BW9,0)</f>
        <v>0</v>
      </c>
      <c r="AD13" s="848">
        <f>IF('الأجـــازة للوصايا'!K113=0,'الأجـــازة للوصايا'!BT10,0)</f>
        <v>0</v>
      </c>
      <c r="AE13" s="848">
        <f>IF('الأجـــازة للوصايا'!L113=0,'الأجـــازة للوصايا'!BU10,0)</f>
        <v>0</v>
      </c>
      <c r="AF13" s="848">
        <f>IF('الأجـــازة للوصايا'!M113=0,'الأجـــازة للوصايا'!BV10,0)</f>
        <v>0</v>
      </c>
      <c r="AG13" s="848">
        <f>IF('الأجـــازة للوصايا'!N113=0,'الأجـــازة للوصايا'!BW10,0)</f>
        <v>0</v>
      </c>
      <c r="AH13" s="848"/>
      <c r="AI13" s="848"/>
      <c r="AJ13" s="866">
        <f t="shared" si="8"/>
        <v>0</v>
      </c>
      <c r="AK13" s="293">
        <f t="shared" ref="AK13:AK27" si="13">$AI$11</f>
        <v>0</v>
      </c>
      <c r="AL13" s="293">
        <f t="shared" si="9"/>
        <v>100</v>
      </c>
      <c r="AM13" s="1" t="e">
        <f t="shared" si="10"/>
        <v>#DIV/0!</v>
      </c>
    </row>
    <row r="14" spans="1:50" ht="18.75" customHeight="1" thickTop="1" thickBot="1">
      <c r="C14" s="1297"/>
      <c r="D14" s="1298"/>
      <c r="E14" s="697"/>
      <c r="M14" s="679">
        <f t="shared" si="0"/>
        <v>0</v>
      </c>
      <c r="N14" s="680" t="e">
        <f t="shared" si="1"/>
        <v>#DIV/0!</v>
      </c>
      <c r="O14" s="848" t="e">
        <f>'ورقة أجازة وعدم الأجازة للمختصن'!BA94</f>
        <v>#DIV/0!</v>
      </c>
      <c r="P14" s="848" t="e">
        <f t="shared" si="2"/>
        <v>#DIV/0!</v>
      </c>
      <c r="Q14" s="848">
        <f>IF('الأجـــازة للوصايا'!I114&gt;0,'الأجـــازة للوصايا'!I114,0)</f>
        <v>0</v>
      </c>
      <c r="R14" s="848" t="e">
        <f t="shared" si="3"/>
        <v>#DIV/0!</v>
      </c>
      <c r="S14" s="848">
        <f t="shared" si="4"/>
        <v>0</v>
      </c>
      <c r="T14" s="848">
        <f t="shared" si="5"/>
        <v>0</v>
      </c>
      <c r="U14" s="848">
        <f t="shared" si="6"/>
        <v>0</v>
      </c>
      <c r="V14" s="848">
        <f t="shared" si="7"/>
        <v>0</v>
      </c>
      <c r="W14" s="848">
        <f t="shared" si="11"/>
        <v>0</v>
      </c>
      <c r="X14" s="848">
        <f>IFERROR( ( (('الأجـــازة للوصايا'!I114-(( (AC14+AG14) +(AB14+AF14) +(AA14+AE14) +(Z14+AD14)  ))*'الأجـــازة للوصايا'!I114))),0)</f>
        <v>0</v>
      </c>
      <c r="Y14" s="848">
        <f t="shared" si="12"/>
        <v>0</v>
      </c>
      <c r="Z14" s="848">
        <f>IF('الأجـــازة للوصايا'!K114=1, 'الأجـــازة للوصايا'!BT9,0)</f>
        <v>0</v>
      </c>
      <c r="AA14" s="848">
        <f>IF('الأجـــازة للوصايا'!L114=1, 'الأجـــازة للوصايا'!BU9,0)</f>
        <v>0</v>
      </c>
      <c r="AB14" s="848">
        <f>IF('الأجـــازة للوصايا'!M114=1, 'الأجـــازة للوصايا'!BV9,0)</f>
        <v>0</v>
      </c>
      <c r="AC14" s="848">
        <f>IF('الأجـــازة للوصايا'!N114=1, 'الأجـــازة للوصايا'!BW9,0)</f>
        <v>0</v>
      </c>
      <c r="AD14" s="848">
        <f>IF('الأجـــازة للوصايا'!K114=0,'الأجـــازة للوصايا'!BT10,0)</f>
        <v>0</v>
      </c>
      <c r="AE14" s="848">
        <f>IF('الأجـــازة للوصايا'!L114=0,'الأجـــازة للوصايا'!BU10,0)</f>
        <v>0</v>
      </c>
      <c r="AF14" s="848">
        <f>IF('الأجـــازة للوصايا'!M114=0,'الأجـــازة للوصايا'!BV10,0)</f>
        <v>0</v>
      </c>
      <c r="AG14" s="848">
        <f>IF('الأجـــازة للوصايا'!N114=0,'الأجـــازة للوصايا'!BW10,0)</f>
        <v>0</v>
      </c>
      <c r="AH14" s="848"/>
      <c r="AI14" s="848"/>
      <c r="AJ14" s="866">
        <f t="shared" si="8"/>
        <v>0</v>
      </c>
      <c r="AK14" s="293">
        <f t="shared" si="13"/>
        <v>0</v>
      </c>
      <c r="AL14" s="293">
        <f t="shared" si="9"/>
        <v>100</v>
      </c>
      <c r="AM14" s="1" t="e">
        <f t="shared" si="10"/>
        <v>#DIV/0!</v>
      </c>
    </row>
    <row r="15" spans="1:50" ht="18.75" customHeight="1" thickTop="1" thickBot="1">
      <c r="C15" s="1297"/>
      <c r="D15" s="1298"/>
      <c r="E15" s="697"/>
      <c r="M15" s="679">
        <f t="shared" si="0"/>
        <v>0</v>
      </c>
      <c r="N15" s="680" t="e">
        <f t="shared" si="1"/>
        <v>#DIV/0!</v>
      </c>
      <c r="O15" s="848" t="e">
        <f>'ورقة أجازة وعدم الأجازة للمختصن'!BA95</f>
        <v>#DIV/0!</v>
      </c>
      <c r="P15" s="848" t="e">
        <f t="shared" si="2"/>
        <v>#DIV/0!</v>
      </c>
      <c r="Q15" s="848">
        <f>IF('الأجـــازة للوصايا'!I115&gt;0,'الأجـــازة للوصايا'!I115,0)</f>
        <v>0</v>
      </c>
      <c r="R15" s="848" t="e">
        <f t="shared" si="3"/>
        <v>#DIV/0!</v>
      </c>
      <c r="S15" s="848">
        <f t="shared" si="4"/>
        <v>0</v>
      </c>
      <c r="T15" s="848">
        <f t="shared" si="5"/>
        <v>0</v>
      </c>
      <c r="U15" s="848">
        <f t="shared" si="6"/>
        <v>0</v>
      </c>
      <c r="V15" s="848">
        <f t="shared" si="7"/>
        <v>0</v>
      </c>
      <c r="W15" s="848">
        <f t="shared" si="11"/>
        <v>0</v>
      </c>
      <c r="X15" s="848">
        <f>IFERROR( ( (('الأجـــازة للوصايا'!I115-(( (AC15+AG15) +(AB15+AF15) +(AA15+AE15) +(Z15+AD15)  ))*'الأجـــازة للوصايا'!I115))),0)</f>
        <v>0</v>
      </c>
      <c r="Y15" s="848">
        <f t="shared" si="12"/>
        <v>0</v>
      </c>
      <c r="Z15" s="848">
        <f>IF('الأجـــازة للوصايا'!K115=1, 'الأجـــازة للوصايا'!BT9,0)</f>
        <v>0</v>
      </c>
      <c r="AA15" s="848">
        <f>IF('الأجـــازة للوصايا'!L115=1, 'الأجـــازة للوصايا'!BU9,0)</f>
        <v>0</v>
      </c>
      <c r="AB15" s="848">
        <f>IF('الأجـــازة للوصايا'!M115=1, 'الأجـــازة للوصايا'!BV9,0)</f>
        <v>0</v>
      </c>
      <c r="AC15" s="848">
        <f>IF('الأجـــازة للوصايا'!N115=1, 'الأجـــازة للوصايا'!BW9,0)</f>
        <v>0</v>
      </c>
      <c r="AD15" s="848">
        <f>IF('الأجـــازة للوصايا'!K115=0,'الأجـــازة للوصايا'!BT10,0)</f>
        <v>0</v>
      </c>
      <c r="AE15" s="848">
        <f>IF('الأجـــازة للوصايا'!L115=0,'الأجـــازة للوصايا'!BU10,0)</f>
        <v>0</v>
      </c>
      <c r="AF15" s="848">
        <f>IF('الأجـــازة للوصايا'!M115=0,'الأجـــازة للوصايا'!BV10,0)</f>
        <v>0</v>
      </c>
      <c r="AG15" s="848">
        <f>IF('الأجـــازة للوصايا'!N115=0,'الأجـــازة للوصايا'!BW10,0)</f>
        <v>0</v>
      </c>
      <c r="AH15" s="848"/>
      <c r="AI15" s="848"/>
      <c r="AJ15" s="866">
        <f t="shared" si="8"/>
        <v>0</v>
      </c>
      <c r="AK15" s="293">
        <f t="shared" si="13"/>
        <v>0</v>
      </c>
      <c r="AL15" s="293">
        <f t="shared" si="9"/>
        <v>100</v>
      </c>
      <c r="AM15" s="1" t="e">
        <f t="shared" si="10"/>
        <v>#DIV/0!</v>
      </c>
    </row>
    <row r="16" spans="1:50" ht="18.75" customHeight="1" thickTop="1" thickBot="1">
      <c r="C16" s="1297"/>
      <c r="D16" s="1298"/>
      <c r="E16" s="697"/>
      <c r="M16" s="679">
        <f t="shared" si="0"/>
        <v>0</v>
      </c>
      <c r="N16" s="680" t="e">
        <f t="shared" si="1"/>
        <v>#DIV/0!</v>
      </c>
      <c r="O16" s="848" t="e">
        <f>'ورقة أجازة وعدم الأجازة للمختصن'!BA96</f>
        <v>#DIV/0!</v>
      </c>
      <c r="P16" s="848" t="e">
        <f t="shared" si="2"/>
        <v>#DIV/0!</v>
      </c>
      <c r="Q16" s="848">
        <f>IF('الأجـــازة للوصايا'!I116&gt;0,'الأجـــازة للوصايا'!I116,0)</f>
        <v>0</v>
      </c>
      <c r="R16" s="848" t="e">
        <f t="shared" si="3"/>
        <v>#DIV/0!</v>
      </c>
      <c r="S16" s="848">
        <f t="shared" si="4"/>
        <v>0</v>
      </c>
      <c r="T16" s="848">
        <f t="shared" si="5"/>
        <v>0</v>
      </c>
      <c r="U16" s="848">
        <f t="shared" si="6"/>
        <v>0</v>
      </c>
      <c r="V16" s="848">
        <f t="shared" si="7"/>
        <v>0</v>
      </c>
      <c r="W16" s="848">
        <f t="shared" si="11"/>
        <v>0</v>
      </c>
      <c r="X16" s="848">
        <f>IFERROR( ( (('الأجـــازة للوصايا'!I116-(( (AC16+AG16) +(AB16+AF16) +(AA16+AE16) +(Z16+AD16)  ))*'الأجـــازة للوصايا'!I116))),0)</f>
        <v>0</v>
      </c>
      <c r="Y16" s="848">
        <f t="shared" si="12"/>
        <v>0</v>
      </c>
      <c r="Z16" s="848">
        <f>IF('الأجـــازة للوصايا'!K116=1, 'الأجـــازة للوصايا'!BT9,0)</f>
        <v>0</v>
      </c>
      <c r="AA16" s="848">
        <f>IF('الأجـــازة للوصايا'!L116=1, 'الأجـــازة للوصايا'!BU9,0)</f>
        <v>0</v>
      </c>
      <c r="AB16" s="848">
        <f>IF('الأجـــازة للوصايا'!M116=1, 'الأجـــازة للوصايا'!BV9,0)</f>
        <v>0</v>
      </c>
      <c r="AC16" s="848">
        <f>IF('الأجـــازة للوصايا'!N116=1, 'الأجـــازة للوصايا'!BW9,0)</f>
        <v>0</v>
      </c>
      <c r="AD16" s="848">
        <f>IF('الأجـــازة للوصايا'!K116=0,'الأجـــازة للوصايا'!BT10,0)</f>
        <v>0</v>
      </c>
      <c r="AE16" s="848">
        <f>IF('الأجـــازة للوصايا'!L116=0,'الأجـــازة للوصايا'!BU10,0)</f>
        <v>0</v>
      </c>
      <c r="AF16" s="848">
        <f>IF('الأجـــازة للوصايا'!M116=0,'الأجـــازة للوصايا'!BV10,0)</f>
        <v>0</v>
      </c>
      <c r="AG16" s="848">
        <f>IF('الأجـــازة للوصايا'!N116=0,'الأجـــازة للوصايا'!BW10,0)</f>
        <v>0</v>
      </c>
      <c r="AH16" s="848"/>
      <c r="AI16" s="848"/>
      <c r="AJ16" s="866">
        <f t="shared" si="8"/>
        <v>0</v>
      </c>
      <c r="AK16" s="293">
        <f t="shared" si="13"/>
        <v>0</v>
      </c>
      <c r="AL16" s="293">
        <f t="shared" si="9"/>
        <v>100</v>
      </c>
      <c r="AM16" s="1" t="e">
        <f t="shared" si="10"/>
        <v>#DIV/0!</v>
      </c>
    </row>
    <row r="17" spans="3:44" ht="18.75" customHeight="1" thickTop="1" thickBot="1">
      <c r="C17" s="1297"/>
      <c r="D17" s="1298"/>
      <c r="E17" s="697"/>
      <c r="M17" s="679">
        <f t="shared" si="0"/>
        <v>0</v>
      </c>
      <c r="N17" s="680" t="e">
        <f t="shared" si="1"/>
        <v>#DIV/0!</v>
      </c>
      <c r="O17" s="848" t="e">
        <f>'ورقة أجازة وعدم الأجازة للمختصن'!BA97</f>
        <v>#DIV/0!</v>
      </c>
      <c r="P17" s="848" t="e">
        <f t="shared" si="2"/>
        <v>#DIV/0!</v>
      </c>
      <c r="Q17" s="848">
        <f>IF('الأجـــازة للوصايا'!I117&gt;0,'الأجـــازة للوصايا'!I117,0)</f>
        <v>0</v>
      </c>
      <c r="R17" s="848" t="e">
        <f t="shared" si="3"/>
        <v>#DIV/0!</v>
      </c>
      <c r="S17" s="848">
        <f t="shared" si="4"/>
        <v>0</v>
      </c>
      <c r="T17" s="848">
        <f t="shared" si="5"/>
        <v>0</v>
      </c>
      <c r="U17" s="848">
        <f t="shared" si="6"/>
        <v>0</v>
      </c>
      <c r="V17" s="848">
        <f t="shared" si="7"/>
        <v>0</v>
      </c>
      <c r="W17" s="848">
        <f t="shared" si="11"/>
        <v>0</v>
      </c>
      <c r="X17" s="848">
        <f>IFERROR( ( (('الأجـــازة للوصايا'!I117-(( (AC17+AG17) +(AB17+AF17) +(AA17+AE17) +(Z17+AD17)  ))*'الأجـــازة للوصايا'!I117))),0)</f>
        <v>0</v>
      </c>
      <c r="Y17" s="848">
        <f t="shared" si="12"/>
        <v>0</v>
      </c>
      <c r="Z17" s="848">
        <f>IF('الأجـــازة للوصايا'!K117=1, 'الأجـــازة للوصايا'!BT9,0)</f>
        <v>0</v>
      </c>
      <c r="AA17" s="848">
        <f>IF('الأجـــازة للوصايا'!L117=1, 'الأجـــازة للوصايا'!BU9,0)</f>
        <v>0</v>
      </c>
      <c r="AB17" s="848">
        <f>IF('الأجـــازة للوصايا'!M117=1, 'الأجـــازة للوصايا'!BV9,0)</f>
        <v>0</v>
      </c>
      <c r="AC17" s="848">
        <f>IF('الأجـــازة للوصايا'!N117=1, 'الأجـــازة للوصايا'!BW9,0)</f>
        <v>0</v>
      </c>
      <c r="AD17" s="848">
        <f>IF('الأجـــازة للوصايا'!K117=0,'الأجـــازة للوصايا'!BT10,0)</f>
        <v>0</v>
      </c>
      <c r="AE17" s="848">
        <f>IF('الأجـــازة للوصايا'!L117=0,'الأجـــازة للوصايا'!BU10,0)</f>
        <v>0</v>
      </c>
      <c r="AF17" s="848">
        <f>IF('الأجـــازة للوصايا'!M117=0,'الأجـــازة للوصايا'!BV10,0)</f>
        <v>0</v>
      </c>
      <c r="AG17" s="848">
        <f>IF('الأجـــازة للوصايا'!N117=0,'الأجـــازة للوصايا'!BW10,0)</f>
        <v>0</v>
      </c>
      <c r="AH17" s="848"/>
      <c r="AI17" s="848"/>
      <c r="AJ17" s="866">
        <f t="shared" si="8"/>
        <v>0</v>
      </c>
      <c r="AK17" s="293">
        <f t="shared" si="13"/>
        <v>0</v>
      </c>
      <c r="AL17" s="293">
        <f t="shared" si="9"/>
        <v>100</v>
      </c>
      <c r="AM17" s="1" t="e">
        <f t="shared" si="10"/>
        <v>#DIV/0!</v>
      </c>
    </row>
    <row r="18" spans="3:44" ht="18.75" customHeight="1" thickTop="1" thickBot="1">
      <c r="C18" s="1297"/>
      <c r="D18" s="1298"/>
      <c r="E18" s="697"/>
      <c r="M18" s="679">
        <f t="shared" si="0"/>
        <v>0</v>
      </c>
      <c r="N18" s="680" t="e">
        <f t="shared" si="1"/>
        <v>#DIV/0!</v>
      </c>
      <c r="O18" s="848" t="e">
        <f>'ورقة أجازة وعدم الأجازة للمختصن'!BA98</f>
        <v>#DIV/0!</v>
      </c>
      <c r="P18" s="848" t="e">
        <f t="shared" si="2"/>
        <v>#DIV/0!</v>
      </c>
      <c r="Q18" s="848">
        <f>IF('الأجـــازة للوصايا'!I118&gt;0,'الأجـــازة للوصايا'!I118,0)</f>
        <v>0</v>
      </c>
      <c r="R18" s="848" t="e">
        <f t="shared" si="3"/>
        <v>#DIV/0!</v>
      </c>
      <c r="S18" s="848">
        <f t="shared" si="4"/>
        <v>0</v>
      </c>
      <c r="T18" s="848">
        <f t="shared" si="5"/>
        <v>0</v>
      </c>
      <c r="U18" s="848">
        <f t="shared" si="6"/>
        <v>0</v>
      </c>
      <c r="V18" s="848">
        <f t="shared" si="7"/>
        <v>0</v>
      </c>
      <c r="W18" s="848">
        <f t="shared" si="11"/>
        <v>0</v>
      </c>
      <c r="X18" s="848">
        <f>IFERROR( ( (('الأجـــازة للوصايا'!I118-(( (AC18+AG18) +(AB18+AF18) +(AA18+AE18) +(Z18+AD18)  ))*'الأجـــازة للوصايا'!I118))),0)</f>
        <v>0</v>
      </c>
      <c r="Y18" s="848">
        <f t="shared" si="12"/>
        <v>0</v>
      </c>
      <c r="Z18" s="848">
        <f>IF('الأجـــازة للوصايا'!K118=1, 'الأجـــازة للوصايا'!BT9,0)</f>
        <v>0</v>
      </c>
      <c r="AA18" s="848">
        <f>IF('الأجـــازة للوصايا'!L118=1, 'الأجـــازة للوصايا'!BU9,0)</f>
        <v>0</v>
      </c>
      <c r="AB18" s="848">
        <f>IF('الأجـــازة للوصايا'!M118=1, 'الأجـــازة للوصايا'!BV9,0)</f>
        <v>0</v>
      </c>
      <c r="AC18" s="848">
        <f>IF('الأجـــازة للوصايا'!N118=1, 'الأجـــازة للوصايا'!BW9,0)</f>
        <v>0</v>
      </c>
      <c r="AD18" s="848">
        <f>IF('الأجـــازة للوصايا'!K118=0,'الأجـــازة للوصايا'!BT10,0)</f>
        <v>0</v>
      </c>
      <c r="AE18" s="848">
        <f>IF('الأجـــازة للوصايا'!L118=0,'الأجـــازة للوصايا'!BU10,0)</f>
        <v>0</v>
      </c>
      <c r="AF18" s="848">
        <f>IF('الأجـــازة للوصايا'!M118=0,'الأجـــازة للوصايا'!BV10,0)</f>
        <v>0</v>
      </c>
      <c r="AG18" s="848">
        <f>IF('الأجـــازة للوصايا'!N118=0,'الأجـــازة للوصايا'!BW10,0)</f>
        <v>0</v>
      </c>
      <c r="AH18" s="848"/>
      <c r="AI18" s="848"/>
      <c r="AJ18" s="866">
        <f t="shared" si="8"/>
        <v>0</v>
      </c>
      <c r="AK18" s="293">
        <f t="shared" si="13"/>
        <v>0</v>
      </c>
      <c r="AL18" s="293">
        <f t="shared" si="9"/>
        <v>100</v>
      </c>
      <c r="AM18" s="1" t="e">
        <f t="shared" si="10"/>
        <v>#DIV/0!</v>
      </c>
    </row>
    <row r="19" spans="3:44" ht="18.75" customHeight="1" thickTop="1" thickBot="1">
      <c r="C19" s="1297"/>
      <c r="D19" s="1298"/>
      <c r="E19" s="697"/>
      <c r="M19" s="679">
        <f t="shared" si="0"/>
        <v>0</v>
      </c>
      <c r="N19" s="680" t="e">
        <f t="shared" si="1"/>
        <v>#DIV/0!</v>
      </c>
      <c r="O19" s="848" t="e">
        <f>'ورقة أجازة وعدم الأجازة للمختصن'!BA99</f>
        <v>#DIV/0!</v>
      </c>
      <c r="P19" s="848" t="e">
        <f t="shared" si="2"/>
        <v>#DIV/0!</v>
      </c>
      <c r="Q19" s="848">
        <f>IF('الأجـــازة للوصايا'!I119&gt;0,'الأجـــازة للوصايا'!I119,0)</f>
        <v>0</v>
      </c>
      <c r="R19" s="848" t="e">
        <f t="shared" si="3"/>
        <v>#DIV/0!</v>
      </c>
      <c r="S19" s="848">
        <f t="shared" si="4"/>
        <v>0</v>
      </c>
      <c r="T19" s="848">
        <f t="shared" si="5"/>
        <v>0</v>
      </c>
      <c r="U19" s="848">
        <f t="shared" si="6"/>
        <v>0</v>
      </c>
      <c r="V19" s="848">
        <f t="shared" si="7"/>
        <v>0</v>
      </c>
      <c r="W19" s="848">
        <f t="shared" si="11"/>
        <v>0</v>
      </c>
      <c r="X19" s="848">
        <f>IFERROR( ( (('الأجـــازة للوصايا'!I119-(( (AC19+AG19) +(AB19+AF19) +(AA19+AE19) +(Z19+AD19)  ))*'الأجـــازة للوصايا'!I119))),0)</f>
        <v>0</v>
      </c>
      <c r="Y19" s="848">
        <f t="shared" si="12"/>
        <v>0</v>
      </c>
      <c r="Z19" s="848">
        <f>IF('الأجـــازة للوصايا'!K119=1, 'الأجـــازة للوصايا'!BT9,0)</f>
        <v>0</v>
      </c>
      <c r="AA19" s="848">
        <f>IF('الأجـــازة للوصايا'!L119=1, 'الأجـــازة للوصايا'!BU9,0)</f>
        <v>0</v>
      </c>
      <c r="AB19" s="848">
        <f>IF('الأجـــازة للوصايا'!M119=1, 'الأجـــازة للوصايا'!BV9,0)</f>
        <v>0</v>
      </c>
      <c r="AC19" s="848">
        <f>IF('الأجـــازة للوصايا'!N119=1, 'الأجـــازة للوصايا'!BW9,0)</f>
        <v>0</v>
      </c>
      <c r="AD19" s="848">
        <f>IF('الأجـــازة للوصايا'!K119=0,'الأجـــازة للوصايا'!BT10,0)</f>
        <v>0</v>
      </c>
      <c r="AE19" s="848">
        <f>IF('الأجـــازة للوصايا'!L119=0,'الأجـــازة للوصايا'!BU10,0)</f>
        <v>0</v>
      </c>
      <c r="AF19" s="848">
        <f>IF('الأجـــازة للوصايا'!M119=0,'الأجـــازة للوصايا'!BV10,0)</f>
        <v>0</v>
      </c>
      <c r="AG19" s="848">
        <f>IF('الأجـــازة للوصايا'!N119=0,'الأجـــازة للوصايا'!BW10,0)</f>
        <v>0</v>
      </c>
      <c r="AH19" s="848"/>
      <c r="AI19" s="848"/>
      <c r="AJ19" s="866">
        <f t="shared" si="8"/>
        <v>0</v>
      </c>
      <c r="AK19" s="293">
        <f t="shared" si="13"/>
        <v>0</v>
      </c>
      <c r="AL19" s="293">
        <f t="shared" si="9"/>
        <v>100</v>
      </c>
      <c r="AM19" s="1" t="e">
        <f t="shared" si="10"/>
        <v>#DIV/0!</v>
      </c>
    </row>
    <row r="20" spans="3:44" ht="18.75" customHeight="1" thickTop="1" thickBot="1">
      <c r="C20" s="1297"/>
      <c r="D20" s="1298"/>
      <c r="E20" s="697"/>
      <c r="M20" s="679">
        <f t="shared" si="0"/>
        <v>0</v>
      </c>
      <c r="N20" s="680" t="e">
        <f t="shared" si="1"/>
        <v>#DIV/0!</v>
      </c>
      <c r="O20" s="848" t="e">
        <f>'ورقة أجازة وعدم الأجازة للمختصن'!BA100</f>
        <v>#DIV/0!</v>
      </c>
      <c r="P20" s="848" t="e">
        <f t="shared" si="2"/>
        <v>#DIV/0!</v>
      </c>
      <c r="Q20" s="848">
        <f>IF('الأجـــازة للوصايا'!I120&gt;0,'الأجـــازة للوصايا'!I120,0)</f>
        <v>0</v>
      </c>
      <c r="R20" s="848" t="e">
        <f t="shared" si="3"/>
        <v>#DIV/0!</v>
      </c>
      <c r="S20" s="848">
        <f t="shared" si="4"/>
        <v>0</v>
      </c>
      <c r="T20" s="848">
        <f t="shared" si="5"/>
        <v>0</v>
      </c>
      <c r="U20" s="848">
        <f t="shared" si="6"/>
        <v>0</v>
      </c>
      <c r="V20" s="848">
        <f t="shared" si="7"/>
        <v>0</v>
      </c>
      <c r="W20" s="848">
        <f t="shared" si="11"/>
        <v>0</v>
      </c>
      <c r="X20" s="848">
        <f>IFERROR( ( (('الأجـــازة للوصايا'!I120-(( (AC20+AG20) +(AB20+AF20) +(AA20+AE20) +(Z20+AD20)  ))*'الأجـــازة للوصايا'!I120))),0)</f>
        <v>0</v>
      </c>
      <c r="Y20" s="848">
        <f t="shared" si="12"/>
        <v>0</v>
      </c>
      <c r="Z20" s="848">
        <f>IF('الأجـــازة للوصايا'!K120=1, 'الأجـــازة للوصايا'!BT9,0)</f>
        <v>0</v>
      </c>
      <c r="AA20" s="848">
        <f>IF('الأجـــازة للوصايا'!L120=1, 'الأجـــازة للوصايا'!BU9,0)</f>
        <v>0</v>
      </c>
      <c r="AB20" s="848">
        <f>IF('الأجـــازة للوصايا'!M120=1, 'الأجـــازة للوصايا'!BV9,0)</f>
        <v>0</v>
      </c>
      <c r="AC20" s="848">
        <f>IF('الأجـــازة للوصايا'!N120=1, 'الأجـــازة للوصايا'!BW9,0)</f>
        <v>0</v>
      </c>
      <c r="AD20" s="848">
        <f>IF('الأجـــازة للوصايا'!K120=0,'الأجـــازة للوصايا'!BT10,0)</f>
        <v>0</v>
      </c>
      <c r="AE20" s="848">
        <f>IF('الأجـــازة للوصايا'!L120=0,'الأجـــازة للوصايا'!BU10,0)</f>
        <v>0</v>
      </c>
      <c r="AF20" s="848">
        <f>IF('الأجـــازة للوصايا'!M120=0,'الأجـــازة للوصايا'!BV10,0)</f>
        <v>0</v>
      </c>
      <c r="AG20" s="848">
        <f>IF('الأجـــازة للوصايا'!N120=0,'الأجـــازة للوصايا'!BW10,0)</f>
        <v>0</v>
      </c>
      <c r="AH20" s="848"/>
      <c r="AI20" s="848"/>
      <c r="AJ20" s="866">
        <f t="shared" si="8"/>
        <v>0</v>
      </c>
      <c r="AK20" s="293">
        <f t="shared" si="13"/>
        <v>0</v>
      </c>
      <c r="AL20" s="293">
        <f t="shared" si="9"/>
        <v>100</v>
      </c>
      <c r="AM20" s="1" t="e">
        <f t="shared" si="10"/>
        <v>#DIV/0!</v>
      </c>
    </row>
    <row r="21" spans="3:44" ht="18.75" customHeight="1" thickTop="1" thickBot="1">
      <c r="C21" s="1299"/>
      <c r="D21" s="1300"/>
      <c r="E21" s="697"/>
      <c r="M21" s="679">
        <f t="shared" si="0"/>
        <v>0</v>
      </c>
      <c r="N21" s="680" t="e">
        <f t="shared" si="1"/>
        <v>#DIV/0!</v>
      </c>
      <c r="O21" s="848" t="e">
        <f>'ورقة أجازة وعدم الأجازة للمختصن'!BA101</f>
        <v>#DIV/0!</v>
      </c>
      <c r="P21" s="848" t="e">
        <f t="shared" si="2"/>
        <v>#DIV/0!</v>
      </c>
      <c r="Q21" s="848">
        <f>IF('الأجـــازة للوصايا'!I121&gt;0,'الأجـــازة للوصايا'!I121,0)</f>
        <v>0</v>
      </c>
      <c r="R21" s="848" t="e">
        <f t="shared" si="3"/>
        <v>#DIV/0!</v>
      </c>
      <c r="S21" s="848">
        <f t="shared" si="4"/>
        <v>0</v>
      </c>
      <c r="T21" s="848">
        <f t="shared" si="5"/>
        <v>0</v>
      </c>
      <c r="U21" s="848">
        <f t="shared" si="6"/>
        <v>0</v>
      </c>
      <c r="V21" s="848">
        <f t="shared" si="7"/>
        <v>0</v>
      </c>
      <c r="W21" s="848">
        <f t="shared" si="11"/>
        <v>0</v>
      </c>
      <c r="X21" s="848">
        <f>IFERROR( ( (('الأجـــازة للوصايا'!I121-(( (AC21+AG21) +(AB21+AF21) +(AA21+AE21) +(Z21+AD21)  ))*'الأجـــازة للوصايا'!I121))),0)</f>
        <v>0</v>
      </c>
      <c r="Y21" s="848">
        <f t="shared" si="12"/>
        <v>0</v>
      </c>
      <c r="Z21" s="848">
        <f>IF('الأجـــازة للوصايا'!K121=1, 'الأجـــازة للوصايا'!BT9,0)</f>
        <v>0</v>
      </c>
      <c r="AA21" s="848">
        <f>IF('الأجـــازة للوصايا'!L121=1, 'الأجـــازة للوصايا'!BU9,0)</f>
        <v>0</v>
      </c>
      <c r="AB21" s="848">
        <f>IF('الأجـــازة للوصايا'!M121=1, 'الأجـــازة للوصايا'!BV9,0)</f>
        <v>0</v>
      </c>
      <c r="AC21" s="848">
        <f>IF('الأجـــازة للوصايا'!N121=1, 'الأجـــازة للوصايا'!BW9,0)</f>
        <v>0</v>
      </c>
      <c r="AD21" s="848">
        <f>IF('الأجـــازة للوصايا'!K121=0,'الأجـــازة للوصايا'!BT10,0)</f>
        <v>0</v>
      </c>
      <c r="AE21" s="848">
        <f>IF('الأجـــازة للوصايا'!L121=0,'الأجـــازة للوصايا'!BU10,0)</f>
        <v>0</v>
      </c>
      <c r="AF21" s="848">
        <f>IF('الأجـــازة للوصايا'!M121=0,'الأجـــازة للوصايا'!BV10,0)</f>
        <v>0</v>
      </c>
      <c r="AG21" s="848">
        <f>IF('الأجـــازة للوصايا'!N121=0,'الأجـــازة للوصايا'!BW10,0)</f>
        <v>0</v>
      </c>
      <c r="AH21" s="848"/>
      <c r="AI21" s="848"/>
      <c r="AJ21" s="866">
        <f t="shared" si="8"/>
        <v>0</v>
      </c>
      <c r="AK21" s="293">
        <f t="shared" si="13"/>
        <v>0</v>
      </c>
      <c r="AL21" s="293">
        <f t="shared" si="9"/>
        <v>100</v>
      </c>
      <c r="AM21" s="1" t="e">
        <f t="shared" si="10"/>
        <v>#DIV/0!</v>
      </c>
    </row>
    <row r="22" spans="3:44" ht="18.75" customHeight="1" thickTop="1" thickBot="1">
      <c r="C22" s="698"/>
      <c r="D22" s="698"/>
      <c r="E22" s="697"/>
      <c r="M22" s="679">
        <f t="shared" si="0"/>
        <v>0</v>
      </c>
      <c r="N22" s="680" t="e">
        <f t="shared" si="1"/>
        <v>#DIV/0!</v>
      </c>
      <c r="O22" s="848" t="e">
        <f>'ورقة أجازة وعدم الأجازة للمختصن'!BA102</f>
        <v>#DIV/0!</v>
      </c>
      <c r="P22" s="848" t="e">
        <f t="shared" si="2"/>
        <v>#DIV/0!</v>
      </c>
      <c r="Q22" s="848">
        <f>IF('الأجـــازة للوصايا'!I122&gt;0,'الأجـــازة للوصايا'!I122,0)</f>
        <v>0</v>
      </c>
      <c r="R22" s="848" t="e">
        <f t="shared" si="3"/>
        <v>#DIV/0!</v>
      </c>
      <c r="S22" s="848">
        <f t="shared" si="4"/>
        <v>0</v>
      </c>
      <c r="T22" s="848">
        <f t="shared" si="5"/>
        <v>0</v>
      </c>
      <c r="U22" s="848">
        <f t="shared" si="6"/>
        <v>0</v>
      </c>
      <c r="V22" s="848">
        <f t="shared" si="7"/>
        <v>0</v>
      </c>
      <c r="W22" s="848">
        <f t="shared" si="11"/>
        <v>0</v>
      </c>
      <c r="X22" s="848">
        <f>IFERROR( ( (('الأجـــازة للوصايا'!I122-(( (AC22+AG22) +(AB22+AF22) +(AA22+AE22) +(Z22+AD22)  ))*'الأجـــازة للوصايا'!I122))),0)</f>
        <v>0</v>
      </c>
      <c r="Y22" s="848">
        <f t="shared" si="12"/>
        <v>0</v>
      </c>
      <c r="Z22" s="848">
        <f>IF('الأجـــازة للوصايا'!K122=1, 'الأجـــازة للوصايا'!BT9,0)</f>
        <v>0</v>
      </c>
      <c r="AA22" s="848">
        <f>IF('الأجـــازة للوصايا'!L122=1, 'الأجـــازة للوصايا'!BU9,0)</f>
        <v>0</v>
      </c>
      <c r="AB22" s="848">
        <f>IF('الأجـــازة للوصايا'!M122=1, 'الأجـــازة للوصايا'!BV9,0)</f>
        <v>0</v>
      </c>
      <c r="AC22" s="848">
        <f>IF('الأجـــازة للوصايا'!N122=1, 'الأجـــازة للوصايا'!BW9,0)</f>
        <v>0</v>
      </c>
      <c r="AD22" s="848">
        <f>IF('الأجـــازة للوصايا'!K122=0,'الأجـــازة للوصايا'!BT10,0)</f>
        <v>0</v>
      </c>
      <c r="AE22" s="848">
        <f>IF('الأجـــازة للوصايا'!L122=0,'الأجـــازة للوصايا'!BU10,0)</f>
        <v>0</v>
      </c>
      <c r="AF22" s="848">
        <f>IF('الأجـــازة للوصايا'!M122=0,'الأجـــازة للوصايا'!BV10,0)</f>
        <v>0</v>
      </c>
      <c r="AG22" s="848">
        <f>IF('الأجـــازة للوصايا'!N122=0,'الأجـــازة للوصايا'!BW10,0)</f>
        <v>0</v>
      </c>
      <c r="AH22" s="848"/>
      <c r="AI22" s="848"/>
      <c r="AJ22" s="866">
        <f t="shared" si="8"/>
        <v>0</v>
      </c>
      <c r="AK22" s="293">
        <f t="shared" si="13"/>
        <v>0</v>
      </c>
      <c r="AL22" s="293">
        <f t="shared" si="9"/>
        <v>100</v>
      </c>
      <c r="AM22" s="1" t="e">
        <f t="shared" si="10"/>
        <v>#DIV/0!</v>
      </c>
    </row>
    <row r="23" spans="3:44" ht="18.75" customHeight="1" thickTop="1" thickBot="1">
      <c r="C23" s="715" t="s">
        <v>114</v>
      </c>
      <c r="D23" s="698"/>
      <c r="E23" s="697"/>
      <c r="M23" s="679">
        <f t="shared" si="0"/>
        <v>0</v>
      </c>
      <c r="N23" s="680" t="e">
        <f t="shared" si="1"/>
        <v>#DIV/0!</v>
      </c>
      <c r="O23" s="848" t="e">
        <f>'ورقة أجازة وعدم الأجازة للمختصن'!BA103</f>
        <v>#DIV/0!</v>
      </c>
      <c r="P23" s="848" t="e">
        <f t="shared" si="2"/>
        <v>#DIV/0!</v>
      </c>
      <c r="Q23" s="848">
        <f>IF('الأجـــازة للوصايا'!I123&gt;0,'الأجـــازة للوصايا'!I123,0)</f>
        <v>0</v>
      </c>
      <c r="R23" s="848" t="e">
        <f t="shared" si="3"/>
        <v>#DIV/0!</v>
      </c>
      <c r="S23" s="848">
        <f t="shared" si="4"/>
        <v>0</v>
      </c>
      <c r="T23" s="848">
        <f t="shared" si="5"/>
        <v>0</v>
      </c>
      <c r="U23" s="848">
        <f t="shared" si="6"/>
        <v>0</v>
      </c>
      <c r="V23" s="848">
        <f t="shared" si="7"/>
        <v>0</v>
      </c>
      <c r="W23" s="848">
        <f t="shared" si="11"/>
        <v>0</v>
      </c>
      <c r="X23" s="848">
        <f>IFERROR( ( (('الأجـــازة للوصايا'!I123-(( (AC23+AG23) +(AB23+AF23) +(AA23+AE23) +(Z23+AD23)  ))*'الأجـــازة للوصايا'!I123))),0)</f>
        <v>0</v>
      </c>
      <c r="Y23" s="848">
        <f t="shared" si="12"/>
        <v>0</v>
      </c>
      <c r="Z23" s="848">
        <f>IF('الأجـــازة للوصايا'!K123=1, 'الأجـــازة للوصايا'!BT9,0)</f>
        <v>0</v>
      </c>
      <c r="AA23" s="848">
        <f>IF('الأجـــازة للوصايا'!L123=1, 'الأجـــازة للوصايا'!BU9,0)</f>
        <v>0</v>
      </c>
      <c r="AB23" s="848">
        <f>IF('الأجـــازة للوصايا'!M123=1, 'الأجـــازة للوصايا'!BV9,0)</f>
        <v>0</v>
      </c>
      <c r="AC23" s="848">
        <f>IF('الأجـــازة للوصايا'!N123=1, 'الأجـــازة للوصايا'!BW9,0)</f>
        <v>0</v>
      </c>
      <c r="AD23" s="848">
        <f>IF('الأجـــازة للوصايا'!K123=0,'الأجـــازة للوصايا'!BT10,0)</f>
        <v>0</v>
      </c>
      <c r="AE23" s="848">
        <f>IF('الأجـــازة للوصايا'!L123=0,'الأجـــازة للوصايا'!BU10,0)</f>
        <v>0</v>
      </c>
      <c r="AF23" s="848">
        <f>IF('الأجـــازة للوصايا'!M123=0,'الأجـــازة للوصايا'!BV10,0)</f>
        <v>0</v>
      </c>
      <c r="AG23" s="848">
        <f>IF('الأجـــازة للوصايا'!N123=0,'الأجـــازة للوصايا'!BW10,0)</f>
        <v>0</v>
      </c>
      <c r="AH23" s="848"/>
      <c r="AI23" s="848"/>
      <c r="AJ23" s="866">
        <f t="shared" si="8"/>
        <v>0</v>
      </c>
      <c r="AK23" s="293">
        <f t="shared" si="13"/>
        <v>0</v>
      </c>
      <c r="AL23" s="293">
        <f t="shared" si="9"/>
        <v>100</v>
      </c>
      <c r="AM23" s="1" t="e">
        <f t="shared" si="10"/>
        <v>#DIV/0!</v>
      </c>
    </row>
    <row r="24" spans="3:44" ht="16.5" customHeight="1" thickTop="1" thickBot="1">
      <c r="C24" s="1391" t="s">
        <v>738</v>
      </c>
      <c r="D24" s="686">
        <f>'الأجـــازة للوصايا'!BT7</f>
        <v>0</v>
      </c>
      <c r="E24" s="697"/>
      <c r="M24" s="680">
        <f>IFERROR( 'الأجـــازة للوصايا'!BT24+'الأجـــازة للوصايا'!BV24,0)</f>
        <v>0</v>
      </c>
      <c r="N24" s="680" t="e">
        <f t="shared" si="1"/>
        <v>#DIV/0!</v>
      </c>
      <c r="O24" s="848" t="e">
        <f>'ورقة أجازة وعدم الأجازة للمختصن'!BA104</f>
        <v>#DIV/0!</v>
      </c>
      <c r="P24" s="848" t="e">
        <f t="shared" si="2"/>
        <v>#DIV/0!</v>
      </c>
      <c r="Q24" s="848">
        <f>IF('الأجـــازة للوصايا'!BT24&gt;0,'الأجـــازة للوصايا'!BT24,0)</f>
        <v>0</v>
      </c>
      <c r="R24" s="848" t="e">
        <f t="shared" si="3"/>
        <v>#DIV/0!</v>
      </c>
      <c r="S24" s="848">
        <f t="shared" si="4"/>
        <v>0</v>
      </c>
      <c r="T24" s="848">
        <f t="shared" si="5"/>
        <v>0</v>
      </c>
      <c r="U24" s="848">
        <f t="shared" si="6"/>
        <v>0</v>
      </c>
      <c r="V24" s="848">
        <f t="shared" si="7"/>
        <v>0</v>
      </c>
      <c r="W24" s="848">
        <f t="shared" si="11"/>
        <v>0</v>
      </c>
      <c r="X24" s="848"/>
      <c r="Y24" s="848">
        <f t="shared" si="12"/>
        <v>0</v>
      </c>
      <c r="Z24" s="848"/>
      <c r="AA24" s="848"/>
      <c r="AB24" s="848"/>
      <c r="AC24" s="848"/>
      <c r="AD24" s="848"/>
      <c r="AE24" s="848"/>
      <c r="AF24" s="848"/>
      <c r="AG24" s="848"/>
      <c r="AH24" s="848"/>
      <c r="AI24" s="848"/>
      <c r="AJ24" s="866">
        <f t="shared" si="8"/>
        <v>0</v>
      </c>
      <c r="AK24" s="293">
        <f t="shared" si="13"/>
        <v>0</v>
      </c>
      <c r="AL24" s="293">
        <f t="shared" si="9"/>
        <v>100</v>
      </c>
      <c r="AM24" s="1" t="e">
        <f t="shared" si="10"/>
        <v>#DIV/0!</v>
      </c>
    </row>
    <row r="25" spans="3:44" ht="16.5" customHeight="1" thickTop="1" thickBot="1">
      <c r="C25" s="1392"/>
      <c r="D25" s="686">
        <f>'الأجـــازة للوصايا'!BU7</f>
        <v>0</v>
      </c>
      <c r="E25" s="697"/>
      <c r="M25" s="680">
        <f>IFERROR( 'الأجـــازة للوصايا'!BT25+'الأجـــازة للوصايا'!BV25,0)</f>
        <v>0</v>
      </c>
      <c r="N25" s="680" t="e">
        <f t="shared" si="1"/>
        <v>#DIV/0!</v>
      </c>
      <c r="O25" s="848" t="e">
        <f>'ورقة أجازة وعدم الأجازة للمختصن'!BA105</f>
        <v>#DIV/0!</v>
      </c>
      <c r="P25" s="848" t="e">
        <f t="shared" si="2"/>
        <v>#DIV/0!</v>
      </c>
      <c r="Q25" s="848">
        <f>IF('الأجـــازة للوصايا'!BT25&gt;0,'الأجـــازة للوصايا'!BT25,0)</f>
        <v>0</v>
      </c>
      <c r="R25" s="848" t="e">
        <f t="shared" si="3"/>
        <v>#DIV/0!</v>
      </c>
      <c r="S25" s="848">
        <f t="shared" si="4"/>
        <v>0</v>
      </c>
      <c r="T25" s="848">
        <f t="shared" si="5"/>
        <v>0</v>
      </c>
      <c r="U25" s="848">
        <f t="shared" si="6"/>
        <v>0</v>
      </c>
      <c r="V25" s="848">
        <f t="shared" si="7"/>
        <v>0</v>
      </c>
      <c r="W25" s="848">
        <f t="shared" si="11"/>
        <v>0</v>
      </c>
      <c r="X25" s="848"/>
      <c r="Y25" s="848">
        <f t="shared" si="12"/>
        <v>0</v>
      </c>
      <c r="Z25" s="848"/>
      <c r="AA25" s="848"/>
      <c r="AB25" s="848"/>
      <c r="AC25" s="848"/>
      <c r="AD25" s="848"/>
      <c r="AE25" s="848"/>
      <c r="AF25" s="848"/>
      <c r="AG25" s="848"/>
      <c r="AH25" s="848"/>
      <c r="AI25" s="848"/>
      <c r="AJ25" s="866">
        <f t="shared" si="8"/>
        <v>0</v>
      </c>
      <c r="AK25" s="293">
        <f t="shared" si="13"/>
        <v>0</v>
      </c>
      <c r="AL25" s="293">
        <f t="shared" si="9"/>
        <v>100</v>
      </c>
      <c r="AM25" s="1" t="e">
        <f t="shared" si="10"/>
        <v>#DIV/0!</v>
      </c>
    </row>
    <row r="26" spans="3:44" ht="16.5" customHeight="1" thickTop="1" thickBot="1">
      <c r="C26" s="1392"/>
      <c r="D26" s="686">
        <f>'الأجـــازة للوصايا'!BV7</f>
        <v>0</v>
      </c>
      <c r="E26" s="697"/>
      <c r="M26" s="680">
        <f>IFERROR( 'الأجـــازة للوصايا'!BT26+'الأجـــازة للوصايا'!BV26,0)</f>
        <v>0</v>
      </c>
      <c r="N26" s="680" t="e">
        <f t="shared" si="1"/>
        <v>#DIV/0!</v>
      </c>
      <c r="O26" s="848" t="e">
        <f>'ورقة أجازة وعدم الأجازة للمختصن'!BA106</f>
        <v>#DIV/0!</v>
      </c>
      <c r="P26" s="848" t="e">
        <f t="shared" si="2"/>
        <v>#DIV/0!</v>
      </c>
      <c r="Q26" s="848">
        <f>IF('الأجـــازة للوصايا'!BT26&gt;0,'الأجـــازة للوصايا'!BT26,0)</f>
        <v>0</v>
      </c>
      <c r="R26" s="848" t="e">
        <f t="shared" si="3"/>
        <v>#DIV/0!</v>
      </c>
      <c r="S26" s="848">
        <f t="shared" si="4"/>
        <v>0</v>
      </c>
      <c r="T26" s="848">
        <f t="shared" si="5"/>
        <v>0</v>
      </c>
      <c r="U26" s="848">
        <f t="shared" si="6"/>
        <v>0</v>
      </c>
      <c r="V26" s="848">
        <f t="shared" si="7"/>
        <v>0</v>
      </c>
      <c r="W26" s="848">
        <f t="shared" si="11"/>
        <v>0</v>
      </c>
      <c r="X26" s="848"/>
      <c r="Y26" s="848">
        <f t="shared" si="12"/>
        <v>0</v>
      </c>
      <c r="Z26" s="848"/>
      <c r="AA26" s="848"/>
      <c r="AB26" s="848" t="s">
        <v>114</v>
      </c>
      <c r="AC26" s="848"/>
      <c r="AD26" s="848"/>
      <c r="AE26" s="848"/>
      <c r="AF26" s="848"/>
      <c r="AG26" s="848"/>
      <c r="AH26" s="848"/>
      <c r="AI26" s="848"/>
      <c r="AJ26" s="866">
        <f t="shared" si="8"/>
        <v>0</v>
      </c>
      <c r="AK26" s="293">
        <f t="shared" si="13"/>
        <v>0</v>
      </c>
      <c r="AL26" s="293">
        <f t="shared" si="9"/>
        <v>100</v>
      </c>
      <c r="AM26" s="1" t="e">
        <f t="shared" si="10"/>
        <v>#DIV/0!</v>
      </c>
    </row>
    <row r="27" spans="3:44" ht="16.5" customHeight="1" thickTop="1" thickBot="1">
      <c r="C27" s="1393"/>
      <c r="D27" s="686">
        <f>'الأجـــازة للوصايا'!BW7</f>
        <v>0</v>
      </c>
      <c r="E27" s="697"/>
      <c r="M27" s="691">
        <f>IFERROR( 'الأجـــازة للوصايا'!BT27+'الأجـــازة للوصايا'!BV27,0)</f>
        <v>0</v>
      </c>
      <c r="N27" s="691" t="e">
        <f t="shared" si="1"/>
        <v>#DIV/0!</v>
      </c>
      <c r="O27" s="848" t="e">
        <f>'ورقة أجازة وعدم الأجازة للمختصن'!BA107</f>
        <v>#DIV/0!</v>
      </c>
      <c r="P27" s="848" t="e">
        <f t="shared" si="2"/>
        <v>#DIV/0!</v>
      </c>
      <c r="Q27" s="848">
        <f>IF('الأجـــازة للوصايا'!BT27&gt;0,'الأجـــازة للوصايا'!BT27,0)</f>
        <v>0</v>
      </c>
      <c r="R27" s="848" t="e">
        <f t="shared" si="3"/>
        <v>#DIV/0!</v>
      </c>
      <c r="S27" s="848">
        <f t="shared" si="4"/>
        <v>0</v>
      </c>
      <c r="T27" s="848">
        <f t="shared" si="5"/>
        <v>0</v>
      </c>
      <c r="U27" s="848">
        <f t="shared" si="6"/>
        <v>0</v>
      </c>
      <c r="V27" s="848">
        <f t="shared" si="7"/>
        <v>0</v>
      </c>
      <c r="W27" s="848">
        <f t="shared" si="11"/>
        <v>0</v>
      </c>
      <c r="X27" s="848"/>
      <c r="Y27" s="848">
        <f t="shared" si="12"/>
        <v>0</v>
      </c>
      <c r="Z27" s="848"/>
      <c r="AA27" s="848"/>
      <c r="AB27" s="848"/>
      <c r="AC27" s="848"/>
      <c r="AD27" s="848"/>
      <c r="AE27" s="848"/>
      <c r="AF27" s="848"/>
      <c r="AG27" s="848"/>
      <c r="AH27" s="848"/>
      <c r="AI27" s="848"/>
      <c r="AJ27" s="866">
        <f t="shared" si="8"/>
        <v>0</v>
      </c>
      <c r="AK27" s="293">
        <f t="shared" si="13"/>
        <v>0</v>
      </c>
      <c r="AL27" s="293">
        <f t="shared" si="9"/>
        <v>100</v>
      </c>
      <c r="AM27" s="1" t="e">
        <f t="shared" si="10"/>
        <v>#DIV/0!</v>
      </c>
    </row>
    <row r="28" spans="3:44" ht="15.75" customHeight="1">
      <c r="C28" s="1"/>
      <c r="D28" s="1"/>
      <c r="F28" s="462" t="s">
        <v>114</v>
      </c>
      <c r="G28" s="462"/>
      <c r="H28" s="463"/>
      <c r="I28" s="464"/>
      <c r="J28" s="464"/>
      <c r="K28" s="464"/>
      <c r="L28" s="465"/>
      <c r="M28" s="465"/>
      <c r="N28" s="465"/>
      <c r="O28" s="465"/>
      <c r="P28" s="566" t="e">
        <f>SUM(AM12:AM27)</f>
        <v>#DIV/0!</v>
      </c>
      <c r="Q28" s="479"/>
      <c r="R28" s="480" t="e">
        <f>SUM(R12:R27)</f>
        <v>#DIV/0!</v>
      </c>
      <c r="S28" s="480"/>
      <c r="T28" s="481"/>
      <c r="U28" s="482"/>
      <c r="V28" s="481">
        <f>SUM(V12:V27)</f>
        <v>0</v>
      </c>
      <c r="W28" s="483"/>
      <c r="X28" s="481"/>
      <c r="Y28" s="28"/>
      <c r="Z28" s="478"/>
      <c r="AA28" s="478"/>
      <c r="AB28" s="1"/>
      <c r="AC28" s="1"/>
      <c r="AD28" s="1"/>
      <c r="AE28" s="1"/>
      <c r="AF28" s="1"/>
      <c r="AG28" s="1"/>
      <c r="AH28" s="1"/>
      <c r="AI28" s="1"/>
      <c r="AJ28" s="1"/>
      <c r="AK28" s="1"/>
      <c r="AR28" t="s">
        <v>114</v>
      </c>
    </row>
    <row r="29" spans="3:44" ht="15.75">
      <c r="G29" s="28"/>
      <c r="H29" s="28"/>
      <c r="I29" s="28"/>
      <c r="J29" s="28"/>
      <c r="K29" s="28"/>
      <c r="L29" s="28"/>
      <c r="M29" s="478">
        <f>SUM(M12:M27)</f>
        <v>0</v>
      </c>
      <c r="N29" s="478" t="e">
        <f>SUM(N12:N27)</f>
        <v>#DIV/0!</v>
      </c>
      <c r="O29" s="478"/>
      <c r="Q29" s="28"/>
      <c r="R29" s="28"/>
      <c r="S29" s="537">
        <f>GCD(S12:S27)</f>
        <v>0</v>
      </c>
      <c r="T29" s="28"/>
      <c r="U29" s="28"/>
      <c r="V29" s="28"/>
      <c r="W29" s="28"/>
      <c r="X29" s="28"/>
      <c r="Y29" s="28"/>
      <c r="Z29" s="28"/>
      <c r="AA29" s="28"/>
      <c r="AC29" s="1"/>
    </row>
    <row r="30" spans="3:44" ht="18.75" hidden="1">
      <c r="G30" s="28"/>
      <c r="H30" s="28"/>
      <c r="I30" s="28"/>
      <c r="J30" s="28"/>
      <c r="K30" s="28"/>
      <c r="L30" s="28"/>
      <c r="M30" s="28"/>
      <c r="N30" s="28"/>
      <c r="O30" s="28"/>
      <c r="P30" s="549" t="e">
        <f>SUM(P12:P27)</f>
        <v>#DIV/0!</v>
      </c>
      <c r="Q30" s="28"/>
      <c r="R30" s="28"/>
      <c r="S30" s="478">
        <f t="shared" ref="S30:S47" si="14">$S$29</f>
        <v>0</v>
      </c>
      <c r="T30" s="28"/>
      <c r="U30" s="28"/>
      <c r="V30" s="478">
        <f>ROUNDDOWN(V28,0)</f>
        <v>0</v>
      </c>
      <c r="W30" s="28"/>
      <c r="X30" s="28"/>
      <c r="Y30" s="28"/>
      <c r="Z30" s="28"/>
      <c r="AA30" s="28"/>
      <c r="AC30" s="1"/>
    </row>
    <row r="31" spans="3:44" hidden="1">
      <c r="E31">
        <f>L31</f>
        <v>0</v>
      </c>
      <c r="F31" s="1">
        <f>'الأجـــازة للوصايا'!J112</f>
        <v>1</v>
      </c>
      <c r="G31" s="478">
        <f>'الأجـــازة للوصايا'!H112</f>
        <v>0</v>
      </c>
      <c r="I31" s="478">
        <f>'الأجـــازة للوصايا'!J112</f>
        <v>1</v>
      </c>
      <c r="J31" s="28">
        <f>IF(F31&gt;1,M31,0)</f>
        <v>0</v>
      </c>
      <c r="K31" t="e">
        <f>VLOOKUP(1,E31:J42,3,FALSE)</f>
        <v>#N/A</v>
      </c>
      <c r="L31" s="28">
        <f t="shared" ref="L31:L42" si="15">IF(I31&gt;1,1,0)</f>
        <v>0</v>
      </c>
      <c r="M31" s="28">
        <f>VLOOKUP(F31,F31:I40,2,FALSE)</f>
        <v>0</v>
      </c>
      <c r="N31" s="28"/>
      <c r="O31" s="28"/>
      <c r="P31" s="478">
        <f t="shared" ref="P31:P44" si="16">L31</f>
        <v>0</v>
      </c>
      <c r="Q31" s="28"/>
      <c r="R31" s="28"/>
      <c r="S31" s="478">
        <f t="shared" si="14"/>
        <v>0</v>
      </c>
      <c r="T31" s="28"/>
      <c r="U31" s="28"/>
      <c r="V31" s="478">
        <f>V28-V30</f>
        <v>0</v>
      </c>
      <c r="W31" s="28"/>
      <c r="X31" s="28"/>
      <c r="Y31" s="28"/>
      <c r="Z31" s="28"/>
      <c r="AA31" s="28"/>
      <c r="AC31" s="1"/>
      <c r="AJ31" s="478">
        <f>'الأجـــازة للوصايا'!I112</f>
        <v>0</v>
      </c>
    </row>
    <row r="32" spans="3:44" hidden="1">
      <c r="E32">
        <f>L32+SUM(L31)</f>
        <v>0</v>
      </c>
      <c r="F32" s="1">
        <f>'الأجـــازة للوصايا'!J113</f>
        <v>0</v>
      </c>
      <c r="G32" s="478">
        <f>'الأجـــازة للوصايا'!H113</f>
        <v>0</v>
      </c>
      <c r="I32" s="478">
        <f>'الأجـــازة للوصايا'!J113</f>
        <v>0</v>
      </c>
      <c r="J32" s="28">
        <f>IF(F32&gt;1,M32,0)</f>
        <v>0</v>
      </c>
      <c r="K32" t="e">
        <f>VLOOKUP(2,E31:J42,3,FALSE)</f>
        <v>#N/A</v>
      </c>
      <c r="L32" s="28">
        <f t="shared" si="15"/>
        <v>0</v>
      </c>
      <c r="M32" s="28">
        <f>VLOOKUP(F32,F31:I40,2,FALSE)</f>
        <v>0</v>
      </c>
      <c r="N32" s="28"/>
      <c r="O32" s="28"/>
      <c r="P32" s="478">
        <f t="shared" si="16"/>
        <v>0</v>
      </c>
      <c r="Q32" s="28"/>
      <c r="R32" s="28"/>
      <c r="S32" s="478">
        <f t="shared" si="14"/>
        <v>0</v>
      </c>
      <c r="T32" s="28"/>
      <c r="U32" s="28"/>
      <c r="V32" s="478" t="s">
        <v>114</v>
      </c>
      <c r="W32" s="28"/>
      <c r="X32" s="28"/>
      <c r="Y32" s="28"/>
      <c r="Z32" s="28"/>
      <c r="AA32" s="28"/>
      <c r="AC32" s="1"/>
      <c r="AJ32" s="478">
        <f>'الأجـــازة للوصايا'!I113</f>
        <v>0</v>
      </c>
    </row>
    <row r="33" spans="5:36" hidden="1">
      <c r="E33">
        <f>L33+SUM(L31:L32)</f>
        <v>0</v>
      </c>
      <c r="F33" s="1">
        <f>'الأجـــازة للوصايا'!J114</f>
        <v>-1</v>
      </c>
      <c r="G33" s="478">
        <f>'الأجـــازة للوصايا'!H114</f>
        <v>0</v>
      </c>
      <c r="I33" s="478">
        <f>'الأجـــازة للوصايا'!J114</f>
        <v>-1</v>
      </c>
      <c r="J33" s="28">
        <f>IF(F33&gt;1,M33,0)</f>
        <v>0</v>
      </c>
      <c r="K33" t="e">
        <f>VLOOKUP(3,E31:J42,3,FALSE)</f>
        <v>#N/A</v>
      </c>
      <c r="L33" s="28">
        <f t="shared" si="15"/>
        <v>0</v>
      </c>
      <c r="M33" s="28">
        <f>VLOOKUP(F33,F31:I40,2,FALSE)</f>
        <v>0</v>
      </c>
      <c r="N33" s="28"/>
      <c r="O33" s="28"/>
      <c r="P33" s="478">
        <f t="shared" si="16"/>
        <v>0</v>
      </c>
      <c r="Q33" s="28"/>
      <c r="R33" s="28"/>
      <c r="S33" s="478">
        <f t="shared" si="14"/>
        <v>0</v>
      </c>
      <c r="T33" s="28"/>
      <c r="U33" s="28"/>
      <c r="V33" s="28"/>
      <c r="W33" s="28"/>
      <c r="X33" s="28"/>
      <c r="Y33" s="28"/>
      <c r="Z33" s="28"/>
      <c r="AA33" s="28"/>
      <c r="AC33" s="1"/>
      <c r="AJ33" s="478">
        <f>'الأجـــازة للوصايا'!I114</f>
        <v>0</v>
      </c>
    </row>
    <row r="34" spans="5:36" hidden="1">
      <c r="E34">
        <f>L34+SUM(L31:L33)</f>
        <v>0</v>
      </c>
      <c r="F34" s="1">
        <f>'الأجـــازة للوصايا'!J115</f>
        <v>-2</v>
      </c>
      <c r="G34" s="478">
        <f>'الأجـــازة للوصايا'!H115</f>
        <v>0</v>
      </c>
      <c r="I34" s="478">
        <f>'الأجـــازة للوصايا'!J115</f>
        <v>-2</v>
      </c>
      <c r="J34" s="28">
        <f>IF(F34&gt;1,M34,0)</f>
        <v>0</v>
      </c>
      <c r="K34" t="e">
        <f>VLOOKUP(4,E31:J42,3,FALSE)</f>
        <v>#N/A</v>
      </c>
      <c r="L34" s="28">
        <f t="shared" si="15"/>
        <v>0</v>
      </c>
      <c r="M34" s="28">
        <f>VLOOKUP(F34,F31:I40,2,FALSE)</f>
        <v>0</v>
      </c>
      <c r="N34" s="28"/>
      <c r="O34" s="28"/>
      <c r="P34" s="28">
        <f t="shared" si="16"/>
        <v>0</v>
      </c>
      <c r="Q34" s="28"/>
      <c r="R34" s="28"/>
      <c r="S34" s="478">
        <f t="shared" si="14"/>
        <v>0</v>
      </c>
      <c r="T34" s="28"/>
      <c r="U34" s="28"/>
      <c r="V34" s="28"/>
      <c r="W34" s="28"/>
      <c r="X34" s="28"/>
      <c r="Y34" s="28"/>
      <c r="Z34" s="28"/>
      <c r="AA34" s="28"/>
      <c r="AC34" s="1"/>
      <c r="AJ34" s="478">
        <f>'الأجـــازة للوصايا'!I115</f>
        <v>0</v>
      </c>
    </row>
    <row r="35" spans="5:36" hidden="1">
      <c r="E35">
        <f>L35+SUM(L31:L34)</f>
        <v>0</v>
      </c>
      <c r="F35" s="1">
        <f>'الأجـــازة للوصايا'!J116</f>
        <v>-3</v>
      </c>
      <c r="G35" s="478">
        <f>'الأجـــازة للوصايا'!H116</f>
        <v>0</v>
      </c>
      <c r="I35" s="478">
        <f>'الأجـــازة للوصايا'!J116</f>
        <v>-3</v>
      </c>
      <c r="J35" s="28">
        <f>IF( F35&gt;1, G35,0)</f>
        <v>0</v>
      </c>
      <c r="K35" t="e">
        <f>VLOOKUP(5,E31:J42,3,FALSE)</f>
        <v>#N/A</v>
      </c>
      <c r="L35" s="28">
        <f t="shared" si="15"/>
        <v>0</v>
      </c>
      <c r="M35" s="28">
        <f>VLOOKUP(F35,F31:I40,2,FALSE)</f>
        <v>0</v>
      </c>
      <c r="N35" s="28"/>
      <c r="O35" s="28"/>
      <c r="P35" s="28">
        <f t="shared" si="16"/>
        <v>0</v>
      </c>
      <c r="Q35" s="28"/>
      <c r="R35" s="28"/>
      <c r="S35" s="478">
        <f t="shared" si="14"/>
        <v>0</v>
      </c>
      <c r="T35" s="28"/>
      <c r="U35" s="28"/>
      <c r="V35" s="28"/>
      <c r="W35" s="28"/>
      <c r="X35" s="28"/>
      <c r="Y35" s="28"/>
      <c r="Z35" s="28"/>
      <c r="AA35" s="28"/>
      <c r="AC35" s="1"/>
      <c r="AJ35" s="478">
        <f>'الأجـــازة للوصايا'!I116</f>
        <v>0</v>
      </c>
    </row>
    <row r="36" spans="5:36" hidden="1">
      <c r="E36">
        <f>L36+SUM(L31:L35)</f>
        <v>0</v>
      </c>
      <c r="F36" s="1">
        <f>'الأجـــازة للوصايا'!J117</f>
        <v>-4</v>
      </c>
      <c r="G36" s="478">
        <f>'الأجـــازة للوصايا'!H117</f>
        <v>0</v>
      </c>
      <c r="I36" s="478">
        <f>'الأجـــازة للوصايا'!J117</f>
        <v>-4</v>
      </c>
      <c r="J36" s="28">
        <f>IF(F36&gt;1, G36,0)</f>
        <v>0</v>
      </c>
      <c r="K36" t="e">
        <f>VLOOKUP(6,E31:J42,3,FALSE)</f>
        <v>#N/A</v>
      </c>
      <c r="L36" s="28">
        <f t="shared" si="15"/>
        <v>0</v>
      </c>
      <c r="M36" s="28"/>
      <c r="N36" s="28"/>
      <c r="O36" s="28"/>
      <c r="P36" s="28">
        <f t="shared" si="16"/>
        <v>0</v>
      </c>
      <c r="Q36" s="28"/>
      <c r="R36" s="28"/>
      <c r="S36" s="478">
        <f t="shared" si="14"/>
        <v>0</v>
      </c>
      <c r="T36" s="28"/>
      <c r="U36" s="28"/>
      <c r="V36" s="28"/>
      <c r="W36" s="28"/>
      <c r="X36" s="28"/>
      <c r="Y36" s="28"/>
      <c r="Z36" s="28"/>
      <c r="AA36" s="28"/>
      <c r="AC36" s="1"/>
      <c r="AJ36" s="478">
        <f>'الأجـــازة للوصايا'!I117</f>
        <v>0</v>
      </c>
    </row>
    <row r="37" spans="5:36" hidden="1">
      <c r="E37">
        <f>L37+SUM(L31:L36)</f>
        <v>0</v>
      </c>
      <c r="F37" s="1">
        <f>'الأجـــازة للوصايا'!J118</f>
        <v>-5</v>
      </c>
      <c r="G37" s="478">
        <f>'الأجـــازة للوصايا'!H118</f>
        <v>0</v>
      </c>
      <c r="I37" s="478">
        <f>'الأجـــازة للوصايا'!J118</f>
        <v>-5</v>
      </c>
      <c r="J37" s="28">
        <f>IF(F37&gt;1,#REF!,0)</f>
        <v>0</v>
      </c>
      <c r="K37" t="e">
        <f>VLOOKUP(7,E31:J42,3,FALSE)</f>
        <v>#N/A</v>
      </c>
      <c r="L37" s="28">
        <f t="shared" si="15"/>
        <v>0</v>
      </c>
      <c r="M37" s="28"/>
      <c r="N37" s="28"/>
      <c r="O37" s="28"/>
      <c r="P37" s="28">
        <f t="shared" si="16"/>
        <v>0</v>
      </c>
      <c r="Q37" s="28"/>
      <c r="R37" s="28"/>
      <c r="S37" s="478">
        <f t="shared" si="14"/>
        <v>0</v>
      </c>
      <c r="T37" s="28"/>
      <c r="U37" s="28"/>
      <c r="V37" s="28"/>
      <c r="W37" s="28"/>
      <c r="X37" s="28"/>
      <c r="Y37" s="28"/>
      <c r="Z37" s="28"/>
      <c r="AA37" s="28"/>
      <c r="AC37" s="1"/>
      <c r="AJ37" s="478">
        <f>'الأجـــازة للوصايا'!I118</f>
        <v>0</v>
      </c>
    </row>
    <row r="38" spans="5:36" hidden="1">
      <c r="E38">
        <f>L38+SUM(L31:L37)</f>
        <v>0</v>
      </c>
      <c r="F38" s="1">
        <f>'الأجـــازة للوصايا'!J119</f>
        <v>-6</v>
      </c>
      <c r="G38" s="478">
        <f>'الأجـــازة للوصايا'!H119</f>
        <v>0</v>
      </c>
      <c r="I38" s="478">
        <f>'الأجـــازة للوصايا'!J119</f>
        <v>-6</v>
      </c>
      <c r="J38" s="28">
        <f>IF(F38&gt;1,#REF!,0)</f>
        <v>0</v>
      </c>
      <c r="K38" t="e">
        <f>VLOOKUP(8,E31:J42,3,FALSE)</f>
        <v>#N/A</v>
      </c>
      <c r="L38" s="28">
        <f t="shared" si="15"/>
        <v>0</v>
      </c>
      <c r="M38" s="28"/>
      <c r="N38" s="28"/>
      <c r="O38" s="28"/>
      <c r="P38" s="28">
        <f t="shared" si="16"/>
        <v>0</v>
      </c>
      <c r="Q38" s="28"/>
      <c r="R38" s="28"/>
      <c r="S38" s="478">
        <f t="shared" si="14"/>
        <v>0</v>
      </c>
      <c r="T38" s="28"/>
      <c r="U38" s="28"/>
      <c r="V38" s="28"/>
      <c r="W38" s="28"/>
      <c r="X38" s="28"/>
      <c r="Y38" s="28"/>
      <c r="Z38" s="28"/>
      <c r="AA38" s="28"/>
      <c r="AC38" s="1"/>
      <c r="AJ38" s="478">
        <f>'الأجـــازة للوصايا'!I119</f>
        <v>0</v>
      </c>
    </row>
    <row r="39" spans="5:36" hidden="1">
      <c r="E39">
        <f>L39+SUM(L30:L38)</f>
        <v>0</v>
      </c>
      <c r="F39" s="1">
        <f>'الأجـــازة للوصايا'!J120</f>
        <v>-7</v>
      </c>
      <c r="G39" s="478">
        <f>'الأجـــازة للوصايا'!H120</f>
        <v>0</v>
      </c>
      <c r="I39" s="478">
        <f>'الأجـــازة للوصايا'!J120</f>
        <v>-7</v>
      </c>
      <c r="J39" s="28">
        <f>IF(F39&gt;1,#REF!,0)</f>
        <v>0</v>
      </c>
      <c r="K39" t="e">
        <f>VLOOKUP(9,E31:J42,3,FALSE)</f>
        <v>#N/A</v>
      </c>
      <c r="L39" s="28">
        <f t="shared" si="15"/>
        <v>0</v>
      </c>
      <c r="M39" s="28"/>
      <c r="N39" s="28"/>
      <c r="O39" s="28"/>
      <c r="P39" s="28">
        <f t="shared" si="16"/>
        <v>0</v>
      </c>
      <c r="Q39" s="28"/>
      <c r="R39" s="28"/>
      <c r="S39" s="478">
        <f t="shared" si="14"/>
        <v>0</v>
      </c>
      <c r="T39" s="28"/>
      <c r="U39" s="28"/>
      <c r="V39" s="28"/>
      <c r="W39" s="28"/>
      <c r="X39" s="28"/>
      <c r="Y39" s="28"/>
      <c r="Z39" s="28"/>
      <c r="AA39" s="28"/>
      <c r="AC39" s="1"/>
      <c r="AJ39" s="478">
        <f>'الأجـــازة للوصايا'!I120</f>
        <v>0</v>
      </c>
    </row>
    <row r="40" spans="5:36" hidden="1">
      <c r="E40">
        <f>L40+SUM(L31:L40)</f>
        <v>0</v>
      </c>
      <c r="F40" s="1">
        <f>'الأجـــازة للوصايا'!J121</f>
        <v>-8</v>
      </c>
      <c r="G40" s="478">
        <f>'الأجـــازة للوصايا'!H121</f>
        <v>0</v>
      </c>
      <c r="I40" s="478">
        <f>'الأجـــازة للوصايا'!J121</f>
        <v>-8</v>
      </c>
      <c r="J40" s="28"/>
      <c r="K40" t="e">
        <f>VLOOKUP(E40,H40:J51,3,FALSE)</f>
        <v>#N/A</v>
      </c>
      <c r="L40" s="28">
        <f t="shared" si="15"/>
        <v>0</v>
      </c>
      <c r="M40" s="28"/>
      <c r="N40" s="28"/>
      <c r="O40" s="28"/>
      <c r="P40" s="28">
        <f t="shared" si="16"/>
        <v>0</v>
      </c>
      <c r="Q40" s="28"/>
      <c r="R40" s="28"/>
      <c r="S40" s="478">
        <f t="shared" si="14"/>
        <v>0</v>
      </c>
      <c r="T40" s="28"/>
      <c r="U40" s="28"/>
      <c r="V40" s="28"/>
      <c r="W40" s="28"/>
      <c r="X40" s="28"/>
      <c r="Y40" s="28"/>
      <c r="Z40" s="28"/>
      <c r="AA40" s="28"/>
      <c r="AC40" s="1"/>
      <c r="AJ40" s="478">
        <f>'الأجـــازة للوصايا'!I121</f>
        <v>0</v>
      </c>
    </row>
    <row r="41" spans="5:36" hidden="1">
      <c r="E41">
        <f>L41+SUM(L30:L41)</f>
        <v>0</v>
      </c>
      <c r="F41" s="1">
        <f>'الأجـــازة للوصايا'!J122</f>
        <v>-9</v>
      </c>
      <c r="G41" s="478">
        <f>'الأجـــازة للوصايا'!H122</f>
        <v>0</v>
      </c>
      <c r="I41" s="478">
        <f>'الأجـــازة للوصايا'!J122</f>
        <v>-9</v>
      </c>
      <c r="J41" s="28"/>
      <c r="K41" t="e">
        <f>VLOOKUP(E41,H41:J52,3,FALSE)</f>
        <v>#N/A</v>
      </c>
      <c r="L41" s="28">
        <f t="shared" si="15"/>
        <v>0</v>
      </c>
      <c r="M41" s="28"/>
      <c r="N41" s="28"/>
      <c r="O41" s="28"/>
      <c r="P41" s="28">
        <f t="shared" si="16"/>
        <v>0</v>
      </c>
      <c r="Q41" s="28"/>
      <c r="R41" s="28"/>
      <c r="S41" s="478">
        <f t="shared" si="14"/>
        <v>0</v>
      </c>
      <c r="T41" s="28"/>
      <c r="U41" s="28"/>
      <c r="V41" s="28"/>
      <c r="W41" s="28"/>
      <c r="X41" s="28"/>
      <c r="Y41" s="28"/>
      <c r="Z41" s="28"/>
      <c r="AA41" s="28"/>
      <c r="AC41" s="1"/>
      <c r="AJ41" s="478">
        <f>'الأجـــازة للوصايا'!I122</f>
        <v>0</v>
      </c>
    </row>
    <row r="42" spans="5:36" hidden="1">
      <c r="E42">
        <f>L42+SUM(L41)</f>
        <v>0</v>
      </c>
      <c r="F42" s="1">
        <f>'الأجـــازة للوصايا'!J123</f>
        <v>-10</v>
      </c>
      <c r="G42" s="478">
        <f>'الأجـــازة للوصايا'!H123</f>
        <v>0</v>
      </c>
      <c r="I42" s="478">
        <f>'الأجـــازة للوصايا'!J123</f>
        <v>-10</v>
      </c>
      <c r="J42" s="28"/>
      <c r="K42" t="e">
        <f>VLOOKUP(E42,H42:J53,3,FALSE)</f>
        <v>#N/A</v>
      </c>
      <c r="L42" s="28">
        <f t="shared" si="15"/>
        <v>0</v>
      </c>
      <c r="M42" s="28"/>
      <c r="N42" s="28"/>
      <c r="O42" s="28"/>
      <c r="P42" s="28">
        <f t="shared" si="16"/>
        <v>0</v>
      </c>
      <c r="Q42" s="28"/>
      <c r="R42" s="28"/>
      <c r="S42" s="478">
        <f t="shared" si="14"/>
        <v>0</v>
      </c>
      <c r="T42" s="28"/>
      <c r="U42" s="28"/>
      <c r="V42" s="28"/>
      <c r="W42" s="28"/>
      <c r="X42" s="28"/>
      <c r="Y42" s="28"/>
      <c r="Z42" s="28"/>
      <c r="AA42" s="28"/>
      <c r="AC42" s="1"/>
      <c r="AJ42" s="478">
        <f>'الأجـــازة للوصايا'!I123</f>
        <v>0</v>
      </c>
    </row>
    <row r="43" spans="5:36" hidden="1">
      <c r="E43">
        <f>L43+L42</f>
        <v>0</v>
      </c>
      <c r="G43" s="28"/>
      <c r="I43" s="28"/>
      <c r="J43" s="28"/>
      <c r="L43" s="28"/>
      <c r="M43" s="28"/>
      <c r="N43" s="28"/>
      <c r="O43" s="28"/>
      <c r="P43" s="28">
        <f t="shared" si="16"/>
        <v>0</v>
      </c>
      <c r="Q43" s="28"/>
      <c r="R43" s="28"/>
      <c r="S43" s="478">
        <f t="shared" si="14"/>
        <v>0</v>
      </c>
      <c r="T43" s="28"/>
      <c r="U43" s="28"/>
      <c r="V43" s="28"/>
      <c r="W43" s="28"/>
      <c r="X43" s="28"/>
      <c r="Y43" s="28"/>
      <c r="Z43" s="28"/>
      <c r="AA43" s="28"/>
      <c r="AC43" s="1"/>
    </row>
    <row r="44" spans="5:36">
      <c r="E44" s="28"/>
      <c r="G44" s="28"/>
      <c r="I44" s="28"/>
      <c r="J44" s="28"/>
      <c r="K44" s="28"/>
      <c r="L44" s="28"/>
      <c r="M44" s="28"/>
      <c r="N44" s="28"/>
      <c r="O44" s="28"/>
      <c r="P44" s="28">
        <f t="shared" si="16"/>
        <v>0</v>
      </c>
      <c r="Q44" s="28"/>
      <c r="R44" s="28"/>
      <c r="S44" s="478">
        <f t="shared" si="14"/>
        <v>0</v>
      </c>
      <c r="T44" s="28"/>
      <c r="U44" s="28"/>
      <c r="V44" s="28"/>
      <c r="W44" s="28"/>
      <c r="X44" s="28"/>
      <c r="Y44" s="28"/>
      <c r="Z44" s="28"/>
      <c r="AA44" s="28"/>
      <c r="AC44" s="1"/>
    </row>
    <row r="45" spans="5:36">
      <c r="E45" s="28"/>
      <c r="G45" s="28"/>
      <c r="I45" s="28"/>
      <c r="J45" s="28"/>
      <c r="K45" s="28"/>
      <c r="L45" s="28"/>
      <c r="M45" s="28"/>
      <c r="N45" s="28"/>
      <c r="O45" s="28"/>
      <c r="P45" s="28"/>
      <c r="Q45" s="28"/>
      <c r="R45" s="28"/>
      <c r="S45" s="478">
        <f t="shared" si="14"/>
        <v>0</v>
      </c>
      <c r="T45" s="28"/>
      <c r="U45" s="28"/>
      <c r="V45" s="28"/>
      <c r="W45" s="28"/>
      <c r="X45" s="28"/>
      <c r="Y45" s="28"/>
      <c r="Z45" s="28"/>
      <c r="AA45" s="28"/>
      <c r="AC45" s="1"/>
    </row>
    <row r="46" spans="5:36">
      <c r="G46" s="28"/>
      <c r="H46" s="28"/>
      <c r="I46" s="28"/>
      <c r="J46" s="28"/>
      <c r="K46" s="28"/>
      <c r="L46" s="28"/>
      <c r="M46" s="28"/>
      <c r="N46" s="28"/>
      <c r="O46" s="28"/>
      <c r="P46" s="28"/>
      <c r="Q46" s="28"/>
      <c r="R46" s="28"/>
      <c r="S46" s="478">
        <f t="shared" si="14"/>
        <v>0</v>
      </c>
      <c r="T46" s="28"/>
      <c r="U46" s="28"/>
      <c r="V46" s="28"/>
      <c r="W46" s="28"/>
      <c r="X46" s="28"/>
      <c r="Y46" s="28"/>
      <c r="Z46" s="28"/>
      <c r="AA46" s="28"/>
      <c r="AC46" s="1"/>
    </row>
    <row r="47" spans="5:36">
      <c r="G47" s="28"/>
      <c r="H47" s="28"/>
      <c r="I47" s="28"/>
      <c r="J47" s="28"/>
      <c r="K47" s="28"/>
      <c r="L47" s="28"/>
      <c r="M47" s="28"/>
      <c r="N47" s="28"/>
      <c r="O47" s="28"/>
      <c r="P47" s="28"/>
      <c r="Q47" s="28"/>
      <c r="R47" s="28"/>
      <c r="S47" s="478">
        <f t="shared" si="14"/>
        <v>0</v>
      </c>
      <c r="T47" s="28"/>
      <c r="U47" s="28"/>
      <c r="V47" s="28"/>
      <c r="W47" s="28"/>
      <c r="X47" s="28"/>
      <c r="Y47" s="28"/>
      <c r="Z47" s="28"/>
      <c r="AA47" s="28"/>
      <c r="AC47" s="1"/>
    </row>
    <row r="48" spans="5:36">
      <c r="G48" s="28"/>
      <c r="H48" s="28"/>
      <c r="I48" s="28"/>
      <c r="J48" s="28"/>
      <c r="K48" s="28"/>
      <c r="L48" s="28"/>
      <c r="M48" s="28"/>
      <c r="N48" s="28"/>
      <c r="O48" s="28"/>
      <c r="P48" s="28"/>
      <c r="Q48" s="28"/>
      <c r="R48" s="28"/>
      <c r="S48" s="28"/>
      <c r="U48" s="28"/>
      <c r="V48" s="28"/>
      <c r="W48" s="28"/>
      <c r="X48" s="28"/>
      <c r="Y48" s="28"/>
      <c r="Z48" s="28"/>
      <c r="AA48" s="28"/>
      <c r="AC48" s="1"/>
    </row>
    <row r="49" spans="7:29" ht="17.25" hidden="1" thickTop="1" thickBot="1">
      <c r="G49" s="28"/>
      <c r="H49" s="28"/>
      <c r="I49" s="28"/>
      <c r="J49" s="28"/>
      <c r="K49" s="28"/>
      <c r="L49" s="28"/>
      <c r="M49" s="552" t="s">
        <v>743</v>
      </c>
      <c r="N49" s="551"/>
      <c r="O49" s="570"/>
      <c r="P49" s="28"/>
      <c r="Q49" s="28"/>
      <c r="R49" s="28"/>
      <c r="S49" s="28"/>
      <c r="T49" s="28"/>
      <c r="U49" s="28"/>
      <c r="V49" s="28"/>
      <c r="W49" s="28"/>
      <c r="X49" s="28"/>
      <c r="Y49" s="28"/>
      <c r="Z49" s="28"/>
      <c r="AA49" s="28"/>
      <c r="AC49" s="1"/>
    </row>
    <row r="50" spans="7:29" ht="21.75" hidden="1" thickTop="1">
      <c r="G50" s="28"/>
      <c r="H50" s="28"/>
      <c r="I50" s="28"/>
      <c r="J50" s="28"/>
      <c r="K50" s="28"/>
      <c r="L50" s="28"/>
      <c r="M50" s="556" t="s">
        <v>742</v>
      </c>
      <c r="N50" s="494"/>
      <c r="O50" s="557" t="s">
        <v>114</v>
      </c>
      <c r="P50" s="28"/>
      <c r="Q50" s="28"/>
      <c r="R50" s="28"/>
      <c r="S50" s="28"/>
      <c r="T50" s="28"/>
      <c r="U50" s="28"/>
      <c r="V50" s="28"/>
      <c r="W50" s="28"/>
      <c r="X50" s="28"/>
      <c r="Y50" s="28"/>
      <c r="Z50" s="28"/>
      <c r="AA50" s="28"/>
      <c r="AC50" s="1"/>
    </row>
    <row r="51" spans="7:29" ht="15.75" hidden="1">
      <c r="G51" s="28"/>
      <c r="H51" s="28"/>
      <c r="I51" s="28"/>
      <c r="J51" s="28"/>
      <c r="K51" s="28"/>
      <c r="L51" s="28"/>
      <c r="M51" s="476" t="s">
        <v>745</v>
      </c>
      <c r="N51" s="28"/>
      <c r="O51" s="524">
        <v>1</v>
      </c>
      <c r="P51" s="28"/>
      <c r="Q51" s="28"/>
      <c r="R51" s="28"/>
      <c r="S51" s="28"/>
      <c r="T51" s="28"/>
      <c r="U51" s="28"/>
      <c r="V51" s="28"/>
      <c r="W51" s="28"/>
      <c r="X51" s="28"/>
      <c r="Y51" s="28"/>
      <c r="Z51" s="28"/>
      <c r="AA51" s="28"/>
      <c r="AC51" s="1"/>
    </row>
    <row r="52" spans="7:29" ht="15.75" hidden="1">
      <c r="G52" s="28"/>
      <c r="H52" s="28"/>
      <c r="I52" s="28"/>
      <c r="J52" s="28"/>
      <c r="K52" s="28"/>
      <c r="L52" s="28"/>
      <c r="M52" s="497" t="s">
        <v>746</v>
      </c>
      <c r="N52" s="28"/>
      <c r="O52" s="524">
        <v>1</v>
      </c>
      <c r="P52" s="28"/>
      <c r="Q52" s="28"/>
      <c r="R52" s="28"/>
      <c r="S52" s="28"/>
      <c r="T52" s="28"/>
      <c r="U52" s="28"/>
      <c r="V52" s="28"/>
      <c r="W52" s="28"/>
      <c r="X52" s="28"/>
      <c r="Y52" s="28"/>
      <c r="Z52" s="28"/>
      <c r="AA52" s="28"/>
      <c r="AC52" s="1"/>
    </row>
    <row r="53" spans="7:29" ht="15.75" hidden="1" thickBot="1">
      <c r="G53" s="28"/>
      <c r="H53" s="28"/>
      <c r="I53" s="28"/>
      <c r="J53" s="28"/>
      <c r="K53" s="28"/>
      <c r="L53" s="28"/>
      <c r="M53" s="28"/>
      <c r="N53" s="28"/>
      <c r="O53" s="28"/>
      <c r="P53" s="28"/>
      <c r="Q53" s="28"/>
      <c r="R53" s="28"/>
      <c r="S53" s="28"/>
      <c r="T53" s="28"/>
      <c r="U53" s="28"/>
      <c r="V53" s="28"/>
      <c r="W53" s="28"/>
      <c r="X53" s="28"/>
      <c r="Y53" s="28"/>
      <c r="Z53" s="28"/>
      <c r="AA53" s="28"/>
      <c r="AC53" s="1"/>
    </row>
    <row r="54" spans="7:29" ht="15.75" hidden="1" thickTop="1">
      <c r="G54" s="28"/>
      <c r="H54" s="28"/>
      <c r="I54" s="28"/>
      <c r="J54" s="28"/>
      <c r="K54" s="28"/>
      <c r="L54" s="28"/>
      <c r="M54" s="555">
        <f>ROUNDDOWN(V4,0)</f>
        <v>1</v>
      </c>
      <c r="N54" s="28"/>
      <c r="O54" s="28"/>
      <c r="P54" s="28"/>
      <c r="Q54" s="28"/>
      <c r="R54" s="28"/>
      <c r="S54" s="28"/>
      <c r="T54" s="28"/>
      <c r="U54" s="28"/>
      <c r="V54" s="28"/>
      <c r="W54" s="28"/>
      <c r="X54" s="28"/>
      <c r="Y54" s="28"/>
      <c r="Z54" s="28"/>
      <c r="AA54" s="28"/>
      <c r="AC54" s="1"/>
    </row>
    <row r="55" spans="7:29" hidden="1">
      <c r="G55" s="28"/>
      <c r="H55" s="28"/>
      <c r="I55" s="28"/>
      <c r="J55" s="28"/>
      <c r="K55" s="28"/>
      <c r="L55" s="28"/>
      <c r="M55" s="28"/>
      <c r="N55" s="28"/>
      <c r="O55" s="28"/>
      <c r="P55" s="28"/>
      <c r="Q55" s="28"/>
      <c r="R55" s="28"/>
      <c r="S55" s="28"/>
      <c r="T55" s="28"/>
      <c r="U55" s="28"/>
      <c r="V55" s="28"/>
      <c r="W55" s="28"/>
      <c r="X55" s="28"/>
      <c r="Y55" s="28"/>
      <c r="Z55" s="28"/>
      <c r="AA55" s="28"/>
      <c r="AC55" s="1"/>
    </row>
    <row r="56" spans="7:29">
      <c r="G56" s="28"/>
      <c r="H56" s="28"/>
      <c r="I56" s="28"/>
      <c r="J56" s="28"/>
      <c r="K56" s="28"/>
      <c r="L56" s="28"/>
      <c r="M56" s="28"/>
      <c r="N56" s="28"/>
      <c r="O56" s="28"/>
      <c r="P56" s="28"/>
      <c r="Q56" s="28"/>
      <c r="R56" s="28"/>
      <c r="S56" s="28"/>
      <c r="T56" s="28"/>
      <c r="U56" s="28"/>
      <c r="V56" s="28"/>
      <c r="W56" s="28"/>
      <c r="X56" s="28"/>
      <c r="Y56" s="28"/>
      <c r="Z56" s="28"/>
      <c r="AA56" s="28"/>
      <c r="AC56" s="1"/>
    </row>
    <row r="57" spans="7:29">
      <c r="G57" s="28"/>
      <c r="H57" s="28"/>
      <c r="I57" s="28"/>
      <c r="J57" s="28"/>
      <c r="K57" s="28"/>
      <c r="L57" s="28"/>
      <c r="M57" s="28"/>
      <c r="N57" s="28"/>
      <c r="O57" s="28"/>
      <c r="P57" s="28"/>
      <c r="Q57" s="28"/>
      <c r="R57" s="28"/>
      <c r="S57" s="28"/>
      <c r="T57" s="28"/>
      <c r="U57" s="28"/>
      <c r="V57" s="28"/>
      <c r="W57" s="28"/>
      <c r="X57" s="28"/>
      <c r="Y57" s="28"/>
      <c r="Z57" s="28"/>
      <c r="AA57" s="28"/>
      <c r="AC57" s="1"/>
    </row>
    <row r="58" spans="7:29">
      <c r="G58" s="28"/>
      <c r="H58" s="28"/>
      <c r="I58" s="28"/>
      <c r="J58" s="28"/>
      <c r="K58" s="28"/>
      <c r="L58" s="28"/>
      <c r="M58" s="28"/>
      <c r="N58" s="28"/>
      <c r="O58" s="28"/>
      <c r="P58" s="28"/>
      <c r="Q58" s="28"/>
      <c r="R58" s="28"/>
      <c r="S58" s="28"/>
      <c r="T58" s="28"/>
      <c r="U58" s="28"/>
      <c r="V58" s="28"/>
      <c r="W58" s="28"/>
      <c r="X58" s="28"/>
      <c r="Y58" s="28"/>
      <c r="Z58" s="28"/>
      <c r="AA58" s="28"/>
      <c r="AC58" s="1"/>
    </row>
    <row r="59" spans="7:29">
      <c r="G59" s="28"/>
      <c r="H59" s="28"/>
      <c r="I59" s="28"/>
      <c r="J59" s="28"/>
      <c r="K59" s="28"/>
      <c r="L59" s="28"/>
      <c r="M59" s="28"/>
      <c r="N59" s="28"/>
      <c r="O59" s="28"/>
      <c r="P59" s="28"/>
      <c r="Q59" s="28"/>
      <c r="R59" s="28"/>
      <c r="S59" s="28"/>
      <c r="T59" s="28"/>
      <c r="U59" s="28"/>
      <c r="V59" s="28"/>
      <c r="W59" s="28"/>
      <c r="X59" s="28"/>
      <c r="Y59" s="28"/>
      <c r="Z59" s="28"/>
      <c r="AA59" s="28"/>
      <c r="AC59" s="1"/>
    </row>
    <row r="60" spans="7:29">
      <c r="G60" s="28"/>
      <c r="H60" s="28"/>
      <c r="I60" s="28"/>
      <c r="J60" s="28"/>
      <c r="K60" s="28"/>
      <c r="L60" s="28"/>
      <c r="M60" s="28"/>
      <c r="N60" s="28"/>
      <c r="O60" s="28"/>
      <c r="P60" s="28"/>
      <c r="Q60" s="28"/>
      <c r="R60" s="28"/>
      <c r="S60" s="28"/>
      <c r="T60" s="28"/>
      <c r="U60" s="28"/>
      <c r="V60" s="28"/>
      <c r="W60" s="28"/>
      <c r="X60" s="28"/>
      <c r="Y60" s="28"/>
      <c r="Z60" s="28"/>
      <c r="AA60" s="28"/>
      <c r="AC60" s="1"/>
    </row>
    <row r="61" spans="7:29">
      <c r="G61" s="28"/>
      <c r="H61" s="28"/>
      <c r="I61" s="28"/>
      <c r="J61" s="28"/>
      <c r="K61" s="28"/>
      <c r="L61" s="28"/>
      <c r="M61" s="28"/>
      <c r="N61" s="28"/>
      <c r="O61" s="28"/>
      <c r="P61" s="28"/>
      <c r="Q61" s="28"/>
      <c r="R61" s="28"/>
      <c r="S61" s="28"/>
      <c r="T61" s="28"/>
      <c r="U61" s="28"/>
      <c r="V61" s="28"/>
      <c r="W61" s="28"/>
      <c r="X61" s="28"/>
      <c r="Y61" s="28"/>
      <c r="Z61" s="28"/>
      <c r="AA61" s="28"/>
      <c r="AC61" s="1"/>
    </row>
    <row r="62" spans="7:29">
      <c r="G62" s="28"/>
      <c r="H62" s="28"/>
      <c r="I62" s="28"/>
      <c r="J62" s="28"/>
      <c r="K62" s="28"/>
      <c r="L62" s="28"/>
      <c r="M62" s="28"/>
      <c r="N62" s="28"/>
      <c r="O62" s="28"/>
      <c r="P62" s="28"/>
      <c r="Q62" s="28"/>
      <c r="R62" s="28"/>
      <c r="S62" s="28"/>
      <c r="T62" s="28"/>
      <c r="U62" s="28"/>
      <c r="V62" s="28"/>
      <c r="W62" s="28"/>
      <c r="X62" s="28"/>
      <c r="Y62" s="28"/>
      <c r="Z62" s="28"/>
      <c r="AA62" s="28"/>
      <c r="AC62" s="1"/>
    </row>
    <row r="63" spans="7:29">
      <c r="G63" s="28"/>
      <c r="H63" s="28"/>
      <c r="I63" s="28"/>
      <c r="J63" s="28"/>
      <c r="K63" s="28"/>
      <c r="L63" s="28"/>
      <c r="M63" s="28"/>
      <c r="N63" s="28"/>
      <c r="O63" s="28"/>
      <c r="P63" s="28"/>
      <c r="Q63" s="28"/>
      <c r="R63" s="28"/>
      <c r="S63" s="28"/>
      <c r="T63" s="28"/>
      <c r="U63" s="28"/>
      <c r="V63" s="28"/>
      <c r="W63" s="28"/>
      <c r="X63" s="28"/>
      <c r="Y63" s="28"/>
      <c r="Z63" s="28"/>
      <c r="AA63" s="28"/>
      <c r="AC63" s="1"/>
    </row>
    <row r="64" spans="7:29">
      <c r="G64" s="28"/>
      <c r="H64" s="28"/>
      <c r="I64" s="28"/>
      <c r="J64" s="28"/>
      <c r="K64" s="28"/>
      <c r="L64" s="28"/>
      <c r="M64" s="28"/>
      <c r="N64" s="28"/>
      <c r="O64" s="28"/>
      <c r="P64" s="28"/>
      <c r="Q64" s="28"/>
      <c r="R64" s="28"/>
      <c r="S64" s="28"/>
      <c r="T64" s="28"/>
      <c r="U64" s="28"/>
      <c r="V64" s="28"/>
      <c r="W64" s="28"/>
      <c r="X64" s="28"/>
      <c r="Y64" s="28"/>
      <c r="Z64" s="28"/>
      <c r="AA64" s="28"/>
      <c r="AC64" s="1"/>
    </row>
    <row r="65" spans="7:29">
      <c r="G65" s="28"/>
      <c r="H65" s="28"/>
      <c r="I65" s="28"/>
      <c r="J65" s="28"/>
      <c r="K65" s="28"/>
      <c r="L65" s="28"/>
      <c r="M65" s="28"/>
      <c r="N65" s="28"/>
      <c r="O65" s="28"/>
      <c r="P65" s="28"/>
      <c r="Q65" s="28"/>
      <c r="R65" s="28"/>
      <c r="S65" s="28"/>
      <c r="T65" s="28"/>
      <c r="U65" s="28"/>
      <c r="V65" s="28"/>
      <c r="W65" s="28"/>
      <c r="X65" s="28"/>
      <c r="Y65" s="28"/>
      <c r="Z65" s="28"/>
      <c r="AA65" s="28"/>
      <c r="AC65" s="1"/>
    </row>
    <row r="66" spans="7:29">
      <c r="G66" s="28"/>
      <c r="H66" s="28"/>
      <c r="I66" s="28"/>
      <c r="J66" s="28"/>
      <c r="K66" s="28"/>
      <c r="L66" s="28"/>
      <c r="M66" s="28"/>
      <c r="N66" s="28"/>
      <c r="O66" s="28"/>
      <c r="P66" s="28"/>
      <c r="Q66" s="28"/>
      <c r="R66" s="28"/>
      <c r="S66" s="28"/>
      <c r="T66" s="28"/>
      <c r="U66" s="28"/>
      <c r="V66" s="28"/>
      <c r="W66" s="28"/>
      <c r="X66" s="28"/>
      <c r="Y66" s="28"/>
      <c r="Z66" s="28"/>
      <c r="AA66" s="28"/>
      <c r="AC66" s="1"/>
    </row>
    <row r="67" spans="7:29">
      <c r="G67" s="28"/>
      <c r="H67" s="28"/>
      <c r="I67" s="28"/>
      <c r="J67" s="28"/>
      <c r="K67" s="28"/>
      <c r="L67" s="28"/>
      <c r="M67" s="28"/>
      <c r="N67" s="28"/>
      <c r="O67" s="28"/>
      <c r="P67" s="28"/>
      <c r="Q67" s="28"/>
      <c r="R67" s="28"/>
      <c r="S67" s="28"/>
      <c r="T67" s="28"/>
      <c r="U67" s="28"/>
      <c r="V67" s="28"/>
      <c r="W67" s="28"/>
      <c r="X67" s="28"/>
      <c r="Y67" s="28"/>
      <c r="Z67" s="28"/>
      <c r="AA67" s="28"/>
      <c r="AC67" s="1"/>
    </row>
    <row r="68" spans="7:29">
      <c r="G68" s="28"/>
      <c r="H68" s="28"/>
      <c r="I68" s="28"/>
      <c r="J68" s="28"/>
      <c r="K68" s="28"/>
      <c r="L68" s="28"/>
      <c r="M68" s="28"/>
      <c r="N68" s="28"/>
      <c r="O68" s="28"/>
      <c r="P68" s="28"/>
      <c r="Q68" s="28"/>
      <c r="R68" s="28"/>
      <c r="S68" s="28"/>
      <c r="T68" s="28"/>
      <c r="U68" s="28"/>
      <c r="V68" s="28"/>
      <c r="W68" s="28"/>
      <c r="X68" s="28"/>
      <c r="Y68" s="28"/>
      <c r="Z68" s="28"/>
      <c r="AA68" s="28"/>
      <c r="AC68" s="1"/>
    </row>
    <row r="69" spans="7:29">
      <c r="G69" s="28"/>
      <c r="H69" s="28"/>
      <c r="I69" s="28"/>
      <c r="J69" s="28"/>
      <c r="K69" s="28"/>
      <c r="L69" s="28"/>
      <c r="M69" s="28"/>
      <c r="N69" s="28"/>
      <c r="O69" s="28"/>
      <c r="P69" s="28"/>
      <c r="Q69" s="28"/>
      <c r="R69" s="28"/>
      <c r="S69" s="28"/>
      <c r="T69" s="28"/>
      <c r="U69" s="28"/>
      <c r="V69" s="28"/>
      <c r="W69" s="28"/>
      <c r="X69" s="28"/>
      <c r="Y69" s="28"/>
      <c r="Z69" s="28"/>
      <c r="AA69" s="28"/>
      <c r="AC69" s="1"/>
    </row>
    <row r="70" spans="7:29">
      <c r="G70" s="28"/>
      <c r="H70" s="28"/>
      <c r="I70" s="28"/>
      <c r="J70" s="28"/>
      <c r="K70" s="28"/>
      <c r="L70" s="28"/>
      <c r="M70" s="28"/>
      <c r="N70" s="28"/>
      <c r="O70" s="28"/>
      <c r="P70" s="28"/>
      <c r="Q70" s="28"/>
      <c r="R70" s="28"/>
      <c r="S70" s="28"/>
      <c r="T70" s="28"/>
      <c r="U70" s="28"/>
      <c r="V70" s="28"/>
      <c r="W70" s="28"/>
      <c r="X70" s="28"/>
      <c r="Y70" s="28"/>
      <c r="Z70" s="28"/>
      <c r="AA70" s="28"/>
      <c r="AC70" s="1"/>
    </row>
    <row r="71" spans="7:29">
      <c r="G71" s="28"/>
      <c r="H71" s="28"/>
      <c r="I71" s="28"/>
      <c r="J71" s="28"/>
      <c r="K71" s="28"/>
      <c r="L71" s="28"/>
      <c r="M71" s="28"/>
      <c r="N71" s="28"/>
      <c r="O71" s="28"/>
      <c r="P71" s="28"/>
      <c r="Q71" s="28"/>
      <c r="R71" s="28"/>
      <c r="S71" s="28"/>
      <c r="T71" s="28"/>
      <c r="U71" s="28"/>
      <c r="V71" s="28"/>
      <c r="W71" s="28"/>
      <c r="X71" s="28"/>
      <c r="Y71" s="28"/>
      <c r="Z71" s="28"/>
      <c r="AA71" s="28"/>
      <c r="AC71" s="1"/>
    </row>
    <row r="72" spans="7:29">
      <c r="G72" s="28"/>
      <c r="H72" s="28"/>
      <c r="I72" s="28"/>
      <c r="J72" s="28"/>
      <c r="K72" s="28"/>
      <c r="L72" s="28"/>
      <c r="M72" s="28"/>
      <c r="N72" s="28"/>
      <c r="O72" s="28"/>
      <c r="P72" s="28"/>
      <c r="Q72" s="28"/>
      <c r="R72" s="28"/>
      <c r="S72" s="28"/>
      <c r="T72" s="28"/>
      <c r="U72" s="28"/>
      <c r="V72" s="28"/>
      <c r="W72" s="28"/>
      <c r="X72" s="28"/>
      <c r="Y72" s="28"/>
      <c r="Z72" s="28"/>
      <c r="AA72" s="28"/>
      <c r="AC72" s="1"/>
    </row>
    <row r="73" spans="7:29">
      <c r="G73" s="28"/>
      <c r="H73" s="28"/>
      <c r="I73" s="28"/>
      <c r="J73" s="28"/>
      <c r="K73" s="28"/>
      <c r="L73" s="28"/>
      <c r="M73" s="28"/>
      <c r="N73" s="28"/>
      <c r="O73" s="28"/>
      <c r="P73" s="28"/>
      <c r="Q73" s="28"/>
      <c r="R73" s="28"/>
      <c r="S73" s="28"/>
      <c r="T73" s="28"/>
      <c r="U73" s="28"/>
      <c r="V73" s="28"/>
      <c r="W73" s="28"/>
      <c r="X73" s="28"/>
      <c r="Y73" s="28"/>
      <c r="Z73" s="28"/>
      <c r="AA73" s="28"/>
      <c r="AC73" s="1"/>
    </row>
    <row r="74" spans="7:29">
      <c r="G74" s="28"/>
      <c r="H74" s="28"/>
      <c r="I74" s="28"/>
      <c r="J74" s="28"/>
      <c r="K74" s="28"/>
      <c r="L74" s="28"/>
      <c r="M74" s="28"/>
      <c r="N74" s="28"/>
      <c r="O74" s="28"/>
      <c r="P74" s="28"/>
      <c r="Q74" s="28"/>
      <c r="R74" s="28"/>
      <c r="S74" s="28"/>
      <c r="T74" s="28"/>
      <c r="U74" s="28"/>
      <c r="V74" s="28"/>
      <c r="W74" s="28"/>
      <c r="X74" s="28"/>
      <c r="Y74" s="28"/>
      <c r="Z74" s="28"/>
      <c r="AA74" s="28"/>
      <c r="AC74" s="1"/>
    </row>
    <row r="75" spans="7:29">
      <c r="G75" s="28"/>
      <c r="H75" s="28"/>
      <c r="I75" s="28"/>
      <c r="J75" s="28"/>
      <c r="K75" s="28"/>
      <c r="L75" s="28"/>
      <c r="M75" s="28"/>
      <c r="N75" s="28"/>
      <c r="O75" s="28"/>
      <c r="P75" s="28"/>
      <c r="Q75" s="28"/>
      <c r="R75" s="28"/>
      <c r="S75" s="28"/>
      <c r="T75" s="28"/>
      <c r="U75" s="28"/>
      <c r="V75" s="28"/>
      <c r="W75" s="28"/>
      <c r="X75" s="28"/>
      <c r="Y75" s="28"/>
      <c r="Z75" s="28"/>
      <c r="AA75" s="28"/>
      <c r="AC75" s="1"/>
    </row>
    <row r="76" spans="7:29">
      <c r="G76" s="28"/>
      <c r="H76" s="28"/>
      <c r="I76" s="28"/>
      <c r="J76" s="28"/>
      <c r="K76" s="28"/>
      <c r="L76" s="28"/>
      <c r="M76" s="28"/>
      <c r="N76" s="28"/>
      <c r="O76" s="28"/>
      <c r="P76" s="28"/>
      <c r="Q76" s="28"/>
      <c r="R76" s="28"/>
      <c r="S76" s="28"/>
      <c r="T76" s="28"/>
      <c r="U76" s="28"/>
      <c r="V76" s="28"/>
      <c r="W76" s="28"/>
      <c r="X76" s="28"/>
      <c r="Y76" s="28"/>
      <c r="Z76" s="28"/>
      <c r="AA76" s="28"/>
      <c r="AC76" s="1"/>
    </row>
    <row r="77" spans="7:29">
      <c r="G77" s="28"/>
      <c r="H77" s="28"/>
      <c r="I77" s="28"/>
      <c r="J77" s="28"/>
      <c r="K77" s="28"/>
      <c r="L77" s="28"/>
      <c r="M77" s="28"/>
      <c r="N77" s="28"/>
      <c r="O77" s="28"/>
      <c r="P77" s="28"/>
      <c r="Q77" s="28"/>
      <c r="R77" s="28"/>
      <c r="S77" s="28"/>
      <c r="T77" s="28"/>
      <c r="U77" s="28"/>
      <c r="V77" s="28"/>
      <c r="W77" s="28"/>
      <c r="X77" s="28"/>
      <c r="Y77" s="28"/>
      <c r="Z77" s="28"/>
      <c r="AA77" s="28"/>
      <c r="AC77" s="1"/>
    </row>
    <row r="78" spans="7:29">
      <c r="G78" s="28"/>
      <c r="H78" s="28"/>
      <c r="I78" s="28"/>
      <c r="J78" s="28"/>
      <c r="K78" s="28"/>
      <c r="L78" s="28"/>
      <c r="M78" s="28"/>
      <c r="N78" s="28"/>
      <c r="O78" s="28"/>
      <c r="P78" s="28"/>
      <c r="Q78" s="28"/>
      <c r="R78" s="28"/>
      <c r="S78" s="28"/>
      <c r="T78" s="28"/>
      <c r="U78" s="28"/>
      <c r="V78" s="28"/>
      <c r="W78" s="28"/>
      <c r="X78" s="28"/>
      <c r="Y78" s="28"/>
      <c r="Z78" s="28"/>
      <c r="AA78" s="28"/>
      <c r="AC78" s="1"/>
    </row>
    <row r="79" spans="7:29">
      <c r="G79" s="28"/>
      <c r="H79" s="28"/>
      <c r="I79" s="28"/>
      <c r="J79" s="28"/>
      <c r="K79" s="28"/>
      <c r="L79" s="28"/>
      <c r="M79" s="28"/>
      <c r="N79" s="28"/>
      <c r="O79" s="28"/>
      <c r="P79" s="28"/>
      <c r="Q79" s="28"/>
      <c r="R79" s="28"/>
      <c r="S79" s="28"/>
      <c r="T79" s="28"/>
      <c r="U79" s="28"/>
      <c r="V79" s="28"/>
      <c r="W79" s="28"/>
      <c r="X79" s="28"/>
      <c r="Y79" s="28"/>
      <c r="Z79" s="28"/>
      <c r="AA79" s="28"/>
      <c r="AC79" s="1"/>
    </row>
    <row r="80" spans="7:29">
      <c r="G80" s="28"/>
      <c r="H80" s="28"/>
      <c r="I80" s="28"/>
      <c r="J80" s="28"/>
      <c r="K80" s="28"/>
      <c r="L80" s="28"/>
      <c r="M80" s="28"/>
      <c r="N80" s="28"/>
      <c r="O80" s="28"/>
      <c r="P80" s="28"/>
      <c r="Q80" s="28"/>
      <c r="R80" s="28"/>
      <c r="S80" s="28"/>
      <c r="T80" s="28"/>
      <c r="U80" s="28"/>
      <c r="V80" s="28"/>
      <c r="W80" s="28"/>
      <c r="X80" s="28"/>
      <c r="Y80" s="28"/>
      <c r="Z80" s="28"/>
      <c r="AA80" s="28"/>
      <c r="AC80" s="1"/>
    </row>
    <row r="81" spans="7:29">
      <c r="G81" s="28"/>
      <c r="H81" s="28"/>
      <c r="I81" s="28"/>
      <c r="J81" s="28"/>
      <c r="K81" s="28"/>
      <c r="L81" s="28"/>
      <c r="M81" s="28"/>
      <c r="N81" s="28"/>
      <c r="O81" s="28"/>
      <c r="P81" s="28"/>
      <c r="Q81" s="28"/>
      <c r="R81" s="28"/>
      <c r="S81" s="28"/>
      <c r="T81" s="28"/>
      <c r="U81" s="28"/>
      <c r="V81" s="28"/>
      <c r="W81" s="28"/>
      <c r="X81" s="28"/>
      <c r="Y81" s="28"/>
      <c r="Z81" s="28"/>
      <c r="AA81" s="28"/>
      <c r="AC81" s="1"/>
    </row>
    <row r="82" spans="7:29">
      <c r="G82" s="28"/>
      <c r="H82" s="28"/>
      <c r="I82" s="28"/>
      <c r="J82" s="28"/>
      <c r="K82" s="28"/>
      <c r="L82" s="28"/>
      <c r="M82" s="28"/>
      <c r="N82" s="28"/>
      <c r="O82" s="28"/>
      <c r="P82" s="28"/>
      <c r="Q82" s="28"/>
      <c r="R82" s="28"/>
      <c r="S82" s="28"/>
      <c r="T82" s="28"/>
      <c r="U82" s="28"/>
      <c r="V82" s="28"/>
      <c r="W82" s="28"/>
      <c r="X82" s="28"/>
      <c r="Y82" s="28"/>
      <c r="Z82" s="28"/>
      <c r="AA82" s="28"/>
      <c r="AC82" s="1"/>
    </row>
    <row r="83" spans="7:29">
      <c r="G83" s="28"/>
      <c r="H83" s="28"/>
      <c r="I83" s="28"/>
      <c r="J83" s="28"/>
      <c r="K83" s="28"/>
      <c r="L83" s="28"/>
      <c r="M83" s="28"/>
      <c r="N83" s="28"/>
      <c r="O83" s="28"/>
      <c r="P83" s="28"/>
      <c r="Q83" s="28"/>
      <c r="R83" s="28"/>
      <c r="S83" s="28"/>
      <c r="T83" s="28"/>
      <c r="U83" s="28"/>
      <c r="V83" s="28"/>
      <c r="W83" s="28"/>
      <c r="X83" s="28"/>
      <c r="Y83" s="28"/>
      <c r="Z83" s="28"/>
      <c r="AA83" s="28"/>
      <c r="AC83" s="1"/>
    </row>
    <row r="84" spans="7:29">
      <c r="G84" s="28"/>
      <c r="H84" s="28"/>
      <c r="I84" s="28"/>
      <c r="J84" s="28"/>
      <c r="K84" s="28"/>
      <c r="L84" s="28"/>
      <c r="M84" s="28"/>
      <c r="N84" s="28"/>
      <c r="O84" s="28"/>
      <c r="P84" s="28"/>
      <c r="Q84" s="28"/>
      <c r="R84" s="28"/>
      <c r="S84" s="28"/>
      <c r="T84" s="28"/>
      <c r="U84" s="28"/>
      <c r="V84" s="28"/>
      <c r="W84" s="28"/>
      <c r="X84" s="28"/>
      <c r="Y84" s="28"/>
      <c r="Z84" s="28"/>
      <c r="AA84" s="28"/>
      <c r="AC84" s="1"/>
    </row>
    <row r="85" spans="7:29">
      <c r="G85" s="28"/>
      <c r="H85" s="28"/>
      <c r="I85" s="28"/>
      <c r="J85" s="28"/>
      <c r="K85" s="28"/>
      <c r="L85" s="28"/>
      <c r="M85" s="28"/>
      <c r="N85" s="28"/>
      <c r="O85" s="28"/>
      <c r="P85" s="28"/>
      <c r="Q85" s="28"/>
      <c r="R85" s="28"/>
      <c r="S85" s="28"/>
      <c r="T85" s="28"/>
      <c r="U85" s="28"/>
      <c r="V85" s="28"/>
      <c r="W85" s="28"/>
      <c r="X85" s="28"/>
      <c r="Y85" s="28"/>
      <c r="Z85" s="28"/>
      <c r="AA85" s="28"/>
      <c r="AC85" s="1"/>
    </row>
    <row r="86" spans="7:29">
      <c r="G86" s="28"/>
      <c r="H86" s="28"/>
      <c r="I86" s="28"/>
      <c r="J86" s="28"/>
      <c r="K86" s="28"/>
      <c r="L86" s="28"/>
      <c r="M86" s="28"/>
      <c r="N86" s="28"/>
      <c r="O86" s="28"/>
      <c r="P86" s="28"/>
      <c r="Q86" s="28"/>
      <c r="R86" s="28"/>
      <c r="S86" s="28"/>
      <c r="T86" s="28"/>
      <c r="U86" s="28"/>
      <c r="V86" s="28"/>
      <c r="W86" s="28"/>
      <c r="X86" s="28"/>
      <c r="Y86" s="28"/>
      <c r="Z86" s="28"/>
      <c r="AA86" s="28"/>
      <c r="AC86" s="1"/>
    </row>
    <row r="87" spans="7:29">
      <c r="G87" s="28"/>
      <c r="H87" s="28"/>
      <c r="I87" s="28"/>
      <c r="J87" s="28"/>
      <c r="K87" s="28"/>
      <c r="L87" s="28"/>
      <c r="M87" s="28"/>
      <c r="N87" s="28"/>
      <c r="O87" s="28"/>
      <c r="P87" s="28"/>
      <c r="Q87" s="28"/>
      <c r="R87" s="28"/>
      <c r="S87" s="28"/>
      <c r="T87" s="28"/>
      <c r="U87" s="28"/>
      <c r="V87" s="28"/>
      <c r="W87" s="28"/>
      <c r="X87" s="28"/>
      <c r="Y87" s="28"/>
      <c r="Z87" s="28"/>
      <c r="AA87" s="28"/>
      <c r="AC87" s="1"/>
    </row>
    <row r="88" spans="7:29">
      <c r="G88" s="28"/>
      <c r="H88" s="28"/>
      <c r="I88" s="28"/>
      <c r="J88" s="28"/>
      <c r="K88" s="28"/>
      <c r="L88" s="28"/>
      <c r="M88" s="28"/>
      <c r="N88" s="28"/>
      <c r="O88" s="28"/>
      <c r="P88" s="28"/>
      <c r="Q88" s="28"/>
      <c r="R88" s="28"/>
      <c r="S88" s="28"/>
      <c r="T88" s="28"/>
      <c r="U88" s="28"/>
      <c r="V88" s="28"/>
      <c r="W88" s="28"/>
      <c r="X88" s="28"/>
      <c r="Y88" s="28"/>
      <c r="Z88" s="28"/>
      <c r="AA88" s="28"/>
      <c r="AC88" s="1"/>
    </row>
    <row r="89" spans="7:29">
      <c r="G89" s="28"/>
      <c r="H89" s="28"/>
      <c r="I89" s="28"/>
      <c r="J89" s="28"/>
      <c r="K89" s="28"/>
      <c r="L89" s="28"/>
      <c r="M89" s="28"/>
      <c r="N89" s="28"/>
      <c r="O89" s="28"/>
      <c r="P89" s="28"/>
      <c r="Q89" s="28"/>
      <c r="R89" s="28"/>
      <c r="S89" s="28"/>
      <c r="T89" s="28"/>
      <c r="U89" s="28"/>
      <c r="V89" s="28"/>
      <c r="W89" s="28"/>
      <c r="X89" s="28"/>
      <c r="Y89" s="28"/>
      <c r="Z89" s="28"/>
      <c r="AA89" s="28"/>
      <c r="AC89" s="1"/>
    </row>
    <row r="90" spans="7:29">
      <c r="G90" s="28"/>
      <c r="H90" s="28"/>
      <c r="I90" s="28"/>
      <c r="J90" s="28"/>
      <c r="K90" s="28"/>
      <c r="L90" s="28"/>
      <c r="M90" s="28"/>
      <c r="N90" s="28"/>
      <c r="O90" s="28"/>
      <c r="P90" s="28"/>
      <c r="Q90" s="28"/>
      <c r="R90" s="28"/>
      <c r="S90" s="28"/>
      <c r="T90" s="28"/>
      <c r="U90" s="28"/>
      <c r="V90" s="28"/>
      <c r="W90" s="28"/>
      <c r="X90" s="28"/>
      <c r="Y90" s="28"/>
      <c r="Z90" s="28"/>
      <c r="AA90" s="28"/>
      <c r="AC90" s="1"/>
    </row>
    <row r="91" spans="7:29">
      <c r="G91" s="28"/>
      <c r="H91" s="28"/>
      <c r="I91" s="28"/>
      <c r="J91" s="28"/>
      <c r="K91" s="28"/>
      <c r="L91" s="28"/>
      <c r="M91" s="28"/>
      <c r="N91" s="28"/>
      <c r="O91" s="28"/>
      <c r="P91" s="28"/>
      <c r="Q91" s="28"/>
      <c r="R91" s="28"/>
      <c r="S91" s="28"/>
      <c r="T91" s="28"/>
      <c r="U91" s="28"/>
      <c r="V91" s="28"/>
      <c r="W91" s="28"/>
      <c r="X91" s="28"/>
      <c r="Y91" s="28"/>
      <c r="Z91" s="28"/>
      <c r="AA91" s="28"/>
      <c r="AC91" s="1"/>
    </row>
    <row r="92" spans="7:29">
      <c r="G92" s="28"/>
      <c r="H92" s="28"/>
      <c r="I92" s="28"/>
      <c r="J92" s="28"/>
      <c r="K92" s="28"/>
      <c r="L92" s="28"/>
      <c r="M92" s="28"/>
      <c r="N92" s="28"/>
      <c r="O92" s="28"/>
      <c r="P92" s="28"/>
      <c r="Q92" s="28"/>
      <c r="R92" s="28"/>
      <c r="S92" s="28"/>
      <c r="T92" s="28"/>
      <c r="U92" s="28"/>
      <c r="V92" s="28"/>
      <c r="W92" s="28"/>
      <c r="X92" s="28"/>
      <c r="Y92" s="28"/>
      <c r="Z92" s="28"/>
      <c r="AA92" s="28"/>
      <c r="AC92" s="1"/>
    </row>
    <row r="93" spans="7:29">
      <c r="G93" s="28"/>
      <c r="H93" s="28"/>
      <c r="I93" s="28"/>
      <c r="J93" s="28"/>
      <c r="K93" s="28"/>
      <c r="L93" s="28"/>
      <c r="M93" s="28"/>
      <c r="N93" s="28"/>
      <c r="O93" s="28"/>
      <c r="P93" s="28"/>
      <c r="Q93" s="28"/>
      <c r="R93" s="28"/>
      <c r="S93" s="28"/>
      <c r="T93" s="28"/>
      <c r="U93" s="28"/>
      <c r="V93" s="28"/>
      <c r="W93" s="28"/>
      <c r="X93" s="28"/>
      <c r="Y93" s="28"/>
      <c r="Z93" s="28"/>
      <c r="AA93" s="28"/>
      <c r="AC93" s="1"/>
    </row>
    <row r="94" spans="7:29">
      <c r="G94" s="28"/>
      <c r="H94" s="28"/>
      <c r="I94" s="28"/>
      <c r="J94" s="28"/>
      <c r="K94" s="28"/>
      <c r="L94" s="28"/>
      <c r="M94" s="28"/>
      <c r="N94" s="28"/>
      <c r="O94" s="28"/>
      <c r="P94" s="28"/>
      <c r="Q94" s="28"/>
      <c r="R94" s="28"/>
      <c r="S94" s="28"/>
      <c r="T94" s="28"/>
      <c r="U94" s="28"/>
      <c r="V94" s="28"/>
      <c r="W94" s="28"/>
      <c r="X94" s="28"/>
      <c r="Y94" s="28"/>
      <c r="Z94" s="28"/>
      <c r="AA94" s="28"/>
      <c r="AC94" s="1"/>
    </row>
    <row r="95" spans="7:29">
      <c r="G95" s="28"/>
      <c r="H95" s="28"/>
      <c r="I95" s="28"/>
      <c r="J95" s="28"/>
      <c r="K95" s="28"/>
      <c r="L95" s="28"/>
      <c r="M95" s="28"/>
      <c r="N95" s="28"/>
      <c r="O95" s="28"/>
      <c r="P95" s="28"/>
      <c r="Q95" s="28"/>
      <c r="R95" s="28"/>
      <c r="S95" s="28"/>
      <c r="T95" s="28"/>
      <c r="U95" s="28"/>
      <c r="V95" s="28"/>
      <c r="W95" s="28"/>
      <c r="X95" s="28"/>
      <c r="Y95" s="28"/>
      <c r="Z95" s="28"/>
      <c r="AA95" s="28"/>
      <c r="AC95" s="1"/>
    </row>
    <row r="96" spans="7:29">
      <c r="G96" s="28"/>
      <c r="H96" s="28"/>
      <c r="I96" s="28"/>
      <c r="J96" s="28"/>
      <c r="K96" s="28"/>
      <c r="L96" s="28"/>
      <c r="M96" s="28"/>
      <c r="N96" s="28"/>
      <c r="O96" s="28"/>
      <c r="P96" s="28"/>
      <c r="Q96" s="28"/>
      <c r="R96" s="28"/>
      <c r="S96" s="28"/>
      <c r="T96" s="28"/>
      <c r="U96" s="28"/>
      <c r="V96" s="28"/>
      <c r="W96" s="28"/>
      <c r="X96" s="28"/>
      <c r="Y96" s="28"/>
      <c r="Z96" s="28"/>
      <c r="AA96" s="28"/>
      <c r="AC96" s="1"/>
    </row>
    <row r="97" spans="7:29">
      <c r="G97" s="28"/>
      <c r="H97" s="28"/>
      <c r="I97" s="28"/>
      <c r="J97" s="28"/>
      <c r="K97" s="28"/>
      <c r="L97" s="28"/>
      <c r="M97" s="28"/>
      <c r="N97" s="28"/>
      <c r="O97" s="28"/>
      <c r="P97" s="28"/>
      <c r="Q97" s="28"/>
      <c r="R97" s="28"/>
      <c r="S97" s="28"/>
      <c r="T97" s="28"/>
      <c r="U97" s="28"/>
      <c r="V97" s="28"/>
      <c r="W97" s="28"/>
      <c r="X97" s="28"/>
      <c r="Y97" s="28"/>
      <c r="Z97" s="28"/>
      <c r="AA97" s="28"/>
      <c r="AC97" s="1"/>
    </row>
    <row r="98" spans="7:29">
      <c r="G98" s="28"/>
      <c r="H98" s="28"/>
      <c r="I98" s="28"/>
      <c r="J98" s="28"/>
      <c r="K98" s="28"/>
      <c r="L98" s="28"/>
      <c r="M98" s="28"/>
      <c r="N98" s="28"/>
      <c r="O98" s="28"/>
      <c r="P98" s="28"/>
      <c r="Q98" s="28"/>
      <c r="R98" s="28"/>
      <c r="S98" s="28"/>
      <c r="T98" s="28"/>
      <c r="U98" s="28"/>
      <c r="V98" s="28"/>
      <c r="W98" s="28"/>
      <c r="X98" s="28"/>
      <c r="Y98" s="28"/>
      <c r="Z98" s="28"/>
      <c r="AA98" s="28"/>
      <c r="AC98" s="1"/>
    </row>
    <row r="99" spans="7:29">
      <c r="G99" s="28"/>
      <c r="H99" s="28"/>
      <c r="I99" s="28"/>
      <c r="J99" s="28"/>
      <c r="K99" s="28"/>
      <c r="L99" s="28"/>
      <c r="M99" s="28"/>
      <c r="N99" s="28"/>
      <c r="O99" s="28"/>
      <c r="P99" s="28"/>
      <c r="Q99" s="28"/>
      <c r="R99" s="28"/>
      <c r="S99" s="28"/>
      <c r="T99" s="28"/>
      <c r="U99" s="28"/>
      <c r="V99" s="28"/>
      <c r="W99" s="28"/>
      <c r="X99" s="28"/>
      <c r="Y99" s="28"/>
      <c r="Z99" s="28"/>
      <c r="AA99" s="28"/>
      <c r="AC99" s="1"/>
    </row>
    <row r="100" spans="7:29">
      <c r="G100" s="28"/>
      <c r="H100" s="28"/>
      <c r="I100" s="28"/>
      <c r="J100" s="28"/>
      <c r="K100" s="28"/>
      <c r="L100" s="28"/>
      <c r="M100" s="28"/>
      <c r="N100" s="28"/>
      <c r="O100" s="28"/>
      <c r="P100" s="28"/>
      <c r="Q100" s="28"/>
      <c r="R100" s="28"/>
      <c r="S100" s="28"/>
      <c r="T100" s="28"/>
      <c r="U100" s="28"/>
      <c r="V100" s="28"/>
      <c r="W100" s="28"/>
      <c r="X100" s="28"/>
      <c r="Y100" s="28"/>
      <c r="Z100" s="28"/>
      <c r="AA100" s="28"/>
      <c r="AC100" s="1"/>
    </row>
    <row r="101" spans="7:29">
      <c r="AC101" s="1"/>
    </row>
    <row r="102" spans="7:29">
      <c r="AC102" s="1"/>
    </row>
    <row r="103" spans="7:29">
      <c r="AC103" s="1"/>
    </row>
    <row r="104" spans="7:29">
      <c r="AC104" s="1"/>
    </row>
    <row r="105" spans="7:29">
      <c r="AC105" s="1"/>
    </row>
    <row r="106" spans="7:29">
      <c r="AC106" s="1"/>
    </row>
    <row r="107" spans="7:29">
      <c r="AC107" s="1"/>
    </row>
  </sheetData>
  <sheetProtection password="EF73" sheet="1" objects="1" scenarios="1" formatCells="0"/>
  <customSheetViews>
    <customSheetView guid="{D786A5C0-FBC0-4F24-9F75-D436CA99DC6C}" zeroValues="0" hiddenRows="1" hiddenColumns="1" state="hidden" topLeftCell="B6">
      <selection activeCell="F7" sqref="F7:L27"/>
      <pageMargins left="0.7" right="0.7" top="0.75" bottom="0.75" header="0.3" footer="0.3"/>
      <pageSetup orientation="portrait" r:id="rId1"/>
    </customSheetView>
  </customSheetViews>
  <mergeCells count="4">
    <mergeCell ref="C7:C8"/>
    <mergeCell ref="C11:D11"/>
    <mergeCell ref="C12:D21"/>
    <mergeCell ref="C24:C27"/>
  </mergeCells>
  <dataValidations count="9">
    <dataValidation type="decimal" allowBlank="1" showInputMessage="1" showErrorMessage="1" error="أدخال غير صحيح" promptTitle="أجاز الوصية ضع 1 غير ذلك ضع 0  " prompt=" " sqref="IR12:IU23 I65527:L65536">
      <formula1>0</formula1>
      <formula2>1</formula2>
    </dataValidation>
    <dataValidation type="decimal" allowBlank="1" showInputMessage="1" showErrorMessage="1" error="أدخال غير صحيح" prompt="هذه الخلية مخصصة لتصحيح المسألة  ضع مقام الكسر أعلاه هنا" sqref="O51:O52 P65524:P65525">
      <formula1>0</formula1>
      <formula2>1000</formula2>
    </dataValidation>
    <dataValidation type="decimal" allowBlank="1" showInputMessage="1" showErrorMessage="1" error="أدخال غير صحيح" prompt="ضع بسط الفريضة أن لزم الأمر " sqref="IQ12:IQ23 H65527:H65536">
      <formula1>1</formula1>
      <formula2>100</formula2>
    </dataValidation>
    <dataValidation type="decimal" allowBlank="1" showInputMessage="1" showErrorMessage="1" error="أدخال غير صحيح (تأكد من الكسر)" promptTitle=" " prompt="وصى المتوفى (ضع الوصية الرابعة)" sqref="L65522">
      <formula1>0</formula1>
      <formula2>99/100</formula2>
    </dataValidation>
    <dataValidation type="textLength" operator="lessThan" allowBlank="1" showInputMessage="1" showErrorMessage="1" error="أدخال غير صحيح" prompt="ضع أسم الوارث فى هذه الخلية" sqref="IO12:IO23 F65527:F65536">
      <formula1>20</formula1>
    </dataValidation>
    <dataValidation type="decimal" allowBlank="1" showInputMessage="1" showErrorMessage="1" error="أدخال غير صحيح (ضع صفر ان لم يوصى)" promptTitle=" " prompt="وصى المتوفى  (ضع الوصية الأولى)" sqref="I65522">
      <formula1>0</formula1>
      <formula2>99/100</formula2>
    </dataValidation>
    <dataValidation type="decimal" allowBlank="1" showInputMessage="1" showErrorMessage="1" error="أدخال غير صحيح (تأكد من الكسر)" promptTitle=" " prompt="وصى المتوفى (ضع الوصية التانية)" sqref="J65522">
      <formula1>0</formula1>
      <formula2>99/100</formula2>
    </dataValidation>
    <dataValidation type="decimal" allowBlank="1" showInputMessage="1" showErrorMessage="1" error="أدخال غير صحيح (تأكد من الكسر)" promptTitle=" " prompt="وصى المتوفى (ضع الوصية التالثة)" sqref="K65522">
      <formula1>0</formula1>
      <formula2>99/100</formula2>
    </dataValidation>
    <dataValidation type="decimal" allowBlank="1" showInputMessage="1" showErrorMessage="1" error="أدخال غير صحيح" prompt="ضع فريضة الوارث فى هذه الخلية" sqref="IP12:IP23 G65527:G65536">
      <formula1>0</formula1>
      <formula2>1</formula2>
    </dataValidation>
  </dataValidations>
  <pageMargins left="0.7" right="0.7" top="0.75" bottom="0.75" header="0.3" footer="0.3"/>
  <pageSetup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00"/>
  </sheetPr>
  <dimension ref="A1:AX107"/>
  <sheetViews>
    <sheetView showZeros="0" rightToLeft="1" topLeftCell="B6" zoomScaleNormal="87" workbookViewId="0">
      <selection activeCell="AS14" sqref="AS14"/>
    </sheetView>
  </sheetViews>
  <sheetFormatPr defaultColWidth="7.75" defaultRowHeight="15"/>
  <cols>
    <col min="1" max="1" width="2.25" hidden="1" customWidth="1"/>
    <col min="2" max="2" width="2.25" customWidth="1"/>
    <col min="3" max="3" width="9.625" customWidth="1"/>
    <col min="4" max="4" width="14" customWidth="1"/>
    <col min="5" max="5" width="3.625" customWidth="1"/>
    <col min="6" max="6" width="15.75" hidden="1" customWidth="1"/>
    <col min="7" max="7" width="13" hidden="1" customWidth="1"/>
    <col min="8" max="8" width="5.5" hidden="1" customWidth="1"/>
    <col min="9" max="9" width="10.375" hidden="1" customWidth="1"/>
    <col min="10" max="10" width="8.75" hidden="1" customWidth="1"/>
    <col min="11" max="11" width="9.125" hidden="1" customWidth="1"/>
    <col min="12" max="12" width="9" hidden="1" customWidth="1"/>
    <col min="13" max="13" width="11" customWidth="1"/>
    <col min="14" max="14" width="19.875" hidden="1" customWidth="1"/>
    <col min="15" max="15" width="11.5" customWidth="1"/>
    <col min="16" max="16" width="16" hidden="1" customWidth="1"/>
    <col min="17" max="17" width="9.25" hidden="1" customWidth="1"/>
    <col min="18" max="18" width="11.5" hidden="1" customWidth="1"/>
    <col min="19" max="19" width="17.625" hidden="1" customWidth="1"/>
    <col min="20" max="20" width="11.125" hidden="1" customWidth="1"/>
    <col min="21" max="21" width="15.875" hidden="1" customWidth="1"/>
    <col min="22" max="22" width="18.25" hidden="1" customWidth="1"/>
    <col min="23" max="23" width="19.75" hidden="1" customWidth="1"/>
    <col min="24" max="24" width="16.375" hidden="1" customWidth="1"/>
    <col min="25" max="30" width="2" hidden="1" customWidth="1"/>
    <col min="31" max="31" width="9.75" hidden="1" customWidth="1"/>
    <col min="32" max="32" width="8.25" hidden="1" customWidth="1"/>
    <col min="33" max="33" width="9.625" hidden="1" customWidth="1"/>
    <col min="34" max="34" width="2.5" hidden="1" customWidth="1"/>
    <col min="35" max="35" width="20.75" hidden="1" customWidth="1"/>
    <col min="36" max="36" width="17.25" customWidth="1"/>
    <col min="37" max="37" width="8.25" hidden="1" customWidth="1"/>
    <col min="38" max="38" width="12" hidden="1" customWidth="1"/>
    <col min="39" max="39" width="17.125" hidden="1" customWidth="1"/>
    <col min="40" max="40" width="12.25" hidden="1" customWidth="1"/>
    <col min="41" max="41" width="16.5" hidden="1" customWidth="1"/>
    <col min="42" max="42" width="16.875" hidden="1" customWidth="1"/>
    <col min="43" max="43" width="11.625" customWidth="1"/>
    <col min="44" max="44" width="21" customWidth="1"/>
    <col min="45" max="45" width="7.75" customWidth="1"/>
    <col min="46" max="46" width="19" customWidth="1"/>
    <col min="47" max="47" width="23.125" customWidth="1"/>
    <col min="48" max="48" width="15.75" customWidth="1"/>
    <col min="49" max="49" width="7.75" customWidth="1"/>
    <col min="50" max="50" width="18.125" customWidth="1"/>
    <col min="51" max="51" width="8.375" customWidth="1"/>
    <col min="52" max="52" width="7.75" customWidth="1"/>
    <col min="53" max="53" width="10.25" customWidth="1"/>
  </cols>
  <sheetData>
    <row r="1" spans="1:50" ht="21.75" hidden="1" customHeight="1">
      <c r="G1" s="1">
        <f>1/3-'الأجـــازة للوصايا'!CB7</f>
        <v>0.33333333333333331</v>
      </c>
      <c r="H1" s="1">
        <f>R3</f>
        <v>1</v>
      </c>
      <c r="I1" s="1">
        <f>IF(SUM('الأجـــازة للوصايا'!K124:K135)=0,1,'الأجـــازة للوصايا'!CB10)</f>
        <v>1</v>
      </c>
      <c r="J1" s="1">
        <f>IF(SUM('الأجـــازة للوصايا'!L124:L135)=0,1,'الأجـــازة للوصايا'!CC10)</f>
        <v>1</v>
      </c>
      <c r="K1" s="1">
        <f>IF(SUM('الأجـــازة للوصايا'!M124:M135)=0,1,'الأجـــازة للوصايا'!CD10)</f>
        <v>1</v>
      </c>
      <c r="L1" s="1">
        <f>IF(SUM('الأجـــازة للوصايا'!N124:N135)=0,1,'الأجـــازة للوصايا'!CE10)</f>
        <v>1</v>
      </c>
      <c r="R1">
        <f>MINVERSE(I1)</f>
        <v>1</v>
      </c>
      <c r="S1">
        <f>MINVERSE(J1)</f>
        <v>1</v>
      </c>
      <c r="T1">
        <f>MINVERSE(K1)</f>
        <v>1</v>
      </c>
      <c r="U1">
        <f>MINVERSE(L1)</f>
        <v>1</v>
      </c>
    </row>
    <row r="2" spans="1:50" ht="30" hidden="1" customHeight="1">
      <c r="G2" s="1">
        <f>1/3-'الأجـــازة للوصايا'!CC7</f>
        <v>0.33333333333333331</v>
      </c>
      <c r="H2" s="1">
        <f>S3</f>
        <v>1</v>
      </c>
      <c r="I2" s="1">
        <f xml:space="preserve"> R3*(S3/V5)</f>
        <v>1</v>
      </c>
      <c r="J2" s="1">
        <f>T3*R3/V5</f>
        <v>1</v>
      </c>
      <c r="K2" s="1">
        <f>R3*U3/V5</f>
        <v>1</v>
      </c>
      <c r="L2" s="1">
        <f>R3*V3/V5</f>
        <v>1</v>
      </c>
      <c r="R2" s="1">
        <f>IFERROR(R1,1)</f>
        <v>1</v>
      </c>
      <c r="S2" s="1">
        <f>IFERROR(S1,1)</f>
        <v>1</v>
      </c>
      <c r="T2" s="1">
        <f>IFERROR(T1,1)</f>
        <v>1</v>
      </c>
      <c r="U2" s="1">
        <f>IFERROR(U1,1)</f>
        <v>1</v>
      </c>
      <c r="V2" s="1" t="s">
        <v>114</v>
      </c>
      <c r="W2" s="1">
        <f>V4*U4*T4*S4*R4*R4</f>
        <v>1</v>
      </c>
      <c r="X2" s="536">
        <f xml:space="preserve"> W3</f>
        <v>1</v>
      </c>
    </row>
    <row r="3" spans="1:50" ht="27" hidden="1" customHeight="1" thickBot="1">
      <c r="G3" s="1">
        <f>1/3-'الأجـــازة للوصايا'!CD7</f>
        <v>0.33333333333333331</v>
      </c>
      <c r="I3" s="1">
        <f>IFERROR( 'الأجـــازة للوصايا'!CB10,0)</f>
        <v>0</v>
      </c>
      <c r="J3" s="1">
        <f>IFERROR( 'الأجـــازة للوصايا'!CC10,0)</f>
        <v>0</v>
      </c>
      <c r="K3" s="1">
        <f>IFERROR( 'الأجـــازة للوصايا'!CD10,0)</f>
        <v>0</v>
      </c>
      <c r="L3" s="1">
        <f>IFERROR( 'الأجـــازة للوصايا'!CE10,0)</f>
        <v>0</v>
      </c>
      <c r="M3" s="478" t="b">
        <f>AND( 'الأجـــازة للوصايا'!CB9&gt;='الأجـــازة للوصايا'!CB10, 'الأجـــازة للوصايا'!CC9&gt;='الأجـــازة للوصايا'!CC10, 'الأجـــازة للوصايا'!CD9&gt;='الأجـــازة للوصايا'!CD10,'الأجـــازة للوصايا'!CE9&gt;='الأجـــازة للوصايا'!CE10)</f>
        <v>1</v>
      </c>
      <c r="N3" s="491" t="str">
        <f>IF('الأجـــازة للوصايا'!CB7+'الأجـــازة للوصايا'!CC7+'الأجـــازة للوصايا'!CD7+'الأجـــازة للوصايا'!CE7&gt;1,"تجاوز الوصايا التركــــــــــــة","")</f>
        <v/>
      </c>
      <c r="O3" s="491"/>
      <c r="P3" s="1">
        <f>1/Q3</f>
        <v>4</v>
      </c>
      <c r="Q3" s="1">
        <f>S4/(S4+T4+U4+V4)</f>
        <v>0.25</v>
      </c>
      <c r="R3" s="1">
        <f>1/R4</f>
        <v>1</v>
      </c>
      <c r="S3" s="1">
        <f>1/S4</f>
        <v>1</v>
      </c>
      <c r="T3" s="1">
        <f>1/T4</f>
        <v>1</v>
      </c>
      <c r="U3" s="1">
        <f>1/U4</f>
        <v>1</v>
      </c>
      <c r="V3" s="1">
        <f>1/V4</f>
        <v>1</v>
      </c>
      <c r="W3" s="521">
        <f xml:space="preserve"> W4*W7*R4</f>
        <v>1</v>
      </c>
      <c r="X3" s="1">
        <f>V4*U4*T4*S4</f>
        <v>1</v>
      </c>
      <c r="Y3" s="1">
        <f>X3*W3</f>
        <v>1</v>
      </c>
    </row>
    <row r="4" spans="1:50" ht="59.25" hidden="1" customHeight="1">
      <c r="G4" s="1">
        <f>1/3-'الأجـــازة للوصايا'!CE7</f>
        <v>0.33333333333333331</v>
      </c>
      <c r="I4">
        <f>IF(SUM('الأجـــازة للوصايا'!K124:K135)&gt;0,3,1)</f>
        <v>1</v>
      </c>
      <c r="J4">
        <f>IF(SUM('الأجـــازة للوصايا'!L124:L135)&gt;0,3,1)</f>
        <v>1</v>
      </c>
      <c r="K4">
        <f>IF(SUM('الأجـــازة للوصايا'!M124:M135)&gt;0,3,1)</f>
        <v>1</v>
      </c>
      <c r="L4">
        <f>IF(SUM('الأجـــازة للوصايا'!N124:N135)&gt;0,3,1)</f>
        <v>1</v>
      </c>
      <c r="P4" s="1">
        <f>SUM(M12:M27)</f>
        <v>0</v>
      </c>
      <c r="Q4" s="1">
        <f>IFERROR(  AF9,1)</f>
        <v>3</v>
      </c>
      <c r="R4" s="485">
        <f>IF('الأجـــازة للوصايا'!CB7+'الأجـــازة للوصايا'!CC7+'الأجـــازة للوصايا'!CD7+'الأجـــازة للوصايا'!CE7=0,1,Q4)</f>
        <v>1</v>
      </c>
      <c r="S4" s="485">
        <f>IFERROR(AG9,1)</f>
        <v>1</v>
      </c>
      <c r="T4" s="485">
        <f>IFERROR(AH9,1)</f>
        <v>1</v>
      </c>
      <c r="U4" s="485">
        <f>IFERROR(AI9,1)</f>
        <v>1</v>
      </c>
      <c r="V4" s="485">
        <f>IFERROR(AL7,1)</f>
        <v>1</v>
      </c>
      <c r="W4" s="1">
        <f>W8*W7</f>
        <v>1</v>
      </c>
      <c r="AB4" s="1">
        <f>P7*'الأجـــازة للوصايا'!CB7/V5</f>
        <v>0</v>
      </c>
      <c r="AC4" s="1">
        <f>'الأجـــازة للوصايا'!CE10+'الأجـــازة للوصايا'!CD10+'الأجـــازة للوصايا'!CC10+'الأجـــازة للوصايا'!CB10</f>
        <v>0</v>
      </c>
      <c r="AE4" s="13">
        <f xml:space="preserve"> AI7/(S4+AH7+AI7+AO8)</f>
        <v>0.25</v>
      </c>
      <c r="AF4" s="13"/>
      <c r="AG4" s="13"/>
      <c r="AH4" s="13"/>
      <c r="AI4" s="541"/>
      <c r="AJ4" s="478"/>
      <c r="AK4" s="478"/>
    </row>
    <row r="5" spans="1:50" ht="22.5" hidden="1" customHeight="1">
      <c r="P5" s="1" t="s">
        <v>114</v>
      </c>
      <c r="R5" s="309">
        <f>IF(S4&gt;1,1/S4,0)</f>
        <v>0</v>
      </c>
      <c r="S5" s="309">
        <f>IF(T4&gt;1,1/T4,0)</f>
        <v>0</v>
      </c>
      <c r="T5" s="309">
        <f>IF(U4&gt;1,1/U4,0)</f>
        <v>0</v>
      </c>
      <c r="U5" s="309">
        <f>IF(V4&gt;1,1/V4,0)</f>
        <v>0</v>
      </c>
      <c r="V5" s="1">
        <f>IFERROR(W5,1)</f>
        <v>1</v>
      </c>
      <c r="W5" s="1">
        <f>IF(U5+T5+S5+R5=0,1,U5+T5+S5+R5)</f>
        <v>1</v>
      </c>
      <c r="X5" s="1">
        <f>V4*U4*T4*S4</f>
        <v>1</v>
      </c>
      <c r="AC5" s="1" t="s">
        <v>114</v>
      </c>
      <c r="AE5" s="493">
        <f>AF7*AO8/(AG7+AH7+AI7+AO8)</f>
        <v>0.25</v>
      </c>
      <c r="AF5" s="493" t="s">
        <v>114</v>
      </c>
      <c r="AG5" s="493"/>
      <c r="AH5" s="493"/>
      <c r="AI5" s="542"/>
      <c r="AK5" s="478"/>
    </row>
    <row r="6" spans="1:50" ht="28.5" customHeight="1" thickBot="1">
      <c r="A6" t="str">
        <f>IF( SUM('الأجـــازة للوصايا'!CB7:CE7)+SUM('الأجـــازة للوصايا'!I124:I135)&lt;=2,"العملية صحيحة","خطأ راجع المسألة")</f>
        <v>العملية صحيحة</v>
      </c>
      <c r="F6" s="872">
        <f>SUM('الأجـــازة للوصايا'!CB10:CE10)</f>
        <v>0</v>
      </c>
      <c r="P6" s="1"/>
      <c r="R6" s="309"/>
      <c r="S6" s="309"/>
      <c r="T6" s="309"/>
      <c r="U6" s="309"/>
      <c r="V6" s="1"/>
      <c r="W6" s="1"/>
      <c r="X6" s="1"/>
      <c r="AC6" s="1"/>
      <c r="AE6" s="564"/>
      <c r="AF6" s="564"/>
      <c r="AG6" s="564"/>
      <c r="AH6" s="564"/>
      <c r="AI6" s="565"/>
      <c r="AK6" s="478"/>
    </row>
    <row r="7" spans="1:50" ht="27.75" customHeight="1" thickTop="1" thickBot="1">
      <c r="A7" s="1" t="str">
        <f>IF(F6=1/3,"الورثة أجازو الثلث",A6)</f>
        <v>العملية صحيحة</v>
      </c>
      <c r="B7" s="1"/>
      <c r="C7" s="1389" t="s">
        <v>69</v>
      </c>
      <c r="D7" s="1394" t="e">
        <f>'ورقة أجازة وعدم الأجازة للمختصن'!C7</f>
        <v>#DIV/0!</v>
      </c>
      <c r="E7" s="697"/>
      <c r="M7" s="697"/>
      <c r="N7" s="697"/>
      <c r="O7" s="697"/>
      <c r="P7" s="656">
        <v>0.33333333333333331</v>
      </c>
      <c r="Q7" s="701" t="s">
        <v>114</v>
      </c>
      <c r="R7" s="702" t="s">
        <v>114</v>
      </c>
      <c r="S7" s="702" t="s">
        <v>114</v>
      </c>
      <c r="T7" s="701" t="s">
        <v>114</v>
      </c>
      <c r="U7" s="702" t="s">
        <v>114</v>
      </c>
      <c r="V7" s="702" t="s">
        <v>114</v>
      </c>
      <c r="W7" s="703">
        <f>V4*U4*T4*S4</f>
        <v>1</v>
      </c>
      <c r="X7" s="701"/>
      <c r="Y7" s="701"/>
      <c r="Z7" s="701"/>
      <c r="AA7" s="701"/>
      <c r="AB7" s="702" t="e">
        <f>'الأجـــازة للوصايا'!J124*1/X12</f>
        <v>#DIV/0!</v>
      </c>
      <c r="AC7" s="704" t="s">
        <v>114</v>
      </c>
      <c r="AD7" s="701"/>
      <c r="AE7" s="705">
        <f>IF(P7=0,1,1/P7)</f>
        <v>3</v>
      </c>
      <c r="AF7" s="705">
        <f>ROUNDDOWN( R4,0)</f>
        <v>1</v>
      </c>
      <c r="AG7" s="705">
        <f>ROUNDDOWN(S4,0)</f>
        <v>1</v>
      </c>
      <c r="AH7" s="705">
        <f>ROUNDDOWN(T4,0)</f>
        <v>1</v>
      </c>
      <c r="AI7" s="706">
        <f>ROUNDDOWN(U4,0)</f>
        <v>1</v>
      </c>
      <c r="AJ7" s="697"/>
      <c r="AK7" s="478" t="s">
        <v>114</v>
      </c>
      <c r="AL7" s="540" t="e">
        <f>MINVERSE(  'الأجـــازة للوصايا'!CE7)</f>
        <v>#NUM!</v>
      </c>
      <c r="AM7" s="28"/>
      <c r="AN7" s="28"/>
      <c r="AO7" s="478"/>
      <c r="AP7" s="28"/>
      <c r="AQ7" s="28"/>
      <c r="AR7" s="28"/>
      <c r="AS7" s="28"/>
      <c r="AT7" s="28"/>
      <c r="AU7" s="28"/>
      <c r="AV7" s="28"/>
      <c r="AW7" s="28"/>
      <c r="AX7" s="28"/>
    </row>
    <row r="8" spans="1:50" ht="27.75" customHeight="1" thickTop="1" thickBot="1">
      <c r="C8" s="1390"/>
      <c r="D8" s="1395"/>
      <c r="E8" s="697"/>
      <c r="M8" s="697"/>
      <c r="N8" s="697"/>
      <c r="O8" s="697"/>
      <c r="P8" s="697"/>
      <c r="Q8" s="701" t="s">
        <v>114</v>
      </c>
      <c r="R8" s="702">
        <f>IF(O50*O51=0,1,O50*O51)</f>
        <v>1</v>
      </c>
      <c r="S8" s="702" t="s">
        <v>114</v>
      </c>
      <c r="T8" s="702" t="s">
        <v>114</v>
      </c>
      <c r="U8" s="702">
        <f>W3/W7</f>
        <v>1</v>
      </c>
      <c r="V8" s="702">
        <f>IFERROR(W3/W4,1)</f>
        <v>1</v>
      </c>
      <c r="W8" s="703">
        <f>V5*W7</f>
        <v>1</v>
      </c>
      <c r="X8" s="702">
        <f>V3*U3*T3*S3</f>
        <v>1</v>
      </c>
      <c r="Y8" s="701"/>
      <c r="Z8" s="701"/>
      <c r="AA8" s="701"/>
      <c r="AB8" s="701"/>
      <c r="AC8" s="701"/>
      <c r="AD8" s="701"/>
      <c r="AE8" s="707">
        <f>IF(P7=0,1,P7)</f>
        <v>0.33333333333333331</v>
      </c>
      <c r="AF8" s="701"/>
      <c r="AG8" s="701"/>
      <c r="AH8" s="701"/>
      <c r="AI8" s="701"/>
      <c r="AJ8" s="697"/>
      <c r="AK8" s="550"/>
      <c r="AL8" s="28"/>
      <c r="AM8" s="28"/>
      <c r="AN8" s="28"/>
      <c r="AO8" s="478">
        <f>ROUNDDOWN(V4,0)</f>
        <v>1</v>
      </c>
      <c r="AP8" s="28"/>
      <c r="AQ8" s="28"/>
      <c r="AR8" s="28"/>
      <c r="AS8" s="28"/>
      <c r="AT8" s="28"/>
      <c r="AU8" s="28"/>
      <c r="AV8" s="28"/>
      <c r="AW8" s="28"/>
      <c r="AX8" s="28"/>
    </row>
    <row r="9" spans="1:50" ht="27.75" customHeight="1" thickTop="1" thickBot="1">
      <c r="C9" s="664" t="s">
        <v>744</v>
      </c>
      <c r="D9" s="665">
        <f>S29</f>
        <v>0</v>
      </c>
      <c r="E9" s="697"/>
      <c r="M9" s="697"/>
      <c r="N9" s="697"/>
      <c r="O9" s="697"/>
      <c r="P9" s="697"/>
      <c r="Q9" s="708" t="s">
        <v>114</v>
      </c>
      <c r="R9" s="708">
        <f>IF(O50=0,1,O50)</f>
        <v>1</v>
      </c>
      <c r="S9" s="709">
        <f>S4*R4</f>
        <v>1</v>
      </c>
      <c r="T9" s="709">
        <f>T4*R4</f>
        <v>1</v>
      </c>
      <c r="U9" s="710">
        <f>U4*R4</f>
        <v>1</v>
      </c>
      <c r="V9" s="709">
        <f>V4*R4</f>
        <v>1</v>
      </c>
      <c r="W9" s="709">
        <f>R3*S3/V5</f>
        <v>1</v>
      </c>
      <c r="X9" s="711">
        <f>1/X8</f>
        <v>1</v>
      </c>
      <c r="Y9" s="670"/>
      <c r="Z9" s="708"/>
      <c r="AA9" s="708"/>
      <c r="AB9" s="708"/>
      <c r="AC9" s="708"/>
      <c r="AD9" s="708"/>
      <c r="AE9" s="712" t="s">
        <v>114</v>
      </c>
      <c r="AF9" s="713">
        <f>MINVERSE( AE8)</f>
        <v>3</v>
      </c>
      <c r="AG9" s="713" t="e">
        <f>MINVERSE('الأجـــازة للوصايا'!CB7)</f>
        <v>#NUM!</v>
      </c>
      <c r="AH9" s="713" t="e">
        <f>MINVERSE( 'الأجـــازة للوصايا'!CC7)</f>
        <v>#NUM!</v>
      </c>
      <c r="AI9" s="714" t="e">
        <f>MINVERSE(  'الأجـــازة للوصايا'!CD7)</f>
        <v>#NUM!</v>
      </c>
      <c r="AJ9" s="674" t="s">
        <v>747</v>
      </c>
      <c r="AK9" s="538"/>
      <c r="AN9" s="28"/>
      <c r="AO9" s="545"/>
      <c r="AP9" s="28"/>
      <c r="AQ9" s="28"/>
      <c r="AR9" s="28"/>
      <c r="AS9" s="28"/>
      <c r="AT9" s="28"/>
      <c r="AU9" s="28"/>
      <c r="AV9" s="28"/>
      <c r="AW9" s="28"/>
    </row>
    <row r="10" spans="1:50" ht="27.75" customHeight="1" thickTop="1" thickBot="1">
      <c r="C10" s="664" t="s">
        <v>755</v>
      </c>
      <c r="D10" s="675">
        <f>VLOOKUP('الأجـــازة للوصايا'!H124,'ورقة أجازة وعدم الأجازة للمختصن'!E12:F23,2,FALSE)</f>
        <v>0</v>
      </c>
      <c r="E10" s="697"/>
      <c r="M10" s="697"/>
      <c r="N10" s="697"/>
      <c r="O10" s="697"/>
      <c r="P10" s="697"/>
      <c r="Q10" s="708"/>
      <c r="R10" s="708">
        <f>IF(O51=0,1,O51)</f>
        <v>1</v>
      </c>
      <c r="S10" s="708"/>
      <c r="T10" s="708"/>
      <c r="U10" s="708"/>
      <c r="V10" s="709">
        <f>V9*U9*T9*S9</f>
        <v>1</v>
      </c>
      <c r="W10" s="709" t="s">
        <v>114</v>
      </c>
      <c r="X10" s="709">
        <f>V10/389</f>
        <v>2.5706940874035988E-3</v>
      </c>
      <c r="Y10" s="709" t="s">
        <v>114</v>
      </c>
      <c r="Z10" s="709"/>
      <c r="AA10" s="709"/>
      <c r="AB10" s="709"/>
      <c r="AC10" s="709"/>
      <c r="AD10" s="709"/>
      <c r="AE10" s="709"/>
      <c r="AF10" s="709"/>
      <c r="AG10" s="709"/>
      <c r="AH10" s="709" t="s">
        <v>114</v>
      </c>
      <c r="AI10" s="709" t="s">
        <v>114</v>
      </c>
      <c r="AJ10" s="866">
        <f>'ورقة أجازة وعدم الأجازة للمختصن'!AL11</f>
        <v>100</v>
      </c>
      <c r="AK10" s="28"/>
      <c r="AL10" s="478">
        <f>U5</f>
        <v>0</v>
      </c>
      <c r="AN10" s="478" t="s">
        <v>114</v>
      </c>
      <c r="AO10" s="540" t="e">
        <f>MINVERSE(  'الأجـــازة للوصايا'!CE7)</f>
        <v>#NUM!</v>
      </c>
      <c r="AP10" s="28"/>
      <c r="AQ10" s="28"/>
      <c r="AR10" s="28"/>
      <c r="AS10" s="28"/>
      <c r="AT10" s="28"/>
      <c r="AU10" s="28"/>
      <c r="AV10" s="28"/>
      <c r="AW10" s="28"/>
    </row>
    <row r="11" spans="1:50" ht="34.5" customHeight="1" thickTop="1" thickBot="1">
      <c r="C11" s="1315">
        <f>'الأجـــازة للوصايا'!H124</f>
        <v>0</v>
      </c>
      <c r="D11" s="1316"/>
      <c r="E11" s="698"/>
      <c r="M11" s="717" t="s">
        <v>739</v>
      </c>
      <c r="N11" s="718"/>
      <c r="O11" s="719" t="s">
        <v>540</v>
      </c>
      <c r="P11" s="720" t="s">
        <v>753</v>
      </c>
      <c r="Q11" s="721" t="s">
        <v>137</v>
      </c>
      <c r="R11" s="722"/>
      <c r="S11" s="723" t="s">
        <v>734</v>
      </c>
      <c r="T11" s="722" t="s">
        <v>733</v>
      </c>
      <c r="U11" s="722" t="s">
        <v>733</v>
      </c>
      <c r="V11" s="724"/>
      <c r="W11" s="725"/>
      <c r="X11" s="708"/>
      <c r="Y11" s="709"/>
      <c r="Z11" s="709"/>
      <c r="AA11" s="709"/>
      <c r="AB11" s="709"/>
      <c r="AC11" s="709"/>
      <c r="AD11" s="709"/>
      <c r="AE11" s="709"/>
      <c r="AF11" s="709"/>
      <c r="AG11" s="709"/>
      <c r="AH11" s="708"/>
      <c r="AI11" s="678">
        <f>'أدخال البيانات'!$R$8* X2</f>
        <v>0</v>
      </c>
      <c r="AJ11" s="866"/>
    </row>
    <row r="12" spans="1:50" ht="18.75" customHeight="1" thickTop="1" thickBot="1">
      <c r="C12" s="1295" t="str">
        <f>IF(SUM('الأجـــازة للوصايا'!K124:N135) &gt;0,"بعض الورثة أجازو الوصايا",A7)</f>
        <v>العملية صحيحة</v>
      </c>
      <c r="D12" s="1296"/>
      <c r="E12" s="697"/>
      <c r="M12" s="726">
        <f t="shared" ref="M12:M23" si="0">IF(X12&lt;0,"الوارث لم يبقى له شىء",X12)</f>
        <v>0</v>
      </c>
      <c r="N12" s="727" t="e">
        <f t="shared" ref="N12:N27" si="1">AK12*M12/S29</f>
        <v>#DIV/0!</v>
      </c>
      <c r="O12" s="727" t="e">
        <f>'ورقة أجازة وعدم الأجازة للمختصن'!BB108</f>
        <v>#DIV/0!</v>
      </c>
      <c r="P12" s="728" t="e">
        <f t="shared" ref="P12:P27" si="2">S12/T12</f>
        <v>#DIV/0!</v>
      </c>
      <c r="Q12" s="729">
        <f>IF('الأجـــازة للوصايا'!I124&gt;0,'الأجـــازة للوصايا'!I124,0)</f>
        <v>0</v>
      </c>
      <c r="R12" s="729" t="e">
        <f t="shared" ref="R12:R27" si="3">P12</f>
        <v>#DIV/0!</v>
      </c>
      <c r="S12" s="727">
        <f t="shared" ref="S12:S27" si="4">ROUNDDOWN(M12*AK12,0)</f>
        <v>0</v>
      </c>
      <c r="T12" s="727">
        <f t="shared" ref="T12:T27" si="5">$S$29</f>
        <v>0</v>
      </c>
      <c r="U12" s="702">
        <f t="shared" ref="U12:U27" si="6" xml:space="preserve"> AK12*M12</f>
        <v>0</v>
      </c>
      <c r="V12" s="727">
        <f t="shared" ref="V12:V27" si="7">W12*M12</f>
        <v>0</v>
      </c>
      <c r="W12" s="730">
        <f>AI11</f>
        <v>0</v>
      </c>
      <c r="X12" s="727">
        <f>IFERROR( ( (('الأجـــازة للوصايا'!I124-(( (AC12+AG12) +(AB12+AF12) +(AA12+AE12) +(Z12+AD12)  ))*'الأجـــازة للوصايا'!I124))),0)</f>
        <v>0</v>
      </c>
      <c r="Y12" s="730" t="str">
        <f>V32</f>
        <v xml:space="preserve"> </v>
      </c>
      <c r="Z12" s="731">
        <f>IF('الأجـــازة للوصايا'!K124=1, 'الأجـــازة للوصايا'!CB9,0)</f>
        <v>0</v>
      </c>
      <c r="AA12" s="731">
        <f>IF('الأجـــازة للوصايا'!L124=1, 'الأجـــازة للوصايا'!CC9,0)</f>
        <v>0</v>
      </c>
      <c r="AB12" s="731">
        <f>IF('الأجـــازة للوصايا'!M124=1, 'الأجـــازة للوصايا'!CD9,0)</f>
        <v>0</v>
      </c>
      <c r="AC12" s="731">
        <f>IF('الأجـــازة للوصايا'!N124=1, 'الأجـــازة للوصايا'!CE9,0)</f>
        <v>0</v>
      </c>
      <c r="AD12" s="731">
        <f>IF('الأجـــازة للوصايا'!K124=0,'الأجـــازة للوصايا'!CB10,0)</f>
        <v>0</v>
      </c>
      <c r="AE12" s="731">
        <f>IF('الأجـــازة للوصايا'!L124=0,'الأجـــازة للوصايا'!CC10,0)</f>
        <v>0</v>
      </c>
      <c r="AF12" s="731">
        <f>IF('الأجـــازة للوصايا'!M124=0,'الأجـــازة للوصايا'!CD10,0)</f>
        <v>0</v>
      </c>
      <c r="AG12" s="731">
        <f>IF('الأجـــازة للوصايا'!N124=0,'الأجـــازة للوصايا'!CE10,0)</f>
        <v>0</v>
      </c>
      <c r="AH12" s="730"/>
      <c r="AI12" s="732"/>
      <c r="AJ12" s="866">
        <f t="shared" ref="AJ12:AJ27" si="8">AL12*M12</f>
        <v>0</v>
      </c>
      <c r="AK12" s="293">
        <f>$AK$13</f>
        <v>0</v>
      </c>
      <c r="AL12" s="293">
        <f t="shared" ref="AL12:AL27" si="9">$AJ$10</f>
        <v>100</v>
      </c>
      <c r="AM12" s="1" t="e">
        <f t="shared" ref="AM12:AM27" si="10">P12</f>
        <v>#DIV/0!</v>
      </c>
    </row>
    <row r="13" spans="1:50" ht="18.75" customHeight="1" thickTop="1" thickBot="1">
      <c r="C13" s="1297"/>
      <c r="D13" s="1298"/>
      <c r="E13" s="697"/>
      <c r="M13" s="679">
        <f t="shared" si="0"/>
        <v>0</v>
      </c>
      <c r="N13" s="680" t="e">
        <f t="shared" si="1"/>
        <v>#DIV/0!</v>
      </c>
      <c r="O13" s="680" t="e">
        <f>'ورقة أجازة وعدم الأجازة للمختصن'!BB109</f>
        <v>#DIV/0!</v>
      </c>
      <c r="P13" s="681" t="e">
        <f t="shared" si="2"/>
        <v>#DIV/0!</v>
      </c>
      <c r="Q13" s="682">
        <f>IF('الأجـــازة للوصايا'!I125&gt;0,'الأجـــازة للوصايا'!I125,0)</f>
        <v>0</v>
      </c>
      <c r="R13" s="682" t="e">
        <f t="shared" si="3"/>
        <v>#DIV/0!</v>
      </c>
      <c r="S13" s="680">
        <f t="shared" si="4"/>
        <v>0</v>
      </c>
      <c r="T13" s="680">
        <f t="shared" si="5"/>
        <v>0</v>
      </c>
      <c r="U13" s="709">
        <f t="shared" si="6"/>
        <v>0</v>
      </c>
      <c r="V13" s="680">
        <f t="shared" si="7"/>
        <v>0</v>
      </c>
      <c r="W13" s="683">
        <f t="shared" ref="W13:W27" si="11">$W$12</f>
        <v>0</v>
      </c>
      <c r="X13" s="680">
        <f>IFERROR( ( (('الأجـــازة للوصايا'!I125-(( (AC13+AG13) +(AB13+AF13) +(AA13+AE13) +(Z13+AD13)  ))*'الأجـــازة للوصايا'!I125))),0)</f>
        <v>0</v>
      </c>
      <c r="Y13" s="683">
        <f t="shared" ref="Y13:Y27" si="12">V33</f>
        <v>0</v>
      </c>
      <c r="Z13" s="684">
        <f>IF('الأجـــازة للوصايا'!K125=1, 'الأجـــازة للوصايا'!CB9,0)</f>
        <v>0</v>
      </c>
      <c r="AA13" s="684">
        <f>IF('الأجـــازة للوصايا'!L125=1, 'الأجـــازة للوصايا'!CC9,0)</f>
        <v>0</v>
      </c>
      <c r="AB13" s="684">
        <f>IF('الأجـــازة للوصايا'!M125=1, 'الأجـــازة للوصايا'!CD9,0)</f>
        <v>0</v>
      </c>
      <c r="AC13" s="684">
        <f>IF('الأجـــازة للوصايا'!N125=1, 'الأجـــازة للوصايا'!CE9,0)</f>
        <v>0</v>
      </c>
      <c r="AD13" s="684">
        <f>IF('الأجـــازة للوصايا'!K125=0,'الأجـــازة للوصايا'!CB10,0)</f>
        <v>0</v>
      </c>
      <c r="AE13" s="684">
        <f>IF('الأجـــازة للوصايا'!L125=0,'الأجـــازة للوصايا'!CC10,0)</f>
        <v>0</v>
      </c>
      <c r="AF13" s="684">
        <f>IF('الأجـــازة للوصايا'!M125=0,'الأجـــازة للوصايا'!CD10,0)</f>
        <v>0</v>
      </c>
      <c r="AG13" s="684">
        <f>IF('الأجـــازة للوصايا'!N125=0,'الأجـــازة للوصايا'!CE10,0)</f>
        <v>0</v>
      </c>
      <c r="AH13" s="683"/>
      <c r="AI13" s="685"/>
      <c r="AJ13" s="866">
        <f t="shared" si="8"/>
        <v>0</v>
      </c>
      <c r="AK13" s="293">
        <f t="shared" ref="AK13:AK27" si="13">$AI$11</f>
        <v>0</v>
      </c>
      <c r="AL13" s="293">
        <f t="shared" si="9"/>
        <v>100</v>
      </c>
      <c r="AM13" s="1" t="e">
        <f t="shared" si="10"/>
        <v>#DIV/0!</v>
      </c>
    </row>
    <row r="14" spans="1:50" ht="18.75" customHeight="1" thickTop="1" thickBot="1">
      <c r="C14" s="1297"/>
      <c r="D14" s="1298"/>
      <c r="E14" s="697"/>
      <c r="M14" s="679">
        <f t="shared" si="0"/>
        <v>0</v>
      </c>
      <c r="N14" s="680" t="e">
        <f t="shared" si="1"/>
        <v>#DIV/0!</v>
      </c>
      <c r="O14" s="680" t="e">
        <f>'ورقة أجازة وعدم الأجازة للمختصن'!BB110</f>
        <v>#DIV/0!</v>
      </c>
      <c r="P14" s="681" t="e">
        <f t="shared" si="2"/>
        <v>#DIV/0!</v>
      </c>
      <c r="Q14" s="682">
        <f>IF('الأجـــازة للوصايا'!I126&gt;0,'الأجـــازة للوصايا'!I126,0)</f>
        <v>0</v>
      </c>
      <c r="R14" s="682" t="e">
        <f t="shared" si="3"/>
        <v>#DIV/0!</v>
      </c>
      <c r="S14" s="680">
        <f t="shared" si="4"/>
        <v>0</v>
      </c>
      <c r="T14" s="680">
        <f t="shared" si="5"/>
        <v>0</v>
      </c>
      <c r="U14" s="709">
        <f t="shared" si="6"/>
        <v>0</v>
      </c>
      <c r="V14" s="680">
        <f t="shared" si="7"/>
        <v>0</v>
      </c>
      <c r="W14" s="683">
        <f t="shared" si="11"/>
        <v>0</v>
      </c>
      <c r="X14" s="680">
        <f>IFERROR( ( (('الأجـــازة للوصايا'!I126-(( (AC14+AG14) +(AB14+AF14) +(AA14+AE14) +(Z14+AD14)  ))*'الأجـــازة للوصايا'!I126))),0)</f>
        <v>0</v>
      </c>
      <c r="Y14" s="683">
        <f t="shared" si="12"/>
        <v>0</v>
      </c>
      <c r="Z14" s="684">
        <f>IF('الأجـــازة للوصايا'!K126=1, 'الأجـــازة للوصايا'!CB9,0)</f>
        <v>0</v>
      </c>
      <c r="AA14" s="684">
        <f>IF('الأجـــازة للوصايا'!L126=1, 'الأجـــازة للوصايا'!CC9,0)</f>
        <v>0</v>
      </c>
      <c r="AB14" s="684">
        <f>IF('الأجـــازة للوصايا'!M126=1, 'الأجـــازة للوصايا'!CD9,0)</f>
        <v>0</v>
      </c>
      <c r="AC14" s="684">
        <f>IF('الأجـــازة للوصايا'!N126=1, 'الأجـــازة للوصايا'!CE9,0)</f>
        <v>0</v>
      </c>
      <c r="AD14" s="684">
        <f>IF('الأجـــازة للوصايا'!K126=0,'الأجـــازة للوصايا'!CB10,0)</f>
        <v>0</v>
      </c>
      <c r="AE14" s="684">
        <f>IF('الأجـــازة للوصايا'!L126=0,'الأجـــازة للوصايا'!CC10,0)</f>
        <v>0</v>
      </c>
      <c r="AF14" s="684">
        <f>IF('الأجـــازة للوصايا'!M126=0,'الأجـــازة للوصايا'!CD10,0)</f>
        <v>0</v>
      </c>
      <c r="AG14" s="684">
        <f>IF('الأجـــازة للوصايا'!N126=0,'الأجـــازة للوصايا'!CE10,0)</f>
        <v>0</v>
      </c>
      <c r="AH14" s="683"/>
      <c r="AI14" s="685"/>
      <c r="AJ14" s="866">
        <f t="shared" si="8"/>
        <v>0</v>
      </c>
      <c r="AK14" s="293">
        <f t="shared" si="13"/>
        <v>0</v>
      </c>
      <c r="AL14" s="293">
        <f t="shared" si="9"/>
        <v>100</v>
      </c>
      <c r="AM14" s="1" t="e">
        <f t="shared" si="10"/>
        <v>#DIV/0!</v>
      </c>
    </row>
    <row r="15" spans="1:50" ht="18.75" customHeight="1" thickTop="1" thickBot="1">
      <c r="C15" s="1297"/>
      <c r="D15" s="1298"/>
      <c r="E15" s="697"/>
      <c r="M15" s="679">
        <f t="shared" si="0"/>
        <v>0</v>
      </c>
      <c r="N15" s="680" t="e">
        <f t="shared" si="1"/>
        <v>#DIV/0!</v>
      </c>
      <c r="O15" s="680" t="e">
        <f>'ورقة أجازة وعدم الأجازة للمختصن'!BB111</f>
        <v>#DIV/0!</v>
      </c>
      <c r="P15" s="681" t="e">
        <f t="shared" si="2"/>
        <v>#DIV/0!</v>
      </c>
      <c r="Q15" s="682">
        <f>IF('الأجـــازة للوصايا'!I127&gt;0,'الأجـــازة للوصايا'!I127,0)</f>
        <v>0</v>
      </c>
      <c r="R15" s="682" t="e">
        <f t="shared" si="3"/>
        <v>#DIV/0!</v>
      </c>
      <c r="S15" s="680">
        <f t="shared" si="4"/>
        <v>0</v>
      </c>
      <c r="T15" s="680">
        <f t="shared" si="5"/>
        <v>0</v>
      </c>
      <c r="U15" s="709">
        <f t="shared" si="6"/>
        <v>0</v>
      </c>
      <c r="V15" s="680">
        <f t="shared" si="7"/>
        <v>0</v>
      </c>
      <c r="W15" s="683">
        <f t="shared" si="11"/>
        <v>0</v>
      </c>
      <c r="X15" s="680">
        <f>IFERROR( ( (('الأجـــازة للوصايا'!I127-(( (AC15+AG15) +(AB15+AF15) +(AA15+AE15) +(Z15+AD15)  ))*'الأجـــازة للوصايا'!I127))),0)</f>
        <v>0</v>
      </c>
      <c r="Y15" s="683">
        <f t="shared" si="12"/>
        <v>0</v>
      </c>
      <c r="Z15" s="684">
        <f>IF('الأجـــازة للوصايا'!K127=1, 'الأجـــازة للوصايا'!CB9,0)</f>
        <v>0</v>
      </c>
      <c r="AA15" s="684">
        <f>IF('الأجـــازة للوصايا'!L127=1, 'الأجـــازة للوصايا'!CC9,0)</f>
        <v>0</v>
      </c>
      <c r="AB15" s="684">
        <f>IF('الأجـــازة للوصايا'!M127=1, 'الأجـــازة للوصايا'!CD9,0)</f>
        <v>0</v>
      </c>
      <c r="AC15" s="684">
        <f>IF('الأجـــازة للوصايا'!N127=1, 'الأجـــازة للوصايا'!CE9,0)</f>
        <v>0</v>
      </c>
      <c r="AD15" s="684">
        <f>IF('الأجـــازة للوصايا'!K127=0,'الأجـــازة للوصايا'!CB10,0)</f>
        <v>0</v>
      </c>
      <c r="AE15" s="684">
        <f>IF('الأجـــازة للوصايا'!L127=0,'الأجـــازة للوصايا'!CC10,0)</f>
        <v>0</v>
      </c>
      <c r="AF15" s="684">
        <f>IF('الأجـــازة للوصايا'!M127=0,'الأجـــازة للوصايا'!CD10,0)</f>
        <v>0</v>
      </c>
      <c r="AG15" s="684">
        <f>IF('الأجـــازة للوصايا'!N127=0,'الأجـــازة للوصايا'!CE10,0)</f>
        <v>0</v>
      </c>
      <c r="AH15" s="683"/>
      <c r="AI15" s="685"/>
      <c r="AJ15" s="866">
        <f t="shared" si="8"/>
        <v>0</v>
      </c>
      <c r="AK15" s="293">
        <f t="shared" si="13"/>
        <v>0</v>
      </c>
      <c r="AL15" s="293">
        <f t="shared" si="9"/>
        <v>100</v>
      </c>
      <c r="AM15" s="1" t="e">
        <f t="shared" si="10"/>
        <v>#DIV/0!</v>
      </c>
    </row>
    <row r="16" spans="1:50" ht="18.75" customHeight="1" thickTop="1" thickBot="1">
      <c r="C16" s="1297"/>
      <c r="D16" s="1298"/>
      <c r="E16" s="697"/>
      <c r="M16" s="679">
        <f t="shared" si="0"/>
        <v>0</v>
      </c>
      <c r="N16" s="680" t="e">
        <f t="shared" si="1"/>
        <v>#DIV/0!</v>
      </c>
      <c r="O16" s="680" t="e">
        <f>'ورقة أجازة وعدم الأجازة للمختصن'!BB112</f>
        <v>#DIV/0!</v>
      </c>
      <c r="P16" s="681" t="e">
        <f t="shared" si="2"/>
        <v>#DIV/0!</v>
      </c>
      <c r="Q16" s="682">
        <f>IF('الأجـــازة للوصايا'!I128&gt;0,'الأجـــازة للوصايا'!I128,0)</f>
        <v>0</v>
      </c>
      <c r="R16" s="682" t="e">
        <f t="shared" si="3"/>
        <v>#DIV/0!</v>
      </c>
      <c r="S16" s="680">
        <f t="shared" si="4"/>
        <v>0</v>
      </c>
      <c r="T16" s="680">
        <f t="shared" si="5"/>
        <v>0</v>
      </c>
      <c r="U16" s="709">
        <f t="shared" si="6"/>
        <v>0</v>
      </c>
      <c r="V16" s="680">
        <f t="shared" si="7"/>
        <v>0</v>
      </c>
      <c r="W16" s="683">
        <f t="shared" si="11"/>
        <v>0</v>
      </c>
      <c r="X16" s="680">
        <f>IFERROR( ( (('الأجـــازة للوصايا'!I128-(( (AC16+AG16) +(AB16+AF16) +(AA16+AE16) +(Z16+AD16)  ))*'الأجـــازة للوصايا'!I128))),0)</f>
        <v>0</v>
      </c>
      <c r="Y16" s="683">
        <f t="shared" si="12"/>
        <v>0</v>
      </c>
      <c r="Z16" s="684">
        <f>IF('الأجـــازة للوصايا'!K128=1, 'الأجـــازة للوصايا'!CB9,0)</f>
        <v>0</v>
      </c>
      <c r="AA16" s="684">
        <f>IF('الأجـــازة للوصايا'!L128=1, 'الأجـــازة للوصايا'!CC9,0)</f>
        <v>0</v>
      </c>
      <c r="AB16" s="684">
        <f>IF('الأجـــازة للوصايا'!M128=1, 'الأجـــازة للوصايا'!CD9,0)</f>
        <v>0</v>
      </c>
      <c r="AC16" s="684">
        <f>IF('الأجـــازة للوصايا'!N128=1, 'الأجـــازة للوصايا'!CE9,0)</f>
        <v>0</v>
      </c>
      <c r="AD16" s="684">
        <f>IF('الأجـــازة للوصايا'!K128=0,'الأجـــازة للوصايا'!CB10,0)</f>
        <v>0</v>
      </c>
      <c r="AE16" s="684">
        <f>IF('الأجـــازة للوصايا'!L128=0,'الأجـــازة للوصايا'!CC10,0)</f>
        <v>0</v>
      </c>
      <c r="AF16" s="684">
        <f>IF('الأجـــازة للوصايا'!M128=0,'الأجـــازة للوصايا'!CD10,0)</f>
        <v>0</v>
      </c>
      <c r="AG16" s="684">
        <f>IF('الأجـــازة للوصايا'!N128=0,'الأجـــازة للوصايا'!CE10,0)</f>
        <v>0</v>
      </c>
      <c r="AH16" s="683"/>
      <c r="AI16" s="685"/>
      <c r="AJ16" s="866">
        <f t="shared" si="8"/>
        <v>0</v>
      </c>
      <c r="AK16" s="293">
        <f t="shared" si="13"/>
        <v>0</v>
      </c>
      <c r="AL16" s="293">
        <f t="shared" si="9"/>
        <v>100</v>
      </c>
      <c r="AM16" s="1" t="e">
        <f t="shared" si="10"/>
        <v>#DIV/0!</v>
      </c>
    </row>
    <row r="17" spans="3:44" ht="18.75" customHeight="1" thickTop="1" thickBot="1">
      <c r="C17" s="1297"/>
      <c r="D17" s="1298"/>
      <c r="E17" s="697"/>
      <c r="M17" s="679">
        <f t="shared" si="0"/>
        <v>0</v>
      </c>
      <c r="N17" s="680" t="e">
        <f t="shared" si="1"/>
        <v>#DIV/0!</v>
      </c>
      <c r="O17" s="680" t="e">
        <f>'ورقة أجازة وعدم الأجازة للمختصن'!BB113</f>
        <v>#DIV/0!</v>
      </c>
      <c r="P17" s="681" t="e">
        <f t="shared" si="2"/>
        <v>#DIV/0!</v>
      </c>
      <c r="Q17" s="682">
        <f>IF('الأجـــازة للوصايا'!I129&gt;0,'الأجـــازة للوصايا'!I129,0)</f>
        <v>0</v>
      </c>
      <c r="R17" s="682" t="e">
        <f t="shared" si="3"/>
        <v>#DIV/0!</v>
      </c>
      <c r="S17" s="680">
        <f t="shared" si="4"/>
        <v>0</v>
      </c>
      <c r="T17" s="680">
        <f t="shared" si="5"/>
        <v>0</v>
      </c>
      <c r="U17" s="709">
        <f t="shared" si="6"/>
        <v>0</v>
      </c>
      <c r="V17" s="680">
        <f t="shared" si="7"/>
        <v>0</v>
      </c>
      <c r="W17" s="683">
        <f t="shared" si="11"/>
        <v>0</v>
      </c>
      <c r="X17" s="680">
        <f>IFERROR( ( (('الأجـــازة للوصايا'!I129-(( (AC17+AG17) +(AB17+AF17) +(AA17+AE17) +(Z17+AD17)  ))*'الأجـــازة للوصايا'!I129))),0)</f>
        <v>0</v>
      </c>
      <c r="Y17" s="683">
        <f t="shared" si="12"/>
        <v>0</v>
      </c>
      <c r="Z17" s="684">
        <f>IF('الأجـــازة للوصايا'!K129=1, 'الأجـــازة للوصايا'!CB9,0)</f>
        <v>0</v>
      </c>
      <c r="AA17" s="684">
        <f>IF('الأجـــازة للوصايا'!L129=1, 'الأجـــازة للوصايا'!CC9,0)</f>
        <v>0</v>
      </c>
      <c r="AB17" s="684">
        <f>IF('الأجـــازة للوصايا'!M129=1, 'الأجـــازة للوصايا'!CD9,0)</f>
        <v>0</v>
      </c>
      <c r="AC17" s="684">
        <f>IF('الأجـــازة للوصايا'!N129=1, 'الأجـــازة للوصايا'!CE9,0)</f>
        <v>0</v>
      </c>
      <c r="AD17" s="684">
        <f>IF('الأجـــازة للوصايا'!K129=0,'الأجـــازة للوصايا'!CB10,0)</f>
        <v>0</v>
      </c>
      <c r="AE17" s="684">
        <f>IF('الأجـــازة للوصايا'!L129=0,'الأجـــازة للوصايا'!CC10,0)</f>
        <v>0</v>
      </c>
      <c r="AF17" s="684">
        <f>IF('الأجـــازة للوصايا'!M129=0,'الأجـــازة للوصايا'!CD10,0)</f>
        <v>0</v>
      </c>
      <c r="AG17" s="684">
        <f>IF('الأجـــازة للوصايا'!N129=0,'الأجـــازة للوصايا'!CE10,0)</f>
        <v>0</v>
      </c>
      <c r="AH17" s="683"/>
      <c r="AI17" s="685"/>
      <c r="AJ17" s="866">
        <f t="shared" si="8"/>
        <v>0</v>
      </c>
      <c r="AK17" s="293">
        <f t="shared" si="13"/>
        <v>0</v>
      </c>
      <c r="AL17" s="293">
        <f t="shared" si="9"/>
        <v>100</v>
      </c>
      <c r="AM17" s="1" t="e">
        <f t="shared" si="10"/>
        <v>#DIV/0!</v>
      </c>
    </row>
    <row r="18" spans="3:44" ht="18.75" customHeight="1" thickTop="1" thickBot="1">
      <c r="C18" s="1297"/>
      <c r="D18" s="1298"/>
      <c r="E18" s="697"/>
      <c r="M18" s="679">
        <f t="shared" si="0"/>
        <v>0</v>
      </c>
      <c r="N18" s="680" t="e">
        <f t="shared" si="1"/>
        <v>#DIV/0!</v>
      </c>
      <c r="O18" s="680" t="e">
        <f>'ورقة أجازة وعدم الأجازة للمختصن'!BB114</f>
        <v>#DIV/0!</v>
      </c>
      <c r="P18" s="681" t="e">
        <f t="shared" si="2"/>
        <v>#DIV/0!</v>
      </c>
      <c r="Q18" s="682">
        <f>IF('الأجـــازة للوصايا'!I130&gt;0,'الأجـــازة للوصايا'!I130,0)</f>
        <v>0</v>
      </c>
      <c r="R18" s="682" t="e">
        <f t="shared" si="3"/>
        <v>#DIV/0!</v>
      </c>
      <c r="S18" s="680">
        <f t="shared" si="4"/>
        <v>0</v>
      </c>
      <c r="T18" s="680">
        <f t="shared" si="5"/>
        <v>0</v>
      </c>
      <c r="U18" s="709">
        <f t="shared" si="6"/>
        <v>0</v>
      </c>
      <c r="V18" s="680">
        <f t="shared" si="7"/>
        <v>0</v>
      </c>
      <c r="W18" s="683">
        <f t="shared" si="11"/>
        <v>0</v>
      </c>
      <c r="X18" s="680">
        <f>IFERROR( ( (('الأجـــازة للوصايا'!I130-(( (AC18+AG18) +(AB18+AF18) +(AA18+AE18) +(Z18+AD18)  ))*'الأجـــازة للوصايا'!I130))),0)</f>
        <v>0</v>
      </c>
      <c r="Y18" s="683">
        <f t="shared" si="12"/>
        <v>0</v>
      </c>
      <c r="Z18" s="684">
        <f>IF('الأجـــازة للوصايا'!K130=1, 'الأجـــازة للوصايا'!CB9,0)</f>
        <v>0</v>
      </c>
      <c r="AA18" s="684">
        <f>IF('الأجـــازة للوصايا'!L130=1, 'الأجـــازة للوصايا'!CC9,0)</f>
        <v>0</v>
      </c>
      <c r="AB18" s="684">
        <f>IF('الأجـــازة للوصايا'!M130=1, 'الأجـــازة للوصايا'!CD9,0)</f>
        <v>0</v>
      </c>
      <c r="AC18" s="684">
        <f>IF('الأجـــازة للوصايا'!N130=1, 'الأجـــازة للوصايا'!CE9,0)</f>
        <v>0</v>
      </c>
      <c r="AD18" s="684">
        <f>IF('الأجـــازة للوصايا'!K130=0,'الأجـــازة للوصايا'!CB10,0)</f>
        <v>0</v>
      </c>
      <c r="AE18" s="684">
        <f>IF('الأجـــازة للوصايا'!L130=0,'الأجـــازة للوصايا'!CC10,0)</f>
        <v>0</v>
      </c>
      <c r="AF18" s="684">
        <f>IF('الأجـــازة للوصايا'!M130=0,'الأجـــازة للوصايا'!CD10,0)</f>
        <v>0</v>
      </c>
      <c r="AG18" s="684">
        <f>IF('الأجـــازة للوصايا'!N130=0,'الأجـــازة للوصايا'!CE10,0)</f>
        <v>0</v>
      </c>
      <c r="AH18" s="683"/>
      <c r="AI18" s="685"/>
      <c r="AJ18" s="866">
        <f t="shared" si="8"/>
        <v>0</v>
      </c>
      <c r="AK18" s="293">
        <f t="shared" si="13"/>
        <v>0</v>
      </c>
      <c r="AL18" s="293">
        <f t="shared" si="9"/>
        <v>100</v>
      </c>
      <c r="AM18" s="1" t="e">
        <f t="shared" si="10"/>
        <v>#DIV/0!</v>
      </c>
    </row>
    <row r="19" spans="3:44" ht="18.75" customHeight="1" thickTop="1" thickBot="1">
      <c r="C19" s="1297"/>
      <c r="D19" s="1298"/>
      <c r="E19" s="697"/>
      <c r="M19" s="679">
        <f t="shared" si="0"/>
        <v>0</v>
      </c>
      <c r="N19" s="680" t="e">
        <f t="shared" si="1"/>
        <v>#DIV/0!</v>
      </c>
      <c r="O19" s="680" t="e">
        <f>'ورقة أجازة وعدم الأجازة للمختصن'!BB115</f>
        <v>#DIV/0!</v>
      </c>
      <c r="P19" s="681" t="e">
        <f t="shared" si="2"/>
        <v>#DIV/0!</v>
      </c>
      <c r="Q19" s="682">
        <f>IF('الأجـــازة للوصايا'!I131&gt;0,'الأجـــازة للوصايا'!I131,0)</f>
        <v>0</v>
      </c>
      <c r="R19" s="682" t="e">
        <f t="shared" si="3"/>
        <v>#DIV/0!</v>
      </c>
      <c r="S19" s="680">
        <f t="shared" si="4"/>
        <v>0</v>
      </c>
      <c r="T19" s="680">
        <f t="shared" si="5"/>
        <v>0</v>
      </c>
      <c r="U19" s="709">
        <f t="shared" si="6"/>
        <v>0</v>
      </c>
      <c r="V19" s="680">
        <f t="shared" si="7"/>
        <v>0</v>
      </c>
      <c r="W19" s="683">
        <f t="shared" si="11"/>
        <v>0</v>
      </c>
      <c r="X19" s="680">
        <f>IFERROR( ( (('الأجـــازة للوصايا'!I131-(( (AC19+AG19) +(AB19+AF19) +(AA19+AE19) +(Z19+AD19)  ))*'الأجـــازة للوصايا'!I131))),0)</f>
        <v>0</v>
      </c>
      <c r="Y19" s="683">
        <f t="shared" si="12"/>
        <v>0</v>
      </c>
      <c r="Z19" s="684">
        <f>IF('الأجـــازة للوصايا'!K131=1, 'الأجـــازة للوصايا'!CB9,0)</f>
        <v>0</v>
      </c>
      <c r="AA19" s="684">
        <f>IF('الأجـــازة للوصايا'!L131=1, 'الأجـــازة للوصايا'!CC9,0)</f>
        <v>0</v>
      </c>
      <c r="AB19" s="684">
        <f>IF('الأجـــازة للوصايا'!M131=1, 'الأجـــازة للوصايا'!CD9,0)</f>
        <v>0</v>
      </c>
      <c r="AC19" s="684">
        <f>IF('الأجـــازة للوصايا'!N131=1, 'الأجـــازة للوصايا'!CE9,0)</f>
        <v>0</v>
      </c>
      <c r="AD19" s="684">
        <f>IF('الأجـــازة للوصايا'!K131=0,'الأجـــازة للوصايا'!CB10,0)</f>
        <v>0</v>
      </c>
      <c r="AE19" s="684">
        <f>IF('الأجـــازة للوصايا'!L131=0,'الأجـــازة للوصايا'!CC10,0)</f>
        <v>0</v>
      </c>
      <c r="AF19" s="684">
        <f>IF('الأجـــازة للوصايا'!M131=0,'الأجـــازة للوصايا'!CD10,0)</f>
        <v>0</v>
      </c>
      <c r="AG19" s="684">
        <f>IF('الأجـــازة للوصايا'!N131=0,'الأجـــازة للوصايا'!CE10,0)</f>
        <v>0</v>
      </c>
      <c r="AH19" s="683"/>
      <c r="AI19" s="685"/>
      <c r="AJ19" s="866">
        <f t="shared" si="8"/>
        <v>0</v>
      </c>
      <c r="AK19" s="293">
        <f t="shared" si="13"/>
        <v>0</v>
      </c>
      <c r="AL19" s="293">
        <f t="shared" si="9"/>
        <v>100</v>
      </c>
      <c r="AM19" s="1" t="e">
        <f t="shared" si="10"/>
        <v>#DIV/0!</v>
      </c>
    </row>
    <row r="20" spans="3:44" ht="18.75" customHeight="1" thickTop="1" thickBot="1">
      <c r="C20" s="1297"/>
      <c r="D20" s="1298"/>
      <c r="E20" s="697"/>
      <c r="M20" s="679">
        <f t="shared" si="0"/>
        <v>0</v>
      </c>
      <c r="N20" s="680" t="e">
        <f t="shared" si="1"/>
        <v>#DIV/0!</v>
      </c>
      <c r="O20" s="680" t="e">
        <f>'ورقة أجازة وعدم الأجازة للمختصن'!BB116</f>
        <v>#DIV/0!</v>
      </c>
      <c r="P20" s="681" t="e">
        <f t="shared" si="2"/>
        <v>#DIV/0!</v>
      </c>
      <c r="Q20" s="682">
        <f>IF('الأجـــازة للوصايا'!I132&gt;0,'الأجـــازة للوصايا'!I132,0)</f>
        <v>0</v>
      </c>
      <c r="R20" s="682" t="e">
        <f t="shared" si="3"/>
        <v>#DIV/0!</v>
      </c>
      <c r="S20" s="680">
        <f t="shared" si="4"/>
        <v>0</v>
      </c>
      <c r="T20" s="680">
        <f t="shared" si="5"/>
        <v>0</v>
      </c>
      <c r="U20" s="709">
        <f t="shared" si="6"/>
        <v>0</v>
      </c>
      <c r="V20" s="680">
        <f t="shared" si="7"/>
        <v>0</v>
      </c>
      <c r="W20" s="683">
        <f t="shared" si="11"/>
        <v>0</v>
      </c>
      <c r="X20" s="680">
        <f>IFERROR( ( (('الأجـــازة للوصايا'!I132-(( (AC20+AG20) +(AB20+AF20) +(AA20+AE20) +(Z20+AD20)  ))*'الأجـــازة للوصايا'!I132))),0)</f>
        <v>0</v>
      </c>
      <c r="Y20" s="683">
        <f t="shared" si="12"/>
        <v>0</v>
      </c>
      <c r="Z20" s="684">
        <f>IF('الأجـــازة للوصايا'!K132=1, 'الأجـــازة للوصايا'!CB9,0)</f>
        <v>0</v>
      </c>
      <c r="AA20" s="684">
        <f>IF('الأجـــازة للوصايا'!L132=1, 'الأجـــازة للوصايا'!CC9,0)</f>
        <v>0</v>
      </c>
      <c r="AB20" s="684">
        <f>IF('الأجـــازة للوصايا'!M132=1, 'الأجـــازة للوصايا'!CD9,0)</f>
        <v>0</v>
      </c>
      <c r="AC20" s="684">
        <f>IF('الأجـــازة للوصايا'!N132=1, 'الأجـــازة للوصايا'!CE9,0)</f>
        <v>0</v>
      </c>
      <c r="AD20" s="684">
        <f>IF('الأجـــازة للوصايا'!K132=0,'الأجـــازة للوصايا'!CB10,0)</f>
        <v>0</v>
      </c>
      <c r="AE20" s="684">
        <f>IF('الأجـــازة للوصايا'!L132=0,'الأجـــازة للوصايا'!CC10,0)</f>
        <v>0</v>
      </c>
      <c r="AF20" s="684">
        <f>IF('الأجـــازة للوصايا'!M132=0,'الأجـــازة للوصايا'!CD10,0)</f>
        <v>0</v>
      </c>
      <c r="AG20" s="684">
        <f>IF('الأجـــازة للوصايا'!N132=0,'الأجـــازة للوصايا'!CE10,0)</f>
        <v>0</v>
      </c>
      <c r="AH20" s="683"/>
      <c r="AI20" s="685"/>
      <c r="AJ20" s="866">
        <f t="shared" si="8"/>
        <v>0</v>
      </c>
      <c r="AK20" s="293">
        <f t="shared" si="13"/>
        <v>0</v>
      </c>
      <c r="AL20" s="293">
        <f t="shared" si="9"/>
        <v>100</v>
      </c>
      <c r="AM20" s="1" t="e">
        <f t="shared" si="10"/>
        <v>#DIV/0!</v>
      </c>
    </row>
    <row r="21" spans="3:44" ht="18.75" customHeight="1" thickTop="1" thickBot="1">
      <c r="C21" s="1299"/>
      <c r="D21" s="1300"/>
      <c r="E21" s="697"/>
      <c r="M21" s="679">
        <f t="shared" si="0"/>
        <v>0</v>
      </c>
      <c r="N21" s="680" t="e">
        <f t="shared" si="1"/>
        <v>#DIV/0!</v>
      </c>
      <c r="O21" s="680" t="e">
        <f>'ورقة أجازة وعدم الأجازة للمختصن'!BB117</f>
        <v>#DIV/0!</v>
      </c>
      <c r="P21" s="681" t="e">
        <f t="shared" si="2"/>
        <v>#DIV/0!</v>
      </c>
      <c r="Q21" s="682">
        <f>IF('الأجـــازة للوصايا'!I133&gt;0,'الأجـــازة للوصايا'!I133,0)</f>
        <v>0</v>
      </c>
      <c r="R21" s="682" t="e">
        <f t="shared" si="3"/>
        <v>#DIV/0!</v>
      </c>
      <c r="S21" s="680">
        <f t="shared" si="4"/>
        <v>0</v>
      </c>
      <c r="T21" s="680">
        <f t="shared" si="5"/>
        <v>0</v>
      </c>
      <c r="U21" s="709">
        <f t="shared" si="6"/>
        <v>0</v>
      </c>
      <c r="V21" s="680">
        <f t="shared" si="7"/>
        <v>0</v>
      </c>
      <c r="W21" s="683">
        <f t="shared" si="11"/>
        <v>0</v>
      </c>
      <c r="X21" s="680">
        <f>IFERROR( ( (('الأجـــازة للوصايا'!I133-(( (AC21+AG21) +(AB21+AF21) +(AA21+AE21) +(Z21+AD21)  ))*'الأجـــازة للوصايا'!I133))),0)</f>
        <v>0</v>
      </c>
      <c r="Y21" s="683">
        <f t="shared" si="12"/>
        <v>0</v>
      </c>
      <c r="Z21" s="684">
        <f>IF('الأجـــازة للوصايا'!K133=1, 'الأجـــازة للوصايا'!CB9,0)</f>
        <v>0</v>
      </c>
      <c r="AA21" s="684">
        <f>IF('الأجـــازة للوصايا'!L133=1, 'الأجـــازة للوصايا'!CC9,0)</f>
        <v>0</v>
      </c>
      <c r="AB21" s="684">
        <f>IF('الأجـــازة للوصايا'!M133=1, 'الأجـــازة للوصايا'!CD9,0)</f>
        <v>0</v>
      </c>
      <c r="AC21" s="684">
        <f>IF('الأجـــازة للوصايا'!N133=1, 'الأجـــازة للوصايا'!CE9,0)</f>
        <v>0</v>
      </c>
      <c r="AD21" s="684">
        <f>IF('الأجـــازة للوصايا'!K133=0,'الأجـــازة للوصايا'!CB10,0)</f>
        <v>0</v>
      </c>
      <c r="AE21" s="684">
        <f>IF('الأجـــازة للوصايا'!L133=0,'الأجـــازة للوصايا'!CC10,0)</f>
        <v>0</v>
      </c>
      <c r="AF21" s="684">
        <f>IF('الأجـــازة للوصايا'!M133=0,'الأجـــازة للوصايا'!CD10,0)</f>
        <v>0</v>
      </c>
      <c r="AG21" s="684">
        <f>IF('الأجـــازة للوصايا'!N133=0,'الأجـــازة للوصايا'!CE10,0)</f>
        <v>0</v>
      </c>
      <c r="AH21" s="683"/>
      <c r="AI21" s="685"/>
      <c r="AJ21" s="866">
        <f t="shared" si="8"/>
        <v>0</v>
      </c>
      <c r="AK21" s="293">
        <f t="shared" si="13"/>
        <v>0</v>
      </c>
      <c r="AL21" s="293">
        <f t="shared" si="9"/>
        <v>100</v>
      </c>
      <c r="AM21" s="1" t="e">
        <f t="shared" si="10"/>
        <v>#DIV/0!</v>
      </c>
    </row>
    <row r="22" spans="3:44" ht="18.75" customHeight="1" thickTop="1" thickBot="1">
      <c r="C22" s="698"/>
      <c r="D22" s="698"/>
      <c r="E22" s="697"/>
      <c r="M22" s="679">
        <f t="shared" si="0"/>
        <v>0</v>
      </c>
      <c r="N22" s="680" t="e">
        <f t="shared" si="1"/>
        <v>#DIV/0!</v>
      </c>
      <c r="O22" s="680" t="e">
        <f>'ورقة أجازة وعدم الأجازة للمختصن'!BB118</f>
        <v>#DIV/0!</v>
      </c>
      <c r="P22" s="681" t="e">
        <f t="shared" si="2"/>
        <v>#DIV/0!</v>
      </c>
      <c r="Q22" s="682">
        <f>IF('الأجـــازة للوصايا'!I134&gt;0,'الأجـــازة للوصايا'!I134,0)</f>
        <v>0</v>
      </c>
      <c r="R22" s="682" t="e">
        <f t="shared" si="3"/>
        <v>#DIV/0!</v>
      </c>
      <c r="S22" s="680">
        <f t="shared" si="4"/>
        <v>0</v>
      </c>
      <c r="T22" s="680">
        <f t="shared" si="5"/>
        <v>0</v>
      </c>
      <c r="U22" s="709">
        <f t="shared" si="6"/>
        <v>0</v>
      </c>
      <c r="V22" s="680">
        <f t="shared" si="7"/>
        <v>0</v>
      </c>
      <c r="W22" s="683">
        <f t="shared" si="11"/>
        <v>0</v>
      </c>
      <c r="X22" s="680">
        <f>IFERROR( ( (('الأجـــازة للوصايا'!I134-(( (AC22+AG22) +(AB22+AF22) +(AA22+AE22) +(Z22+AD22)  ))*'الأجـــازة للوصايا'!I134))),0)</f>
        <v>0</v>
      </c>
      <c r="Y22" s="683">
        <f t="shared" si="12"/>
        <v>0</v>
      </c>
      <c r="Z22" s="684">
        <f>IF('الأجـــازة للوصايا'!K134=1, 'الأجـــازة للوصايا'!CB9,0)</f>
        <v>0</v>
      </c>
      <c r="AA22" s="684">
        <f>IF('الأجـــازة للوصايا'!L134=1, 'الأجـــازة للوصايا'!CC9,0)</f>
        <v>0</v>
      </c>
      <c r="AB22" s="684">
        <f>IF('الأجـــازة للوصايا'!M134=1, 'الأجـــازة للوصايا'!CD9,0)</f>
        <v>0</v>
      </c>
      <c r="AC22" s="684">
        <f>IF('الأجـــازة للوصايا'!N134=1, 'الأجـــازة للوصايا'!CE9,0)</f>
        <v>0</v>
      </c>
      <c r="AD22" s="684">
        <f>IF('الأجـــازة للوصايا'!K134=0,'الأجـــازة للوصايا'!CB10,0)</f>
        <v>0</v>
      </c>
      <c r="AE22" s="684">
        <f>IF('الأجـــازة للوصايا'!L134=0,'الأجـــازة للوصايا'!CC10,0)</f>
        <v>0</v>
      </c>
      <c r="AF22" s="684">
        <f>IF('الأجـــازة للوصايا'!M134=0,'الأجـــازة للوصايا'!CD10,0)</f>
        <v>0</v>
      </c>
      <c r="AG22" s="684">
        <f>IF('الأجـــازة للوصايا'!N134=0,'الأجـــازة للوصايا'!CE10,0)</f>
        <v>0</v>
      </c>
      <c r="AH22" s="683"/>
      <c r="AI22" s="685"/>
      <c r="AJ22" s="866">
        <f t="shared" si="8"/>
        <v>0</v>
      </c>
      <c r="AK22" s="293">
        <f t="shared" si="13"/>
        <v>0</v>
      </c>
      <c r="AL22" s="293">
        <f t="shared" si="9"/>
        <v>100</v>
      </c>
      <c r="AM22" s="1" t="e">
        <f t="shared" si="10"/>
        <v>#DIV/0!</v>
      </c>
    </row>
    <row r="23" spans="3:44" ht="18.75" customHeight="1" thickTop="1" thickBot="1">
      <c r="C23" s="715" t="s">
        <v>114</v>
      </c>
      <c r="D23" s="698"/>
      <c r="E23" s="697"/>
      <c r="M23" s="679">
        <f t="shared" si="0"/>
        <v>0</v>
      </c>
      <c r="N23" s="680" t="e">
        <f t="shared" si="1"/>
        <v>#DIV/0!</v>
      </c>
      <c r="O23" s="680" t="e">
        <f>'ورقة أجازة وعدم الأجازة للمختصن'!BB119</f>
        <v>#DIV/0!</v>
      </c>
      <c r="P23" s="681" t="e">
        <f t="shared" si="2"/>
        <v>#DIV/0!</v>
      </c>
      <c r="Q23" s="682">
        <f>IF('الأجـــازة للوصايا'!I135&gt;0,'الأجـــازة للوصايا'!I135,0)</f>
        <v>0</v>
      </c>
      <c r="R23" s="682" t="e">
        <f t="shared" si="3"/>
        <v>#DIV/0!</v>
      </c>
      <c r="S23" s="680">
        <f t="shared" si="4"/>
        <v>0</v>
      </c>
      <c r="T23" s="680">
        <f t="shared" si="5"/>
        <v>0</v>
      </c>
      <c r="U23" s="709">
        <f t="shared" si="6"/>
        <v>0</v>
      </c>
      <c r="V23" s="680">
        <f t="shared" si="7"/>
        <v>0</v>
      </c>
      <c r="W23" s="683">
        <f t="shared" si="11"/>
        <v>0</v>
      </c>
      <c r="X23" s="680">
        <f>IFERROR( ( (('الأجـــازة للوصايا'!I135-(( (AC23+AG23) +(AB23+AF23) +(AA23+AE23) +(Z23+AD23)  ))*'الأجـــازة للوصايا'!I135))),0)</f>
        <v>0</v>
      </c>
      <c r="Y23" s="683">
        <f t="shared" si="12"/>
        <v>0</v>
      </c>
      <c r="Z23" s="684">
        <f>IF('الأجـــازة للوصايا'!K135=1, 'الأجـــازة للوصايا'!CB9,0)</f>
        <v>0</v>
      </c>
      <c r="AA23" s="684">
        <f>IF('الأجـــازة للوصايا'!L135=1, 'الأجـــازة للوصايا'!CC9,0)</f>
        <v>0</v>
      </c>
      <c r="AB23" s="684">
        <f>IF('الأجـــازة للوصايا'!M135=1, 'الأجـــازة للوصايا'!CD9,0)</f>
        <v>0</v>
      </c>
      <c r="AC23" s="684">
        <f>IF('الأجـــازة للوصايا'!N135=1, 'الأجـــازة للوصايا'!CE9,0)</f>
        <v>0</v>
      </c>
      <c r="AD23" s="684">
        <f>IF('الأجـــازة للوصايا'!K135=0,'الأجـــازة للوصايا'!CB10,0)</f>
        <v>0</v>
      </c>
      <c r="AE23" s="684">
        <f>IF('الأجـــازة للوصايا'!L135=0,'الأجـــازة للوصايا'!CC10,0)</f>
        <v>0</v>
      </c>
      <c r="AF23" s="684">
        <f>IF('الأجـــازة للوصايا'!M135=0,'الأجـــازة للوصايا'!CD10,0)</f>
        <v>0</v>
      </c>
      <c r="AG23" s="684">
        <f>IF('الأجـــازة للوصايا'!N135=0,'الأجـــازة للوصايا'!CE10,0)</f>
        <v>0</v>
      </c>
      <c r="AH23" s="683"/>
      <c r="AI23" s="685"/>
      <c r="AJ23" s="866">
        <f t="shared" si="8"/>
        <v>0</v>
      </c>
      <c r="AK23" s="293">
        <f t="shared" si="13"/>
        <v>0</v>
      </c>
      <c r="AL23" s="293">
        <f t="shared" si="9"/>
        <v>100</v>
      </c>
      <c r="AM23" s="1" t="e">
        <f t="shared" si="10"/>
        <v>#DIV/0!</v>
      </c>
    </row>
    <row r="24" spans="3:44" ht="16.5" customHeight="1" thickTop="1" thickBot="1">
      <c r="C24" s="1391" t="s">
        <v>738</v>
      </c>
      <c r="D24" s="686">
        <f>'الأجـــازة للوصايا'!CB7</f>
        <v>0</v>
      </c>
      <c r="E24" s="697"/>
      <c r="M24" s="680">
        <f>IFERROR( 'الأجـــازة للوصايا'!CB24+'الأجـــازة للوصايا'!CD24,0)</f>
        <v>0</v>
      </c>
      <c r="N24" s="680" t="e">
        <f t="shared" si="1"/>
        <v>#DIV/0!</v>
      </c>
      <c r="O24" s="680" t="e">
        <f>'ورقة أجازة وعدم الأجازة للمختصن'!BB120</f>
        <v>#DIV/0!</v>
      </c>
      <c r="P24" s="681" t="e">
        <f t="shared" si="2"/>
        <v>#DIV/0!</v>
      </c>
      <c r="Q24" s="682">
        <f>IF('الأجـــازة للوصايا'!CB24&gt;0,'الأجـــازة للوصايا'!CB24,0)</f>
        <v>0</v>
      </c>
      <c r="R24" s="682" t="e">
        <f t="shared" si="3"/>
        <v>#DIV/0!</v>
      </c>
      <c r="S24" s="680">
        <f t="shared" si="4"/>
        <v>0</v>
      </c>
      <c r="T24" s="680">
        <f t="shared" si="5"/>
        <v>0</v>
      </c>
      <c r="U24" s="709">
        <f t="shared" si="6"/>
        <v>0</v>
      </c>
      <c r="V24" s="680">
        <f t="shared" si="7"/>
        <v>0</v>
      </c>
      <c r="W24" s="683">
        <f t="shared" si="11"/>
        <v>0</v>
      </c>
      <c r="X24" s="680"/>
      <c r="Y24" s="683">
        <f t="shared" si="12"/>
        <v>0</v>
      </c>
      <c r="Z24" s="683"/>
      <c r="AA24" s="683"/>
      <c r="AB24" s="683"/>
      <c r="AC24" s="683"/>
      <c r="AD24" s="683"/>
      <c r="AE24" s="683"/>
      <c r="AF24" s="683"/>
      <c r="AG24" s="683"/>
      <c r="AH24" s="683"/>
      <c r="AI24" s="685"/>
      <c r="AJ24" s="866">
        <f t="shared" si="8"/>
        <v>0</v>
      </c>
      <c r="AK24" s="293">
        <f t="shared" si="13"/>
        <v>0</v>
      </c>
      <c r="AL24" s="293">
        <f t="shared" si="9"/>
        <v>100</v>
      </c>
      <c r="AM24" s="1" t="e">
        <f t="shared" si="10"/>
        <v>#DIV/0!</v>
      </c>
    </row>
    <row r="25" spans="3:44" ht="16.5" customHeight="1" thickTop="1" thickBot="1">
      <c r="C25" s="1392"/>
      <c r="D25" s="686">
        <f>'الأجـــازة للوصايا'!CC7</f>
        <v>0</v>
      </c>
      <c r="E25" s="697"/>
      <c r="M25" s="680">
        <f>IFERROR( 'الأجـــازة للوصايا'!CB25+'الأجـــازة للوصايا'!CD25,0)</f>
        <v>0</v>
      </c>
      <c r="N25" s="680" t="e">
        <f t="shared" si="1"/>
        <v>#DIV/0!</v>
      </c>
      <c r="O25" s="680" t="e">
        <f>'ورقة أجازة وعدم الأجازة للمختصن'!BB121</f>
        <v>#DIV/0!</v>
      </c>
      <c r="P25" s="681" t="e">
        <f t="shared" si="2"/>
        <v>#DIV/0!</v>
      </c>
      <c r="Q25" s="682">
        <f>IF('الأجـــازة للوصايا'!CB25&gt;0,'الأجـــازة للوصايا'!CB25,0)</f>
        <v>0</v>
      </c>
      <c r="R25" s="682" t="e">
        <f t="shared" si="3"/>
        <v>#DIV/0!</v>
      </c>
      <c r="S25" s="680">
        <f t="shared" si="4"/>
        <v>0</v>
      </c>
      <c r="T25" s="680">
        <f t="shared" si="5"/>
        <v>0</v>
      </c>
      <c r="U25" s="709">
        <f t="shared" si="6"/>
        <v>0</v>
      </c>
      <c r="V25" s="680">
        <f t="shared" si="7"/>
        <v>0</v>
      </c>
      <c r="W25" s="683">
        <f t="shared" si="11"/>
        <v>0</v>
      </c>
      <c r="X25" s="680"/>
      <c r="Y25" s="683">
        <f t="shared" si="12"/>
        <v>0</v>
      </c>
      <c r="Z25" s="683"/>
      <c r="AA25" s="683"/>
      <c r="AB25" s="683"/>
      <c r="AC25" s="683"/>
      <c r="AD25" s="683"/>
      <c r="AE25" s="683"/>
      <c r="AF25" s="683"/>
      <c r="AG25" s="683"/>
      <c r="AH25" s="683"/>
      <c r="AI25" s="685"/>
      <c r="AJ25" s="866">
        <f t="shared" si="8"/>
        <v>0</v>
      </c>
      <c r="AK25" s="293">
        <f t="shared" si="13"/>
        <v>0</v>
      </c>
      <c r="AL25" s="293">
        <f t="shared" si="9"/>
        <v>100</v>
      </c>
      <c r="AM25" s="1" t="e">
        <f t="shared" si="10"/>
        <v>#DIV/0!</v>
      </c>
    </row>
    <row r="26" spans="3:44" ht="16.5" customHeight="1" thickTop="1" thickBot="1">
      <c r="C26" s="1392"/>
      <c r="D26" s="686">
        <f>'الأجـــازة للوصايا'!CD7</f>
        <v>0</v>
      </c>
      <c r="E26" s="697"/>
      <c r="M26" s="680">
        <f>IFERROR( 'الأجـــازة للوصايا'!CB26+'الأجـــازة للوصايا'!CD26,0)</f>
        <v>0</v>
      </c>
      <c r="N26" s="680" t="e">
        <f t="shared" si="1"/>
        <v>#DIV/0!</v>
      </c>
      <c r="O26" s="680" t="e">
        <f>'ورقة أجازة وعدم الأجازة للمختصن'!BB122</f>
        <v>#DIV/0!</v>
      </c>
      <c r="P26" s="681" t="e">
        <f t="shared" si="2"/>
        <v>#DIV/0!</v>
      </c>
      <c r="Q26" s="682">
        <f>IF('الأجـــازة للوصايا'!CB26&gt;0,'الأجـــازة للوصايا'!CB26,0)</f>
        <v>0</v>
      </c>
      <c r="R26" s="682" t="e">
        <f t="shared" si="3"/>
        <v>#DIV/0!</v>
      </c>
      <c r="S26" s="680">
        <f t="shared" si="4"/>
        <v>0</v>
      </c>
      <c r="T26" s="680">
        <f t="shared" si="5"/>
        <v>0</v>
      </c>
      <c r="U26" s="709">
        <f t="shared" si="6"/>
        <v>0</v>
      </c>
      <c r="V26" s="680">
        <f t="shared" si="7"/>
        <v>0</v>
      </c>
      <c r="W26" s="683">
        <f t="shared" si="11"/>
        <v>0</v>
      </c>
      <c r="X26" s="680"/>
      <c r="Y26" s="683">
        <f t="shared" si="12"/>
        <v>0</v>
      </c>
      <c r="Z26" s="683"/>
      <c r="AA26" s="683"/>
      <c r="AB26" s="683" t="s">
        <v>114</v>
      </c>
      <c r="AC26" s="683"/>
      <c r="AD26" s="683"/>
      <c r="AE26" s="683"/>
      <c r="AF26" s="683"/>
      <c r="AG26" s="683"/>
      <c r="AH26" s="683"/>
      <c r="AI26" s="685"/>
      <c r="AJ26" s="866">
        <f t="shared" si="8"/>
        <v>0</v>
      </c>
      <c r="AK26" s="293">
        <f t="shared" si="13"/>
        <v>0</v>
      </c>
      <c r="AL26" s="293">
        <f t="shared" si="9"/>
        <v>100</v>
      </c>
      <c r="AM26" s="1" t="e">
        <f t="shared" si="10"/>
        <v>#DIV/0!</v>
      </c>
    </row>
    <row r="27" spans="3:44" ht="16.5" customHeight="1" thickTop="1" thickBot="1">
      <c r="C27" s="1393"/>
      <c r="D27" s="686">
        <f>'الأجـــازة للوصايا'!CE7</f>
        <v>0</v>
      </c>
      <c r="E27" s="697"/>
      <c r="M27" s="691">
        <f>IFERROR( 'الأجـــازة للوصايا'!CB27+'الأجـــازة للوصايا'!CD27,0)</f>
        <v>0</v>
      </c>
      <c r="N27" s="691" t="e">
        <f t="shared" si="1"/>
        <v>#DIV/0!</v>
      </c>
      <c r="O27" s="691" t="e">
        <f>'ورقة أجازة وعدم الأجازة للمختصن'!BB123</f>
        <v>#DIV/0!</v>
      </c>
      <c r="P27" s="692" t="e">
        <f t="shared" si="2"/>
        <v>#DIV/0!</v>
      </c>
      <c r="Q27" s="693">
        <f>IF('الأجـــازة للوصايا'!CB27&gt;0,'الأجـــازة للوصايا'!CB27,0)</f>
        <v>0</v>
      </c>
      <c r="R27" s="693" t="e">
        <f t="shared" si="3"/>
        <v>#DIV/0!</v>
      </c>
      <c r="S27" s="691">
        <f t="shared" si="4"/>
        <v>0</v>
      </c>
      <c r="T27" s="691">
        <f t="shared" si="5"/>
        <v>0</v>
      </c>
      <c r="U27" s="716">
        <f t="shared" si="6"/>
        <v>0</v>
      </c>
      <c r="V27" s="691">
        <f t="shared" si="7"/>
        <v>0</v>
      </c>
      <c r="W27" s="695">
        <f t="shared" si="11"/>
        <v>0</v>
      </c>
      <c r="X27" s="691"/>
      <c r="Y27" s="695">
        <f t="shared" si="12"/>
        <v>0</v>
      </c>
      <c r="Z27" s="695"/>
      <c r="AA27" s="695"/>
      <c r="AB27" s="695"/>
      <c r="AC27" s="695"/>
      <c r="AD27" s="695"/>
      <c r="AE27" s="695"/>
      <c r="AF27" s="695"/>
      <c r="AG27" s="695"/>
      <c r="AH27" s="695"/>
      <c r="AI27" s="696"/>
      <c r="AJ27" s="866">
        <f t="shared" si="8"/>
        <v>0</v>
      </c>
      <c r="AK27" s="293">
        <f t="shared" si="13"/>
        <v>0</v>
      </c>
      <c r="AL27" s="293">
        <f t="shared" si="9"/>
        <v>100</v>
      </c>
      <c r="AM27" s="1" t="e">
        <f t="shared" si="10"/>
        <v>#DIV/0!</v>
      </c>
    </row>
    <row r="28" spans="3:44" ht="15.75" customHeight="1">
      <c r="C28" s="1"/>
      <c r="D28" s="1"/>
      <c r="F28" s="462" t="s">
        <v>114</v>
      </c>
      <c r="G28" s="462"/>
      <c r="H28" s="463"/>
      <c r="I28" s="464"/>
      <c r="J28" s="464"/>
      <c r="K28" s="464"/>
      <c r="L28" s="465"/>
      <c r="M28" s="465"/>
      <c r="N28" s="465"/>
      <c r="O28" s="465"/>
      <c r="P28" s="566" t="e">
        <f>SUM(AM12:AM27)</f>
        <v>#DIV/0!</v>
      </c>
      <c r="Q28" s="479"/>
      <c r="R28" s="480" t="e">
        <f>SUM(R12:R27)</f>
        <v>#DIV/0!</v>
      </c>
      <c r="S28" s="480"/>
      <c r="T28" s="481"/>
      <c r="U28" s="482"/>
      <c r="V28" s="481">
        <f>SUM(V12:V27)</f>
        <v>0</v>
      </c>
      <c r="W28" s="483"/>
      <c r="X28" s="481"/>
      <c r="Y28" s="28"/>
      <c r="Z28" s="478"/>
      <c r="AA28" s="478"/>
      <c r="AB28" s="1"/>
      <c r="AC28" s="1"/>
      <c r="AD28" s="1"/>
      <c r="AE28" s="1"/>
      <c r="AF28" s="1"/>
      <c r="AG28" s="1"/>
      <c r="AH28" s="1"/>
      <c r="AI28" s="1"/>
      <c r="AJ28" s="1"/>
      <c r="AK28" s="1"/>
      <c r="AR28" t="s">
        <v>114</v>
      </c>
    </row>
    <row r="29" spans="3:44" ht="15.75">
      <c r="G29" s="28"/>
      <c r="H29" s="28"/>
      <c r="I29" s="28"/>
      <c r="J29" s="28"/>
      <c r="K29" s="28"/>
      <c r="L29" s="28"/>
      <c r="M29" s="478">
        <f>SUM(M12:M27)</f>
        <v>0</v>
      </c>
      <c r="N29" s="478" t="e">
        <f>SUM(N12:N27)</f>
        <v>#DIV/0!</v>
      </c>
      <c r="O29" s="478"/>
      <c r="Q29" s="28"/>
      <c r="R29" s="28"/>
      <c r="S29" s="537">
        <f>GCD(S12:S27)</f>
        <v>0</v>
      </c>
      <c r="T29" s="28"/>
      <c r="U29" s="28"/>
      <c r="V29" s="28"/>
      <c r="W29" s="28"/>
      <c r="X29" s="28"/>
      <c r="Y29" s="28"/>
      <c r="Z29" s="28"/>
      <c r="AA29" s="28"/>
      <c r="AC29" s="1"/>
    </row>
    <row r="30" spans="3:44" ht="18.75" hidden="1">
      <c r="G30" s="28"/>
      <c r="H30" s="28"/>
      <c r="I30" s="28"/>
      <c r="J30" s="28"/>
      <c r="K30" s="28"/>
      <c r="L30" s="28"/>
      <c r="M30" s="28"/>
      <c r="N30" s="28"/>
      <c r="O30" s="28"/>
      <c r="P30" s="549" t="e">
        <f>SUM(P12:P27)</f>
        <v>#DIV/0!</v>
      </c>
      <c r="Q30" s="28"/>
      <c r="R30" s="28"/>
      <c r="S30" s="478">
        <f t="shared" ref="S30:S47" si="14">$S$29</f>
        <v>0</v>
      </c>
      <c r="T30" s="28"/>
      <c r="U30" s="28"/>
      <c r="V30" s="478">
        <f>ROUNDDOWN(V28,0)</f>
        <v>0</v>
      </c>
      <c r="W30" s="28"/>
      <c r="X30" s="28"/>
      <c r="Y30" s="28"/>
      <c r="Z30" s="28"/>
      <c r="AA30" s="28"/>
      <c r="AC30" s="1"/>
    </row>
    <row r="31" spans="3:44" hidden="1">
      <c r="E31">
        <f>L31</f>
        <v>0</v>
      </c>
      <c r="F31" s="1">
        <f>'الأجـــازة للوصايا'!J124</f>
        <v>1</v>
      </c>
      <c r="G31" s="478">
        <f>'الأجـــازة للوصايا'!H124</f>
        <v>0</v>
      </c>
      <c r="I31" s="478">
        <f>'الأجـــازة للوصايا'!J124</f>
        <v>1</v>
      </c>
      <c r="J31" s="28">
        <f>IF(F31&gt;1,M31,0)</f>
        <v>0</v>
      </c>
      <c r="K31" t="e">
        <f>VLOOKUP(1,E31:J42,3,FALSE)</f>
        <v>#N/A</v>
      </c>
      <c r="L31" s="28">
        <f t="shared" ref="L31:L42" si="15">IF(I31&gt;1,1,0)</f>
        <v>0</v>
      </c>
      <c r="M31" s="28">
        <f>VLOOKUP(F31,F31:I40,2,FALSE)</f>
        <v>0</v>
      </c>
      <c r="N31" s="28"/>
      <c r="O31" s="28"/>
      <c r="P31" s="478">
        <f t="shared" ref="P31:P44" si="16">L31</f>
        <v>0</v>
      </c>
      <c r="Q31" s="28"/>
      <c r="R31" s="28"/>
      <c r="S31" s="478">
        <f t="shared" si="14"/>
        <v>0</v>
      </c>
      <c r="T31" s="28"/>
      <c r="U31" s="28"/>
      <c r="V31" s="478">
        <f>V28-V30</f>
        <v>0</v>
      </c>
      <c r="W31" s="28"/>
      <c r="X31" s="28"/>
      <c r="Y31" s="28"/>
      <c r="Z31" s="28"/>
      <c r="AA31" s="28"/>
      <c r="AC31" s="1"/>
      <c r="AJ31" s="478">
        <f>'الأجـــازة للوصايا'!I124</f>
        <v>0</v>
      </c>
    </row>
    <row r="32" spans="3:44" hidden="1">
      <c r="E32">
        <f>L32+SUM(L31)</f>
        <v>0</v>
      </c>
      <c r="F32" s="1">
        <f>'الأجـــازة للوصايا'!J125</f>
        <v>0</v>
      </c>
      <c r="G32" s="478">
        <f>'الأجـــازة للوصايا'!H125</f>
        <v>0</v>
      </c>
      <c r="I32" s="478">
        <f>'الأجـــازة للوصايا'!J125</f>
        <v>0</v>
      </c>
      <c r="J32" s="28">
        <f>IF(F32&gt;1,M32,0)</f>
        <v>0</v>
      </c>
      <c r="K32" t="e">
        <f>VLOOKUP(2,E31:J42,3,FALSE)</f>
        <v>#N/A</v>
      </c>
      <c r="L32" s="28">
        <f t="shared" si="15"/>
        <v>0</v>
      </c>
      <c r="M32" s="28">
        <f>VLOOKUP(F32,F31:I40,2,FALSE)</f>
        <v>0</v>
      </c>
      <c r="N32" s="28"/>
      <c r="O32" s="28"/>
      <c r="P32" s="478">
        <f t="shared" si="16"/>
        <v>0</v>
      </c>
      <c r="Q32" s="28"/>
      <c r="R32" s="28"/>
      <c r="S32" s="478">
        <f t="shared" si="14"/>
        <v>0</v>
      </c>
      <c r="T32" s="28"/>
      <c r="U32" s="28"/>
      <c r="V32" s="478" t="s">
        <v>114</v>
      </c>
      <c r="W32" s="28"/>
      <c r="X32" s="28"/>
      <c r="Y32" s="28"/>
      <c r="Z32" s="28"/>
      <c r="AA32" s="28"/>
      <c r="AC32" s="1"/>
      <c r="AJ32" s="478">
        <f>'الأجـــازة للوصايا'!I125</f>
        <v>0</v>
      </c>
    </row>
    <row r="33" spans="5:36" hidden="1">
      <c r="E33">
        <f>L33+SUM(L31:L32)</f>
        <v>0</v>
      </c>
      <c r="F33" s="1">
        <f>'الأجـــازة للوصايا'!J126</f>
        <v>-1</v>
      </c>
      <c r="G33" s="478">
        <f>'الأجـــازة للوصايا'!H126</f>
        <v>0</v>
      </c>
      <c r="I33" s="478">
        <f>'الأجـــازة للوصايا'!J126</f>
        <v>-1</v>
      </c>
      <c r="J33" s="28">
        <f>IF(F33&gt;1,M33,0)</f>
        <v>0</v>
      </c>
      <c r="K33" t="e">
        <f>VLOOKUP(3,E31:J42,3,FALSE)</f>
        <v>#N/A</v>
      </c>
      <c r="L33" s="28">
        <f t="shared" si="15"/>
        <v>0</v>
      </c>
      <c r="M33" s="28">
        <f>VLOOKUP(F33,F31:I40,2,FALSE)</f>
        <v>0</v>
      </c>
      <c r="N33" s="28"/>
      <c r="O33" s="28"/>
      <c r="P33" s="478">
        <f t="shared" si="16"/>
        <v>0</v>
      </c>
      <c r="Q33" s="28"/>
      <c r="R33" s="28"/>
      <c r="S33" s="478">
        <f t="shared" si="14"/>
        <v>0</v>
      </c>
      <c r="T33" s="28"/>
      <c r="U33" s="28"/>
      <c r="V33" s="28"/>
      <c r="W33" s="28"/>
      <c r="X33" s="28"/>
      <c r="Y33" s="28"/>
      <c r="Z33" s="28"/>
      <c r="AA33" s="28"/>
      <c r="AC33" s="1"/>
      <c r="AJ33" s="478">
        <f>'الأجـــازة للوصايا'!I126</f>
        <v>0</v>
      </c>
    </row>
    <row r="34" spans="5:36" hidden="1">
      <c r="E34">
        <f>L34+SUM(L31:L33)</f>
        <v>0</v>
      </c>
      <c r="F34" s="1">
        <f>'الأجـــازة للوصايا'!J127</f>
        <v>-2</v>
      </c>
      <c r="G34" s="478">
        <f>'الأجـــازة للوصايا'!H127</f>
        <v>0</v>
      </c>
      <c r="I34" s="478">
        <f>'الأجـــازة للوصايا'!J127</f>
        <v>-2</v>
      </c>
      <c r="J34" s="28">
        <f>IF(F34&gt;1,M34,0)</f>
        <v>0</v>
      </c>
      <c r="K34" t="e">
        <f>VLOOKUP(4,E31:J42,3,FALSE)</f>
        <v>#N/A</v>
      </c>
      <c r="L34" s="28">
        <f t="shared" si="15"/>
        <v>0</v>
      </c>
      <c r="M34" s="28">
        <f>VLOOKUP(F34,F31:I40,2,FALSE)</f>
        <v>0</v>
      </c>
      <c r="N34" s="28"/>
      <c r="O34" s="28"/>
      <c r="P34" s="28">
        <f t="shared" si="16"/>
        <v>0</v>
      </c>
      <c r="Q34" s="28"/>
      <c r="R34" s="28"/>
      <c r="S34" s="478">
        <f t="shared" si="14"/>
        <v>0</v>
      </c>
      <c r="T34" s="28"/>
      <c r="U34" s="28"/>
      <c r="V34" s="28"/>
      <c r="W34" s="28"/>
      <c r="X34" s="28"/>
      <c r="Y34" s="28"/>
      <c r="Z34" s="28"/>
      <c r="AA34" s="28"/>
      <c r="AC34" s="1"/>
      <c r="AJ34" s="478">
        <f>'الأجـــازة للوصايا'!I127</f>
        <v>0</v>
      </c>
    </row>
    <row r="35" spans="5:36" hidden="1">
      <c r="E35">
        <f>L35+SUM(L31:L34)</f>
        <v>0</v>
      </c>
      <c r="F35" s="1">
        <f>'الأجـــازة للوصايا'!J128</f>
        <v>-3</v>
      </c>
      <c r="G35" s="478">
        <f>'الأجـــازة للوصايا'!H128</f>
        <v>0</v>
      </c>
      <c r="I35" s="478">
        <f>'الأجـــازة للوصايا'!J128</f>
        <v>-3</v>
      </c>
      <c r="J35" s="28">
        <f>IF( F35&gt;1, G35,0)</f>
        <v>0</v>
      </c>
      <c r="K35" t="e">
        <f>VLOOKUP(5,E31:J42,3,FALSE)</f>
        <v>#N/A</v>
      </c>
      <c r="L35" s="28">
        <f t="shared" si="15"/>
        <v>0</v>
      </c>
      <c r="M35" s="28">
        <f>VLOOKUP(F35,F31:I40,2,FALSE)</f>
        <v>0</v>
      </c>
      <c r="N35" s="28"/>
      <c r="O35" s="28"/>
      <c r="P35" s="28">
        <f t="shared" si="16"/>
        <v>0</v>
      </c>
      <c r="Q35" s="28"/>
      <c r="R35" s="28"/>
      <c r="S35" s="478">
        <f t="shared" si="14"/>
        <v>0</v>
      </c>
      <c r="T35" s="28"/>
      <c r="U35" s="28"/>
      <c r="V35" s="28"/>
      <c r="W35" s="28"/>
      <c r="X35" s="28"/>
      <c r="Y35" s="28"/>
      <c r="Z35" s="28"/>
      <c r="AA35" s="28"/>
      <c r="AC35" s="1"/>
      <c r="AJ35" s="478">
        <f>'الأجـــازة للوصايا'!I128</f>
        <v>0</v>
      </c>
    </row>
    <row r="36" spans="5:36" hidden="1">
      <c r="E36">
        <f>L36+SUM(L31:L35)</f>
        <v>0</v>
      </c>
      <c r="F36" s="1">
        <f>'الأجـــازة للوصايا'!J129</f>
        <v>-4</v>
      </c>
      <c r="G36" s="478">
        <f>'الأجـــازة للوصايا'!H129</f>
        <v>0</v>
      </c>
      <c r="I36" s="478">
        <f>'الأجـــازة للوصايا'!J129</f>
        <v>-4</v>
      </c>
      <c r="J36" s="28">
        <f>IF(F36&gt;1, G36,0)</f>
        <v>0</v>
      </c>
      <c r="K36" t="e">
        <f>VLOOKUP(6,E31:J42,3,FALSE)</f>
        <v>#N/A</v>
      </c>
      <c r="L36" s="28">
        <f t="shared" si="15"/>
        <v>0</v>
      </c>
      <c r="M36" s="28"/>
      <c r="N36" s="28"/>
      <c r="O36" s="28"/>
      <c r="P36" s="28">
        <f t="shared" si="16"/>
        <v>0</v>
      </c>
      <c r="Q36" s="28"/>
      <c r="R36" s="28"/>
      <c r="S36" s="478">
        <f t="shared" si="14"/>
        <v>0</v>
      </c>
      <c r="T36" s="28"/>
      <c r="U36" s="28"/>
      <c r="V36" s="28"/>
      <c r="W36" s="28"/>
      <c r="X36" s="28"/>
      <c r="Y36" s="28"/>
      <c r="Z36" s="28"/>
      <c r="AA36" s="28"/>
      <c r="AC36" s="1"/>
      <c r="AJ36" s="478">
        <f>'الأجـــازة للوصايا'!I129</f>
        <v>0</v>
      </c>
    </row>
    <row r="37" spans="5:36" hidden="1">
      <c r="E37">
        <f>L37+SUM(L31:L36)</f>
        <v>0</v>
      </c>
      <c r="F37" s="1">
        <f>'الأجـــازة للوصايا'!J130</f>
        <v>-5</v>
      </c>
      <c r="G37" s="478">
        <f>'الأجـــازة للوصايا'!H130</f>
        <v>0</v>
      </c>
      <c r="I37" s="478">
        <f>'الأجـــازة للوصايا'!J130</f>
        <v>-5</v>
      </c>
      <c r="J37" s="28">
        <f>IF(F37&gt;1,#REF!,0)</f>
        <v>0</v>
      </c>
      <c r="K37" t="e">
        <f>VLOOKUP(7,E31:J42,3,FALSE)</f>
        <v>#N/A</v>
      </c>
      <c r="L37" s="28">
        <f t="shared" si="15"/>
        <v>0</v>
      </c>
      <c r="M37" s="28"/>
      <c r="N37" s="28"/>
      <c r="O37" s="28"/>
      <c r="P37" s="28">
        <f t="shared" si="16"/>
        <v>0</v>
      </c>
      <c r="Q37" s="28"/>
      <c r="R37" s="28"/>
      <c r="S37" s="478">
        <f t="shared" si="14"/>
        <v>0</v>
      </c>
      <c r="T37" s="28"/>
      <c r="U37" s="28"/>
      <c r="V37" s="28"/>
      <c r="W37" s="28"/>
      <c r="X37" s="28"/>
      <c r="Y37" s="28"/>
      <c r="Z37" s="28"/>
      <c r="AA37" s="28"/>
      <c r="AC37" s="1"/>
      <c r="AJ37" s="478">
        <f>'الأجـــازة للوصايا'!I130</f>
        <v>0</v>
      </c>
    </row>
    <row r="38" spans="5:36" hidden="1">
      <c r="E38">
        <f>L38+SUM(L31:L37)</f>
        <v>0</v>
      </c>
      <c r="F38" s="1">
        <f>'الأجـــازة للوصايا'!J131</f>
        <v>-6</v>
      </c>
      <c r="G38" s="478">
        <f>'الأجـــازة للوصايا'!H131</f>
        <v>0</v>
      </c>
      <c r="I38" s="478">
        <f>'الأجـــازة للوصايا'!J131</f>
        <v>-6</v>
      </c>
      <c r="J38" s="28">
        <f>IF(F38&gt;1,#REF!,0)</f>
        <v>0</v>
      </c>
      <c r="K38" t="e">
        <f>VLOOKUP(8,E31:J42,3,FALSE)</f>
        <v>#N/A</v>
      </c>
      <c r="L38" s="28">
        <f t="shared" si="15"/>
        <v>0</v>
      </c>
      <c r="M38" s="28"/>
      <c r="N38" s="28"/>
      <c r="O38" s="28"/>
      <c r="P38" s="28">
        <f t="shared" si="16"/>
        <v>0</v>
      </c>
      <c r="Q38" s="28"/>
      <c r="R38" s="28"/>
      <c r="S38" s="478">
        <f t="shared" si="14"/>
        <v>0</v>
      </c>
      <c r="T38" s="28"/>
      <c r="U38" s="28"/>
      <c r="V38" s="28"/>
      <c r="W38" s="28"/>
      <c r="X38" s="28"/>
      <c r="Y38" s="28"/>
      <c r="Z38" s="28"/>
      <c r="AA38" s="28"/>
      <c r="AC38" s="1"/>
      <c r="AJ38" s="478">
        <f>'الأجـــازة للوصايا'!I131</f>
        <v>0</v>
      </c>
    </row>
    <row r="39" spans="5:36" hidden="1">
      <c r="E39">
        <f>L39+SUM(L30:L38)</f>
        <v>0</v>
      </c>
      <c r="F39" s="1">
        <f>'الأجـــازة للوصايا'!J132</f>
        <v>-7</v>
      </c>
      <c r="G39" s="478">
        <f>'الأجـــازة للوصايا'!H132</f>
        <v>0</v>
      </c>
      <c r="I39" s="478">
        <f>'الأجـــازة للوصايا'!J132</f>
        <v>-7</v>
      </c>
      <c r="J39" s="28">
        <f>IF(F39&gt;1,#REF!,0)</f>
        <v>0</v>
      </c>
      <c r="K39" t="e">
        <f>VLOOKUP(9,E31:J42,3,FALSE)</f>
        <v>#N/A</v>
      </c>
      <c r="L39" s="28">
        <f t="shared" si="15"/>
        <v>0</v>
      </c>
      <c r="M39" s="28"/>
      <c r="N39" s="28"/>
      <c r="O39" s="28"/>
      <c r="P39" s="28">
        <f t="shared" si="16"/>
        <v>0</v>
      </c>
      <c r="Q39" s="28"/>
      <c r="R39" s="28"/>
      <c r="S39" s="478">
        <f t="shared" si="14"/>
        <v>0</v>
      </c>
      <c r="T39" s="28"/>
      <c r="U39" s="28"/>
      <c r="V39" s="28"/>
      <c r="W39" s="28"/>
      <c r="X39" s="28"/>
      <c r="Y39" s="28"/>
      <c r="Z39" s="28"/>
      <c r="AA39" s="28"/>
      <c r="AC39" s="1"/>
      <c r="AJ39" s="478">
        <f>'الأجـــازة للوصايا'!I132</f>
        <v>0</v>
      </c>
    </row>
    <row r="40" spans="5:36" hidden="1">
      <c r="E40">
        <f>L40+SUM(L31:L40)</f>
        <v>0</v>
      </c>
      <c r="F40" s="1">
        <f>'الأجـــازة للوصايا'!J133</f>
        <v>-8</v>
      </c>
      <c r="G40" s="478">
        <f>'الأجـــازة للوصايا'!H133</f>
        <v>0</v>
      </c>
      <c r="I40" s="478">
        <f>'الأجـــازة للوصايا'!J133</f>
        <v>-8</v>
      </c>
      <c r="J40" s="28"/>
      <c r="K40" t="e">
        <f>VLOOKUP(E40,H40:J51,3,FALSE)</f>
        <v>#N/A</v>
      </c>
      <c r="L40" s="28">
        <f t="shared" si="15"/>
        <v>0</v>
      </c>
      <c r="M40" s="28"/>
      <c r="N40" s="28"/>
      <c r="O40" s="28"/>
      <c r="P40" s="28">
        <f t="shared" si="16"/>
        <v>0</v>
      </c>
      <c r="Q40" s="28"/>
      <c r="R40" s="28"/>
      <c r="S40" s="478">
        <f t="shared" si="14"/>
        <v>0</v>
      </c>
      <c r="T40" s="28"/>
      <c r="U40" s="28"/>
      <c r="V40" s="28"/>
      <c r="W40" s="28"/>
      <c r="X40" s="28"/>
      <c r="Y40" s="28"/>
      <c r="Z40" s="28"/>
      <c r="AA40" s="28"/>
      <c r="AC40" s="1"/>
      <c r="AJ40" s="478">
        <f>'الأجـــازة للوصايا'!I133</f>
        <v>0</v>
      </c>
    </row>
    <row r="41" spans="5:36" hidden="1">
      <c r="E41">
        <f>L41+SUM(L30:L41)</f>
        <v>0</v>
      </c>
      <c r="F41" s="1">
        <f>'الأجـــازة للوصايا'!J134</f>
        <v>-9</v>
      </c>
      <c r="G41" s="478">
        <f>'الأجـــازة للوصايا'!H134</f>
        <v>0</v>
      </c>
      <c r="I41" s="478">
        <f>'الأجـــازة للوصايا'!J134</f>
        <v>-9</v>
      </c>
      <c r="J41" s="28"/>
      <c r="K41" t="e">
        <f>VLOOKUP(E41,H41:J52,3,FALSE)</f>
        <v>#N/A</v>
      </c>
      <c r="L41" s="28">
        <f t="shared" si="15"/>
        <v>0</v>
      </c>
      <c r="M41" s="28"/>
      <c r="N41" s="28"/>
      <c r="O41" s="28"/>
      <c r="P41" s="28">
        <f t="shared" si="16"/>
        <v>0</v>
      </c>
      <c r="Q41" s="28"/>
      <c r="R41" s="28"/>
      <c r="S41" s="478">
        <f t="shared" si="14"/>
        <v>0</v>
      </c>
      <c r="T41" s="28"/>
      <c r="U41" s="28"/>
      <c r="V41" s="28"/>
      <c r="W41" s="28"/>
      <c r="X41" s="28"/>
      <c r="Y41" s="28"/>
      <c r="Z41" s="28"/>
      <c r="AA41" s="28"/>
      <c r="AC41" s="1"/>
      <c r="AJ41" s="478">
        <f>'الأجـــازة للوصايا'!I134</f>
        <v>0</v>
      </c>
    </row>
    <row r="42" spans="5:36" hidden="1">
      <c r="E42">
        <f>L42+SUM(L41)</f>
        <v>0</v>
      </c>
      <c r="F42" s="1">
        <f>'الأجـــازة للوصايا'!J135</f>
        <v>-10</v>
      </c>
      <c r="G42" s="478">
        <f>'الأجـــازة للوصايا'!H135</f>
        <v>0</v>
      </c>
      <c r="I42" s="478">
        <f>'الأجـــازة للوصايا'!J135</f>
        <v>-10</v>
      </c>
      <c r="J42" s="28"/>
      <c r="K42" t="e">
        <f>VLOOKUP(E42,H42:J53,3,FALSE)</f>
        <v>#N/A</v>
      </c>
      <c r="L42" s="28">
        <f t="shared" si="15"/>
        <v>0</v>
      </c>
      <c r="M42" s="28"/>
      <c r="N42" s="28"/>
      <c r="O42" s="28"/>
      <c r="P42" s="28">
        <f t="shared" si="16"/>
        <v>0</v>
      </c>
      <c r="Q42" s="28"/>
      <c r="R42" s="28"/>
      <c r="S42" s="478">
        <f t="shared" si="14"/>
        <v>0</v>
      </c>
      <c r="T42" s="28"/>
      <c r="U42" s="28"/>
      <c r="V42" s="28"/>
      <c r="W42" s="28"/>
      <c r="X42" s="28"/>
      <c r="Y42" s="28"/>
      <c r="Z42" s="28"/>
      <c r="AA42" s="28"/>
      <c r="AC42" s="1"/>
      <c r="AJ42" s="478">
        <f>'الأجـــازة للوصايا'!I135</f>
        <v>0</v>
      </c>
    </row>
    <row r="43" spans="5:36" hidden="1">
      <c r="E43">
        <f>L43+L42</f>
        <v>0</v>
      </c>
      <c r="G43" s="28"/>
      <c r="I43" s="28"/>
      <c r="J43" s="28"/>
      <c r="L43" s="28"/>
      <c r="M43" s="28"/>
      <c r="N43" s="28"/>
      <c r="O43" s="28"/>
      <c r="P43" s="28">
        <f t="shared" si="16"/>
        <v>0</v>
      </c>
      <c r="Q43" s="28"/>
      <c r="R43" s="28"/>
      <c r="S43" s="478">
        <f t="shared" si="14"/>
        <v>0</v>
      </c>
      <c r="T43" s="28"/>
      <c r="U43" s="28"/>
      <c r="V43" s="28"/>
      <c r="W43" s="28"/>
      <c r="X43" s="28"/>
      <c r="Y43" s="28"/>
      <c r="Z43" s="28"/>
      <c r="AA43" s="28"/>
      <c r="AC43" s="1"/>
    </row>
    <row r="44" spans="5:36">
      <c r="E44" s="28"/>
      <c r="G44" s="28"/>
      <c r="I44" s="28"/>
      <c r="J44" s="28"/>
      <c r="K44" s="28"/>
      <c r="L44" s="28"/>
      <c r="M44" s="28"/>
      <c r="N44" s="28"/>
      <c r="O44" s="28"/>
      <c r="P44" s="28">
        <f t="shared" si="16"/>
        <v>0</v>
      </c>
      <c r="Q44" s="28"/>
      <c r="R44" s="28"/>
      <c r="S44" s="478">
        <f t="shared" si="14"/>
        <v>0</v>
      </c>
      <c r="T44" s="28"/>
      <c r="U44" s="28"/>
      <c r="V44" s="28"/>
      <c r="W44" s="28"/>
      <c r="X44" s="28"/>
      <c r="Y44" s="28"/>
      <c r="Z44" s="28"/>
      <c r="AA44" s="28"/>
      <c r="AC44" s="1"/>
    </row>
    <row r="45" spans="5:36">
      <c r="E45" s="28"/>
      <c r="G45" s="28"/>
      <c r="I45" s="28"/>
      <c r="J45" s="28"/>
      <c r="K45" s="28"/>
      <c r="L45" s="28"/>
      <c r="M45" s="28"/>
      <c r="N45" s="28"/>
      <c r="O45" s="28"/>
      <c r="P45" s="28"/>
      <c r="Q45" s="28"/>
      <c r="R45" s="28"/>
      <c r="S45" s="478">
        <f t="shared" si="14"/>
        <v>0</v>
      </c>
      <c r="T45" s="28"/>
      <c r="U45" s="28"/>
      <c r="V45" s="28"/>
      <c r="W45" s="28"/>
      <c r="X45" s="28"/>
      <c r="Y45" s="28"/>
      <c r="Z45" s="28"/>
      <c r="AA45" s="28"/>
      <c r="AC45" s="1"/>
    </row>
    <row r="46" spans="5:36">
      <c r="G46" s="28"/>
      <c r="H46" s="28"/>
      <c r="I46" s="28"/>
      <c r="J46" s="28"/>
      <c r="K46" s="28"/>
      <c r="L46" s="28"/>
      <c r="M46" s="28"/>
      <c r="N46" s="28"/>
      <c r="O46" s="28"/>
      <c r="P46" s="28"/>
      <c r="Q46" s="28"/>
      <c r="R46" s="28"/>
      <c r="S46" s="478">
        <f t="shared" si="14"/>
        <v>0</v>
      </c>
      <c r="T46" s="28"/>
      <c r="U46" s="28"/>
      <c r="V46" s="28"/>
      <c r="W46" s="28"/>
      <c r="X46" s="28"/>
      <c r="Y46" s="28"/>
      <c r="Z46" s="28"/>
      <c r="AA46" s="28"/>
      <c r="AC46" s="1"/>
    </row>
    <row r="47" spans="5:36">
      <c r="G47" s="28"/>
      <c r="H47" s="28"/>
      <c r="I47" s="28"/>
      <c r="J47" s="28"/>
      <c r="K47" s="28"/>
      <c r="L47" s="28"/>
      <c r="M47" s="28"/>
      <c r="N47" s="28"/>
      <c r="O47" s="28"/>
      <c r="P47" s="28"/>
      <c r="Q47" s="28"/>
      <c r="R47" s="28"/>
      <c r="S47" s="478">
        <f t="shared" si="14"/>
        <v>0</v>
      </c>
      <c r="T47" s="28"/>
      <c r="U47" s="28"/>
      <c r="V47" s="28"/>
      <c r="W47" s="28"/>
      <c r="X47" s="28"/>
      <c r="Y47" s="28"/>
      <c r="Z47" s="28"/>
      <c r="AA47" s="28"/>
      <c r="AC47" s="1"/>
    </row>
    <row r="48" spans="5:36" ht="17.25" hidden="1" thickTop="1" thickBot="1">
      <c r="G48" s="28"/>
      <c r="H48" s="28"/>
      <c r="I48" s="28"/>
      <c r="J48" s="28"/>
      <c r="K48" s="28"/>
      <c r="L48" s="28"/>
      <c r="M48" s="552" t="s">
        <v>743</v>
      </c>
      <c r="N48" s="551"/>
      <c r="O48" s="570"/>
      <c r="P48" s="28"/>
      <c r="Q48" s="28"/>
      <c r="R48" s="28"/>
      <c r="S48" s="28"/>
      <c r="U48" s="28"/>
      <c r="V48" s="28"/>
      <c r="W48" s="28"/>
      <c r="X48" s="28"/>
      <c r="Y48" s="28"/>
      <c r="Z48" s="28"/>
      <c r="AA48" s="28"/>
      <c r="AC48" s="1"/>
    </row>
    <row r="49" spans="7:29" ht="21.75" hidden="1" thickTop="1">
      <c r="G49" s="28"/>
      <c r="H49" s="28"/>
      <c r="I49" s="28"/>
      <c r="J49" s="28"/>
      <c r="K49" s="28"/>
      <c r="L49" s="28"/>
      <c r="M49" s="556" t="s">
        <v>742</v>
      </c>
      <c r="N49" s="494"/>
      <c r="O49" s="557" t="s">
        <v>114</v>
      </c>
      <c r="P49" s="28"/>
      <c r="Q49" s="28"/>
      <c r="R49" s="28"/>
      <c r="S49" s="28"/>
      <c r="T49" s="28"/>
      <c r="U49" s="28"/>
      <c r="V49" s="28"/>
      <c r="W49" s="28"/>
      <c r="X49" s="28"/>
      <c r="Y49" s="28"/>
      <c r="Z49" s="28"/>
      <c r="AA49" s="28"/>
      <c r="AC49" s="1"/>
    </row>
    <row r="50" spans="7:29" ht="15.75" hidden="1">
      <c r="G50" s="28"/>
      <c r="H50" s="28"/>
      <c r="I50" s="28"/>
      <c r="J50" s="28"/>
      <c r="K50" s="28"/>
      <c r="L50" s="28"/>
      <c r="M50" s="476" t="s">
        <v>745</v>
      </c>
      <c r="N50" s="28"/>
      <c r="O50" s="524">
        <v>1</v>
      </c>
      <c r="P50" s="28"/>
      <c r="Q50" s="28"/>
      <c r="R50" s="28"/>
      <c r="S50" s="28"/>
      <c r="T50" s="28"/>
      <c r="U50" s="28"/>
      <c r="V50" s="28"/>
      <c r="W50" s="28"/>
      <c r="X50" s="28"/>
      <c r="Y50" s="28"/>
      <c r="Z50" s="28"/>
      <c r="AA50" s="28"/>
      <c r="AC50" s="1"/>
    </row>
    <row r="51" spans="7:29" ht="15.75" hidden="1">
      <c r="G51" s="28"/>
      <c r="H51" s="28"/>
      <c r="I51" s="28"/>
      <c r="J51" s="28"/>
      <c r="K51" s="28"/>
      <c r="L51" s="28"/>
      <c r="M51" s="497" t="s">
        <v>746</v>
      </c>
      <c r="N51" s="28"/>
      <c r="O51" s="524">
        <v>1</v>
      </c>
      <c r="P51" s="28"/>
      <c r="Q51" s="28"/>
      <c r="R51" s="28"/>
      <c r="S51" s="28"/>
      <c r="T51" s="28"/>
      <c r="U51" s="28"/>
      <c r="V51" s="28"/>
      <c r="W51" s="28"/>
      <c r="X51" s="28"/>
      <c r="Y51" s="28"/>
      <c r="Z51" s="28"/>
      <c r="AA51" s="28"/>
      <c r="AC51" s="1"/>
    </row>
    <row r="52" spans="7:29" ht="15.75" hidden="1" thickBot="1">
      <c r="G52" s="28"/>
      <c r="H52" s="28"/>
      <c r="I52" s="28"/>
      <c r="J52" s="28"/>
      <c r="K52" s="28"/>
      <c r="L52" s="28"/>
      <c r="M52" s="28"/>
      <c r="N52" s="28"/>
      <c r="O52" s="28"/>
      <c r="P52" s="28"/>
      <c r="Q52" s="28"/>
      <c r="R52" s="28"/>
      <c r="S52" s="28"/>
      <c r="T52" s="28"/>
      <c r="U52" s="28"/>
      <c r="V52" s="28"/>
      <c r="W52" s="28"/>
      <c r="X52" s="28"/>
      <c r="Y52" s="28"/>
      <c r="Z52" s="28"/>
      <c r="AA52" s="28"/>
      <c r="AC52" s="1"/>
    </row>
    <row r="53" spans="7:29" ht="15.75" hidden="1" thickTop="1">
      <c r="G53" s="28"/>
      <c r="H53" s="28"/>
      <c r="I53" s="28"/>
      <c r="J53" s="28"/>
      <c r="K53" s="28"/>
      <c r="L53" s="28"/>
      <c r="M53" s="555" t="s">
        <v>114</v>
      </c>
      <c r="N53" s="28"/>
      <c r="O53" s="28"/>
      <c r="P53" s="28"/>
      <c r="Q53" s="28"/>
      <c r="R53" s="28"/>
      <c r="S53" s="28"/>
      <c r="T53" s="28"/>
      <c r="U53" s="28"/>
      <c r="V53" s="28"/>
      <c r="W53" s="28"/>
      <c r="X53" s="28"/>
      <c r="Y53" s="28"/>
      <c r="Z53" s="28"/>
      <c r="AA53" s="28"/>
      <c r="AC53" s="1"/>
    </row>
    <row r="54" spans="7:29" hidden="1">
      <c r="G54" s="28"/>
      <c r="H54" s="28"/>
      <c r="I54" s="28"/>
      <c r="J54" s="28"/>
      <c r="K54" s="28"/>
      <c r="L54" s="28"/>
      <c r="M54" s="28"/>
      <c r="N54" s="28"/>
      <c r="O54" s="28"/>
      <c r="P54" s="28"/>
      <c r="Q54" s="28"/>
      <c r="R54" s="28"/>
      <c r="S54" s="28"/>
      <c r="T54" s="28"/>
      <c r="U54" s="28"/>
      <c r="V54" s="28"/>
      <c r="W54" s="28"/>
      <c r="X54" s="28"/>
      <c r="Y54" s="28"/>
      <c r="Z54" s="28"/>
      <c r="AA54" s="28"/>
      <c r="AC54" s="1"/>
    </row>
    <row r="55" spans="7:29">
      <c r="G55" s="28"/>
      <c r="H55" s="28"/>
      <c r="I55" s="28"/>
      <c r="J55" s="28"/>
      <c r="K55" s="28"/>
      <c r="L55" s="28"/>
      <c r="M55" s="28"/>
      <c r="N55" s="28"/>
      <c r="O55" s="28"/>
      <c r="P55" s="28"/>
      <c r="Q55" s="28"/>
      <c r="R55" s="28"/>
      <c r="S55" s="28"/>
      <c r="T55" s="28"/>
      <c r="U55" s="28"/>
      <c r="V55" s="28"/>
      <c r="W55" s="28"/>
      <c r="X55" s="28"/>
      <c r="Y55" s="28"/>
      <c r="Z55" s="28"/>
      <c r="AA55" s="28"/>
      <c r="AC55" s="1"/>
    </row>
    <row r="56" spans="7:29">
      <c r="G56" s="28"/>
      <c r="H56" s="28"/>
      <c r="I56" s="28"/>
      <c r="J56" s="28"/>
      <c r="K56" s="28"/>
      <c r="L56" s="28"/>
      <c r="M56" s="28"/>
      <c r="N56" s="28"/>
      <c r="O56" s="28"/>
      <c r="P56" s="28"/>
      <c r="Q56" s="28"/>
      <c r="R56" s="28"/>
      <c r="S56" s="28"/>
      <c r="T56" s="28"/>
      <c r="U56" s="28"/>
      <c r="V56" s="28"/>
      <c r="W56" s="28"/>
      <c r="X56" s="28"/>
      <c r="Y56" s="28"/>
      <c r="Z56" s="28"/>
      <c r="AA56" s="28"/>
      <c r="AC56" s="1"/>
    </row>
    <row r="57" spans="7:29">
      <c r="G57" s="28"/>
      <c r="H57" s="28"/>
      <c r="I57" s="28"/>
      <c r="J57" s="28"/>
      <c r="K57" s="28"/>
      <c r="L57" s="28"/>
      <c r="M57" s="28"/>
      <c r="N57" s="28"/>
      <c r="O57" s="28"/>
      <c r="P57" s="28"/>
      <c r="Q57" s="28"/>
      <c r="R57" s="28"/>
      <c r="S57" s="28"/>
      <c r="T57" s="28"/>
      <c r="U57" s="28"/>
      <c r="V57" s="28"/>
      <c r="W57" s="28"/>
      <c r="X57" s="28"/>
      <c r="Y57" s="28"/>
      <c r="Z57" s="28"/>
      <c r="AA57" s="28"/>
      <c r="AC57" s="1"/>
    </row>
    <row r="58" spans="7:29">
      <c r="G58" s="28"/>
      <c r="H58" s="28"/>
      <c r="I58" s="28"/>
      <c r="J58" s="28"/>
      <c r="K58" s="28"/>
      <c r="L58" s="28"/>
      <c r="M58" s="28"/>
      <c r="N58" s="28"/>
      <c r="O58" s="28"/>
      <c r="P58" s="28"/>
      <c r="Q58" s="28"/>
      <c r="R58" s="28"/>
      <c r="S58" s="28"/>
      <c r="T58" s="28"/>
      <c r="U58" s="28"/>
      <c r="V58" s="28"/>
      <c r="W58" s="28"/>
      <c r="X58" s="28"/>
      <c r="Y58" s="28"/>
      <c r="Z58" s="28"/>
      <c r="AA58" s="28"/>
      <c r="AC58" s="1"/>
    </row>
    <row r="59" spans="7:29">
      <c r="G59" s="28"/>
      <c r="H59" s="28"/>
      <c r="I59" s="28"/>
      <c r="J59" s="28"/>
      <c r="K59" s="28"/>
      <c r="L59" s="28"/>
      <c r="M59" s="28"/>
      <c r="N59" s="28"/>
      <c r="O59" s="28"/>
      <c r="P59" s="28"/>
      <c r="Q59" s="28"/>
      <c r="R59" s="28"/>
      <c r="S59" s="28"/>
      <c r="T59" s="28"/>
      <c r="U59" s="28"/>
      <c r="V59" s="28"/>
      <c r="W59" s="28"/>
      <c r="X59" s="28"/>
      <c r="Y59" s="28"/>
      <c r="Z59" s="28"/>
      <c r="AA59" s="28"/>
      <c r="AC59" s="1"/>
    </row>
    <row r="60" spans="7:29">
      <c r="G60" s="28"/>
      <c r="H60" s="28"/>
      <c r="I60" s="28"/>
      <c r="J60" s="28"/>
      <c r="K60" s="28"/>
      <c r="L60" s="28"/>
      <c r="M60" s="28"/>
      <c r="N60" s="28"/>
      <c r="O60" s="28"/>
      <c r="P60" s="28"/>
      <c r="Q60" s="28"/>
      <c r="R60" s="28"/>
      <c r="S60" s="28"/>
      <c r="T60" s="28"/>
      <c r="U60" s="28"/>
      <c r="V60" s="28"/>
      <c r="W60" s="28"/>
      <c r="X60" s="28"/>
      <c r="Y60" s="28"/>
      <c r="Z60" s="28"/>
      <c r="AA60" s="28"/>
      <c r="AC60" s="1"/>
    </row>
    <row r="61" spans="7:29">
      <c r="G61" s="28"/>
      <c r="H61" s="28"/>
      <c r="I61" s="28"/>
      <c r="J61" s="28"/>
      <c r="K61" s="28"/>
      <c r="L61" s="28"/>
      <c r="M61" s="28"/>
      <c r="N61" s="28"/>
      <c r="O61" s="28"/>
      <c r="P61" s="28"/>
      <c r="Q61" s="28"/>
      <c r="R61" s="28"/>
      <c r="S61" s="28"/>
      <c r="T61" s="28"/>
      <c r="U61" s="28"/>
      <c r="V61" s="28"/>
      <c r="W61" s="28"/>
      <c r="X61" s="28"/>
      <c r="Y61" s="28"/>
      <c r="Z61" s="28"/>
      <c r="AA61" s="28"/>
      <c r="AC61" s="1"/>
    </row>
    <row r="62" spans="7:29">
      <c r="G62" s="28"/>
      <c r="H62" s="28"/>
      <c r="I62" s="28"/>
      <c r="J62" s="28"/>
      <c r="K62" s="28"/>
      <c r="L62" s="28"/>
      <c r="M62" s="28"/>
      <c r="N62" s="28"/>
      <c r="O62" s="28"/>
      <c r="P62" s="28"/>
      <c r="Q62" s="28"/>
      <c r="R62" s="28"/>
      <c r="S62" s="28"/>
      <c r="T62" s="28"/>
      <c r="U62" s="28"/>
      <c r="V62" s="28"/>
      <c r="W62" s="28"/>
      <c r="X62" s="28"/>
      <c r="Y62" s="28"/>
      <c r="Z62" s="28"/>
      <c r="AA62" s="28"/>
      <c r="AC62" s="1"/>
    </row>
    <row r="63" spans="7:29">
      <c r="G63" s="28"/>
      <c r="H63" s="28"/>
      <c r="I63" s="28"/>
      <c r="J63" s="28"/>
      <c r="K63" s="28"/>
      <c r="L63" s="28"/>
      <c r="M63" s="28"/>
      <c r="N63" s="28"/>
      <c r="O63" s="28"/>
      <c r="P63" s="28"/>
      <c r="Q63" s="28"/>
      <c r="R63" s="28"/>
      <c r="S63" s="28"/>
      <c r="T63" s="28"/>
      <c r="U63" s="28"/>
      <c r="V63" s="28"/>
      <c r="W63" s="28"/>
      <c r="X63" s="28"/>
      <c r="Y63" s="28"/>
      <c r="Z63" s="28"/>
      <c r="AA63" s="28"/>
      <c r="AC63" s="1"/>
    </row>
    <row r="64" spans="7:29">
      <c r="G64" s="28"/>
      <c r="H64" s="28"/>
      <c r="I64" s="28"/>
      <c r="J64" s="28"/>
      <c r="K64" s="28"/>
      <c r="L64" s="28"/>
      <c r="M64" s="28"/>
      <c r="N64" s="28"/>
      <c r="O64" s="28"/>
      <c r="P64" s="28"/>
      <c r="Q64" s="28"/>
      <c r="R64" s="28"/>
      <c r="S64" s="28"/>
      <c r="T64" s="28"/>
      <c r="U64" s="28"/>
      <c r="V64" s="28"/>
      <c r="W64" s="28"/>
      <c r="X64" s="28"/>
      <c r="Y64" s="28"/>
      <c r="Z64" s="28"/>
      <c r="AA64" s="28"/>
      <c r="AC64" s="1"/>
    </row>
    <row r="65" spans="7:29">
      <c r="G65" s="28"/>
      <c r="H65" s="28"/>
      <c r="I65" s="28"/>
      <c r="J65" s="28"/>
      <c r="K65" s="28"/>
      <c r="L65" s="28"/>
      <c r="M65" s="28"/>
      <c r="N65" s="28"/>
      <c r="O65" s="28"/>
      <c r="P65" s="28"/>
      <c r="Q65" s="28"/>
      <c r="R65" s="28"/>
      <c r="S65" s="28"/>
      <c r="T65" s="28"/>
      <c r="U65" s="28"/>
      <c r="V65" s="28"/>
      <c r="W65" s="28"/>
      <c r="X65" s="28"/>
      <c r="Y65" s="28"/>
      <c r="Z65" s="28"/>
      <c r="AA65" s="28"/>
      <c r="AC65" s="1"/>
    </row>
    <row r="66" spans="7:29">
      <c r="G66" s="28"/>
      <c r="H66" s="28"/>
      <c r="I66" s="28"/>
      <c r="J66" s="28"/>
      <c r="K66" s="28"/>
      <c r="L66" s="28"/>
      <c r="M66" s="28"/>
      <c r="N66" s="28"/>
      <c r="O66" s="28"/>
      <c r="P66" s="28"/>
      <c r="Q66" s="28"/>
      <c r="R66" s="28"/>
      <c r="S66" s="28"/>
      <c r="T66" s="28"/>
      <c r="U66" s="28"/>
      <c r="V66" s="28"/>
      <c r="W66" s="28"/>
      <c r="X66" s="28"/>
      <c r="Y66" s="28"/>
      <c r="Z66" s="28"/>
      <c r="AA66" s="28"/>
      <c r="AC66" s="1"/>
    </row>
    <row r="67" spans="7:29">
      <c r="G67" s="28"/>
      <c r="H67" s="28"/>
      <c r="I67" s="28"/>
      <c r="J67" s="28"/>
      <c r="K67" s="28"/>
      <c r="L67" s="28"/>
      <c r="M67" s="28"/>
      <c r="N67" s="28"/>
      <c r="O67" s="28"/>
      <c r="P67" s="28"/>
      <c r="Q67" s="28"/>
      <c r="R67" s="28"/>
      <c r="S67" s="28"/>
      <c r="T67" s="28"/>
      <c r="U67" s="28"/>
      <c r="V67" s="28"/>
      <c r="W67" s="28"/>
      <c r="X67" s="28"/>
      <c r="Y67" s="28"/>
      <c r="Z67" s="28"/>
      <c r="AA67" s="28"/>
      <c r="AC67" s="1"/>
    </row>
    <row r="68" spans="7:29">
      <c r="G68" s="28"/>
      <c r="H68" s="28"/>
      <c r="I68" s="28"/>
      <c r="J68" s="28"/>
      <c r="K68" s="28"/>
      <c r="L68" s="28"/>
      <c r="M68" s="28"/>
      <c r="N68" s="28"/>
      <c r="O68" s="28"/>
      <c r="P68" s="28"/>
      <c r="Q68" s="28"/>
      <c r="R68" s="28"/>
      <c r="S68" s="28"/>
      <c r="T68" s="28"/>
      <c r="U68" s="28"/>
      <c r="V68" s="28"/>
      <c r="W68" s="28"/>
      <c r="X68" s="28"/>
      <c r="Y68" s="28"/>
      <c r="Z68" s="28"/>
      <c r="AA68" s="28"/>
      <c r="AC68" s="1"/>
    </row>
    <row r="69" spans="7:29">
      <c r="G69" s="28"/>
      <c r="H69" s="28"/>
      <c r="I69" s="28"/>
      <c r="J69" s="28"/>
      <c r="K69" s="28"/>
      <c r="L69" s="28"/>
      <c r="M69" s="28"/>
      <c r="N69" s="28"/>
      <c r="O69" s="28"/>
      <c r="P69" s="28"/>
      <c r="Q69" s="28"/>
      <c r="R69" s="28"/>
      <c r="S69" s="28"/>
      <c r="T69" s="28"/>
      <c r="U69" s="28"/>
      <c r="V69" s="28"/>
      <c r="W69" s="28"/>
      <c r="X69" s="28"/>
      <c r="Y69" s="28"/>
      <c r="Z69" s="28"/>
      <c r="AA69" s="28"/>
      <c r="AC69" s="1"/>
    </row>
    <row r="70" spans="7:29">
      <c r="G70" s="28"/>
      <c r="H70" s="28"/>
      <c r="I70" s="28"/>
      <c r="J70" s="28"/>
      <c r="K70" s="28"/>
      <c r="L70" s="28"/>
      <c r="M70" s="28"/>
      <c r="N70" s="28"/>
      <c r="O70" s="28"/>
      <c r="P70" s="28"/>
      <c r="Q70" s="28"/>
      <c r="R70" s="28"/>
      <c r="S70" s="28"/>
      <c r="T70" s="28"/>
      <c r="U70" s="28"/>
      <c r="V70" s="28"/>
      <c r="W70" s="28"/>
      <c r="X70" s="28"/>
      <c r="Y70" s="28"/>
      <c r="Z70" s="28"/>
      <c r="AA70" s="28"/>
      <c r="AC70" s="1"/>
    </row>
    <row r="71" spans="7:29">
      <c r="G71" s="28"/>
      <c r="H71" s="28"/>
      <c r="I71" s="28"/>
      <c r="J71" s="28"/>
      <c r="K71" s="28"/>
      <c r="L71" s="28"/>
      <c r="M71" s="28"/>
      <c r="N71" s="28"/>
      <c r="O71" s="28"/>
      <c r="P71" s="28"/>
      <c r="Q71" s="28"/>
      <c r="R71" s="28"/>
      <c r="S71" s="28"/>
      <c r="T71" s="28"/>
      <c r="U71" s="28"/>
      <c r="V71" s="28"/>
      <c r="W71" s="28"/>
      <c r="X71" s="28"/>
      <c r="Y71" s="28"/>
      <c r="Z71" s="28"/>
      <c r="AA71" s="28"/>
      <c r="AC71" s="1"/>
    </row>
    <row r="72" spans="7:29">
      <c r="G72" s="28"/>
      <c r="H72" s="28"/>
      <c r="I72" s="28"/>
      <c r="J72" s="28"/>
      <c r="K72" s="28"/>
      <c r="L72" s="28"/>
      <c r="M72" s="28"/>
      <c r="N72" s="28"/>
      <c r="O72" s="28"/>
      <c r="P72" s="28"/>
      <c r="Q72" s="28"/>
      <c r="R72" s="28"/>
      <c r="S72" s="28"/>
      <c r="T72" s="28"/>
      <c r="U72" s="28"/>
      <c r="V72" s="28"/>
      <c r="W72" s="28"/>
      <c r="X72" s="28"/>
      <c r="Y72" s="28"/>
      <c r="Z72" s="28"/>
      <c r="AA72" s="28"/>
      <c r="AC72" s="1"/>
    </row>
    <row r="73" spans="7:29">
      <c r="G73" s="28"/>
      <c r="H73" s="28"/>
      <c r="I73" s="28"/>
      <c r="J73" s="28"/>
      <c r="K73" s="28"/>
      <c r="L73" s="28"/>
      <c r="M73" s="28"/>
      <c r="N73" s="28"/>
      <c r="O73" s="28"/>
      <c r="P73" s="28"/>
      <c r="Q73" s="28"/>
      <c r="R73" s="28"/>
      <c r="S73" s="28"/>
      <c r="T73" s="28"/>
      <c r="U73" s="28"/>
      <c r="V73" s="28"/>
      <c r="W73" s="28"/>
      <c r="X73" s="28"/>
      <c r="Y73" s="28"/>
      <c r="Z73" s="28"/>
      <c r="AA73" s="28"/>
      <c r="AC73" s="1"/>
    </row>
    <row r="74" spans="7:29">
      <c r="G74" s="28"/>
      <c r="H74" s="28"/>
      <c r="I74" s="28"/>
      <c r="J74" s="28"/>
      <c r="K74" s="28"/>
      <c r="L74" s="28"/>
      <c r="M74" s="28"/>
      <c r="N74" s="28"/>
      <c r="O74" s="28"/>
      <c r="P74" s="28"/>
      <c r="Q74" s="28"/>
      <c r="R74" s="28"/>
      <c r="S74" s="28"/>
      <c r="T74" s="28"/>
      <c r="U74" s="28"/>
      <c r="V74" s="28"/>
      <c r="W74" s="28"/>
      <c r="X74" s="28"/>
      <c r="Y74" s="28"/>
      <c r="Z74" s="28"/>
      <c r="AA74" s="28"/>
      <c r="AC74" s="1"/>
    </row>
    <row r="75" spans="7:29">
      <c r="G75" s="28"/>
      <c r="H75" s="28"/>
      <c r="I75" s="28"/>
      <c r="J75" s="28"/>
      <c r="K75" s="28"/>
      <c r="L75" s="28"/>
      <c r="M75" s="28"/>
      <c r="N75" s="28"/>
      <c r="O75" s="28"/>
      <c r="P75" s="28"/>
      <c r="Q75" s="28"/>
      <c r="R75" s="28"/>
      <c r="S75" s="28"/>
      <c r="T75" s="28"/>
      <c r="U75" s="28"/>
      <c r="V75" s="28"/>
      <c r="W75" s="28"/>
      <c r="X75" s="28"/>
      <c r="Y75" s="28"/>
      <c r="Z75" s="28"/>
      <c r="AA75" s="28"/>
      <c r="AC75" s="1"/>
    </row>
    <row r="76" spans="7:29">
      <c r="G76" s="28"/>
      <c r="H76" s="28"/>
      <c r="I76" s="28"/>
      <c r="J76" s="28"/>
      <c r="K76" s="28"/>
      <c r="L76" s="28"/>
      <c r="M76" s="28"/>
      <c r="N76" s="28"/>
      <c r="O76" s="28"/>
      <c r="P76" s="28"/>
      <c r="Q76" s="28"/>
      <c r="R76" s="28"/>
      <c r="S76" s="28"/>
      <c r="T76" s="28"/>
      <c r="U76" s="28"/>
      <c r="V76" s="28"/>
      <c r="W76" s="28"/>
      <c r="X76" s="28"/>
      <c r="Y76" s="28"/>
      <c r="Z76" s="28"/>
      <c r="AA76" s="28"/>
      <c r="AC76" s="1"/>
    </row>
    <row r="77" spans="7:29">
      <c r="G77" s="28"/>
      <c r="H77" s="28"/>
      <c r="I77" s="28"/>
      <c r="J77" s="28"/>
      <c r="K77" s="28"/>
      <c r="L77" s="28"/>
      <c r="M77" s="28"/>
      <c r="N77" s="28"/>
      <c r="O77" s="28"/>
      <c r="P77" s="28"/>
      <c r="Q77" s="28"/>
      <c r="R77" s="28"/>
      <c r="S77" s="28"/>
      <c r="T77" s="28"/>
      <c r="U77" s="28"/>
      <c r="V77" s="28"/>
      <c r="W77" s="28"/>
      <c r="X77" s="28"/>
      <c r="Y77" s="28"/>
      <c r="Z77" s="28"/>
      <c r="AA77" s="28"/>
      <c r="AC77" s="1"/>
    </row>
    <row r="78" spans="7:29">
      <c r="G78" s="28"/>
      <c r="H78" s="28"/>
      <c r="I78" s="28"/>
      <c r="J78" s="28"/>
      <c r="K78" s="28"/>
      <c r="L78" s="28"/>
      <c r="M78" s="28"/>
      <c r="N78" s="28"/>
      <c r="O78" s="28"/>
      <c r="P78" s="28"/>
      <c r="Q78" s="28"/>
      <c r="R78" s="28"/>
      <c r="S78" s="28"/>
      <c r="T78" s="28"/>
      <c r="U78" s="28"/>
      <c r="V78" s="28"/>
      <c r="W78" s="28"/>
      <c r="X78" s="28"/>
      <c r="Y78" s="28"/>
      <c r="Z78" s="28"/>
      <c r="AA78" s="28"/>
      <c r="AC78" s="1"/>
    </row>
    <row r="79" spans="7:29">
      <c r="G79" s="28"/>
      <c r="H79" s="28"/>
      <c r="I79" s="28"/>
      <c r="J79" s="28"/>
      <c r="K79" s="28"/>
      <c r="L79" s="28"/>
      <c r="M79" s="28"/>
      <c r="N79" s="28"/>
      <c r="O79" s="28"/>
      <c r="P79" s="28"/>
      <c r="Q79" s="28"/>
      <c r="R79" s="28"/>
      <c r="S79" s="28"/>
      <c r="T79" s="28"/>
      <c r="U79" s="28"/>
      <c r="V79" s="28"/>
      <c r="W79" s="28"/>
      <c r="X79" s="28"/>
      <c r="Y79" s="28"/>
      <c r="Z79" s="28"/>
      <c r="AA79" s="28"/>
      <c r="AC79" s="1"/>
    </row>
    <row r="80" spans="7:29">
      <c r="G80" s="28"/>
      <c r="H80" s="28"/>
      <c r="I80" s="28"/>
      <c r="J80" s="28"/>
      <c r="K80" s="28"/>
      <c r="L80" s="28"/>
      <c r="M80" s="28"/>
      <c r="N80" s="28"/>
      <c r="O80" s="28"/>
      <c r="P80" s="28"/>
      <c r="Q80" s="28"/>
      <c r="R80" s="28"/>
      <c r="S80" s="28"/>
      <c r="T80" s="28"/>
      <c r="U80" s="28"/>
      <c r="V80" s="28"/>
      <c r="W80" s="28"/>
      <c r="X80" s="28"/>
      <c r="Y80" s="28"/>
      <c r="Z80" s="28"/>
      <c r="AA80" s="28"/>
      <c r="AC80" s="1"/>
    </row>
    <row r="81" spans="7:29">
      <c r="G81" s="28"/>
      <c r="H81" s="28"/>
      <c r="I81" s="28"/>
      <c r="J81" s="28"/>
      <c r="K81" s="28"/>
      <c r="L81" s="28"/>
      <c r="M81" s="28"/>
      <c r="N81" s="28"/>
      <c r="O81" s="28"/>
      <c r="P81" s="28"/>
      <c r="Q81" s="28"/>
      <c r="R81" s="28"/>
      <c r="S81" s="28"/>
      <c r="T81" s="28"/>
      <c r="U81" s="28"/>
      <c r="V81" s="28"/>
      <c r="W81" s="28"/>
      <c r="X81" s="28"/>
      <c r="Y81" s="28"/>
      <c r="Z81" s="28"/>
      <c r="AA81" s="28"/>
      <c r="AC81" s="1"/>
    </row>
    <row r="82" spans="7:29">
      <c r="G82" s="28"/>
      <c r="H82" s="28"/>
      <c r="I82" s="28"/>
      <c r="J82" s="28"/>
      <c r="K82" s="28"/>
      <c r="L82" s="28"/>
      <c r="M82" s="28"/>
      <c r="N82" s="28"/>
      <c r="O82" s="28"/>
      <c r="P82" s="28"/>
      <c r="Q82" s="28"/>
      <c r="R82" s="28"/>
      <c r="S82" s="28"/>
      <c r="T82" s="28"/>
      <c r="U82" s="28"/>
      <c r="V82" s="28"/>
      <c r="W82" s="28"/>
      <c r="X82" s="28"/>
      <c r="Y82" s="28"/>
      <c r="Z82" s="28"/>
      <c r="AA82" s="28"/>
      <c r="AC82" s="1"/>
    </row>
    <row r="83" spans="7:29">
      <c r="G83" s="28"/>
      <c r="H83" s="28"/>
      <c r="I83" s="28"/>
      <c r="J83" s="28"/>
      <c r="K83" s="28"/>
      <c r="L83" s="28"/>
      <c r="M83" s="28"/>
      <c r="N83" s="28"/>
      <c r="O83" s="28"/>
      <c r="P83" s="28"/>
      <c r="Q83" s="28"/>
      <c r="R83" s="28"/>
      <c r="S83" s="28"/>
      <c r="T83" s="28"/>
      <c r="U83" s="28"/>
      <c r="V83" s="28"/>
      <c r="W83" s="28"/>
      <c r="X83" s="28"/>
      <c r="Y83" s="28"/>
      <c r="Z83" s="28"/>
      <c r="AA83" s="28"/>
      <c r="AC83" s="1"/>
    </row>
    <row r="84" spans="7:29">
      <c r="G84" s="28"/>
      <c r="H84" s="28"/>
      <c r="I84" s="28"/>
      <c r="J84" s="28"/>
      <c r="K84" s="28"/>
      <c r="L84" s="28"/>
      <c r="M84" s="28"/>
      <c r="N84" s="28"/>
      <c r="O84" s="28"/>
      <c r="P84" s="28"/>
      <c r="Q84" s="28"/>
      <c r="R84" s="28"/>
      <c r="S84" s="28"/>
      <c r="T84" s="28"/>
      <c r="U84" s="28"/>
      <c r="V84" s="28"/>
      <c r="W84" s="28"/>
      <c r="X84" s="28"/>
      <c r="Y84" s="28"/>
      <c r="Z84" s="28"/>
      <c r="AA84" s="28"/>
      <c r="AC84" s="1"/>
    </row>
    <row r="85" spans="7:29">
      <c r="G85" s="28"/>
      <c r="H85" s="28"/>
      <c r="I85" s="28"/>
      <c r="J85" s="28"/>
      <c r="K85" s="28"/>
      <c r="L85" s="28"/>
      <c r="M85" s="28"/>
      <c r="N85" s="28"/>
      <c r="O85" s="28"/>
      <c r="P85" s="28"/>
      <c r="Q85" s="28"/>
      <c r="R85" s="28"/>
      <c r="S85" s="28"/>
      <c r="T85" s="28"/>
      <c r="U85" s="28"/>
      <c r="V85" s="28"/>
      <c r="W85" s="28"/>
      <c r="X85" s="28"/>
      <c r="Y85" s="28"/>
      <c r="Z85" s="28"/>
      <c r="AA85" s="28"/>
      <c r="AC85" s="1"/>
    </row>
    <row r="86" spans="7:29">
      <c r="G86" s="28"/>
      <c r="H86" s="28"/>
      <c r="I86" s="28"/>
      <c r="J86" s="28"/>
      <c r="K86" s="28"/>
      <c r="L86" s="28"/>
      <c r="M86" s="28"/>
      <c r="N86" s="28"/>
      <c r="O86" s="28"/>
      <c r="P86" s="28"/>
      <c r="Q86" s="28"/>
      <c r="R86" s="28"/>
      <c r="S86" s="28"/>
      <c r="T86" s="28"/>
      <c r="U86" s="28"/>
      <c r="V86" s="28"/>
      <c r="W86" s="28"/>
      <c r="X86" s="28"/>
      <c r="Y86" s="28"/>
      <c r="Z86" s="28"/>
      <c r="AA86" s="28"/>
      <c r="AC86" s="1"/>
    </row>
    <row r="87" spans="7:29">
      <c r="G87" s="28"/>
      <c r="H87" s="28"/>
      <c r="I87" s="28"/>
      <c r="J87" s="28"/>
      <c r="K87" s="28"/>
      <c r="L87" s="28"/>
      <c r="M87" s="28"/>
      <c r="N87" s="28"/>
      <c r="O87" s="28"/>
      <c r="P87" s="28"/>
      <c r="Q87" s="28"/>
      <c r="R87" s="28"/>
      <c r="S87" s="28"/>
      <c r="T87" s="28"/>
      <c r="U87" s="28"/>
      <c r="V87" s="28"/>
      <c r="W87" s="28"/>
      <c r="X87" s="28"/>
      <c r="Y87" s="28"/>
      <c r="Z87" s="28"/>
      <c r="AA87" s="28"/>
      <c r="AC87" s="1"/>
    </row>
    <row r="88" spans="7:29">
      <c r="G88" s="28"/>
      <c r="H88" s="28"/>
      <c r="I88" s="28"/>
      <c r="J88" s="28"/>
      <c r="K88" s="28"/>
      <c r="L88" s="28"/>
      <c r="M88" s="28"/>
      <c r="N88" s="28"/>
      <c r="O88" s="28"/>
      <c r="P88" s="28"/>
      <c r="Q88" s="28"/>
      <c r="R88" s="28"/>
      <c r="S88" s="28"/>
      <c r="T88" s="28"/>
      <c r="U88" s="28"/>
      <c r="V88" s="28"/>
      <c r="W88" s="28"/>
      <c r="X88" s="28"/>
      <c r="Y88" s="28"/>
      <c r="Z88" s="28"/>
      <c r="AA88" s="28"/>
      <c r="AC88" s="1"/>
    </row>
    <row r="89" spans="7:29">
      <c r="G89" s="28"/>
      <c r="H89" s="28"/>
      <c r="I89" s="28"/>
      <c r="J89" s="28"/>
      <c r="K89" s="28"/>
      <c r="L89" s="28"/>
      <c r="M89" s="28"/>
      <c r="N89" s="28"/>
      <c r="O89" s="28"/>
      <c r="P89" s="28"/>
      <c r="Q89" s="28"/>
      <c r="R89" s="28"/>
      <c r="S89" s="28"/>
      <c r="T89" s="28"/>
      <c r="U89" s="28"/>
      <c r="V89" s="28"/>
      <c r="W89" s="28"/>
      <c r="X89" s="28"/>
      <c r="Y89" s="28"/>
      <c r="Z89" s="28"/>
      <c r="AA89" s="28"/>
      <c r="AC89" s="1"/>
    </row>
    <row r="90" spans="7:29">
      <c r="G90" s="28"/>
      <c r="H90" s="28"/>
      <c r="I90" s="28"/>
      <c r="J90" s="28"/>
      <c r="K90" s="28"/>
      <c r="L90" s="28"/>
      <c r="M90" s="28"/>
      <c r="N90" s="28"/>
      <c r="O90" s="28"/>
      <c r="P90" s="28"/>
      <c r="Q90" s="28"/>
      <c r="R90" s="28"/>
      <c r="S90" s="28"/>
      <c r="T90" s="28"/>
      <c r="U90" s="28"/>
      <c r="V90" s="28"/>
      <c r="W90" s="28"/>
      <c r="X90" s="28"/>
      <c r="Y90" s="28"/>
      <c r="Z90" s="28"/>
      <c r="AA90" s="28"/>
      <c r="AC90" s="1"/>
    </row>
    <row r="91" spans="7:29">
      <c r="G91" s="28"/>
      <c r="H91" s="28"/>
      <c r="I91" s="28"/>
      <c r="J91" s="28"/>
      <c r="K91" s="28"/>
      <c r="L91" s="28"/>
      <c r="M91" s="28"/>
      <c r="N91" s="28"/>
      <c r="O91" s="28"/>
      <c r="P91" s="28"/>
      <c r="Q91" s="28"/>
      <c r="R91" s="28"/>
      <c r="S91" s="28"/>
      <c r="T91" s="28"/>
      <c r="U91" s="28"/>
      <c r="V91" s="28"/>
      <c r="W91" s="28"/>
      <c r="X91" s="28"/>
      <c r="Y91" s="28"/>
      <c r="Z91" s="28"/>
      <c r="AA91" s="28"/>
      <c r="AC91" s="1"/>
    </row>
    <row r="92" spans="7:29">
      <c r="G92" s="28"/>
      <c r="H92" s="28"/>
      <c r="I92" s="28"/>
      <c r="J92" s="28"/>
      <c r="K92" s="28"/>
      <c r="L92" s="28"/>
      <c r="M92" s="28"/>
      <c r="N92" s="28"/>
      <c r="O92" s="28"/>
      <c r="P92" s="28"/>
      <c r="Q92" s="28"/>
      <c r="R92" s="28"/>
      <c r="S92" s="28"/>
      <c r="T92" s="28"/>
      <c r="U92" s="28"/>
      <c r="V92" s="28"/>
      <c r="W92" s="28"/>
      <c r="X92" s="28"/>
      <c r="Y92" s="28"/>
      <c r="Z92" s="28"/>
      <c r="AA92" s="28"/>
      <c r="AC92" s="1"/>
    </row>
    <row r="93" spans="7:29">
      <c r="G93" s="28"/>
      <c r="H93" s="28"/>
      <c r="I93" s="28"/>
      <c r="J93" s="28"/>
      <c r="K93" s="28"/>
      <c r="L93" s="28"/>
      <c r="M93" s="28"/>
      <c r="N93" s="28"/>
      <c r="O93" s="28"/>
      <c r="P93" s="28"/>
      <c r="Q93" s="28"/>
      <c r="R93" s="28"/>
      <c r="S93" s="28"/>
      <c r="T93" s="28"/>
      <c r="U93" s="28"/>
      <c r="V93" s="28"/>
      <c r="W93" s="28"/>
      <c r="X93" s="28"/>
      <c r="Y93" s="28"/>
      <c r="Z93" s="28"/>
      <c r="AA93" s="28"/>
      <c r="AC93" s="1"/>
    </row>
    <row r="94" spans="7:29">
      <c r="G94" s="28"/>
      <c r="H94" s="28"/>
      <c r="I94" s="28"/>
      <c r="J94" s="28"/>
      <c r="K94" s="28"/>
      <c r="L94" s="28"/>
      <c r="M94" s="28"/>
      <c r="N94" s="28"/>
      <c r="O94" s="28"/>
      <c r="P94" s="28"/>
      <c r="Q94" s="28"/>
      <c r="R94" s="28"/>
      <c r="S94" s="28"/>
      <c r="T94" s="28"/>
      <c r="U94" s="28"/>
      <c r="V94" s="28"/>
      <c r="W94" s="28"/>
      <c r="X94" s="28"/>
      <c r="Y94" s="28"/>
      <c r="Z94" s="28"/>
      <c r="AA94" s="28"/>
      <c r="AC94" s="1"/>
    </row>
    <row r="95" spans="7:29">
      <c r="G95" s="28"/>
      <c r="H95" s="28"/>
      <c r="I95" s="28"/>
      <c r="J95" s="28"/>
      <c r="K95" s="28"/>
      <c r="L95" s="28"/>
      <c r="M95" s="28"/>
      <c r="N95" s="28"/>
      <c r="O95" s="28"/>
      <c r="P95" s="28"/>
      <c r="Q95" s="28"/>
      <c r="R95" s="28"/>
      <c r="S95" s="28"/>
      <c r="T95" s="28"/>
      <c r="U95" s="28"/>
      <c r="V95" s="28"/>
      <c r="W95" s="28"/>
      <c r="X95" s="28"/>
      <c r="Y95" s="28"/>
      <c r="Z95" s="28"/>
      <c r="AA95" s="28"/>
      <c r="AC95" s="1"/>
    </row>
    <row r="96" spans="7:29">
      <c r="G96" s="28"/>
      <c r="H96" s="28"/>
      <c r="I96" s="28"/>
      <c r="J96" s="28"/>
      <c r="K96" s="28"/>
      <c r="L96" s="28"/>
      <c r="M96" s="28"/>
      <c r="N96" s="28"/>
      <c r="O96" s="28"/>
      <c r="P96" s="28"/>
      <c r="Q96" s="28"/>
      <c r="R96" s="28"/>
      <c r="S96" s="28"/>
      <c r="T96" s="28"/>
      <c r="U96" s="28"/>
      <c r="V96" s="28"/>
      <c r="W96" s="28"/>
      <c r="X96" s="28"/>
      <c r="Y96" s="28"/>
      <c r="Z96" s="28"/>
      <c r="AA96" s="28"/>
      <c r="AC96" s="1"/>
    </row>
    <row r="97" spans="7:29">
      <c r="G97" s="28"/>
      <c r="H97" s="28"/>
      <c r="I97" s="28"/>
      <c r="J97" s="28"/>
      <c r="K97" s="28"/>
      <c r="L97" s="28"/>
      <c r="M97" s="28"/>
      <c r="N97" s="28"/>
      <c r="O97" s="28"/>
      <c r="P97" s="28"/>
      <c r="Q97" s="28"/>
      <c r="R97" s="28"/>
      <c r="S97" s="28"/>
      <c r="T97" s="28"/>
      <c r="U97" s="28"/>
      <c r="V97" s="28"/>
      <c r="W97" s="28"/>
      <c r="X97" s="28"/>
      <c r="Y97" s="28"/>
      <c r="Z97" s="28"/>
      <c r="AA97" s="28"/>
      <c r="AC97" s="1"/>
    </row>
    <row r="98" spans="7:29">
      <c r="G98" s="28"/>
      <c r="H98" s="28"/>
      <c r="I98" s="28"/>
      <c r="J98" s="28"/>
      <c r="K98" s="28"/>
      <c r="L98" s="28"/>
      <c r="M98" s="28"/>
      <c r="N98" s="28"/>
      <c r="O98" s="28"/>
      <c r="P98" s="28"/>
      <c r="Q98" s="28"/>
      <c r="R98" s="28"/>
      <c r="S98" s="28"/>
      <c r="T98" s="28"/>
      <c r="U98" s="28"/>
      <c r="V98" s="28"/>
      <c r="W98" s="28"/>
      <c r="X98" s="28"/>
      <c r="Y98" s="28"/>
      <c r="Z98" s="28"/>
      <c r="AA98" s="28"/>
      <c r="AC98" s="1"/>
    </row>
    <row r="99" spans="7:29">
      <c r="G99" s="28"/>
      <c r="H99" s="28"/>
      <c r="I99" s="28"/>
      <c r="J99" s="28"/>
      <c r="K99" s="28"/>
      <c r="L99" s="28"/>
      <c r="M99" s="28"/>
      <c r="N99" s="28"/>
      <c r="O99" s="28"/>
      <c r="P99" s="28"/>
      <c r="Q99" s="28"/>
      <c r="R99" s="28"/>
      <c r="S99" s="28"/>
      <c r="T99" s="28"/>
      <c r="U99" s="28"/>
      <c r="V99" s="28"/>
      <c r="W99" s="28"/>
      <c r="X99" s="28"/>
      <c r="Y99" s="28"/>
      <c r="Z99" s="28"/>
      <c r="AA99" s="28"/>
      <c r="AC99" s="1"/>
    </row>
    <row r="100" spans="7:29">
      <c r="G100" s="28"/>
      <c r="H100" s="28"/>
      <c r="I100" s="28"/>
      <c r="J100" s="28"/>
      <c r="K100" s="28"/>
      <c r="L100" s="28"/>
      <c r="M100" s="28"/>
      <c r="N100" s="28"/>
      <c r="O100" s="28"/>
      <c r="P100" s="28"/>
      <c r="Q100" s="28"/>
      <c r="R100" s="28"/>
      <c r="S100" s="28"/>
      <c r="T100" s="28"/>
      <c r="U100" s="28"/>
      <c r="V100" s="28"/>
      <c r="W100" s="28"/>
      <c r="X100" s="28"/>
      <c r="Y100" s="28"/>
      <c r="Z100" s="28"/>
      <c r="AA100" s="28"/>
      <c r="AC100" s="1"/>
    </row>
    <row r="101" spans="7:29">
      <c r="AC101" s="1"/>
    </row>
    <row r="102" spans="7:29">
      <c r="AC102" s="1"/>
    </row>
    <row r="103" spans="7:29">
      <c r="AC103" s="1"/>
    </row>
    <row r="104" spans="7:29">
      <c r="AC104" s="1"/>
    </row>
    <row r="105" spans="7:29">
      <c r="AC105" s="1"/>
    </row>
    <row r="106" spans="7:29">
      <c r="AC106" s="1"/>
    </row>
    <row r="107" spans="7:29">
      <c r="AC107" s="1"/>
    </row>
  </sheetData>
  <sheetProtection password="EF73" sheet="1" objects="1" scenarios="1" formatCells="0"/>
  <customSheetViews>
    <customSheetView guid="{D786A5C0-FBC0-4F24-9F75-D436CA99DC6C}" zeroValues="0" hiddenRows="1" hiddenColumns="1" state="hidden" topLeftCell="B6">
      <selection activeCell="I23" sqref="I23"/>
      <pageMargins left="0.7" right="0.7" top="0.75" bottom="0.75" header="0.3" footer="0.3"/>
      <pageSetup orientation="portrait" r:id="rId1"/>
    </customSheetView>
  </customSheetViews>
  <mergeCells count="5">
    <mergeCell ref="C11:D11"/>
    <mergeCell ref="C12:D21"/>
    <mergeCell ref="C24:C27"/>
    <mergeCell ref="C7:C8"/>
    <mergeCell ref="D7:D8"/>
  </mergeCells>
  <dataValidations count="9">
    <dataValidation type="decimal" allowBlank="1" showInputMessage="1" showErrorMessage="1" error="أدخال غير صحيح" prompt="ضع فريضة الوارث فى هذه الخلية" sqref="IP12:IP23 G65527:G65536">
      <formula1>0</formula1>
      <formula2>1</formula2>
    </dataValidation>
    <dataValidation type="decimal" allowBlank="1" showInputMessage="1" showErrorMessage="1" error="أدخال غير صحيح (تأكد من الكسر)" promptTitle=" " prompt="وصى المتوفى (ضع الوصية التالثة)" sqref="K65522">
      <formula1>0</formula1>
      <formula2>99/100</formula2>
    </dataValidation>
    <dataValidation type="decimal" allowBlank="1" showInputMessage="1" showErrorMessage="1" error="أدخال غير صحيح (تأكد من الكسر)" promptTitle=" " prompt="وصى المتوفى (ضع الوصية التانية)" sqref="J65522">
      <formula1>0</formula1>
      <formula2>99/100</formula2>
    </dataValidation>
    <dataValidation type="decimal" allowBlank="1" showInputMessage="1" showErrorMessage="1" error="أدخال غير صحيح (ضع صفر ان لم يوصى)" promptTitle=" " prompt="وصى المتوفى  (ضع الوصية الأولى)" sqref="I65522">
      <formula1>0</formula1>
      <formula2>99/100</formula2>
    </dataValidation>
    <dataValidation type="textLength" operator="lessThan" allowBlank="1" showInputMessage="1" showErrorMessage="1" error="أدخال غير صحيح" prompt="ضع أسم الوارث فى هذه الخلية" sqref="IO12:IO23 F65527:F65536">
      <formula1>20</formula1>
    </dataValidation>
    <dataValidation type="decimal" allowBlank="1" showInputMessage="1" showErrorMessage="1" error="أدخال غير صحيح (تأكد من الكسر)" promptTitle=" " prompt="وصى المتوفى (ضع الوصية الرابعة)" sqref="L65522">
      <formula1>0</formula1>
      <formula2>99/100</formula2>
    </dataValidation>
    <dataValidation type="decimal" allowBlank="1" showInputMessage="1" showErrorMessage="1" error="أدخال غير صحيح" prompt="ضع بسط الفريضة أن لزم الأمر " sqref="IQ12:IQ23 H65527:H65536">
      <formula1>1</formula1>
      <formula2>100</formula2>
    </dataValidation>
    <dataValidation type="decimal" allowBlank="1" showInputMessage="1" showErrorMessage="1" error="أدخال غير صحيح" prompt="هذه الخلية مخصصة لتصحيح المسألة  ضع مقام الكسر أعلاه هنا" sqref="O50:O51 P65524:P65525">
      <formula1>0</formula1>
      <formula2>1000</formula2>
    </dataValidation>
    <dataValidation type="decimal" allowBlank="1" showInputMessage="1" showErrorMessage="1" error="أدخال غير صحيح" promptTitle="أجاز الوصية ضع 1 غير ذلك ضع 0  " prompt=" " sqref="IR12:IU23 I65527:L65536">
      <formula1>0</formula1>
      <formula2>1</formula2>
    </dataValidation>
  </dataValidations>
  <pageMargins left="0.7" right="0.7" top="0.75" bottom="0.75" header="0.3" footer="0.3"/>
  <pageSetup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FF00"/>
  </sheetPr>
  <dimension ref="A1:AX107"/>
  <sheetViews>
    <sheetView showZeros="0" rightToLeft="1" topLeftCell="B6" zoomScaleNormal="87" workbookViewId="0">
      <selection activeCell="AR15" sqref="AR15"/>
    </sheetView>
  </sheetViews>
  <sheetFormatPr defaultColWidth="7.75" defaultRowHeight="15"/>
  <cols>
    <col min="1" max="1" width="2.25" hidden="1" customWidth="1"/>
    <col min="2" max="2" width="2.25" customWidth="1"/>
    <col min="3" max="3" width="9.625" customWidth="1"/>
    <col min="4" max="4" width="14" customWidth="1"/>
    <col min="5" max="5" width="3.625" customWidth="1"/>
    <col min="6" max="6" width="18.25" hidden="1" customWidth="1"/>
    <col min="7" max="7" width="14.25" hidden="1" customWidth="1"/>
    <col min="8" max="8" width="6.375" hidden="1" customWidth="1"/>
    <col min="9" max="9" width="8.875" hidden="1" customWidth="1"/>
    <col min="10" max="11" width="9" hidden="1" customWidth="1"/>
    <col min="12" max="12" width="9.75" hidden="1" customWidth="1"/>
    <col min="13" max="13" width="11" customWidth="1"/>
    <col min="14" max="14" width="19.875" hidden="1" customWidth="1"/>
    <col min="15" max="15" width="11.5" customWidth="1"/>
    <col min="16" max="16" width="16" hidden="1" customWidth="1"/>
    <col min="17" max="17" width="9.25" hidden="1" customWidth="1"/>
    <col min="18" max="18" width="11.5" hidden="1" customWidth="1"/>
    <col min="19" max="19" width="17.625" hidden="1" customWidth="1"/>
    <col min="20" max="20" width="11.125" hidden="1" customWidth="1"/>
    <col min="21" max="21" width="15.875" hidden="1" customWidth="1"/>
    <col min="22" max="22" width="18.25" hidden="1" customWidth="1"/>
    <col min="23" max="23" width="19.75" hidden="1" customWidth="1"/>
    <col min="24" max="24" width="16.375" hidden="1" customWidth="1"/>
    <col min="25" max="30" width="2" hidden="1" customWidth="1"/>
    <col min="31" max="31" width="9.75" hidden="1" customWidth="1"/>
    <col min="32" max="32" width="8.25" hidden="1" customWidth="1"/>
    <col min="33" max="33" width="9.625" hidden="1" customWidth="1"/>
    <col min="34" max="34" width="2.5" hidden="1" customWidth="1"/>
    <col min="35" max="35" width="20.75" hidden="1" customWidth="1"/>
    <col min="36" max="36" width="17.25" customWidth="1"/>
    <col min="37" max="37" width="8.25" hidden="1" customWidth="1"/>
    <col min="38" max="38" width="12" hidden="1" customWidth="1"/>
    <col min="39" max="39" width="17.125" hidden="1" customWidth="1"/>
    <col min="40" max="40" width="12.25" hidden="1" customWidth="1"/>
    <col min="41" max="41" width="16.5" hidden="1" customWidth="1"/>
    <col min="42" max="42" width="16.875" customWidth="1"/>
    <col min="43" max="43" width="11.625" customWidth="1"/>
    <col min="44" max="44" width="21" customWidth="1"/>
    <col min="45" max="45" width="7.75" customWidth="1"/>
    <col min="46" max="46" width="19" customWidth="1"/>
    <col min="47" max="47" width="23.125" customWidth="1"/>
    <col min="48" max="48" width="15.75" customWidth="1"/>
    <col min="49" max="49" width="7.75" customWidth="1"/>
    <col min="50" max="50" width="18.125" customWidth="1"/>
    <col min="51" max="51" width="8.375" customWidth="1"/>
    <col min="52" max="52" width="7.75" customWidth="1"/>
    <col min="53" max="53" width="10.25" customWidth="1"/>
  </cols>
  <sheetData>
    <row r="1" spans="1:50" ht="21.75" hidden="1" customHeight="1">
      <c r="G1" s="1">
        <f>1/3-'الأجـــازة للوصايا'!CJ7</f>
        <v>0.33333333333333331</v>
      </c>
      <c r="H1" s="1">
        <f>R3</f>
        <v>1</v>
      </c>
      <c r="I1" s="1">
        <f>IF(SUM('الأجـــازة للوصايا'!K136:K147)=0,1,'الأجـــازة للوصايا'!CJ10)</f>
        <v>1</v>
      </c>
      <c r="J1" s="1">
        <f>IF(SUM('الأجـــازة للوصايا'!L136:L147)=0,1,'الأجـــازة للوصايا'!CK10)</f>
        <v>1</v>
      </c>
      <c r="K1" s="1">
        <f>IF(SUM('الأجـــازة للوصايا'!M136:M147)=0,1,'الأجـــازة للوصايا'!CL10)</f>
        <v>1</v>
      </c>
      <c r="L1" s="1">
        <f>IF(SUM('الأجـــازة للوصايا'!N136:N147)=0,1,'الأجـــازة للوصايا'!CM10)</f>
        <v>1</v>
      </c>
      <c r="R1">
        <f>MINVERSE(I1)</f>
        <v>1</v>
      </c>
      <c r="S1">
        <f>MINVERSE(J1)</f>
        <v>1</v>
      </c>
      <c r="T1">
        <f>MINVERSE(K1)</f>
        <v>1</v>
      </c>
      <c r="U1">
        <f>MINVERSE(L1)</f>
        <v>1</v>
      </c>
    </row>
    <row r="2" spans="1:50" ht="30" hidden="1" customHeight="1">
      <c r="G2" s="1">
        <f>1/3-'الأجـــازة للوصايا'!CK7</f>
        <v>0.33333333333333331</v>
      </c>
      <c r="H2" s="1">
        <f>S3</f>
        <v>1</v>
      </c>
      <c r="I2" s="1">
        <f xml:space="preserve"> R3*(S3/V5)</f>
        <v>1</v>
      </c>
      <c r="J2" s="1">
        <f>T3*R3/V5</f>
        <v>1</v>
      </c>
      <c r="K2" s="1">
        <f>R3*U3/V5</f>
        <v>1</v>
      </c>
      <c r="L2" s="1">
        <f>R3*V3/V5</f>
        <v>1</v>
      </c>
      <c r="R2" s="1">
        <f>IFERROR(R1,1)</f>
        <v>1</v>
      </c>
      <c r="S2" s="1">
        <f>IFERROR(S1,1)</f>
        <v>1</v>
      </c>
      <c r="T2" s="1">
        <f>IFERROR(T1,1)</f>
        <v>1</v>
      </c>
      <c r="U2" s="1">
        <f>IFERROR(U1,1)</f>
        <v>1</v>
      </c>
      <c r="V2" s="1" t="s">
        <v>114</v>
      </c>
      <c r="W2" s="1">
        <f>V4*U4*T4*S4*R4*R4</f>
        <v>1</v>
      </c>
      <c r="X2" s="536">
        <f xml:space="preserve"> W3</f>
        <v>1</v>
      </c>
    </row>
    <row r="3" spans="1:50" ht="27" hidden="1" customHeight="1" thickBot="1">
      <c r="G3" s="1">
        <f>1/3-'الأجـــازة للوصايا'!CL7</f>
        <v>0.33333333333333331</v>
      </c>
      <c r="I3" s="1">
        <f>IFERROR( 'الأجـــازة للوصايا'!CJ10,0)</f>
        <v>0</v>
      </c>
      <c r="J3" s="1">
        <f>IFERROR( 'الأجـــازة للوصايا'!CK10,0)</f>
        <v>0</v>
      </c>
      <c r="K3" s="1">
        <f>IFERROR( 'الأجـــازة للوصايا'!CL10,0)</f>
        <v>0</v>
      </c>
      <c r="L3" s="1">
        <f>IFERROR( 'الأجـــازة للوصايا'!CM10,0)</f>
        <v>0</v>
      </c>
      <c r="M3" s="478" t="b">
        <f>AND( 'الأجـــازة للوصايا'!CJ9&gt;='الأجـــازة للوصايا'!CJ10, 'الأجـــازة للوصايا'!CK9&gt;='الأجـــازة للوصايا'!CK10, 'الأجـــازة للوصايا'!CL9&gt;='الأجـــازة للوصايا'!CL10,'الأجـــازة للوصايا'!CM9&gt;='الأجـــازة للوصايا'!CM10)</f>
        <v>1</v>
      </c>
      <c r="N3" s="491" t="str">
        <f>IF('الأجـــازة للوصايا'!CJ7+'الأجـــازة للوصايا'!CK7+'الأجـــازة للوصايا'!CL7+'الأجـــازة للوصايا'!CM7&gt;1,"تجاوز الوصايا التركــــــــــــة","")</f>
        <v/>
      </c>
      <c r="O3" s="491"/>
      <c r="P3" s="1">
        <f>1/Q3</f>
        <v>4</v>
      </c>
      <c r="Q3" s="1">
        <f>S4/(S4+T4+U4+V4)</f>
        <v>0.25</v>
      </c>
      <c r="R3" s="1">
        <f>1/R4</f>
        <v>1</v>
      </c>
      <c r="S3" s="1">
        <f>1/S4</f>
        <v>1</v>
      </c>
      <c r="T3" s="1">
        <f>1/T4</f>
        <v>1</v>
      </c>
      <c r="U3" s="1">
        <f>1/U4</f>
        <v>1</v>
      </c>
      <c r="V3" s="1">
        <f>1/V4</f>
        <v>1</v>
      </c>
      <c r="W3" s="521">
        <f xml:space="preserve"> W4*W52*R4</f>
        <v>1</v>
      </c>
      <c r="X3" s="1">
        <f>V4*U4*T4*S4</f>
        <v>1</v>
      </c>
      <c r="Y3" s="1">
        <f>X3*W3</f>
        <v>1</v>
      </c>
    </row>
    <row r="4" spans="1:50" ht="59.25" hidden="1" customHeight="1">
      <c r="G4" s="1">
        <f>1/3-'الأجـــازة للوصايا'!CM7</f>
        <v>0.33333333333333331</v>
      </c>
      <c r="I4">
        <f>IF(SUM('الأجـــازة للوصايا'!K136:K147)&gt;0,3,1)</f>
        <v>1</v>
      </c>
      <c r="J4">
        <f>IF(SUM('الأجـــازة للوصايا'!L136:L147)&gt;0,3,1)</f>
        <v>1</v>
      </c>
      <c r="K4">
        <f>IF(SUM('الأجـــازة للوصايا'!M136:M147)&gt;0,3,1)</f>
        <v>1</v>
      </c>
      <c r="L4">
        <f>IF(SUM('الأجـــازة للوصايا'!N136:N147)&gt;0,3,1)</f>
        <v>1</v>
      </c>
      <c r="P4" s="1">
        <f>SUM(M12:M27)</f>
        <v>0</v>
      </c>
      <c r="Q4" s="1">
        <f>IFERROR(  AF9,1)</f>
        <v>3</v>
      </c>
      <c r="R4" s="485">
        <f>IF('الأجـــازة للوصايا'!CJ7+'الأجـــازة للوصايا'!CK7+'الأجـــازة للوصايا'!CL7+'الأجـــازة للوصايا'!CM7=0,1,Q4)</f>
        <v>1</v>
      </c>
      <c r="S4" s="485">
        <f>IFERROR(AG9,1)</f>
        <v>1</v>
      </c>
      <c r="T4" s="485">
        <f>IFERROR(AH9,1)</f>
        <v>1</v>
      </c>
      <c r="U4" s="485">
        <f>IFERROR(AI9,1)</f>
        <v>1</v>
      </c>
      <c r="V4" s="485">
        <f>IFERROR(AL7,1)</f>
        <v>1</v>
      </c>
      <c r="W4" s="1">
        <f>W8*W52</f>
        <v>1</v>
      </c>
      <c r="AB4" s="1">
        <f>P52*'الأجـــازة للوصايا'!CJ7/V5</f>
        <v>0</v>
      </c>
      <c r="AC4" s="1">
        <f>'الأجـــازة للوصايا'!CM10+'الأجـــازة للوصايا'!CL10+'الأجـــازة للوصايا'!CK10+'الأجـــازة للوصايا'!CJ10</f>
        <v>0</v>
      </c>
      <c r="AE4" s="13">
        <f xml:space="preserve"> AI52/(S4+AH52+AI52+AO8)</f>
        <v>0.25</v>
      </c>
      <c r="AF4" s="13"/>
      <c r="AG4" s="13"/>
      <c r="AH4" s="13"/>
      <c r="AI4" s="541"/>
      <c r="AJ4" s="478"/>
      <c r="AK4" s="478"/>
    </row>
    <row r="5" spans="1:50" ht="22.5" hidden="1" customHeight="1">
      <c r="P5" s="1" t="s">
        <v>114</v>
      </c>
      <c r="R5" s="309">
        <f>IF(S4&gt;1,1/S4,0)</f>
        <v>0</v>
      </c>
      <c r="S5" s="309">
        <f>IF(T4&gt;1,1/T4,0)</f>
        <v>0</v>
      </c>
      <c r="T5" s="309">
        <f>IF(U4&gt;1,1/U4,0)</f>
        <v>0</v>
      </c>
      <c r="U5" s="309">
        <f>IF(V4&gt;1,1/V4,0)</f>
        <v>0</v>
      </c>
      <c r="V5" s="1">
        <f>IFERROR(W5,1)</f>
        <v>1</v>
      </c>
      <c r="W5" s="1">
        <f>IF(U5+T5+S5+R5=0,1,U5+T5+S5+R5)</f>
        <v>1</v>
      </c>
      <c r="X5" s="1">
        <f>V4*U4*T4*S4</f>
        <v>1</v>
      </c>
      <c r="AC5" s="1" t="s">
        <v>114</v>
      </c>
      <c r="AE5" s="493">
        <f>AF52*AO8/(AG52+AH52+AI52+AO8)</f>
        <v>0.25</v>
      </c>
      <c r="AF5" s="493" t="s">
        <v>114</v>
      </c>
      <c r="AG5" s="493"/>
      <c r="AH5" s="493"/>
      <c r="AI5" s="542"/>
      <c r="AK5" s="478"/>
    </row>
    <row r="6" spans="1:50" ht="28.5" customHeight="1">
      <c r="A6" t="str">
        <f>IF( SUM('الأجـــازة للوصايا'!CJ7:CM7)+SUM('الأجـــازة للوصايا'!I136:I147)&lt;=2,"العملية صحيحة","خطأ راجع المسألة")</f>
        <v>العملية صحيحة</v>
      </c>
      <c r="F6" s="872">
        <f>SUM('الأجـــازة للوصايا'!CJ10:CM10)</f>
        <v>0</v>
      </c>
      <c r="P6" s="1"/>
      <c r="R6" s="309"/>
      <c r="S6" s="309"/>
      <c r="T6" s="309"/>
      <c r="U6" s="309"/>
      <c r="V6" s="1"/>
      <c r="W6" s="1"/>
      <c r="X6" s="1"/>
      <c r="AC6" s="1"/>
      <c r="AE6" s="564"/>
      <c r="AF6" s="564"/>
      <c r="AG6" s="564"/>
      <c r="AH6" s="564"/>
      <c r="AI6" s="565"/>
      <c r="AK6" s="478"/>
    </row>
    <row r="7" spans="1:50" ht="27.75" customHeight="1" thickBot="1">
      <c r="A7" s="1" t="str">
        <f>IF(F6=1/3,"الورثة أجازو الثلث",A6)</f>
        <v>العملية صحيحة</v>
      </c>
      <c r="B7" s="1"/>
      <c r="C7" s="1377" t="s">
        <v>69</v>
      </c>
      <c r="D7" s="1398" t="e">
        <f>'ورقة أجازة وعدم الأجازة للمختصن'!C7</f>
        <v>#DIV/0!</v>
      </c>
      <c r="E7" s="697"/>
      <c r="M7" s="697"/>
      <c r="N7" s="697"/>
      <c r="O7" s="697"/>
      <c r="P7" s="697"/>
      <c r="Q7" s="697"/>
      <c r="R7" s="697"/>
      <c r="S7" s="697"/>
      <c r="T7" s="697"/>
      <c r="U7" s="697"/>
      <c r="V7" s="697"/>
      <c r="W7" s="697"/>
      <c r="X7" s="697"/>
      <c r="Y7" s="697"/>
      <c r="Z7" s="697"/>
      <c r="AA7" s="697"/>
      <c r="AB7" s="697"/>
      <c r="AC7" s="697"/>
      <c r="AD7" s="697"/>
      <c r="AE7" s="697"/>
      <c r="AF7" s="697"/>
      <c r="AG7" s="697"/>
      <c r="AH7" s="697"/>
      <c r="AI7" s="697"/>
      <c r="AJ7" s="697"/>
      <c r="AK7" s="478" t="s">
        <v>114</v>
      </c>
      <c r="AL7" s="540" t="e">
        <f>MINVERSE(  'الأجـــازة للوصايا'!CM7)</f>
        <v>#NUM!</v>
      </c>
      <c r="AM7" s="28"/>
      <c r="AN7" s="28"/>
      <c r="AO7" s="478"/>
      <c r="AP7" s="28"/>
      <c r="AQ7" s="28"/>
      <c r="AR7" s="28"/>
      <c r="AS7" s="28"/>
      <c r="AT7" s="28"/>
      <c r="AU7" s="28"/>
      <c r="AV7" s="28"/>
      <c r="AW7" s="28"/>
      <c r="AX7" s="28"/>
    </row>
    <row r="8" spans="1:50" ht="27.75" customHeight="1" thickTop="1" thickBot="1">
      <c r="C8" s="1378"/>
      <c r="D8" s="1399"/>
      <c r="E8" s="697"/>
      <c r="M8" s="697"/>
      <c r="N8" s="697"/>
      <c r="O8" s="697"/>
      <c r="P8" s="697"/>
      <c r="Q8" s="701" t="s">
        <v>114</v>
      </c>
      <c r="R8" s="702">
        <f>IF(O48*O49=0,1,O48*O49)</f>
        <v>1</v>
      </c>
      <c r="S8" s="702" t="s">
        <v>114</v>
      </c>
      <c r="T8" s="702" t="s">
        <v>114</v>
      </c>
      <c r="U8" s="702">
        <f>W3/W52</f>
        <v>1</v>
      </c>
      <c r="V8" s="702">
        <f>IFERROR(W3/W4,1)</f>
        <v>1</v>
      </c>
      <c r="W8" s="703">
        <f>V5*W52</f>
        <v>1</v>
      </c>
      <c r="X8" s="702">
        <f>V3*U3*T3*S3</f>
        <v>1</v>
      </c>
      <c r="Y8" s="701"/>
      <c r="Z8" s="701"/>
      <c r="AA8" s="701"/>
      <c r="AB8" s="701"/>
      <c r="AC8" s="701"/>
      <c r="AD8" s="701"/>
      <c r="AE8" s="707">
        <f>IF(P52=0,1,P52)</f>
        <v>0.33333333333333331</v>
      </c>
      <c r="AF8" s="701"/>
      <c r="AG8" s="701"/>
      <c r="AH8" s="701"/>
      <c r="AI8" s="701"/>
      <c r="AJ8" s="697"/>
      <c r="AK8" s="550"/>
      <c r="AL8" s="28"/>
      <c r="AM8" s="28"/>
      <c r="AN8" s="28"/>
      <c r="AO8" s="478">
        <f>ROUNDDOWN(V4,0)</f>
        <v>1</v>
      </c>
      <c r="AP8" s="28"/>
      <c r="AQ8" s="28"/>
      <c r="AR8" s="28"/>
      <c r="AS8" s="28"/>
      <c r="AT8" s="28"/>
      <c r="AU8" s="28"/>
      <c r="AV8" s="28"/>
      <c r="AW8" s="28"/>
      <c r="AX8" s="28"/>
    </row>
    <row r="9" spans="1:50" ht="27.75" customHeight="1" thickTop="1" thickBot="1">
      <c r="C9" s="793" t="s">
        <v>744</v>
      </c>
      <c r="D9" s="794">
        <f>S29</f>
        <v>0</v>
      </c>
      <c r="E9" s="697"/>
      <c r="M9" s="697"/>
      <c r="N9" s="697"/>
      <c r="O9" s="697"/>
      <c r="P9" s="697"/>
      <c r="Q9" s="708" t="s">
        <v>114</v>
      </c>
      <c r="R9" s="708">
        <f>IF(O48=0,1,O48)</f>
        <v>1</v>
      </c>
      <c r="S9" s="709">
        <f>S4*R4</f>
        <v>1</v>
      </c>
      <c r="T9" s="709">
        <f>T4*R4</f>
        <v>1</v>
      </c>
      <c r="U9" s="710">
        <f>U4*R4</f>
        <v>1</v>
      </c>
      <c r="V9" s="709">
        <f>V4*R4</f>
        <v>1</v>
      </c>
      <c r="W9" s="709">
        <f>R3*S3/V5</f>
        <v>1</v>
      </c>
      <c r="X9" s="711">
        <f>1/X8</f>
        <v>1</v>
      </c>
      <c r="Y9" s="795"/>
      <c r="Z9" s="708"/>
      <c r="AA9" s="708"/>
      <c r="AB9" s="708"/>
      <c r="AC9" s="708"/>
      <c r="AD9" s="708"/>
      <c r="AE9" s="712" t="s">
        <v>114</v>
      </c>
      <c r="AF9" s="713">
        <f>MINVERSE( AE8)</f>
        <v>3</v>
      </c>
      <c r="AG9" s="713" t="e">
        <f>MINVERSE('الأجـــازة للوصايا'!CJ7)</f>
        <v>#NUM!</v>
      </c>
      <c r="AH9" s="713" t="e">
        <f>MINVERSE( 'الأجـــازة للوصايا'!CK7)</f>
        <v>#NUM!</v>
      </c>
      <c r="AI9" s="714" t="e">
        <f>MINVERSE(  'الأجـــازة للوصايا'!CL7)</f>
        <v>#NUM!</v>
      </c>
      <c r="AJ9" s="796" t="s">
        <v>747</v>
      </c>
      <c r="AK9" s="538"/>
      <c r="AN9" s="28"/>
      <c r="AO9" s="545"/>
      <c r="AP9" s="28"/>
      <c r="AQ9" s="28"/>
      <c r="AR9" s="28"/>
      <c r="AS9" s="28"/>
      <c r="AT9" s="28"/>
      <c r="AU9" s="28"/>
      <c r="AV9" s="28"/>
      <c r="AW9" s="28"/>
    </row>
    <row r="10" spans="1:50" ht="27.75" customHeight="1" thickTop="1" thickBot="1">
      <c r="C10" s="793" t="s">
        <v>755</v>
      </c>
      <c r="D10" s="794">
        <f>VLOOKUP('الأجـــازة للوصايا'!H136,'ورقة أجازة وعدم الأجازة للمختصن'!E12:F23,2,FALSE)</f>
        <v>0</v>
      </c>
      <c r="E10" s="697"/>
      <c r="M10" s="697"/>
      <c r="N10" s="697"/>
      <c r="O10" s="697"/>
      <c r="P10" s="697"/>
      <c r="Q10" s="708"/>
      <c r="R10" s="708">
        <f>IF(O49=0,1,O49)</f>
        <v>1</v>
      </c>
      <c r="S10" s="708"/>
      <c r="T10" s="708"/>
      <c r="U10" s="708"/>
      <c r="V10" s="709">
        <f>V9*U9*T9*S9</f>
        <v>1</v>
      </c>
      <c r="W10" s="709" t="s">
        <v>114</v>
      </c>
      <c r="X10" s="709">
        <f>V10/389</f>
        <v>2.5706940874035988E-3</v>
      </c>
      <c r="Y10" s="709" t="s">
        <v>114</v>
      </c>
      <c r="Z10" s="709"/>
      <c r="AA10" s="709"/>
      <c r="AB10" s="709"/>
      <c r="AC10" s="709"/>
      <c r="AD10" s="709"/>
      <c r="AE10" s="709"/>
      <c r="AF10" s="709"/>
      <c r="AG10" s="709"/>
      <c r="AH10" s="709" t="s">
        <v>114</v>
      </c>
      <c r="AI10" s="709" t="s">
        <v>114</v>
      </c>
      <c r="AJ10" s="866">
        <f>'ورقة أجازة وعدم الأجازة للمختصن'!AL11</f>
        <v>100</v>
      </c>
      <c r="AK10" s="28"/>
      <c r="AL10" s="478">
        <f>U5</f>
        <v>0</v>
      </c>
      <c r="AN10" s="478" t="s">
        <v>114</v>
      </c>
      <c r="AO10" s="540" t="e">
        <f>MINVERSE(  'الأجـــازة للوصايا'!CM7)</f>
        <v>#NUM!</v>
      </c>
      <c r="AP10" s="28"/>
      <c r="AQ10" s="28"/>
      <c r="AR10" s="28"/>
      <c r="AS10" s="28"/>
      <c r="AT10" s="28"/>
      <c r="AU10" s="28"/>
      <c r="AV10" s="28"/>
      <c r="AW10" s="28"/>
    </row>
    <row r="11" spans="1:50" ht="34.5" customHeight="1" thickTop="1" thickBot="1">
      <c r="C11" s="1396">
        <f>'الأجـــازة للوصايا'!H136</f>
        <v>0</v>
      </c>
      <c r="D11" s="1397"/>
      <c r="E11" s="698"/>
      <c r="M11" s="797" t="s">
        <v>739</v>
      </c>
      <c r="N11" s="676"/>
      <c r="O11" s="798" t="s">
        <v>540</v>
      </c>
      <c r="P11" s="799" t="s">
        <v>753</v>
      </c>
      <c r="Q11" s="800" t="s">
        <v>137</v>
      </c>
      <c r="R11" s="801"/>
      <c r="S11" s="802" t="s">
        <v>734</v>
      </c>
      <c r="T11" s="801" t="s">
        <v>733</v>
      </c>
      <c r="U11" s="801" t="s">
        <v>733</v>
      </c>
      <c r="V11" s="803"/>
      <c r="W11" s="804"/>
      <c r="X11" s="708"/>
      <c r="Y11" s="709"/>
      <c r="Z11" s="709"/>
      <c r="AA11" s="709"/>
      <c r="AB11" s="709"/>
      <c r="AC11" s="709"/>
      <c r="AD11" s="709"/>
      <c r="AE11" s="709"/>
      <c r="AF11" s="709"/>
      <c r="AG11" s="709"/>
      <c r="AH11" s="708"/>
      <c r="AI11" s="805">
        <f>'أدخال البيانات'!$R$8* X2</f>
        <v>0</v>
      </c>
      <c r="AJ11" s="866"/>
    </row>
    <row r="12" spans="1:50" ht="18.75" customHeight="1" thickTop="1" thickBot="1">
      <c r="C12" s="1295" t="str">
        <f>IF(SUM('الأجـــازة للوصايا'!K136:N147) &gt;0,"بعض الورثة أجازو الوصايا",A7)</f>
        <v>العملية صحيحة</v>
      </c>
      <c r="D12" s="1296"/>
      <c r="E12" s="697"/>
      <c r="M12" s="806">
        <f t="shared" ref="M12:M23" si="0">IF(X12&lt;0,"الوارث لم يبقى له شىء",X12)</f>
        <v>0</v>
      </c>
      <c r="N12" s="807" t="e">
        <f t="shared" ref="N12:N27" si="1">AK12*M12/S29</f>
        <v>#DIV/0!</v>
      </c>
      <c r="O12" s="807" t="e">
        <f>'ورقة أجازة وعدم الأجازة للمختصن'!BA124</f>
        <v>#DIV/0!</v>
      </c>
      <c r="P12" s="808" t="e">
        <f t="shared" ref="P12:P27" si="2">S12/T12</f>
        <v>#DIV/0!</v>
      </c>
      <c r="Q12" s="809">
        <f>IF('الأجـــازة للوصايا'!I136&gt;0,'الأجـــازة للوصايا'!I136,0)</f>
        <v>0</v>
      </c>
      <c r="R12" s="809" t="e">
        <f t="shared" ref="R12:R27" si="3">P12</f>
        <v>#DIV/0!</v>
      </c>
      <c r="S12" s="807">
        <f t="shared" ref="S12:S27" si="4">ROUNDDOWN(M12*AK12,0)</f>
        <v>0</v>
      </c>
      <c r="T12" s="807">
        <f t="shared" ref="T12:T27" si="5">$S$29</f>
        <v>0</v>
      </c>
      <c r="U12" s="702">
        <f t="shared" ref="U12:U27" si="6" xml:space="preserve"> AK12*M12</f>
        <v>0</v>
      </c>
      <c r="V12" s="807">
        <f t="shared" ref="V12:V27" si="7">W12*M12</f>
        <v>0</v>
      </c>
      <c r="W12" s="810">
        <f>AI11</f>
        <v>0</v>
      </c>
      <c r="X12" s="807">
        <f>IFERROR( ( (('الأجـــازة للوصايا'!I136-(( (AC12+AG12) +(AB12+AF12) +(AA12+AE12) +(Z12+AD12)  ))*'الأجـــازة للوصايا'!I136))),0)</f>
        <v>0</v>
      </c>
      <c r="Y12" s="810" t="str">
        <f>V32</f>
        <v xml:space="preserve"> </v>
      </c>
      <c r="Z12" s="811">
        <f>IF('الأجـــازة للوصايا'!K136=1, 'الأجـــازة للوصايا'!CJ9,0)</f>
        <v>0</v>
      </c>
      <c r="AA12" s="811">
        <f>IF('الأجـــازة للوصايا'!L136=1, 'الأجـــازة للوصايا'!CK9,0)</f>
        <v>0</v>
      </c>
      <c r="AB12" s="811">
        <f>IF('الأجـــازة للوصايا'!M136=1, 'الأجـــازة للوصايا'!CL9,0)</f>
        <v>0</v>
      </c>
      <c r="AC12" s="811">
        <f>IF('الأجـــازة للوصايا'!N136=1, 'الأجـــازة للوصايا'!CM9,0)</f>
        <v>0</v>
      </c>
      <c r="AD12" s="811">
        <f>IF('الأجـــازة للوصايا'!K136=0,'الأجـــازة للوصايا'!CJ10,0)</f>
        <v>0</v>
      </c>
      <c r="AE12" s="811">
        <f>IF('الأجـــازة للوصايا'!L136=0,'الأجـــازة للوصايا'!CK10,0)</f>
        <v>0</v>
      </c>
      <c r="AF12" s="811">
        <f>IF('الأجـــازة للوصايا'!M136=0,'الأجـــازة للوصايا'!CL10,0)</f>
        <v>0</v>
      </c>
      <c r="AG12" s="811">
        <f>IF('الأجـــازة للوصايا'!N136=0,'الأجـــازة للوصايا'!CM10,0)</f>
        <v>0</v>
      </c>
      <c r="AH12" s="810"/>
      <c r="AI12" s="812"/>
      <c r="AJ12" s="866">
        <f t="shared" ref="AJ12:AJ27" si="8">AL12*M12</f>
        <v>0</v>
      </c>
      <c r="AK12" s="293">
        <f>$AK$13</f>
        <v>0</v>
      </c>
      <c r="AL12" s="293">
        <f t="shared" ref="AL12:AL27" si="9">$AJ$10</f>
        <v>100</v>
      </c>
      <c r="AM12" s="1" t="e">
        <f t="shared" ref="AM12:AM27" si="10">P12</f>
        <v>#DIV/0!</v>
      </c>
    </row>
    <row r="13" spans="1:50" ht="18.75" customHeight="1" thickTop="1" thickBot="1">
      <c r="C13" s="1297"/>
      <c r="D13" s="1298"/>
      <c r="E13" s="697"/>
      <c r="M13" s="813">
        <f t="shared" si="0"/>
        <v>0</v>
      </c>
      <c r="N13" s="814" t="e">
        <f t="shared" si="1"/>
        <v>#DIV/0!</v>
      </c>
      <c r="O13" s="814" t="e">
        <f>'ورقة أجازة وعدم الأجازة للمختصن'!BA125</f>
        <v>#DIV/0!</v>
      </c>
      <c r="P13" s="815" t="e">
        <f t="shared" si="2"/>
        <v>#DIV/0!</v>
      </c>
      <c r="Q13" s="816">
        <f>IF('الأجـــازة للوصايا'!I137&gt;0,'الأجـــازة للوصايا'!I137,0)</f>
        <v>0</v>
      </c>
      <c r="R13" s="816" t="e">
        <f t="shared" si="3"/>
        <v>#DIV/0!</v>
      </c>
      <c r="S13" s="814">
        <f t="shared" si="4"/>
        <v>0</v>
      </c>
      <c r="T13" s="814">
        <f t="shared" si="5"/>
        <v>0</v>
      </c>
      <c r="U13" s="709">
        <f t="shared" si="6"/>
        <v>0</v>
      </c>
      <c r="V13" s="814">
        <f t="shared" si="7"/>
        <v>0</v>
      </c>
      <c r="W13" s="817">
        <f t="shared" ref="W13:W27" si="11">$W$12</f>
        <v>0</v>
      </c>
      <c r="X13" s="814">
        <f>IFERROR( ( (('الأجـــازة للوصايا'!I137-(( (AC13+AG13) +(AB13+AF13) +(AA13+AE13) +(Z13+AD13)  ))*'الأجـــازة للوصايا'!I137))),0)</f>
        <v>0</v>
      </c>
      <c r="Y13" s="817">
        <f t="shared" ref="Y13:Y27" si="12">V33</f>
        <v>0</v>
      </c>
      <c r="Z13" s="818">
        <f>IF('الأجـــازة للوصايا'!K137=1, 'الأجـــازة للوصايا'!CJ9,0)</f>
        <v>0</v>
      </c>
      <c r="AA13" s="818">
        <f>IF('الأجـــازة للوصايا'!L137=1, 'الأجـــازة للوصايا'!CK9,0)</f>
        <v>0</v>
      </c>
      <c r="AB13" s="818">
        <f>IF('الأجـــازة للوصايا'!M137=1, 'الأجـــازة للوصايا'!CL9,0)</f>
        <v>0</v>
      </c>
      <c r="AC13" s="818">
        <f>IF('الأجـــازة للوصايا'!N137=1, 'الأجـــازة للوصايا'!CM9,0)</f>
        <v>0</v>
      </c>
      <c r="AD13" s="818">
        <f>IF('الأجـــازة للوصايا'!K137=0,'الأجـــازة للوصايا'!CJ10,0)</f>
        <v>0</v>
      </c>
      <c r="AE13" s="818">
        <f>IF('الأجـــازة للوصايا'!L137=0,'الأجـــازة للوصايا'!CK10,0)</f>
        <v>0</v>
      </c>
      <c r="AF13" s="818">
        <f>IF('الأجـــازة للوصايا'!M137=0,'الأجـــازة للوصايا'!CL10,0)</f>
        <v>0</v>
      </c>
      <c r="AG13" s="818">
        <f>IF('الأجـــازة للوصايا'!N137=0,'الأجـــازة للوصايا'!CM10,0)</f>
        <v>0</v>
      </c>
      <c r="AH13" s="817"/>
      <c r="AI13" s="819"/>
      <c r="AJ13" s="866">
        <f t="shared" si="8"/>
        <v>0</v>
      </c>
      <c r="AK13" s="293">
        <f t="shared" ref="AK13:AK27" si="13">$AI$11</f>
        <v>0</v>
      </c>
      <c r="AL13" s="293">
        <f t="shared" si="9"/>
        <v>100</v>
      </c>
      <c r="AM13" s="1" t="e">
        <f t="shared" si="10"/>
        <v>#DIV/0!</v>
      </c>
    </row>
    <row r="14" spans="1:50" ht="18.75" customHeight="1" thickTop="1" thickBot="1">
      <c r="C14" s="1297"/>
      <c r="D14" s="1298"/>
      <c r="E14" s="697"/>
      <c r="M14" s="813">
        <f t="shared" si="0"/>
        <v>0</v>
      </c>
      <c r="N14" s="814" t="e">
        <f t="shared" si="1"/>
        <v>#DIV/0!</v>
      </c>
      <c r="O14" s="814" t="e">
        <f>'ورقة أجازة وعدم الأجازة للمختصن'!BA126</f>
        <v>#DIV/0!</v>
      </c>
      <c r="P14" s="815" t="e">
        <f t="shared" si="2"/>
        <v>#DIV/0!</v>
      </c>
      <c r="Q14" s="816">
        <f>IF('الأجـــازة للوصايا'!I138&gt;0,'الأجـــازة للوصايا'!I138,0)</f>
        <v>0</v>
      </c>
      <c r="R14" s="816" t="e">
        <f t="shared" si="3"/>
        <v>#DIV/0!</v>
      </c>
      <c r="S14" s="814">
        <f t="shared" si="4"/>
        <v>0</v>
      </c>
      <c r="T14" s="814">
        <f t="shared" si="5"/>
        <v>0</v>
      </c>
      <c r="U14" s="709">
        <f t="shared" si="6"/>
        <v>0</v>
      </c>
      <c r="V14" s="814">
        <f t="shared" si="7"/>
        <v>0</v>
      </c>
      <c r="W14" s="817">
        <f t="shared" si="11"/>
        <v>0</v>
      </c>
      <c r="X14" s="814">
        <f>IFERROR( ( (('الأجـــازة للوصايا'!I138-(( (AC14+AG14) +(AB14+AF14) +(AA14+AE14) +(Z14+AD14)  ))*'الأجـــازة للوصايا'!I138))),0)</f>
        <v>0</v>
      </c>
      <c r="Y14" s="817">
        <f t="shared" si="12"/>
        <v>0</v>
      </c>
      <c r="Z14" s="818">
        <f>IF('الأجـــازة للوصايا'!K138=1, 'الأجـــازة للوصايا'!CJ9,0)</f>
        <v>0</v>
      </c>
      <c r="AA14" s="818">
        <f>IF('الأجـــازة للوصايا'!L138=1, 'الأجـــازة للوصايا'!CK9,0)</f>
        <v>0</v>
      </c>
      <c r="AB14" s="818">
        <f>IF('الأجـــازة للوصايا'!M138=1, 'الأجـــازة للوصايا'!CL9,0)</f>
        <v>0</v>
      </c>
      <c r="AC14" s="818">
        <f>IF('الأجـــازة للوصايا'!N138=1, 'الأجـــازة للوصايا'!CM9,0)</f>
        <v>0</v>
      </c>
      <c r="AD14" s="818">
        <f>IF('الأجـــازة للوصايا'!K138=0,'الأجـــازة للوصايا'!CJ10,0)</f>
        <v>0</v>
      </c>
      <c r="AE14" s="818">
        <f>IF('الأجـــازة للوصايا'!L138=0,'الأجـــازة للوصايا'!CK10,0)</f>
        <v>0</v>
      </c>
      <c r="AF14" s="818">
        <f>IF('الأجـــازة للوصايا'!M138=0,'الأجـــازة للوصايا'!CL10,0)</f>
        <v>0</v>
      </c>
      <c r="AG14" s="818">
        <f>IF('الأجـــازة للوصايا'!N138=0,'الأجـــازة للوصايا'!CM10,0)</f>
        <v>0</v>
      </c>
      <c r="AH14" s="817"/>
      <c r="AI14" s="819"/>
      <c r="AJ14" s="866">
        <f t="shared" si="8"/>
        <v>0</v>
      </c>
      <c r="AK14" s="293">
        <f t="shared" si="13"/>
        <v>0</v>
      </c>
      <c r="AL14" s="293">
        <f t="shared" si="9"/>
        <v>100</v>
      </c>
      <c r="AM14" s="1" t="e">
        <f t="shared" si="10"/>
        <v>#DIV/0!</v>
      </c>
    </row>
    <row r="15" spans="1:50" ht="18.75" customHeight="1" thickTop="1" thickBot="1">
      <c r="C15" s="1297"/>
      <c r="D15" s="1298"/>
      <c r="E15" s="697"/>
      <c r="M15" s="813">
        <f t="shared" si="0"/>
        <v>0</v>
      </c>
      <c r="N15" s="814" t="e">
        <f t="shared" si="1"/>
        <v>#DIV/0!</v>
      </c>
      <c r="O15" s="814" t="e">
        <f>'ورقة أجازة وعدم الأجازة للمختصن'!BA127</f>
        <v>#DIV/0!</v>
      </c>
      <c r="P15" s="815" t="e">
        <f t="shared" si="2"/>
        <v>#DIV/0!</v>
      </c>
      <c r="Q15" s="816">
        <f>IF('الأجـــازة للوصايا'!I139&gt;0,'الأجـــازة للوصايا'!I139,0)</f>
        <v>0</v>
      </c>
      <c r="R15" s="816" t="e">
        <f t="shared" si="3"/>
        <v>#DIV/0!</v>
      </c>
      <c r="S15" s="814">
        <f t="shared" si="4"/>
        <v>0</v>
      </c>
      <c r="T15" s="814">
        <f t="shared" si="5"/>
        <v>0</v>
      </c>
      <c r="U15" s="709">
        <f t="shared" si="6"/>
        <v>0</v>
      </c>
      <c r="V15" s="814">
        <f t="shared" si="7"/>
        <v>0</v>
      </c>
      <c r="W15" s="817">
        <f t="shared" si="11"/>
        <v>0</v>
      </c>
      <c r="X15" s="814">
        <f>IFERROR( ( (('الأجـــازة للوصايا'!I139-(( (AC15+AG15) +(AB15+AF15) +(AA15+AE15) +(Z15+AD15)  ))*'الأجـــازة للوصايا'!I139))),0)</f>
        <v>0</v>
      </c>
      <c r="Y15" s="817">
        <f t="shared" si="12"/>
        <v>0</v>
      </c>
      <c r="Z15" s="818">
        <f>IF('الأجـــازة للوصايا'!K139=1, 'الأجـــازة للوصايا'!CJ9,0)</f>
        <v>0</v>
      </c>
      <c r="AA15" s="818">
        <f>IF('الأجـــازة للوصايا'!L139=1, 'الأجـــازة للوصايا'!CK9,0)</f>
        <v>0</v>
      </c>
      <c r="AB15" s="818">
        <f>IF('الأجـــازة للوصايا'!M139=1, 'الأجـــازة للوصايا'!CL9,0)</f>
        <v>0</v>
      </c>
      <c r="AC15" s="818">
        <f>IF('الأجـــازة للوصايا'!N139=1, 'الأجـــازة للوصايا'!CM9,0)</f>
        <v>0</v>
      </c>
      <c r="AD15" s="818">
        <f>IF('الأجـــازة للوصايا'!K139=0,'الأجـــازة للوصايا'!CJ10,0)</f>
        <v>0</v>
      </c>
      <c r="AE15" s="818">
        <f>IF('الأجـــازة للوصايا'!L139=0,'الأجـــازة للوصايا'!CK10,0)</f>
        <v>0</v>
      </c>
      <c r="AF15" s="818">
        <f>IF('الأجـــازة للوصايا'!M139=0,'الأجـــازة للوصايا'!CL10,0)</f>
        <v>0</v>
      </c>
      <c r="AG15" s="818">
        <f>IF('الأجـــازة للوصايا'!N139=0,'الأجـــازة للوصايا'!CM10,0)</f>
        <v>0</v>
      </c>
      <c r="AH15" s="817"/>
      <c r="AI15" s="819"/>
      <c r="AJ15" s="866">
        <f t="shared" si="8"/>
        <v>0</v>
      </c>
      <c r="AK15" s="293">
        <f t="shared" si="13"/>
        <v>0</v>
      </c>
      <c r="AL15" s="293">
        <f t="shared" si="9"/>
        <v>100</v>
      </c>
      <c r="AM15" s="1" t="e">
        <f t="shared" si="10"/>
        <v>#DIV/0!</v>
      </c>
    </row>
    <row r="16" spans="1:50" ht="18.75" customHeight="1" thickTop="1" thickBot="1">
      <c r="C16" s="1297"/>
      <c r="D16" s="1298"/>
      <c r="E16" s="697"/>
      <c r="M16" s="813">
        <f t="shared" si="0"/>
        <v>0</v>
      </c>
      <c r="N16" s="814" t="e">
        <f t="shared" si="1"/>
        <v>#DIV/0!</v>
      </c>
      <c r="O16" s="814" t="e">
        <f>'ورقة أجازة وعدم الأجازة للمختصن'!BA128</f>
        <v>#DIV/0!</v>
      </c>
      <c r="P16" s="815" t="e">
        <f t="shared" si="2"/>
        <v>#DIV/0!</v>
      </c>
      <c r="Q16" s="816">
        <f>IF('الأجـــازة للوصايا'!I140&gt;0,'الأجـــازة للوصايا'!I140,0)</f>
        <v>0</v>
      </c>
      <c r="R16" s="816" t="e">
        <f t="shared" si="3"/>
        <v>#DIV/0!</v>
      </c>
      <c r="S16" s="814">
        <f t="shared" si="4"/>
        <v>0</v>
      </c>
      <c r="T16" s="814">
        <f t="shared" si="5"/>
        <v>0</v>
      </c>
      <c r="U16" s="709">
        <f t="shared" si="6"/>
        <v>0</v>
      </c>
      <c r="V16" s="814">
        <f t="shared" si="7"/>
        <v>0</v>
      </c>
      <c r="W16" s="817">
        <f t="shared" si="11"/>
        <v>0</v>
      </c>
      <c r="X16" s="814">
        <f>IFERROR( ( (('الأجـــازة للوصايا'!I140-(( (AC16+AG16) +(AB16+AF16) +(AA16+AE16) +(Z16+AD16)  ))*'الأجـــازة للوصايا'!I140))),0)</f>
        <v>0</v>
      </c>
      <c r="Y16" s="817">
        <f t="shared" si="12"/>
        <v>0</v>
      </c>
      <c r="Z16" s="818">
        <f>IF('الأجـــازة للوصايا'!K140=1, 'الأجـــازة للوصايا'!CJ9,0)</f>
        <v>0</v>
      </c>
      <c r="AA16" s="818">
        <f>IF('الأجـــازة للوصايا'!L140=1, 'الأجـــازة للوصايا'!CK9,0)</f>
        <v>0</v>
      </c>
      <c r="AB16" s="818">
        <f>IF('الأجـــازة للوصايا'!M140=1, 'الأجـــازة للوصايا'!CL9,0)</f>
        <v>0</v>
      </c>
      <c r="AC16" s="818">
        <f>IF('الأجـــازة للوصايا'!N140=1, 'الأجـــازة للوصايا'!CM9,0)</f>
        <v>0</v>
      </c>
      <c r="AD16" s="818">
        <f>IF('الأجـــازة للوصايا'!K140=0,'الأجـــازة للوصايا'!CJ10,0)</f>
        <v>0</v>
      </c>
      <c r="AE16" s="818">
        <f>IF('الأجـــازة للوصايا'!L140=0,'الأجـــازة للوصايا'!CK10,0)</f>
        <v>0</v>
      </c>
      <c r="AF16" s="818">
        <f>IF('الأجـــازة للوصايا'!M140=0,'الأجـــازة للوصايا'!CL10,0)</f>
        <v>0</v>
      </c>
      <c r="AG16" s="818">
        <f>IF('الأجـــازة للوصايا'!N140=0,'الأجـــازة للوصايا'!CM10,0)</f>
        <v>0</v>
      </c>
      <c r="AH16" s="817"/>
      <c r="AI16" s="819"/>
      <c r="AJ16" s="866">
        <f t="shared" si="8"/>
        <v>0</v>
      </c>
      <c r="AK16" s="293">
        <f t="shared" si="13"/>
        <v>0</v>
      </c>
      <c r="AL16" s="293">
        <f t="shared" si="9"/>
        <v>100</v>
      </c>
      <c r="AM16" s="1" t="e">
        <f t="shared" si="10"/>
        <v>#DIV/0!</v>
      </c>
    </row>
    <row r="17" spans="3:44" ht="18.75" customHeight="1" thickTop="1" thickBot="1">
      <c r="C17" s="1297"/>
      <c r="D17" s="1298"/>
      <c r="E17" s="697"/>
      <c r="M17" s="813">
        <f t="shared" si="0"/>
        <v>0</v>
      </c>
      <c r="N17" s="814" t="e">
        <f t="shared" si="1"/>
        <v>#DIV/0!</v>
      </c>
      <c r="O17" s="814" t="e">
        <f>'ورقة أجازة وعدم الأجازة للمختصن'!BA129</f>
        <v>#DIV/0!</v>
      </c>
      <c r="P17" s="815" t="e">
        <f t="shared" si="2"/>
        <v>#DIV/0!</v>
      </c>
      <c r="Q17" s="816">
        <f>IF('الأجـــازة للوصايا'!I141&gt;0,'الأجـــازة للوصايا'!I141,0)</f>
        <v>0</v>
      </c>
      <c r="R17" s="816" t="e">
        <f t="shared" si="3"/>
        <v>#DIV/0!</v>
      </c>
      <c r="S17" s="814">
        <f t="shared" si="4"/>
        <v>0</v>
      </c>
      <c r="T17" s="814">
        <f t="shared" si="5"/>
        <v>0</v>
      </c>
      <c r="U17" s="709">
        <f t="shared" si="6"/>
        <v>0</v>
      </c>
      <c r="V17" s="814">
        <f t="shared" si="7"/>
        <v>0</v>
      </c>
      <c r="W17" s="817">
        <f t="shared" si="11"/>
        <v>0</v>
      </c>
      <c r="X17" s="814">
        <f>IFERROR( ( (('الأجـــازة للوصايا'!I141-(( (AC17+AG17) +(AB17+AF17) +(AA17+AE17) +(Z17+AD17)  ))*'الأجـــازة للوصايا'!I141))),0)</f>
        <v>0</v>
      </c>
      <c r="Y17" s="817">
        <f t="shared" si="12"/>
        <v>0</v>
      </c>
      <c r="Z17" s="818">
        <f>IF('الأجـــازة للوصايا'!K141=1, 'الأجـــازة للوصايا'!CJ9,0)</f>
        <v>0</v>
      </c>
      <c r="AA17" s="818">
        <f>IF('الأجـــازة للوصايا'!L141=1, 'الأجـــازة للوصايا'!CK9,0)</f>
        <v>0</v>
      </c>
      <c r="AB17" s="818">
        <f>IF('الأجـــازة للوصايا'!M141=1, 'الأجـــازة للوصايا'!CL9,0)</f>
        <v>0</v>
      </c>
      <c r="AC17" s="818">
        <f>IF('الأجـــازة للوصايا'!N141=1, 'الأجـــازة للوصايا'!CM9,0)</f>
        <v>0</v>
      </c>
      <c r="AD17" s="818">
        <f>IF('الأجـــازة للوصايا'!K141=0,'الأجـــازة للوصايا'!CJ10,0)</f>
        <v>0</v>
      </c>
      <c r="AE17" s="818">
        <f>IF('الأجـــازة للوصايا'!L141=0,'الأجـــازة للوصايا'!CK10,0)</f>
        <v>0</v>
      </c>
      <c r="AF17" s="818">
        <f>IF('الأجـــازة للوصايا'!M141=0,'الأجـــازة للوصايا'!CL10,0)</f>
        <v>0</v>
      </c>
      <c r="AG17" s="818">
        <f>IF('الأجـــازة للوصايا'!N141=0,'الأجـــازة للوصايا'!CM10,0)</f>
        <v>0</v>
      </c>
      <c r="AH17" s="817"/>
      <c r="AI17" s="819"/>
      <c r="AJ17" s="866">
        <f t="shared" si="8"/>
        <v>0</v>
      </c>
      <c r="AK17" s="293">
        <f t="shared" si="13"/>
        <v>0</v>
      </c>
      <c r="AL17" s="293">
        <f t="shared" si="9"/>
        <v>100</v>
      </c>
      <c r="AM17" s="1" t="e">
        <f t="shared" si="10"/>
        <v>#DIV/0!</v>
      </c>
    </row>
    <row r="18" spans="3:44" ht="18.75" customHeight="1" thickTop="1" thickBot="1">
      <c r="C18" s="1297"/>
      <c r="D18" s="1298"/>
      <c r="E18" s="697"/>
      <c r="M18" s="813">
        <f t="shared" si="0"/>
        <v>0</v>
      </c>
      <c r="N18" s="814" t="e">
        <f t="shared" si="1"/>
        <v>#DIV/0!</v>
      </c>
      <c r="O18" s="814" t="e">
        <f>'ورقة أجازة وعدم الأجازة للمختصن'!BA130</f>
        <v>#DIV/0!</v>
      </c>
      <c r="P18" s="815" t="e">
        <f t="shared" si="2"/>
        <v>#DIV/0!</v>
      </c>
      <c r="Q18" s="816">
        <f>IF('الأجـــازة للوصايا'!I142&gt;0,'الأجـــازة للوصايا'!I142,0)</f>
        <v>0</v>
      </c>
      <c r="R18" s="816" t="e">
        <f t="shared" si="3"/>
        <v>#DIV/0!</v>
      </c>
      <c r="S18" s="814">
        <f t="shared" si="4"/>
        <v>0</v>
      </c>
      <c r="T18" s="814">
        <f t="shared" si="5"/>
        <v>0</v>
      </c>
      <c r="U18" s="709">
        <f t="shared" si="6"/>
        <v>0</v>
      </c>
      <c r="V18" s="814">
        <f t="shared" si="7"/>
        <v>0</v>
      </c>
      <c r="W18" s="817">
        <f t="shared" si="11"/>
        <v>0</v>
      </c>
      <c r="X18" s="814">
        <f>IFERROR( ( (('الأجـــازة للوصايا'!I142-(( (AC18+AG18) +(AB18+AF18) +(AA18+AE18) +(Z18+AD18)  ))*'الأجـــازة للوصايا'!I142))),0)</f>
        <v>0</v>
      </c>
      <c r="Y18" s="817">
        <f t="shared" si="12"/>
        <v>0</v>
      </c>
      <c r="Z18" s="818">
        <f>IF('الأجـــازة للوصايا'!K142=1, 'الأجـــازة للوصايا'!CJ9,0)</f>
        <v>0</v>
      </c>
      <c r="AA18" s="818">
        <f>IF('الأجـــازة للوصايا'!L142=1, 'الأجـــازة للوصايا'!CK9,0)</f>
        <v>0</v>
      </c>
      <c r="AB18" s="818">
        <f>IF('الأجـــازة للوصايا'!M142=1, 'الأجـــازة للوصايا'!CL9,0)</f>
        <v>0</v>
      </c>
      <c r="AC18" s="818">
        <f>IF('الأجـــازة للوصايا'!N142=1, 'الأجـــازة للوصايا'!CM9,0)</f>
        <v>0</v>
      </c>
      <c r="AD18" s="818">
        <f>IF('الأجـــازة للوصايا'!K142=0,'الأجـــازة للوصايا'!CJ10,0)</f>
        <v>0</v>
      </c>
      <c r="AE18" s="818">
        <f>IF('الأجـــازة للوصايا'!L142=0,'الأجـــازة للوصايا'!CK10,0)</f>
        <v>0</v>
      </c>
      <c r="AF18" s="818">
        <f>IF('الأجـــازة للوصايا'!M142=0,'الأجـــازة للوصايا'!CL10,0)</f>
        <v>0</v>
      </c>
      <c r="AG18" s="818">
        <f>IF('الأجـــازة للوصايا'!N142=0,'الأجـــازة للوصايا'!CM10,0)</f>
        <v>0</v>
      </c>
      <c r="AH18" s="817"/>
      <c r="AI18" s="819"/>
      <c r="AJ18" s="866">
        <f t="shared" si="8"/>
        <v>0</v>
      </c>
      <c r="AK18" s="293">
        <f t="shared" si="13"/>
        <v>0</v>
      </c>
      <c r="AL18" s="293">
        <f t="shared" si="9"/>
        <v>100</v>
      </c>
      <c r="AM18" s="1" t="e">
        <f t="shared" si="10"/>
        <v>#DIV/0!</v>
      </c>
    </row>
    <row r="19" spans="3:44" ht="18.75" customHeight="1" thickTop="1" thickBot="1">
      <c r="C19" s="1297"/>
      <c r="D19" s="1298"/>
      <c r="E19" s="697"/>
      <c r="M19" s="813">
        <f t="shared" si="0"/>
        <v>0</v>
      </c>
      <c r="N19" s="814" t="e">
        <f t="shared" si="1"/>
        <v>#DIV/0!</v>
      </c>
      <c r="O19" s="814" t="e">
        <f>'ورقة أجازة وعدم الأجازة للمختصن'!BA131</f>
        <v>#DIV/0!</v>
      </c>
      <c r="P19" s="815" t="e">
        <f t="shared" si="2"/>
        <v>#DIV/0!</v>
      </c>
      <c r="Q19" s="816">
        <f>IF('الأجـــازة للوصايا'!I143&gt;0,'الأجـــازة للوصايا'!I143,0)</f>
        <v>0</v>
      </c>
      <c r="R19" s="816" t="e">
        <f t="shared" si="3"/>
        <v>#DIV/0!</v>
      </c>
      <c r="S19" s="814">
        <f t="shared" si="4"/>
        <v>0</v>
      </c>
      <c r="T19" s="814">
        <f t="shared" si="5"/>
        <v>0</v>
      </c>
      <c r="U19" s="709">
        <f t="shared" si="6"/>
        <v>0</v>
      </c>
      <c r="V19" s="814">
        <f t="shared" si="7"/>
        <v>0</v>
      </c>
      <c r="W19" s="817">
        <f t="shared" si="11"/>
        <v>0</v>
      </c>
      <c r="X19" s="814">
        <f>IFERROR( ( (('الأجـــازة للوصايا'!I143-(( (AC19+AG19) +(AB19+AF19) +(AA19+AE19) +(Z19+AD19)  ))*'الأجـــازة للوصايا'!I143))),0)</f>
        <v>0</v>
      </c>
      <c r="Y19" s="817">
        <f t="shared" si="12"/>
        <v>0</v>
      </c>
      <c r="Z19" s="818">
        <f>IF('الأجـــازة للوصايا'!K143=1, 'الأجـــازة للوصايا'!CJ9,0)</f>
        <v>0</v>
      </c>
      <c r="AA19" s="818">
        <f>IF('الأجـــازة للوصايا'!L143=1, 'الأجـــازة للوصايا'!CK9,0)</f>
        <v>0</v>
      </c>
      <c r="AB19" s="818">
        <f>IF('الأجـــازة للوصايا'!M143=1, 'الأجـــازة للوصايا'!CL9,0)</f>
        <v>0</v>
      </c>
      <c r="AC19" s="818">
        <f>IF('الأجـــازة للوصايا'!N143=1, 'الأجـــازة للوصايا'!CM9,0)</f>
        <v>0</v>
      </c>
      <c r="AD19" s="818">
        <f>IF('الأجـــازة للوصايا'!K143=0,'الأجـــازة للوصايا'!CJ10,0)</f>
        <v>0</v>
      </c>
      <c r="AE19" s="818">
        <f>IF('الأجـــازة للوصايا'!L143=0,'الأجـــازة للوصايا'!CK10,0)</f>
        <v>0</v>
      </c>
      <c r="AF19" s="818">
        <f>IF('الأجـــازة للوصايا'!M143=0,'الأجـــازة للوصايا'!CL10,0)</f>
        <v>0</v>
      </c>
      <c r="AG19" s="818">
        <f>IF('الأجـــازة للوصايا'!N143=0,'الأجـــازة للوصايا'!CM10,0)</f>
        <v>0</v>
      </c>
      <c r="AH19" s="817"/>
      <c r="AI19" s="819"/>
      <c r="AJ19" s="866">
        <f t="shared" si="8"/>
        <v>0</v>
      </c>
      <c r="AK19" s="293">
        <f t="shared" si="13"/>
        <v>0</v>
      </c>
      <c r="AL19" s="293">
        <f t="shared" si="9"/>
        <v>100</v>
      </c>
      <c r="AM19" s="1" t="e">
        <f t="shared" si="10"/>
        <v>#DIV/0!</v>
      </c>
    </row>
    <row r="20" spans="3:44" ht="18.75" customHeight="1" thickTop="1" thickBot="1">
      <c r="C20" s="1297"/>
      <c r="D20" s="1298"/>
      <c r="E20" s="697"/>
      <c r="M20" s="813">
        <f t="shared" si="0"/>
        <v>0</v>
      </c>
      <c r="N20" s="814" t="e">
        <f t="shared" si="1"/>
        <v>#DIV/0!</v>
      </c>
      <c r="O20" s="814" t="e">
        <f>'ورقة أجازة وعدم الأجازة للمختصن'!BA132</f>
        <v>#DIV/0!</v>
      </c>
      <c r="P20" s="815" t="e">
        <f t="shared" si="2"/>
        <v>#DIV/0!</v>
      </c>
      <c r="Q20" s="816">
        <f>IF('الأجـــازة للوصايا'!I144&gt;0,'الأجـــازة للوصايا'!I144,0)</f>
        <v>0</v>
      </c>
      <c r="R20" s="816" t="e">
        <f t="shared" si="3"/>
        <v>#DIV/0!</v>
      </c>
      <c r="S20" s="814">
        <f t="shared" si="4"/>
        <v>0</v>
      </c>
      <c r="T20" s="814">
        <f t="shared" si="5"/>
        <v>0</v>
      </c>
      <c r="U20" s="709">
        <f t="shared" si="6"/>
        <v>0</v>
      </c>
      <c r="V20" s="814">
        <f t="shared" si="7"/>
        <v>0</v>
      </c>
      <c r="W20" s="817">
        <f t="shared" si="11"/>
        <v>0</v>
      </c>
      <c r="X20" s="814">
        <f>IFERROR( ( (('الأجـــازة للوصايا'!I144-(( (AC20+AG20) +(AB20+AF20) +(AA20+AE20) +(Z20+AD20)  ))*'الأجـــازة للوصايا'!I144))),0)</f>
        <v>0</v>
      </c>
      <c r="Y20" s="817">
        <f t="shared" si="12"/>
        <v>0</v>
      </c>
      <c r="Z20" s="818">
        <f>IF('الأجـــازة للوصايا'!K144=1, 'الأجـــازة للوصايا'!CJ9,0)</f>
        <v>0</v>
      </c>
      <c r="AA20" s="818">
        <f>IF('الأجـــازة للوصايا'!L144=1, 'الأجـــازة للوصايا'!CK9,0)</f>
        <v>0</v>
      </c>
      <c r="AB20" s="818">
        <f>IF('الأجـــازة للوصايا'!M144=1, 'الأجـــازة للوصايا'!CL9,0)</f>
        <v>0</v>
      </c>
      <c r="AC20" s="818">
        <f>IF('الأجـــازة للوصايا'!N144=1, 'الأجـــازة للوصايا'!CM9,0)</f>
        <v>0</v>
      </c>
      <c r="AD20" s="818">
        <f>IF('الأجـــازة للوصايا'!K144=0,'الأجـــازة للوصايا'!CJ10,0)</f>
        <v>0</v>
      </c>
      <c r="AE20" s="818">
        <f>IF('الأجـــازة للوصايا'!L144=0,'الأجـــازة للوصايا'!CK10,0)</f>
        <v>0</v>
      </c>
      <c r="AF20" s="818">
        <f>IF('الأجـــازة للوصايا'!M144=0,'الأجـــازة للوصايا'!CL10,0)</f>
        <v>0</v>
      </c>
      <c r="AG20" s="818">
        <f>IF('الأجـــازة للوصايا'!N144=0,'الأجـــازة للوصايا'!CM10,0)</f>
        <v>0</v>
      </c>
      <c r="AH20" s="817"/>
      <c r="AI20" s="819"/>
      <c r="AJ20" s="866">
        <f t="shared" si="8"/>
        <v>0</v>
      </c>
      <c r="AK20" s="293">
        <f t="shared" si="13"/>
        <v>0</v>
      </c>
      <c r="AL20" s="293">
        <f t="shared" si="9"/>
        <v>100</v>
      </c>
      <c r="AM20" s="1" t="e">
        <f t="shared" si="10"/>
        <v>#DIV/0!</v>
      </c>
    </row>
    <row r="21" spans="3:44" ht="18.75" customHeight="1" thickTop="1" thickBot="1">
      <c r="C21" s="1299"/>
      <c r="D21" s="1300"/>
      <c r="E21" s="697"/>
      <c r="M21" s="813">
        <f t="shared" si="0"/>
        <v>0</v>
      </c>
      <c r="N21" s="814" t="e">
        <f t="shared" si="1"/>
        <v>#DIV/0!</v>
      </c>
      <c r="O21" s="814" t="e">
        <f>'ورقة أجازة وعدم الأجازة للمختصن'!BA133</f>
        <v>#DIV/0!</v>
      </c>
      <c r="P21" s="815" t="e">
        <f t="shared" si="2"/>
        <v>#DIV/0!</v>
      </c>
      <c r="Q21" s="816">
        <f>IF('الأجـــازة للوصايا'!I145&gt;0,'الأجـــازة للوصايا'!I145,0)</f>
        <v>0</v>
      </c>
      <c r="R21" s="816" t="e">
        <f t="shared" si="3"/>
        <v>#DIV/0!</v>
      </c>
      <c r="S21" s="814">
        <f t="shared" si="4"/>
        <v>0</v>
      </c>
      <c r="T21" s="814">
        <f t="shared" si="5"/>
        <v>0</v>
      </c>
      <c r="U21" s="709">
        <f t="shared" si="6"/>
        <v>0</v>
      </c>
      <c r="V21" s="814">
        <f t="shared" si="7"/>
        <v>0</v>
      </c>
      <c r="W21" s="817">
        <f t="shared" si="11"/>
        <v>0</v>
      </c>
      <c r="X21" s="814">
        <f>IFERROR( ( (('الأجـــازة للوصايا'!I145-(( (AC21+AG21) +(AB21+AF21) +(AA21+AE21) +(Z21+AD21)  ))*'الأجـــازة للوصايا'!I145))),0)</f>
        <v>0</v>
      </c>
      <c r="Y21" s="817">
        <f t="shared" si="12"/>
        <v>0</v>
      </c>
      <c r="Z21" s="818">
        <f>IF('الأجـــازة للوصايا'!K145=1, 'الأجـــازة للوصايا'!CJ9,0)</f>
        <v>0</v>
      </c>
      <c r="AA21" s="818">
        <f>IF('الأجـــازة للوصايا'!L145=1, 'الأجـــازة للوصايا'!CK9,0)</f>
        <v>0</v>
      </c>
      <c r="AB21" s="818">
        <f>IF('الأجـــازة للوصايا'!M145=1, 'الأجـــازة للوصايا'!CL9,0)</f>
        <v>0</v>
      </c>
      <c r="AC21" s="818">
        <f>IF('الأجـــازة للوصايا'!N145=1, 'الأجـــازة للوصايا'!CM9,0)</f>
        <v>0</v>
      </c>
      <c r="AD21" s="818">
        <f>IF('الأجـــازة للوصايا'!K145=0,'الأجـــازة للوصايا'!CJ10,0)</f>
        <v>0</v>
      </c>
      <c r="AE21" s="818">
        <f>IF('الأجـــازة للوصايا'!L145=0,'الأجـــازة للوصايا'!CK10,0)</f>
        <v>0</v>
      </c>
      <c r="AF21" s="818">
        <f>IF('الأجـــازة للوصايا'!M145=0,'الأجـــازة للوصايا'!CL10,0)</f>
        <v>0</v>
      </c>
      <c r="AG21" s="818">
        <f>IF('الأجـــازة للوصايا'!N145=0,'الأجـــازة للوصايا'!CM10,0)</f>
        <v>0</v>
      </c>
      <c r="AH21" s="817"/>
      <c r="AI21" s="819"/>
      <c r="AJ21" s="866">
        <f t="shared" si="8"/>
        <v>0</v>
      </c>
      <c r="AK21" s="293">
        <f t="shared" si="13"/>
        <v>0</v>
      </c>
      <c r="AL21" s="293">
        <f t="shared" si="9"/>
        <v>100</v>
      </c>
      <c r="AM21" s="1" t="e">
        <f t="shared" si="10"/>
        <v>#DIV/0!</v>
      </c>
    </row>
    <row r="22" spans="3:44" ht="18.75" customHeight="1" thickTop="1" thickBot="1">
      <c r="C22" s="698"/>
      <c r="D22" s="698"/>
      <c r="E22" s="697"/>
      <c r="M22" s="813">
        <f t="shared" si="0"/>
        <v>0</v>
      </c>
      <c r="N22" s="814" t="e">
        <f t="shared" si="1"/>
        <v>#DIV/0!</v>
      </c>
      <c r="O22" s="814" t="e">
        <f>'ورقة أجازة وعدم الأجازة للمختصن'!BA134</f>
        <v>#DIV/0!</v>
      </c>
      <c r="P22" s="815" t="e">
        <f t="shared" si="2"/>
        <v>#DIV/0!</v>
      </c>
      <c r="Q22" s="816">
        <f>IF('الأجـــازة للوصايا'!I146&gt;0,'الأجـــازة للوصايا'!I146,0)</f>
        <v>0</v>
      </c>
      <c r="R22" s="816" t="e">
        <f t="shared" si="3"/>
        <v>#DIV/0!</v>
      </c>
      <c r="S22" s="814">
        <f t="shared" si="4"/>
        <v>0</v>
      </c>
      <c r="T22" s="814">
        <f t="shared" si="5"/>
        <v>0</v>
      </c>
      <c r="U22" s="709">
        <f t="shared" si="6"/>
        <v>0</v>
      </c>
      <c r="V22" s="814">
        <f t="shared" si="7"/>
        <v>0</v>
      </c>
      <c r="W22" s="817">
        <f t="shared" si="11"/>
        <v>0</v>
      </c>
      <c r="X22" s="814">
        <f>IFERROR( ( (('الأجـــازة للوصايا'!I146-(( (AC22+AG22) +(AB22+AF22) +(AA22+AE22) +(Z22+AD22)  ))*'الأجـــازة للوصايا'!I146))),0)</f>
        <v>0</v>
      </c>
      <c r="Y22" s="817">
        <f t="shared" si="12"/>
        <v>0</v>
      </c>
      <c r="Z22" s="818">
        <f>IF('الأجـــازة للوصايا'!K146=1, 'الأجـــازة للوصايا'!CJ9,0)</f>
        <v>0</v>
      </c>
      <c r="AA22" s="818">
        <f>IF('الأجـــازة للوصايا'!L146=1, 'الأجـــازة للوصايا'!CK9,0)</f>
        <v>0</v>
      </c>
      <c r="AB22" s="818">
        <f>IF('الأجـــازة للوصايا'!M146=1, 'الأجـــازة للوصايا'!CL9,0)</f>
        <v>0</v>
      </c>
      <c r="AC22" s="818">
        <f>IF('الأجـــازة للوصايا'!N146=1, 'الأجـــازة للوصايا'!CM9,0)</f>
        <v>0</v>
      </c>
      <c r="AD22" s="818">
        <f>IF('الأجـــازة للوصايا'!K146=0,'الأجـــازة للوصايا'!CJ10,0)</f>
        <v>0</v>
      </c>
      <c r="AE22" s="818">
        <f>IF('الأجـــازة للوصايا'!L146=0,'الأجـــازة للوصايا'!CK10,0)</f>
        <v>0</v>
      </c>
      <c r="AF22" s="818">
        <f>IF('الأجـــازة للوصايا'!M146=0,'الأجـــازة للوصايا'!CL10,0)</f>
        <v>0</v>
      </c>
      <c r="AG22" s="818">
        <f>IF('الأجـــازة للوصايا'!N146=0,'الأجـــازة للوصايا'!CM10,0)</f>
        <v>0</v>
      </c>
      <c r="AH22" s="817"/>
      <c r="AI22" s="819"/>
      <c r="AJ22" s="866">
        <f t="shared" si="8"/>
        <v>0</v>
      </c>
      <c r="AK22" s="293">
        <f t="shared" si="13"/>
        <v>0</v>
      </c>
      <c r="AL22" s="293">
        <f t="shared" si="9"/>
        <v>100</v>
      </c>
      <c r="AM22" s="1" t="e">
        <f t="shared" si="10"/>
        <v>#DIV/0!</v>
      </c>
    </row>
    <row r="23" spans="3:44" ht="18.75" customHeight="1" thickTop="1" thickBot="1">
      <c r="C23" s="698" t="s">
        <v>114</v>
      </c>
      <c r="D23" s="698"/>
      <c r="E23" s="697"/>
      <c r="M23" s="813">
        <f t="shared" si="0"/>
        <v>0</v>
      </c>
      <c r="N23" s="814" t="e">
        <f t="shared" si="1"/>
        <v>#DIV/0!</v>
      </c>
      <c r="O23" s="814" t="e">
        <f>'ورقة أجازة وعدم الأجازة للمختصن'!BA135</f>
        <v>#DIV/0!</v>
      </c>
      <c r="P23" s="815" t="e">
        <f t="shared" si="2"/>
        <v>#DIV/0!</v>
      </c>
      <c r="Q23" s="816">
        <f>IF('الأجـــازة للوصايا'!I147&gt;0,'الأجـــازة للوصايا'!I147,0)</f>
        <v>0</v>
      </c>
      <c r="R23" s="816" t="e">
        <f t="shared" si="3"/>
        <v>#DIV/0!</v>
      </c>
      <c r="S23" s="814">
        <f t="shared" si="4"/>
        <v>0</v>
      </c>
      <c r="T23" s="814">
        <f t="shared" si="5"/>
        <v>0</v>
      </c>
      <c r="U23" s="709">
        <f t="shared" si="6"/>
        <v>0</v>
      </c>
      <c r="V23" s="814">
        <f t="shared" si="7"/>
        <v>0</v>
      </c>
      <c r="W23" s="817">
        <f t="shared" si="11"/>
        <v>0</v>
      </c>
      <c r="X23" s="814">
        <f>IFERROR( ( (('الأجـــازة للوصايا'!I147-(( (AC23+AG23) +(AB23+AF23) +(AA23+AE23) +(Z23+AD23)  ))*'الأجـــازة للوصايا'!I147))),0)</f>
        <v>0</v>
      </c>
      <c r="Y23" s="817">
        <f t="shared" si="12"/>
        <v>0</v>
      </c>
      <c r="Z23" s="818">
        <f>IF('الأجـــازة للوصايا'!K147=1, 'الأجـــازة للوصايا'!CJ9,0)</f>
        <v>0</v>
      </c>
      <c r="AA23" s="818">
        <f>IF('الأجـــازة للوصايا'!L147=1, 'الأجـــازة للوصايا'!CK9,0)</f>
        <v>0</v>
      </c>
      <c r="AB23" s="818">
        <f>IF('الأجـــازة للوصايا'!M147=1, 'الأجـــازة للوصايا'!CL9,0)</f>
        <v>0</v>
      </c>
      <c r="AC23" s="818">
        <f>IF('الأجـــازة للوصايا'!N147=1, 'الأجـــازة للوصايا'!CM9,0)</f>
        <v>0</v>
      </c>
      <c r="AD23" s="818">
        <f>IF('الأجـــازة للوصايا'!K147=0,'الأجـــازة للوصايا'!CJ10,0)</f>
        <v>0</v>
      </c>
      <c r="AE23" s="818">
        <f>IF('الأجـــازة للوصايا'!L147=0,'الأجـــازة للوصايا'!CK10,0)</f>
        <v>0</v>
      </c>
      <c r="AF23" s="818">
        <f>IF('الأجـــازة للوصايا'!M147=0,'الأجـــازة للوصايا'!CL10,0)</f>
        <v>0</v>
      </c>
      <c r="AG23" s="818">
        <f>IF('الأجـــازة للوصايا'!N147=0,'الأجـــازة للوصايا'!CM10,0)</f>
        <v>0</v>
      </c>
      <c r="AH23" s="817"/>
      <c r="AI23" s="819"/>
      <c r="AJ23" s="866">
        <f t="shared" si="8"/>
        <v>0</v>
      </c>
      <c r="AK23" s="293">
        <f t="shared" si="13"/>
        <v>0</v>
      </c>
      <c r="AL23" s="293">
        <f t="shared" si="9"/>
        <v>100</v>
      </c>
      <c r="AM23" s="1" t="e">
        <f t="shared" si="10"/>
        <v>#DIV/0!</v>
      </c>
    </row>
    <row r="24" spans="3:44" ht="16.5" customHeight="1" thickTop="1" thickBot="1">
      <c r="C24" s="1386" t="s">
        <v>738</v>
      </c>
      <c r="D24" s="820">
        <f>'الأجـــازة للوصايا'!CJ7</f>
        <v>0</v>
      </c>
      <c r="E24" s="697"/>
      <c r="M24" s="814">
        <f>IFERROR( 'الأجـــازة للوصايا'!CJ24+'الأجـــازة للوصايا'!CL24,0)</f>
        <v>0</v>
      </c>
      <c r="N24" s="814" t="e">
        <f t="shared" si="1"/>
        <v>#DIV/0!</v>
      </c>
      <c r="O24" s="814" t="e">
        <f>'ورقة أجازة وعدم الأجازة للمختصن'!BA136</f>
        <v>#DIV/0!</v>
      </c>
      <c r="P24" s="815" t="e">
        <f t="shared" si="2"/>
        <v>#DIV/0!</v>
      </c>
      <c r="Q24" s="816">
        <f>IF('الأجـــازة للوصايا'!CJ24&gt;0,'الأجـــازة للوصايا'!CJ24,0)</f>
        <v>0</v>
      </c>
      <c r="R24" s="816" t="e">
        <f t="shared" si="3"/>
        <v>#DIV/0!</v>
      </c>
      <c r="S24" s="814">
        <f t="shared" si="4"/>
        <v>0</v>
      </c>
      <c r="T24" s="814">
        <f t="shared" si="5"/>
        <v>0</v>
      </c>
      <c r="U24" s="709">
        <f t="shared" si="6"/>
        <v>0</v>
      </c>
      <c r="V24" s="814">
        <f t="shared" si="7"/>
        <v>0</v>
      </c>
      <c r="W24" s="817">
        <f t="shared" si="11"/>
        <v>0</v>
      </c>
      <c r="X24" s="814"/>
      <c r="Y24" s="817">
        <f t="shared" si="12"/>
        <v>0</v>
      </c>
      <c r="Z24" s="817"/>
      <c r="AA24" s="817"/>
      <c r="AB24" s="817"/>
      <c r="AC24" s="817"/>
      <c r="AD24" s="817"/>
      <c r="AE24" s="817"/>
      <c r="AF24" s="817"/>
      <c r="AG24" s="817"/>
      <c r="AH24" s="817"/>
      <c r="AI24" s="819"/>
      <c r="AJ24" s="866">
        <f t="shared" si="8"/>
        <v>0</v>
      </c>
      <c r="AK24" s="293">
        <f t="shared" si="13"/>
        <v>0</v>
      </c>
      <c r="AL24" s="293">
        <f t="shared" si="9"/>
        <v>100</v>
      </c>
      <c r="AM24" s="1" t="e">
        <f t="shared" si="10"/>
        <v>#DIV/0!</v>
      </c>
    </row>
    <row r="25" spans="3:44" ht="16.5" customHeight="1" thickTop="1" thickBot="1">
      <c r="C25" s="1387"/>
      <c r="D25" s="820">
        <f>'الأجـــازة للوصايا'!CK7</f>
        <v>0</v>
      </c>
      <c r="E25" s="697"/>
      <c r="M25" s="814">
        <f>IFERROR( 'الأجـــازة للوصايا'!CJ25+'الأجـــازة للوصايا'!CL25,0)</f>
        <v>0</v>
      </c>
      <c r="N25" s="814" t="e">
        <f t="shared" si="1"/>
        <v>#DIV/0!</v>
      </c>
      <c r="O25" s="814" t="e">
        <f>'ورقة أجازة وعدم الأجازة للمختصن'!BA137</f>
        <v>#DIV/0!</v>
      </c>
      <c r="P25" s="815" t="e">
        <f t="shared" si="2"/>
        <v>#DIV/0!</v>
      </c>
      <c r="Q25" s="816">
        <f>IF('الأجـــازة للوصايا'!CJ25&gt;0,'الأجـــازة للوصايا'!CJ25,0)</f>
        <v>0</v>
      </c>
      <c r="R25" s="816" t="e">
        <f t="shared" si="3"/>
        <v>#DIV/0!</v>
      </c>
      <c r="S25" s="814">
        <f t="shared" si="4"/>
        <v>0</v>
      </c>
      <c r="T25" s="814">
        <f t="shared" si="5"/>
        <v>0</v>
      </c>
      <c r="U25" s="709">
        <f t="shared" si="6"/>
        <v>0</v>
      </c>
      <c r="V25" s="814">
        <f t="shared" si="7"/>
        <v>0</v>
      </c>
      <c r="W25" s="817">
        <f t="shared" si="11"/>
        <v>0</v>
      </c>
      <c r="X25" s="814"/>
      <c r="Y25" s="817">
        <f t="shared" si="12"/>
        <v>0</v>
      </c>
      <c r="Z25" s="817"/>
      <c r="AA25" s="817"/>
      <c r="AB25" s="817"/>
      <c r="AC25" s="817"/>
      <c r="AD25" s="817"/>
      <c r="AE25" s="817"/>
      <c r="AF25" s="817"/>
      <c r="AG25" s="817"/>
      <c r="AH25" s="817"/>
      <c r="AI25" s="819"/>
      <c r="AJ25" s="866">
        <f t="shared" si="8"/>
        <v>0</v>
      </c>
      <c r="AK25" s="293">
        <f t="shared" si="13"/>
        <v>0</v>
      </c>
      <c r="AL25" s="293">
        <f t="shared" si="9"/>
        <v>100</v>
      </c>
      <c r="AM25" s="1" t="e">
        <f t="shared" si="10"/>
        <v>#DIV/0!</v>
      </c>
    </row>
    <row r="26" spans="3:44" ht="16.5" customHeight="1" thickTop="1" thickBot="1">
      <c r="C26" s="1387"/>
      <c r="D26" s="820">
        <f>'الأجـــازة للوصايا'!CL7</f>
        <v>0</v>
      </c>
      <c r="E26" s="697"/>
      <c r="M26" s="814">
        <f>IFERROR( 'الأجـــازة للوصايا'!CJ26+'الأجـــازة للوصايا'!CL26,0)</f>
        <v>0</v>
      </c>
      <c r="N26" s="814" t="e">
        <f t="shared" si="1"/>
        <v>#DIV/0!</v>
      </c>
      <c r="O26" s="814" t="e">
        <f>'ورقة أجازة وعدم الأجازة للمختصن'!BA138</f>
        <v>#DIV/0!</v>
      </c>
      <c r="P26" s="815" t="e">
        <f t="shared" si="2"/>
        <v>#DIV/0!</v>
      </c>
      <c r="Q26" s="816">
        <f>IF('الأجـــازة للوصايا'!CJ26&gt;0,'الأجـــازة للوصايا'!CJ26,0)</f>
        <v>0</v>
      </c>
      <c r="R26" s="816" t="e">
        <f t="shared" si="3"/>
        <v>#DIV/0!</v>
      </c>
      <c r="S26" s="814">
        <f t="shared" si="4"/>
        <v>0</v>
      </c>
      <c r="T26" s="814">
        <f t="shared" si="5"/>
        <v>0</v>
      </c>
      <c r="U26" s="709">
        <f t="shared" si="6"/>
        <v>0</v>
      </c>
      <c r="V26" s="814">
        <f t="shared" si="7"/>
        <v>0</v>
      </c>
      <c r="W26" s="817">
        <f t="shared" si="11"/>
        <v>0</v>
      </c>
      <c r="X26" s="814"/>
      <c r="Y26" s="817">
        <f t="shared" si="12"/>
        <v>0</v>
      </c>
      <c r="Z26" s="817"/>
      <c r="AA26" s="817"/>
      <c r="AB26" s="817" t="s">
        <v>114</v>
      </c>
      <c r="AC26" s="817"/>
      <c r="AD26" s="817"/>
      <c r="AE26" s="817"/>
      <c r="AF26" s="817"/>
      <c r="AG26" s="817"/>
      <c r="AH26" s="817"/>
      <c r="AI26" s="819"/>
      <c r="AJ26" s="866">
        <f t="shared" si="8"/>
        <v>0</v>
      </c>
      <c r="AK26" s="293">
        <f t="shared" si="13"/>
        <v>0</v>
      </c>
      <c r="AL26" s="293">
        <f t="shared" si="9"/>
        <v>100</v>
      </c>
      <c r="AM26" s="1" t="e">
        <f t="shared" si="10"/>
        <v>#DIV/0!</v>
      </c>
    </row>
    <row r="27" spans="3:44" ht="16.5" customHeight="1" thickTop="1" thickBot="1">
      <c r="C27" s="1388"/>
      <c r="D27" s="820">
        <f>'الأجـــازة للوصايا'!CM7</f>
        <v>0</v>
      </c>
      <c r="E27" s="697"/>
      <c r="M27" s="825">
        <f>IFERROR( 'الأجـــازة للوصايا'!CJ27+'الأجـــازة للوصايا'!CL27,0)</f>
        <v>0</v>
      </c>
      <c r="N27" s="825" t="e">
        <f t="shared" si="1"/>
        <v>#DIV/0!</v>
      </c>
      <c r="O27" s="825" t="e">
        <f>'ورقة أجازة وعدم الأجازة للمختصن'!BA139</f>
        <v>#DIV/0!</v>
      </c>
      <c r="P27" s="826" t="e">
        <f t="shared" si="2"/>
        <v>#DIV/0!</v>
      </c>
      <c r="Q27" s="827">
        <f>IF('الأجـــازة للوصايا'!CJ27&gt;0,'الأجـــازة للوصايا'!CJ27,0)</f>
        <v>0</v>
      </c>
      <c r="R27" s="827" t="e">
        <f t="shared" si="3"/>
        <v>#DIV/0!</v>
      </c>
      <c r="S27" s="825">
        <f t="shared" si="4"/>
        <v>0</v>
      </c>
      <c r="T27" s="825">
        <f t="shared" si="5"/>
        <v>0</v>
      </c>
      <c r="U27" s="716">
        <f t="shared" si="6"/>
        <v>0</v>
      </c>
      <c r="V27" s="825">
        <f t="shared" si="7"/>
        <v>0</v>
      </c>
      <c r="W27" s="828">
        <f t="shared" si="11"/>
        <v>0</v>
      </c>
      <c r="X27" s="825"/>
      <c r="Y27" s="828">
        <f t="shared" si="12"/>
        <v>0</v>
      </c>
      <c r="Z27" s="828"/>
      <c r="AA27" s="828"/>
      <c r="AB27" s="828"/>
      <c r="AC27" s="828"/>
      <c r="AD27" s="828"/>
      <c r="AE27" s="828"/>
      <c r="AF27" s="828"/>
      <c r="AG27" s="828"/>
      <c r="AH27" s="828"/>
      <c r="AI27" s="829"/>
      <c r="AJ27" s="866">
        <f t="shared" si="8"/>
        <v>0</v>
      </c>
      <c r="AK27" s="293">
        <f t="shared" si="13"/>
        <v>0</v>
      </c>
      <c r="AL27" s="293">
        <f t="shared" si="9"/>
        <v>100</v>
      </c>
      <c r="AM27" s="1" t="e">
        <f t="shared" si="10"/>
        <v>#DIV/0!</v>
      </c>
    </row>
    <row r="28" spans="3:44" ht="15.75" customHeight="1">
      <c r="C28" s="1"/>
      <c r="D28" s="1"/>
      <c r="F28" s="462" t="s">
        <v>114</v>
      </c>
      <c r="G28" s="462"/>
      <c r="H28" s="463"/>
      <c r="I28" s="464"/>
      <c r="J28" s="464"/>
      <c r="K28" s="464"/>
      <c r="L28" s="465"/>
      <c r="M28" s="465"/>
      <c r="N28" s="465"/>
      <c r="O28" s="465"/>
      <c r="P28" s="566" t="e">
        <f>SUM(AM12:AM27)</f>
        <v>#DIV/0!</v>
      </c>
      <c r="Q28" s="479"/>
      <c r="R28" s="480" t="e">
        <f>SUM(R12:R27)</f>
        <v>#DIV/0!</v>
      </c>
      <c r="S28" s="480"/>
      <c r="T28" s="481"/>
      <c r="U28" s="482"/>
      <c r="V28" s="481">
        <f>SUM(V12:V27)</f>
        <v>0</v>
      </c>
      <c r="W28" s="483"/>
      <c r="X28" s="481"/>
      <c r="Y28" s="28"/>
      <c r="Z28" s="478"/>
      <c r="AA28" s="478"/>
      <c r="AB28" s="1"/>
      <c r="AC28" s="1"/>
      <c r="AD28" s="1"/>
      <c r="AE28" s="1"/>
      <c r="AF28" s="1"/>
      <c r="AG28" s="1"/>
      <c r="AH28" s="1"/>
      <c r="AI28" s="1"/>
      <c r="AJ28" s="1"/>
      <c r="AK28" s="1"/>
      <c r="AR28" t="s">
        <v>114</v>
      </c>
    </row>
    <row r="29" spans="3:44" ht="15.75">
      <c r="G29" s="28"/>
      <c r="H29" s="28"/>
      <c r="I29" s="28"/>
      <c r="J29" s="28"/>
      <c r="K29" s="28"/>
      <c r="L29" s="28"/>
      <c r="M29" s="478">
        <f>SUM(M12:M27)</f>
        <v>0</v>
      </c>
      <c r="N29" s="478" t="e">
        <f>SUM(N12:N27)</f>
        <v>#DIV/0!</v>
      </c>
      <c r="O29" s="478"/>
      <c r="Q29" s="28"/>
      <c r="R29" s="28"/>
      <c r="S29" s="537">
        <f>GCD(S12:S27)</f>
        <v>0</v>
      </c>
      <c r="T29" s="28"/>
      <c r="U29" s="28"/>
      <c r="V29" s="28"/>
      <c r="W29" s="28"/>
      <c r="X29" s="28"/>
      <c r="Y29" s="28"/>
      <c r="Z29" s="28"/>
      <c r="AA29" s="28"/>
      <c r="AC29" s="1"/>
    </row>
    <row r="30" spans="3:44" ht="18.75" hidden="1">
      <c r="G30" s="28"/>
      <c r="H30" s="28"/>
      <c r="I30" s="28"/>
      <c r="J30" s="28"/>
      <c r="K30" s="28"/>
      <c r="L30" s="28"/>
      <c r="M30" s="28"/>
      <c r="N30" s="28"/>
      <c r="O30" s="28"/>
      <c r="P30" s="549" t="e">
        <f>SUM(P12:P27)</f>
        <v>#DIV/0!</v>
      </c>
      <c r="Q30" s="28"/>
      <c r="R30" s="28"/>
      <c r="S30" s="478">
        <f t="shared" ref="S30:S47" si="14">$S$29</f>
        <v>0</v>
      </c>
      <c r="T30" s="28"/>
      <c r="U30" s="28"/>
      <c r="V30" s="478">
        <f>ROUNDDOWN(V28,0)</f>
        <v>0</v>
      </c>
      <c r="W30" s="28"/>
      <c r="X30" s="28"/>
      <c r="Y30" s="28"/>
      <c r="Z30" s="28"/>
      <c r="AA30" s="28"/>
      <c r="AC30" s="1"/>
    </row>
    <row r="31" spans="3:44" hidden="1">
      <c r="E31">
        <f>L31</f>
        <v>0</v>
      </c>
      <c r="F31" s="1">
        <f>'الأجـــازة للوصايا'!J136</f>
        <v>1</v>
      </c>
      <c r="G31" s="478">
        <f>'الأجـــازة للوصايا'!H136</f>
        <v>0</v>
      </c>
      <c r="I31" s="478">
        <f>'الأجـــازة للوصايا'!J136</f>
        <v>1</v>
      </c>
      <c r="J31" s="28">
        <f>IF(F31&gt;1,M31,0)</f>
        <v>0</v>
      </c>
      <c r="K31" t="e">
        <f>VLOOKUP(1,E31:J42,3,FALSE)</f>
        <v>#N/A</v>
      </c>
      <c r="L31" s="28">
        <f t="shared" ref="L31:L42" si="15">IF(I31&gt;1,1,0)</f>
        <v>0</v>
      </c>
      <c r="M31" s="28">
        <f>VLOOKUP(F31,F31:I40,2,FALSE)</f>
        <v>0</v>
      </c>
      <c r="N31" s="28"/>
      <c r="O31" s="28"/>
      <c r="P31" s="478">
        <f t="shared" ref="P31:P44" si="16">L31</f>
        <v>0</v>
      </c>
      <c r="Q31" s="28"/>
      <c r="R31" s="28"/>
      <c r="S31" s="478">
        <f t="shared" si="14"/>
        <v>0</v>
      </c>
      <c r="T31" s="28"/>
      <c r="U31" s="28"/>
      <c r="V31" s="478">
        <f>V28-V30</f>
        <v>0</v>
      </c>
      <c r="W31" s="28"/>
      <c r="X31" s="28"/>
      <c r="Y31" s="28"/>
      <c r="Z31" s="28"/>
      <c r="AA31" s="28"/>
      <c r="AC31" s="1"/>
      <c r="AJ31" s="478">
        <f>'الأجـــازة للوصايا'!I136</f>
        <v>0</v>
      </c>
    </row>
    <row r="32" spans="3:44" hidden="1">
      <c r="E32">
        <f>L32+SUM(L31)</f>
        <v>0</v>
      </c>
      <c r="F32" s="1">
        <f>'الأجـــازة للوصايا'!J137</f>
        <v>0</v>
      </c>
      <c r="G32" s="478">
        <f>'الأجـــازة للوصايا'!H137</f>
        <v>0</v>
      </c>
      <c r="I32" s="478">
        <f>'الأجـــازة للوصايا'!J137</f>
        <v>0</v>
      </c>
      <c r="J32" s="28">
        <f>IF(F32&gt;1,M32,0)</f>
        <v>0</v>
      </c>
      <c r="K32" t="e">
        <f>VLOOKUP(2,E31:J42,3,FALSE)</f>
        <v>#N/A</v>
      </c>
      <c r="L32" s="28">
        <f t="shared" si="15"/>
        <v>0</v>
      </c>
      <c r="M32" s="28">
        <f>VLOOKUP(F32,F31:I40,2,FALSE)</f>
        <v>0</v>
      </c>
      <c r="N32" s="28"/>
      <c r="O32" s="28"/>
      <c r="P32" s="478">
        <f t="shared" si="16"/>
        <v>0</v>
      </c>
      <c r="Q32" s="28"/>
      <c r="R32" s="28"/>
      <c r="S32" s="478">
        <f t="shared" si="14"/>
        <v>0</v>
      </c>
      <c r="T32" s="28"/>
      <c r="U32" s="28"/>
      <c r="V32" s="478" t="s">
        <v>114</v>
      </c>
      <c r="W32" s="28"/>
      <c r="X32" s="28"/>
      <c r="Y32" s="28"/>
      <c r="Z32" s="28"/>
      <c r="AA32" s="28"/>
      <c r="AC32" s="1"/>
      <c r="AJ32" s="478">
        <f>'الأجـــازة للوصايا'!I137</f>
        <v>0</v>
      </c>
    </row>
    <row r="33" spans="5:36" hidden="1">
      <c r="E33">
        <f>L33+SUM(L31:L32)</f>
        <v>0</v>
      </c>
      <c r="F33" s="1">
        <f>'الأجـــازة للوصايا'!J138</f>
        <v>-1</v>
      </c>
      <c r="G33" s="478">
        <f>'الأجـــازة للوصايا'!H138</f>
        <v>0</v>
      </c>
      <c r="I33" s="478">
        <f>'الأجـــازة للوصايا'!J138</f>
        <v>-1</v>
      </c>
      <c r="J33" s="28">
        <f>IF(F33&gt;1,M33,0)</f>
        <v>0</v>
      </c>
      <c r="K33" t="e">
        <f>VLOOKUP(3,E31:J42,3,FALSE)</f>
        <v>#N/A</v>
      </c>
      <c r="L33" s="28">
        <f t="shared" si="15"/>
        <v>0</v>
      </c>
      <c r="M33" s="28">
        <f>VLOOKUP(F33,F31:I40,2,FALSE)</f>
        <v>0</v>
      </c>
      <c r="N33" s="28"/>
      <c r="O33" s="28"/>
      <c r="P33" s="478">
        <f t="shared" si="16"/>
        <v>0</v>
      </c>
      <c r="Q33" s="28"/>
      <c r="R33" s="28"/>
      <c r="S33" s="478">
        <f t="shared" si="14"/>
        <v>0</v>
      </c>
      <c r="T33" s="28"/>
      <c r="U33" s="28"/>
      <c r="V33" s="28"/>
      <c r="W33" s="28"/>
      <c r="X33" s="28"/>
      <c r="Y33" s="28"/>
      <c r="Z33" s="28"/>
      <c r="AA33" s="28"/>
      <c r="AC33" s="1"/>
      <c r="AJ33" s="478">
        <f>'الأجـــازة للوصايا'!I138</f>
        <v>0</v>
      </c>
    </row>
    <row r="34" spans="5:36" hidden="1">
      <c r="E34">
        <f>L34+SUM(L31:L33)</f>
        <v>0</v>
      </c>
      <c r="F34" s="1">
        <f>'الأجـــازة للوصايا'!J139</f>
        <v>-2</v>
      </c>
      <c r="G34" s="478">
        <f>'الأجـــازة للوصايا'!H139</f>
        <v>0</v>
      </c>
      <c r="I34" s="478">
        <f>'الأجـــازة للوصايا'!J139</f>
        <v>-2</v>
      </c>
      <c r="J34" s="28">
        <f>IF(F34&gt;1,M34,0)</f>
        <v>0</v>
      </c>
      <c r="K34" t="e">
        <f>VLOOKUP(4,E31:J42,3,FALSE)</f>
        <v>#N/A</v>
      </c>
      <c r="L34" s="28">
        <f t="shared" si="15"/>
        <v>0</v>
      </c>
      <c r="M34" s="28">
        <f>VLOOKUP(F34,F31:I40,2,FALSE)</f>
        <v>0</v>
      </c>
      <c r="N34" s="28"/>
      <c r="O34" s="28"/>
      <c r="P34" s="28">
        <f t="shared" si="16"/>
        <v>0</v>
      </c>
      <c r="Q34" s="28"/>
      <c r="R34" s="28"/>
      <c r="S34" s="478">
        <f t="shared" si="14"/>
        <v>0</v>
      </c>
      <c r="T34" s="28"/>
      <c r="U34" s="28"/>
      <c r="V34" s="28"/>
      <c r="W34" s="28"/>
      <c r="X34" s="28"/>
      <c r="Y34" s="28"/>
      <c r="Z34" s="28"/>
      <c r="AA34" s="28"/>
      <c r="AC34" s="1"/>
      <c r="AJ34" s="478">
        <f>'الأجـــازة للوصايا'!I139</f>
        <v>0</v>
      </c>
    </row>
    <row r="35" spans="5:36" hidden="1">
      <c r="E35">
        <f>L35+SUM(L31:L34)</f>
        <v>0</v>
      </c>
      <c r="F35" s="1">
        <f>'الأجـــازة للوصايا'!J140</f>
        <v>-3</v>
      </c>
      <c r="G35" s="478">
        <f>'الأجـــازة للوصايا'!H140</f>
        <v>0</v>
      </c>
      <c r="I35" s="478">
        <f>'الأجـــازة للوصايا'!J140</f>
        <v>-3</v>
      </c>
      <c r="J35" s="28">
        <f>IF( F35&gt;1, G35,0)</f>
        <v>0</v>
      </c>
      <c r="K35" t="e">
        <f>VLOOKUP(5,E31:J42,3,FALSE)</f>
        <v>#N/A</v>
      </c>
      <c r="L35" s="28">
        <f t="shared" si="15"/>
        <v>0</v>
      </c>
      <c r="M35" s="28">
        <f>VLOOKUP(F35,F31:I40,2,FALSE)</f>
        <v>0</v>
      </c>
      <c r="N35" s="28"/>
      <c r="O35" s="28"/>
      <c r="P35" s="28">
        <f t="shared" si="16"/>
        <v>0</v>
      </c>
      <c r="Q35" s="28"/>
      <c r="R35" s="28"/>
      <c r="S35" s="478">
        <f t="shared" si="14"/>
        <v>0</v>
      </c>
      <c r="T35" s="28"/>
      <c r="U35" s="28"/>
      <c r="V35" s="28"/>
      <c r="W35" s="28"/>
      <c r="X35" s="28"/>
      <c r="Y35" s="28"/>
      <c r="Z35" s="28"/>
      <c r="AA35" s="28"/>
      <c r="AC35" s="1"/>
      <c r="AJ35" s="478">
        <f>'الأجـــازة للوصايا'!I140</f>
        <v>0</v>
      </c>
    </row>
    <row r="36" spans="5:36" hidden="1">
      <c r="E36">
        <f>L36+SUM(L31:L35)</f>
        <v>0</v>
      </c>
      <c r="F36" s="1">
        <f>'الأجـــازة للوصايا'!J141</f>
        <v>-4</v>
      </c>
      <c r="G36" s="478">
        <f>'الأجـــازة للوصايا'!H141</f>
        <v>0</v>
      </c>
      <c r="I36" s="478">
        <f>'الأجـــازة للوصايا'!J141</f>
        <v>-4</v>
      </c>
      <c r="J36" s="28">
        <f>IF(F36&gt;1, G36,0)</f>
        <v>0</v>
      </c>
      <c r="K36" t="e">
        <f>VLOOKUP(6,E31:J42,3,FALSE)</f>
        <v>#N/A</v>
      </c>
      <c r="L36" s="28">
        <f t="shared" si="15"/>
        <v>0</v>
      </c>
      <c r="M36" s="28"/>
      <c r="N36" s="28"/>
      <c r="O36" s="28"/>
      <c r="P36" s="28">
        <f t="shared" si="16"/>
        <v>0</v>
      </c>
      <c r="Q36" s="28"/>
      <c r="R36" s="28"/>
      <c r="S36" s="478">
        <f t="shared" si="14"/>
        <v>0</v>
      </c>
      <c r="T36" s="28"/>
      <c r="U36" s="28"/>
      <c r="V36" s="28"/>
      <c r="W36" s="28"/>
      <c r="X36" s="28"/>
      <c r="Y36" s="28"/>
      <c r="Z36" s="28"/>
      <c r="AA36" s="28"/>
      <c r="AC36" s="1"/>
      <c r="AJ36" s="478">
        <f>'الأجـــازة للوصايا'!I141</f>
        <v>0</v>
      </c>
    </row>
    <row r="37" spans="5:36" hidden="1">
      <c r="E37">
        <f>L37+SUM(L31:L36)</f>
        <v>0</v>
      </c>
      <c r="F37" s="1">
        <f>'الأجـــازة للوصايا'!J142</f>
        <v>-5</v>
      </c>
      <c r="G37" s="478">
        <f>'الأجـــازة للوصايا'!H142</f>
        <v>0</v>
      </c>
      <c r="I37" s="478">
        <f>'الأجـــازة للوصايا'!J142</f>
        <v>-5</v>
      </c>
      <c r="J37" s="28">
        <f>IF(F37&gt;1,#REF!,0)</f>
        <v>0</v>
      </c>
      <c r="K37" t="e">
        <f>VLOOKUP(7,E31:J42,3,FALSE)</f>
        <v>#N/A</v>
      </c>
      <c r="L37" s="28">
        <f t="shared" si="15"/>
        <v>0</v>
      </c>
      <c r="M37" s="28"/>
      <c r="N37" s="28"/>
      <c r="O37" s="28"/>
      <c r="P37" s="28">
        <f t="shared" si="16"/>
        <v>0</v>
      </c>
      <c r="Q37" s="28"/>
      <c r="R37" s="28"/>
      <c r="S37" s="478">
        <f t="shared" si="14"/>
        <v>0</v>
      </c>
      <c r="T37" s="28"/>
      <c r="U37" s="28"/>
      <c r="V37" s="28"/>
      <c r="W37" s="28"/>
      <c r="X37" s="28"/>
      <c r="Y37" s="28"/>
      <c r="Z37" s="28"/>
      <c r="AA37" s="28"/>
      <c r="AC37" s="1"/>
      <c r="AJ37" s="478">
        <f>'الأجـــازة للوصايا'!I142</f>
        <v>0</v>
      </c>
    </row>
    <row r="38" spans="5:36" hidden="1">
      <c r="E38">
        <f>L38+SUM(L31:L37)</f>
        <v>0</v>
      </c>
      <c r="F38" s="1">
        <f>'الأجـــازة للوصايا'!J143</f>
        <v>-6</v>
      </c>
      <c r="G38" s="478">
        <f>'الأجـــازة للوصايا'!H143</f>
        <v>0</v>
      </c>
      <c r="I38" s="478">
        <f>'الأجـــازة للوصايا'!J143</f>
        <v>-6</v>
      </c>
      <c r="J38" s="28">
        <f>IF(F38&gt;1,#REF!,0)</f>
        <v>0</v>
      </c>
      <c r="K38" t="e">
        <f>VLOOKUP(8,E31:J42,3,FALSE)</f>
        <v>#N/A</v>
      </c>
      <c r="L38" s="28">
        <f t="shared" si="15"/>
        <v>0</v>
      </c>
      <c r="M38" s="28"/>
      <c r="N38" s="28"/>
      <c r="O38" s="28"/>
      <c r="P38" s="28">
        <f t="shared" si="16"/>
        <v>0</v>
      </c>
      <c r="Q38" s="28"/>
      <c r="R38" s="28"/>
      <c r="S38" s="478">
        <f t="shared" si="14"/>
        <v>0</v>
      </c>
      <c r="T38" s="28"/>
      <c r="U38" s="28"/>
      <c r="V38" s="28"/>
      <c r="W38" s="28"/>
      <c r="X38" s="28"/>
      <c r="Y38" s="28"/>
      <c r="Z38" s="28"/>
      <c r="AA38" s="28"/>
      <c r="AC38" s="1"/>
      <c r="AJ38" s="478">
        <f>'الأجـــازة للوصايا'!I143</f>
        <v>0</v>
      </c>
    </row>
    <row r="39" spans="5:36" hidden="1">
      <c r="E39">
        <f>L39+SUM(L30:L38)</f>
        <v>0</v>
      </c>
      <c r="F39" s="1">
        <f>'الأجـــازة للوصايا'!J144</f>
        <v>-7</v>
      </c>
      <c r="G39" s="478">
        <f>'الأجـــازة للوصايا'!H144</f>
        <v>0</v>
      </c>
      <c r="I39" s="478">
        <f>'الأجـــازة للوصايا'!J144</f>
        <v>-7</v>
      </c>
      <c r="J39" s="28">
        <f>IF(F39&gt;1,#REF!,0)</f>
        <v>0</v>
      </c>
      <c r="K39" t="e">
        <f>VLOOKUP(9,E31:J42,3,FALSE)</f>
        <v>#N/A</v>
      </c>
      <c r="L39" s="28">
        <f t="shared" si="15"/>
        <v>0</v>
      </c>
      <c r="M39" s="28"/>
      <c r="N39" s="28"/>
      <c r="O39" s="28"/>
      <c r="P39" s="28">
        <f t="shared" si="16"/>
        <v>0</v>
      </c>
      <c r="Q39" s="28"/>
      <c r="R39" s="28"/>
      <c r="S39" s="478">
        <f t="shared" si="14"/>
        <v>0</v>
      </c>
      <c r="T39" s="28"/>
      <c r="U39" s="28"/>
      <c r="V39" s="28"/>
      <c r="W39" s="28"/>
      <c r="X39" s="28"/>
      <c r="Y39" s="28"/>
      <c r="Z39" s="28"/>
      <c r="AA39" s="28"/>
      <c r="AC39" s="1"/>
      <c r="AJ39" s="478">
        <f>'الأجـــازة للوصايا'!I144</f>
        <v>0</v>
      </c>
    </row>
    <row r="40" spans="5:36" hidden="1">
      <c r="E40">
        <f>L40+SUM(L31:L40)</f>
        <v>0</v>
      </c>
      <c r="F40" s="1">
        <f>'الأجـــازة للوصايا'!J145</f>
        <v>-8</v>
      </c>
      <c r="G40" s="478">
        <f>'الأجـــازة للوصايا'!H145</f>
        <v>0</v>
      </c>
      <c r="I40" s="478">
        <f>'الأجـــازة للوصايا'!J145</f>
        <v>-8</v>
      </c>
      <c r="J40" s="28"/>
      <c r="K40" t="e">
        <f>VLOOKUP(E40,H40:J51,3,FALSE)</f>
        <v>#N/A</v>
      </c>
      <c r="L40" s="28">
        <f t="shared" si="15"/>
        <v>0</v>
      </c>
      <c r="M40" s="28"/>
      <c r="N40" s="28"/>
      <c r="O40" s="28"/>
      <c r="P40" s="28">
        <f t="shared" si="16"/>
        <v>0</v>
      </c>
      <c r="Q40" s="28"/>
      <c r="R40" s="28"/>
      <c r="S40" s="478">
        <f t="shared" si="14"/>
        <v>0</v>
      </c>
      <c r="T40" s="28"/>
      <c r="U40" s="28"/>
      <c r="V40" s="28"/>
      <c r="W40" s="28"/>
      <c r="X40" s="28"/>
      <c r="Y40" s="28"/>
      <c r="Z40" s="28"/>
      <c r="AA40" s="28"/>
      <c r="AC40" s="1"/>
      <c r="AJ40" s="478">
        <f>'الأجـــازة للوصايا'!I145</f>
        <v>0</v>
      </c>
    </row>
    <row r="41" spans="5:36" hidden="1">
      <c r="E41">
        <f>L41+SUM(L30:L41)</f>
        <v>0</v>
      </c>
      <c r="F41" s="1">
        <f>'الأجـــازة للوصايا'!J146</f>
        <v>-9</v>
      </c>
      <c r="G41" s="478">
        <f>'الأجـــازة للوصايا'!H146</f>
        <v>0</v>
      </c>
      <c r="I41" s="478">
        <f>'الأجـــازة للوصايا'!J146</f>
        <v>-9</v>
      </c>
      <c r="J41" s="28"/>
      <c r="K41" t="e">
        <f>VLOOKUP(E41,H41:J52,3,FALSE)</f>
        <v>#N/A</v>
      </c>
      <c r="L41" s="28">
        <f t="shared" si="15"/>
        <v>0</v>
      </c>
      <c r="M41" s="28"/>
      <c r="N41" s="28"/>
      <c r="O41" s="28"/>
      <c r="P41" s="28">
        <f t="shared" si="16"/>
        <v>0</v>
      </c>
      <c r="Q41" s="28"/>
      <c r="R41" s="28"/>
      <c r="S41" s="478">
        <f t="shared" si="14"/>
        <v>0</v>
      </c>
      <c r="T41" s="28"/>
      <c r="U41" s="28"/>
      <c r="V41" s="28"/>
      <c r="W41" s="28"/>
      <c r="X41" s="28"/>
      <c r="Y41" s="28"/>
      <c r="Z41" s="28"/>
      <c r="AA41" s="28"/>
      <c r="AC41" s="1"/>
      <c r="AJ41" s="478">
        <f>'الأجـــازة للوصايا'!I146</f>
        <v>0</v>
      </c>
    </row>
    <row r="42" spans="5:36" hidden="1">
      <c r="E42">
        <f>L42+SUM(L41)</f>
        <v>0</v>
      </c>
      <c r="F42" s="1">
        <f>'الأجـــازة للوصايا'!J147</f>
        <v>-10</v>
      </c>
      <c r="G42" s="478">
        <f>'الأجـــازة للوصايا'!H147</f>
        <v>0</v>
      </c>
      <c r="I42" s="478">
        <f>'الأجـــازة للوصايا'!J147</f>
        <v>-10</v>
      </c>
      <c r="J42" s="28"/>
      <c r="K42" t="e">
        <f>VLOOKUP(E42,H42:J53,3,FALSE)</f>
        <v>#N/A</v>
      </c>
      <c r="L42" s="28">
        <f t="shared" si="15"/>
        <v>0</v>
      </c>
      <c r="M42" s="28"/>
      <c r="N42" s="28"/>
      <c r="O42" s="28"/>
      <c r="P42" s="28">
        <f t="shared" si="16"/>
        <v>0</v>
      </c>
      <c r="Q42" s="28"/>
      <c r="R42" s="28"/>
      <c r="S42" s="478">
        <f t="shared" si="14"/>
        <v>0</v>
      </c>
      <c r="T42" s="28"/>
      <c r="U42" s="28"/>
      <c r="V42" s="28"/>
      <c r="W42" s="28"/>
      <c r="X42" s="28"/>
      <c r="Y42" s="28"/>
      <c r="Z42" s="28"/>
      <c r="AA42" s="28"/>
      <c r="AC42" s="1"/>
      <c r="AJ42" s="478">
        <f>'الأجـــازة للوصايا'!I147</f>
        <v>0</v>
      </c>
    </row>
    <row r="43" spans="5:36" hidden="1">
      <c r="E43">
        <f>L43+L42</f>
        <v>0</v>
      </c>
      <c r="G43" s="28"/>
      <c r="I43" s="28"/>
      <c r="J43" s="28"/>
      <c r="L43" s="28"/>
      <c r="M43" s="28"/>
      <c r="N43" s="28"/>
      <c r="O43" s="28"/>
      <c r="P43" s="28">
        <f t="shared" si="16"/>
        <v>0</v>
      </c>
      <c r="Q43" s="28"/>
      <c r="R43" s="28"/>
      <c r="S43" s="478">
        <f t="shared" si="14"/>
        <v>0</v>
      </c>
      <c r="T43" s="28"/>
      <c r="U43" s="28"/>
      <c r="V43" s="28"/>
      <c r="W43" s="28"/>
      <c r="X43" s="28"/>
      <c r="Y43" s="28"/>
      <c r="Z43" s="28"/>
      <c r="AA43" s="28"/>
      <c r="AC43" s="1"/>
    </row>
    <row r="44" spans="5:36">
      <c r="E44" s="28"/>
      <c r="G44" s="28"/>
      <c r="I44" s="28"/>
      <c r="J44" s="28"/>
      <c r="K44" s="28"/>
      <c r="L44" s="28"/>
      <c r="M44" s="28"/>
      <c r="N44" s="28"/>
      <c r="O44" s="28"/>
      <c r="P44" s="28">
        <f t="shared" si="16"/>
        <v>0</v>
      </c>
      <c r="Q44" s="28"/>
      <c r="R44" s="28"/>
      <c r="S44" s="478">
        <f t="shared" si="14"/>
        <v>0</v>
      </c>
      <c r="T44" s="28"/>
      <c r="U44" s="28"/>
      <c r="V44" s="28"/>
      <c r="W44" s="28"/>
      <c r="X44" s="28"/>
      <c r="Y44" s="28"/>
      <c r="Z44" s="28"/>
      <c r="AA44" s="28"/>
      <c r="AC44" s="1"/>
    </row>
    <row r="45" spans="5:36">
      <c r="E45" s="28"/>
      <c r="G45" s="28"/>
      <c r="I45" s="28"/>
      <c r="J45" s="28"/>
      <c r="K45" s="28"/>
      <c r="L45" s="28"/>
      <c r="M45" s="28"/>
      <c r="N45" s="28"/>
      <c r="O45" s="28"/>
      <c r="P45" s="28"/>
      <c r="Q45" s="28"/>
      <c r="R45" s="28"/>
      <c r="S45" s="478">
        <f t="shared" si="14"/>
        <v>0</v>
      </c>
      <c r="T45" s="28"/>
      <c r="U45" s="28"/>
      <c r="V45" s="28"/>
      <c r="W45" s="28"/>
      <c r="X45" s="28"/>
      <c r="Y45" s="28"/>
      <c r="Z45" s="28"/>
      <c r="AA45" s="28"/>
      <c r="AC45" s="1"/>
    </row>
    <row r="46" spans="5:36">
      <c r="G46" s="28"/>
      <c r="H46" s="28"/>
      <c r="I46" s="28"/>
      <c r="J46" s="28"/>
      <c r="K46" s="28"/>
      <c r="L46" s="28"/>
      <c r="M46" s="28"/>
      <c r="N46" s="28"/>
      <c r="O46" s="28"/>
      <c r="P46" s="28"/>
      <c r="Q46" s="28"/>
      <c r="R46" s="28"/>
      <c r="S46" s="478">
        <f t="shared" si="14"/>
        <v>0</v>
      </c>
      <c r="T46" s="28"/>
      <c r="U46" s="28"/>
      <c r="V46" s="28"/>
      <c r="W46" s="28"/>
      <c r="X46" s="28"/>
      <c r="Y46" s="28"/>
      <c r="Z46" s="28"/>
      <c r="AA46" s="28"/>
      <c r="AC46" s="1"/>
    </row>
    <row r="47" spans="5:36" ht="21.75" hidden="1" thickTop="1">
      <c r="G47" s="28"/>
      <c r="H47" s="28"/>
      <c r="I47" s="28"/>
      <c r="J47" s="28"/>
      <c r="K47" s="28"/>
      <c r="L47" s="28"/>
      <c r="M47" s="556" t="s">
        <v>742</v>
      </c>
      <c r="N47" s="494"/>
      <c r="O47" s="557" t="s">
        <v>114</v>
      </c>
      <c r="P47" s="28"/>
      <c r="Q47" s="28"/>
      <c r="R47" s="28"/>
      <c r="S47" s="478">
        <f t="shared" si="14"/>
        <v>0</v>
      </c>
      <c r="T47" s="28"/>
      <c r="U47" s="28"/>
      <c r="V47" s="28"/>
      <c r="W47" s="28"/>
      <c r="X47" s="28"/>
      <c r="Y47" s="28"/>
      <c r="Z47" s="28"/>
      <c r="AA47" s="28"/>
      <c r="AC47" s="1"/>
    </row>
    <row r="48" spans="5:36" ht="15.75" hidden="1">
      <c r="G48" s="28"/>
      <c r="H48" s="28"/>
      <c r="I48" s="28"/>
      <c r="J48" s="28"/>
      <c r="K48" s="28"/>
      <c r="L48" s="28"/>
      <c r="M48" s="476" t="s">
        <v>745</v>
      </c>
      <c r="N48" s="28"/>
      <c r="O48" s="524">
        <v>1</v>
      </c>
      <c r="P48" s="28"/>
      <c r="Q48" s="28"/>
      <c r="R48" s="28"/>
      <c r="S48" s="28"/>
      <c r="U48" s="28"/>
      <c r="V48" s="28"/>
      <c r="W48" s="28"/>
      <c r="X48" s="28"/>
      <c r="Y48" s="28"/>
      <c r="Z48" s="28"/>
      <c r="AA48" s="28"/>
      <c r="AC48" s="1"/>
    </row>
    <row r="49" spans="7:36" ht="15.75" hidden="1">
      <c r="G49" s="28"/>
      <c r="H49" s="28"/>
      <c r="I49" s="28"/>
      <c r="J49" s="28"/>
      <c r="K49" s="28"/>
      <c r="L49" s="28"/>
      <c r="M49" s="497" t="s">
        <v>746</v>
      </c>
      <c r="N49" s="28"/>
      <c r="O49" s="524">
        <v>1</v>
      </c>
      <c r="P49" s="28"/>
      <c r="Q49" s="28"/>
      <c r="R49" s="28"/>
      <c r="S49" s="28"/>
      <c r="T49" s="28"/>
      <c r="U49" s="28"/>
      <c r="V49" s="28"/>
      <c r="W49" s="28"/>
      <c r="X49" s="28"/>
      <c r="Y49" s="28"/>
      <c r="Z49" s="28"/>
      <c r="AA49" s="28"/>
      <c r="AC49" s="1"/>
    </row>
    <row r="50" spans="7:36" hidden="1">
      <c r="G50" s="28"/>
      <c r="H50" s="28"/>
      <c r="I50" s="28"/>
      <c r="J50" s="28"/>
      <c r="K50" s="28"/>
      <c r="L50" s="28"/>
      <c r="M50" s="28"/>
      <c r="N50" s="28"/>
      <c r="O50" s="28"/>
      <c r="P50" s="28"/>
      <c r="Q50" s="28"/>
      <c r="R50" s="28"/>
      <c r="S50" s="28"/>
      <c r="T50" s="28"/>
      <c r="U50" s="28"/>
      <c r="V50" s="28"/>
      <c r="W50" s="28"/>
      <c r="X50" s="28"/>
      <c r="Y50" s="28"/>
      <c r="Z50" s="28"/>
      <c r="AA50" s="28"/>
      <c r="AC50" s="1"/>
    </row>
    <row r="51" spans="7:36" hidden="1">
      <c r="G51" s="28"/>
      <c r="H51" s="28"/>
      <c r="I51" s="28"/>
      <c r="J51" s="28"/>
      <c r="K51" s="28"/>
      <c r="L51" s="28"/>
      <c r="M51" s="28"/>
      <c r="N51" s="28"/>
      <c r="O51" s="28"/>
      <c r="P51" s="28"/>
      <c r="Q51" s="28"/>
      <c r="R51" s="28"/>
      <c r="S51" s="28"/>
      <c r="T51" s="28"/>
      <c r="U51" s="28"/>
      <c r="V51" s="28"/>
      <c r="W51" s="28"/>
      <c r="X51" s="28"/>
      <c r="Y51" s="28"/>
      <c r="Z51" s="28"/>
      <c r="AA51" s="28"/>
      <c r="AC51" s="1"/>
    </row>
    <row r="52" spans="7:36" ht="19.5" hidden="1" thickTop="1">
      <c r="G52" s="28"/>
      <c r="H52" s="28"/>
      <c r="I52" s="28"/>
      <c r="J52" s="28"/>
      <c r="K52" s="28"/>
      <c r="L52" s="28"/>
      <c r="M52" s="552" t="s">
        <v>743</v>
      </c>
      <c r="N52" s="551"/>
      <c r="O52" s="570"/>
      <c r="P52" s="553">
        <v>0.33333333333333331</v>
      </c>
      <c r="Q52" s="494" t="s">
        <v>114</v>
      </c>
      <c r="R52" s="495" t="s">
        <v>114</v>
      </c>
      <c r="S52" s="495" t="s">
        <v>114</v>
      </c>
      <c r="T52" s="494" t="s">
        <v>114</v>
      </c>
      <c r="U52" s="495" t="s">
        <v>114</v>
      </c>
      <c r="V52" s="495" t="s">
        <v>114</v>
      </c>
      <c r="W52" s="563">
        <f>V4*U4*T4*S4</f>
        <v>1</v>
      </c>
      <c r="X52" s="494"/>
      <c r="Y52" s="494"/>
      <c r="Z52" s="494"/>
      <c r="AA52" s="494"/>
      <c r="AB52" s="495" t="e">
        <f>'الأجـــازة للوصايا'!J136*1/X12</f>
        <v>#DIV/0!</v>
      </c>
      <c r="AC52" s="496" t="s">
        <v>114</v>
      </c>
      <c r="AD52" s="494"/>
      <c r="AE52" s="554">
        <f>IF(P52=0,1,1/P52)</f>
        <v>3</v>
      </c>
      <c r="AF52" s="554">
        <f>ROUNDDOWN( R4,0)</f>
        <v>1</v>
      </c>
      <c r="AG52" s="554">
        <f>ROUNDDOWN(S4,0)</f>
        <v>1</v>
      </c>
      <c r="AH52" s="554">
        <f>ROUNDDOWN(T4,0)</f>
        <v>1</v>
      </c>
      <c r="AI52" s="555">
        <f>ROUNDDOWN(U4,0)</f>
        <v>1</v>
      </c>
      <c r="AJ52" s="555">
        <f>ROUNDDOWN(V4,0)</f>
        <v>1</v>
      </c>
    </row>
    <row r="53" spans="7:36" hidden="1">
      <c r="G53" s="28"/>
      <c r="H53" s="28"/>
      <c r="I53" s="28"/>
      <c r="J53" s="28"/>
      <c r="K53" s="28"/>
      <c r="L53" s="28"/>
      <c r="M53" s="28"/>
      <c r="N53" s="28"/>
      <c r="O53" s="28"/>
      <c r="P53" s="28"/>
      <c r="Q53" s="28"/>
      <c r="R53" s="28"/>
      <c r="S53" s="28"/>
      <c r="T53" s="28"/>
      <c r="U53" s="28"/>
      <c r="V53" s="28"/>
      <c r="W53" s="28"/>
      <c r="X53" s="28"/>
      <c r="Y53" s="28"/>
      <c r="Z53" s="28"/>
      <c r="AA53" s="28"/>
      <c r="AC53" s="1"/>
    </row>
    <row r="54" spans="7:36">
      <c r="G54" s="28"/>
      <c r="H54" s="28"/>
      <c r="I54" s="28"/>
      <c r="J54" s="28"/>
      <c r="K54" s="28"/>
      <c r="L54" s="28"/>
      <c r="M54" s="28"/>
      <c r="N54" s="28"/>
      <c r="O54" s="28"/>
      <c r="P54" s="28"/>
      <c r="Q54" s="28"/>
      <c r="R54" s="28"/>
      <c r="S54" s="28"/>
      <c r="T54" s="28"/>
      <c r="U54" s="28"/>
      <c r="V54" s="28"/>
      <c r="W54" s="28"/>
      <c r="X54" s="28"/>
      <c r="Y54" s="28"/>
      <c r="Z54" s="28"/>
      <c r="AA54" s="28"/>
      <c r="AC54" s="1"/>
    </row>
    <row r="55" spans="7:36">
      <c r="G55" s="28"/>
      <c r="H55" s="28"/>
      <c r="I55" s="28"/>
      <c r="J55" s="28"/>
      <c r="K55" s="28"/>
      <c r="L55" s="28"/>
      <c r="M55" s="28"/>
      <c r="N55" s="28"/>
      <c r="O55" s="28"/>
      <c r="P55" s="28"/>
      <c r="Q55" s="28"/>
      <c r="R55" s="28"/>
      <c r="S55" s="28"/>
      <c r="T55" s="28"/>
      <c r="U55" s="28"/>
      <c r="V55" s="28"/>
      <c r="W55" s="28"/>
      <c r="X55" s="28"/>
      <c r="Y55" s="28"/>
      <c r="Z55" s="28"/>
      <c r="AA55" s="28"/>
      <c r="AC55" s="1"/>
    </row>
    <row r="56" spans="7:36">
      <c r="G56" s="28"/>
      <c r="H56" s="28"/>
      <c r="I56" s="28"/>
      <c r="J56" s="28"/>
      <c r="K56" s="28"/>
      <c r="L56" s="28"/>
      <c r="M56" s="28"/>
      <c r="N56" s="28"/>
      <c r="O56" s="28"/>
      <c r="P56" s="28"/>
      <c r="Q56" s="28"/>
      <c r="R56" s="28"/>
      <c r="S56" s="28"/>
      <c r="T56" s="28"/>
      <c r="U56" s="28"/>
      <c r="V56" s="28"/>
      <c r="W56" s="28"/>
      <c r="X56" s="28"/>
      <c r="Y56" s="28"/>
      <c r="Z56" s="28"/>
      <c r="AA56" s="28"/>
      <c r="AC56" s="1"/>
    </row>
    <row r="57" spans="7:36">
      <c r="G57" s="28"/>
      <c r="H57" s="28"/>
      <c r="I57" s="28"/>
      <c r="J57" s="28"/>
      <c r="K57" s="28"/>
      <c r="L57" s="28"/>
      <c r="M57" s="28"/>
      <c r="N57" s="28"/>
      <c r="O57" s="28"/>
      <c r="P57" s="28"/>
      <c r="Q57" s="28"/>
      <c r="R57" s="28"/>
      <c r="S57" s="28"/>
      <c r="T57" s="28"/>
      <c r="U57" s="28"/>
      <c r="V57" s="28"/>
      <c r="W57" s="28"/>
      <c r="X57" s="28"/>
      <c r="Y57" s="28"/>
      <c r="Z57" s="28"/>
      <c r="AA57" s="28"/>
      <c r="AC57" s="1"/>
    </row>
    <row r="58" spans="7:36">
      <c r="G58" s="28"/>
      <c r="H58" s="28"/>
      <c r="I58" s="28"/>
      <c r="J58" s="28"/>
      <c r="K58" s="28"/>
      <c r="L58" s="28"/>
      <c r="M58" s="28"/>
      <c r="N58" s="28"/>
      <c r="O58" s="28"/>
      <c r="P58" s="28"/>
      <c r="Q58" s="28"/>
      <c r="R58" s="28"/>
      <c r="S58" s="28"/>
      <c r="T58" s="28"/>
      <c r="U58" s="28"/>
      <c r="V58" s="28"/>
      <c r="W58" s="28"/>
      <c r="X58" s="28"/>
      <c r="Y58" s="28"/>
      <c r="Z58" s="28"/>
      <c r="AA58" s="28"/>
      <c r="AC58" s="1"/>
    </row>
    <row r="59" spans="7:36">
      <c r="G59" s="28"/>
      <c r="H59" s="28"/>
      <c r="I59" s="28"/>
      <c r="J59" s="28"/>
      <c r="K59" s="28"/>
      <c r="L59" s="28"/>
      <c r="M59" s="28"/>
      <c r="N59" s="28"/>
      <c r="O59" s="28"/>
      <c r="P59" s="28"/>
      <c r="Q59" s="28"/>
      <c r="R59" s="28"/>
      <c r="S59" s="28"/>
      <c r="T59" s="28"/>
      <c r="U59" s="28"/>
      <c r="V59" s="28"/>
      <c r="W59" s="28"/>
      <c r="X59" s="28"/>
      <c r="Y59" s="28"/>
      <c r="Z59" s="28"/>
      <c r="AA59" s="28"/>
      <c r="AC59" s="1"/>
    </row>
    <row r="60" spans="7:36">
      <c r="G60" s="28"/>
      <c r="H60" s="28"/>
      <c r="I60" s="28"/>
      <c r="J60" s="28"/>
      <c r="K60" s="28"/>
      <c r="L60" s="28"/>
      <c r="M60" s="28"/>
      <c r="N60" s="28"/>
      <c r="O60" s="28"/>
      <c r="P60" s="28"/>
      <c r="Q60" s="28"/>
      <c r="R60" s="28"/>
      <c r="S60" s="28"/>
      <c r="T60" s="28"/>
      <c r="U60" s="28"/>
      <c r="V60" s="28"/>
      <c r="W60" s="28"/>
      <c r="X60" s="28"/>
      <c r="Y60" s="28"/>
      <c r="Z60" s="28"/>
      <c r="AA60" s="28"/>
      <c r="AC60" s="1"/>
    </row>
    <row r="61" spans="7:36">
      <c r="G61" s="28"/>
      <c r="H61" s="28"/>
      <c r="I61" s="28"/>
      <c r="J61" s="28"/>
      <c r="K61" s="28"/>
      <c r="L61" s="28"/>
      <c r="M61" s="28"/>
      <c r="N61" s="28"/>
      <c r="O61" s="28"/>
      <c r="P61" s="28"/>
      <c r="Q61" s="28"/>
      <c r="R61" s="28"/>
      <c r="S61" s="28"/>
      <c r="T61" s="28"/>
      <c r="U61" s="28"/>
      <c r="V61" s="28"/>
      <c r="W61" s="28"/>
      <c r="X61" s="28"/>
      <c r="Y61" s="28"/>
      <c r="Z61" s="28"/>
      <c r="AA61" s="28"/>
      <c r="AC61" s="1"/>
    </row>
    <row r="62" spans="7:36">
      <c r="G62" s="28"/>
      <c r="H62" s="28"/>
      <c r="I62" s="28"/>
      <c r="J62" s="28"/>
      <c r="K62" s="28"/>
      <c r="L62" s="28"/>
      <c r="M62" s="28"/>
      <c r="N62" s="28"/>
      <c r="O62" s="28"/>
      <c r="P62" s="28"/>
      <c r="Q62" s="28"/>
      <c r="R62" s="28"/>
      <c r="S62" s="28"/>
      <c r="T62" s="28"/>
      <c r="U62" s="28"/>
      <c r="V62" s="28"/>
      <c r="W62" s="28"/>
      <c r="X62" s="28"/>
      <c r="Y62" s="28"/>
      <c r="Z62" s="28"/>
      <c r="AA62" s="28"/>
      <c r="AC62" s="1"/>
    </row>
    <row r="63" spans="7:36">
      <c r="G63" s="28"/>
      <c r="H63" s="28"/>
      <c r="I63" s="28"/>
      <c r="J63" s="28"/>
      <c r="K63" s="28"/>
      <c r="L63" s="28"/>
      <c r="M63" s="28"/>
      <c r="N63" s="28"/>
      <c r="O63" s="28"/>
      <c r="P63" s="28"/>
      <c r="Q63" s="28"/>
      <c r="R63" s="28"/>
      <c r="S63" s="28"/>
      <c r="T63" s="28"/>
      <c r="U63" s="28"/>
      <c r="V63" s="28"/>
      <c r="W63" s="28"/>
      <c r="X63" s="28"/>
      <c r="Y63" s="28"/>
      <c r="Z63" s="28"/>
      <c r="AA63" s="28"/>
      <c r="AC63" s="1"/>
    </row>
    <row r="64" spans="7:36">
      <c r="G64" s="28"/>
      <c r="H64" s="28"/>
      <c r="I64" s="28"/>
      <c r="J64" s="28"/>
      <c r="K64" s="28"/>
      <c r="L64" s="28"/>
      <c r="M64" s="28"/>
      <c r="N64" s="28"/>
      <c r="O64" s="28"/>
      <c r="P64" s="28"/>
      <c r="Q64" s="28"/>
      <c r="R64" s="28"/>
      <c r="S64" s="28"/>
      <c r="T64" s="28"/>
      <c r="U64" s="28"/>
      <c r="V64" s="28"/>
      <c r="W64" s="28"/>
      <c r="X64" s="28"/>
      <c r="Y64" s="28"/>
      <c r="Z64" s="28"/>
      <c r="AA64" s="28"/>
      <c r="AC64" s="1"/>
    </row>
    <row r="65" spans="7:29">
      <c r="G65" s="28"/>
      <c r="H65" s="28"/>
      <c r="I65" s="28"/>
      <c r="J65" s="28"/>
      <c r="K65" s="28"/>
      <c r="L65" s="28"/>
      <c r="M65" s="28"/>
      <c r="N65" s="28"/>
      <c r="O65" s="28"/>
      <c r="P65" s="28"/>
      <c r="Q65" s="28"/>
      <c r="R65" s="28"/>
      <c r="S65" s="28"/>
      <c r="T65" s="28"/>
      <c r="U65" s="28"/>
      <c r="V65" s="28"/>
      <c r="W65" s="28"/>
      <c r="X65" s="28"/>
      <c r="Y65" s="28"/>
      <c r="Z65" s="28"/>
      <c r="AA65" s="28"/>
      <c r="AC65" s="1"/>
    </row>
    <row r="66" spans="7:29">
      <c r="G66" s="28"/>
      <c r="H66" s="28"/>
      <c r="I66" s="28"/>
      <c r="J66" s="28"/>
      <c r="K66" s="28"/>
      <c r="L66" s="28"/>
      <c r="M66" s="28"/>
      <c r="N66" s="28"/>
      <c r="O66" s="28"/>
      <c r="P66" s="28"/>
      <c r="Q66" s="28"/>
      <c r="R66" s="28"/>
      <c r="S66" s="28"/>
      <c r="T66" s="28"/>
      <c r="U66" s="28"/>
      <c r="V66" s="28"/>
      <c r="W66" s="28"/>
      <c r="X66" s="28"/>
      <c r="Y66" s="28"/>
      <c r="Z66" s="28"/>
      <c r="AA66" s="28"/>
      <c r="AC66" s="1"/>
    </row>
    <row r="67" spans="7:29">
      <c r="G67" s="28"/>
      <c r="H67" s="28"/>
      <c r="I67" s="28"/>
      <c r="J67" s="28"/>
      <c r="K67" s="28"/>
      <c r="L67" s="28"/>
      <c r="M67" s="28"/>
      <c r="N67" s="28"/>
      <c r="O67" s="28"/>
      <c r="P67" s="28"/>
      <c r="Q67" s="28"/>
      <c r="R67" s="28"/>
      <c r="S67" s="28"/>
      <c r="T67" s="28"/>
      <c r="U67" s="28"/>
      <c r="V67" s="28"/>
      <c r="W67" s="28"/>
      <c r="X67" s="28"/>
      <c r="Y67" s="28"/>
      <c r="Z67" s="28"/>
      <c r="AA67" s="28"/>
      <c r="AC67" s="1"/>
    </row>
    <row r="68" spans="7:29">
      <c r="G68" s="28"/>
      <c r="H68" s="28"/>
      <c r="I68" s="28"/>
      <c r="J68" s="28"/>
      <c r="K68" s="28"/>
      <c r="L68" s="28"/>
      <c r="M68" s="28"/>
      <c r="N68" s="28"/>
      <c r="O68" s="28"/>
      <c r="P68" s="28"/>
      <c r="Q68" s="28"/>
      <c r="R68" s="28"/>
      <c r="S68" s="28"/>
      <c r="T68" s="28"/>
      <c r="U68" s="28"/>
      <c r="V68" s="28"/>
      <c r="W68" s="28"/>
      <c r="X68" s="28"/>
      <c r="Y68" s="28"/>
      <c r="Z68" s="28"/>
      <c r="AA68" s="28"/>
      <c r="AC68" s="1"/>
    </row>
    <row r="69" spans="7:29">
      <c r="G69" s="28"/>
      <c r="H69" s="28"/>
      <c r="I69" s="28"/>
      <c r="J69" s="28"/>
      <c r="K69" s="28"/>
      <c r="L69" s="28"/>
      <c r="M69" s="28"/>
      <c r="N69" s="28"/>
      <c r="O69" s="28"/>
      <c r="P69" s="28"/>
      <c r="Q69" s="28"/>
      <c r="R69" s="28"/>
      <c r="S69" s="28"/>
      <c r="T69" s="28"/>
      <c r="U69" s="28"/>
      <c r="V69" s="28"/>
      <c r="W69" s="28"/>
      <c r="X69" s="28"/>
      <c r="Y69" s="28"/>
      <c r="Z69" s="28"/>
      <c r="AA69" s="28"/>
      <c r="AC69" s="1"/>
    </row>
    <row r="70" spans="7:29">
      <c r="G70" s="28"/>
      <c r="H70" s="28"/>
      <c r="I70" s="28"/>
      <c r="J70" s="28"/>
      <c r="K70" s="28"/>
      <c r="L70" s="28"/>
      <c r="M70" s="28"/>
      <c r="N70" s="28"/>
      <c r="O70" s="28"/>
      <c r="P70" s="28"/>
      <c r="Q70" s="28"/>
      <c r="R70" s="28"/>
      <c r="S70" s="28"/>
      <c r="T70" s="28"/>
      <c r="U70" s="28"/>
      <c r="V70" s="28"/>
      <c r="W70" s="28"/>
      <c r="X70" s="28"/>
      <c r="Y70" s="28"/>
      <c r="Z70" s="28"/>
      <c r="AA70" s="28"/>
      <c r="AC70" s="1"/>
    </row>
    <row r="71" spans="7:29">
      <c r="G71" s="28"/>
      <c r="H71" s="28"/>
      <c r="I71" s="28"/>
      <c r="J71" s="28"/>
      <c r="K71" s="28"/>
      <c r="L71" s="28"/>
      <c r="M71" s="28"/>
      <c r="N71" s="28"/>
      <c r="O71" s="28"/>
      <c r="P71" s="28"/>
      <c r="Q71" s="28"/>
      <c r="R71" s="28"/>
      <c r="S71" s="28"/>
      <c r="T71" s="28"/>
      <c r="U71" s="28"/>
      <c r="V71" s="28"/>
      <c r="W71" s="28"/>
      <c r="X71" s="28"/>
      <c r="Y71" s="28"/>
      <c r="Z71" s="28"/>
      <c r="AA71" s="28"/>
      <c r="AC71" s="1"/>
    </row>
    <row r="72" spans="7:29">
      <c r="G72" s="28"/>
      <c r="H72" s="28"/>
      <c r="I72" s="28"/>
      <c r="J72" s="28"/>
      <c r="K72" s="28"/>
      <c r="L72" s="28"/>
      <c r="M72" s="28"/>
      <c r="N72" s="28"/>
      <c r="O72" s="28"/>
      <c r="P72" s="28"/>
      <c r="Q72" s="28"/>
      <c r="R72" s="28"/>
      <c r="S72" s="28"/>
      <c r="T72" s="28"/>
      <c r="U72" s="28"/>
      <c r="V72" s="28"/>
      <c r="W72" s="28"/>
      <c r="X72" s="28"/>
      <c r="Y72" s="28"/>
      <c r="Z72" s="28"/>
      <c r="AA72" s="28"/>
      <c r="AC72" s="1"/>
    </row>
    <row r="73" spans="7:29">
      <c r="G73" s="28"/>
      <c r="H73" s="28"/>
      <c r="I73" s="28"/>
      <c r="J73" s="28"/>
      <c r="K73" s="28"/>
      <c r="L73" s="28"/>
      <c r="M73" s="28"/>
      <c r="N73" s="28"/>
      <c r="O73" s="28"/>
      <c r="P73" s="28"/>
      <c r="Q73" s="28"/>
      <c r="R73" s="28"/>
      <c r="S73" s="28"/>
      <c r="T73" s="28"/>
      <c r="U73" s="28"/>
      <c r="V73" s="28"/>
      <c r="W73" s="28"/>
      <c r="X73" s="28"/>
      <c r="Y73" s="28"/>
      <c r="Z73" s="28"/>
      <c r="AA73" s="28"/>
      <c r="AC73" s="1"/>
    </row>
    <row r="74" spans="7:29">
      <c r="G74" s="28"/>
      <c r="H74" s="28"/>
      <c r="I74" s="28"/>
      <c r="J74" s="28"/>
      <c r="K74" s="28"/>
      <c r="L74" s="28"/>
      <c r="M74" s="28"/>
      <c r="N74" s="28"/>
      <c r="O74" s="28"/>
      <c r="P74" s="28"/>
      <c r="Q74" s="28"/>
      <c r="R74" s="28"/>
      <c r="S74" s="28"/>
      <c r="T74" s="28"/>
      <c r="U74" s="28"/>
      <c r="V74" s="28"/>
      <c r="W74" s="28"/>
      <c r="X74" s="28"/>
      <c r="Y74" s="28"/>
      <c r="Z74" s="28"/>
      <c r="AA74" s="28"/>
      <c r="AC74" s="1"/>
    </row>
    <row r="75" spans="7:29">
      <c r="G75" s="28"/>
      <c r="H75" s="28"/>
      <c r="I75" s="28"/>
      <c r="J75" s="28"/>
      <c r="K75" s="28"/>
      <c r="L75" s="28"/>
      <c r="M75" s="28"/>
      <c r="N75" s="28"/>
      <c r="O75" s="28"/>
      <c r="P75" s="28"/>
      <c r="Q75" s="28"/>
      <c r="R75" s="28"/>
      <c r="S75" s="28"/>
      <c r="T75" s="28"/>
      <c r="U75" s="28"/>
      <c r="V75" s="28"/>
      <c r="W75" s="28"/>
      <c r="X75" s="28"/>
      <c r="Y75" s="28"/>
      <c r="Z75" s="28"/>
      <c r="AA75" s="28"/>
      <c r="AC75" s="1"/>
    </row>
    <row r="76" spans="7:29">
      <c r="G76" s="28"/>
      <c r="H76" s="28"/>
      <c r="I76" s="28"/>
      <c r="J76" s="28"/>
      <c r="K76" s="28"/>
      <c r="L76" s="28"/>
      <c r="M76" s="28"/>
      <c r="N76" s="28"/>
      <c r="O76" s="28"/>
      <c r="P76" s="28"/>
      <c r="Q76" s="28"/>
      <c r="R76" s="28"/>
      <c r="S76" s="28"/>
      <c r="T76" s="28"/>
      <c r="U76" s="28"/>
      <c r="V76" s="28"/>
      <c r="W76" s="28"/>
      <c r="X76" s="28"/>
      <c r="Y76" s="28"/>
      <c r="Z76" s="28"/>
      <c r="AA76" s="28"/>
      <c r="AC76" s="1"/>
    </row>
    <row r="77" spans="7:29">
      <c r="G77" s="28"/>
      <c r="H77" s="28"/>
      <c r="I77" s="28"/>
      <c r="J77" s="28"/>
      <c r="K77" s="28"/>
      <c r="L77" s="28"/>
      <c r="M77" s="28"/>
      <c r="N77" s="28"/>
      <c r="O77" s="28"/>
      <c r="P77" s="28"/>
      <c r="Q77" s="28"/>
      <c r="R77" s="28"/>
      <c r="S77" s="28"/>
      <c r="T77" s="28"/>
      <c r="U77" s="28"/>
      <c r="V77" s="28"/>
      <c r="W77" s="28"/>
      <c r="X77" s="28"/>
      <c r="Y77" s="28"/>
      <c r="Z77" s="28"/>
      <c r="AA77" s="28"/>
      <c r="AC77" s="1"/>
    </row>
    <row r="78" spans="7:29">
      <c r="G78" s="28"/>
      <c r="H78" s="28"/>
      <c r="I78" s="28"/>
      <c r="J78" s="28"/>
      <c r="K78" s="28"/>
      <c r="L78" s="28"/>
      <c r="M78" s="28"/>
      <c r="N78" s="28"/>
      <c r="O78" s="28"/>
      <c r="P78" s="28"/>
      <c r="Q78" s="28"/>
      <c r="R78" s="28"/>
      <c r="S78" s="28"/>
      <c r="T78" s="28"/>
      <c r="U78" s="28"/>
      <c r="V78" s="28"/>
      <c r="W78" s="28"/>
      <c r="X78" s="28"/>
      <c r="Y78" s="28"/>
      <c r="Z78" s="28"/>
      <c r="AA78" s="28"/>
      <c r="AC78" s="1"/>
    </row>
    <row r="79" spans="7:29">
      <c r="G79" s="28"/>
      <c r="H79" s="28"/>
      <c r="I79" s="28"/>
      <c r="J79" s="28"/>
      <c r="K79" s="28"/>
      <c r="L79" s="28"/>
      <c r="M79" s="28"/>
      <c r="N79" s="28"/>
      <c r="O79" s="28"/>
      <c r="P79" s="28"/>
      <c r="Q79" s="28"/>
      <c r="R79" s="28"/>
      <c r="S79" s="28"/>
      <c r="T79" s="28"/>
      <c r="U79" s="28"/>
      <c r="V79" s="28"/>
      <c r="W79" s="28"/>
      <c r="X79" s="28"/>
      <c r="Y79" s="28"/>
      <c r="Z79" s="28"/>
      <c r="AA79" s="28"/>
      <c r="AC79" s="1"/>
    </row>
    <row r="80" spans="7:29">
      <c r="G80" s="28"/>
      <c r="H80" s="28"/>
      <c r="I80" s="28"/>
      <c r="J80" s="28"/>
      <c r="K80" s="28"/>
      <c r="L80" s="28"/>
      <c r="M80" s="28"/>
      <c r="N80" s="28"/>
      <c r="O80" s="28"/>
      <c r="P80" s="28"/>
      <c r="Q80" s="28"/>
      <c r="R80" s="28"/>
      <c r="S80" s="28"/>
      <c r="T80" s="28"/>
      <c r="U80" s="28"/>
      <c r="V80" s="28"/>
      <c r="W80" s="28"/>
      <c r="X80" s="28"/>
      <c r="Y80" s="28"/>
      <c r="Z80" s="28"/>
      <c r="AA80" s="28"/>
      <c r="AC80" s="1"/>
    </row>
    <row r="81" spans="7:29">
      <c r="G81" s="28"/>
      <c r="H81" s="28"/>
      <c r="I81" s="28"/>
      <c r="J81" s="28"/>
      <c r="K81" s="28"/>
      <c r="L81" s="28"/>
      <c r="M81" s="28"/>
      <c r="N81" s="28"/>
      <c r="O81" s="28"/>
      <c r="P81" s="28"/>
      <c r="Q81" s="28"/>
      <c r="R81" s="28"/>
      <c r="S81" s="28"/>
      <c r="T81" s="28"/>
      <c r="U81" s="28"/>
      <c r="V81" s="28"/>
      <c r="W81" s="28"/>
      <c r="X81" s="28"/>
      <c r="Y81" s="28"/>
      <c r="Z81" s="28"/>
      <c r="AA81" s="28"/>
      <c r="AC81" s="1"/>
    </row>
    <row r="82" spans="7:29">
      <c r="G82" s="28"/>
      <c r="H82" s="28"/>
      <c r="I82" s="28"/>
      <c r="J82" s="28"/>
      <c r="K82" s="28"/>
      <c r="L82" s="28"/>
      <c r="M82" s="28"/>
      <c r="N82" s="28"/>
      <c r="O82" s="28"/>
      <c r="P82" s="28"/>
      <c r="Q82" s="28"/>
      <c r="R82" s="28"/>
      <c r="S82" s="28"/>
      <c r="T82" s="28"/>
      <c r="U82" s="28"/>
      <c r="V82" s="28"/>
      <c r="W82" s="28"/>
      <c r="X82" s="28"/>
      <c r="Y82" s="28"/>
      <c r="Z82" s="28"/>
      <c r="AA82" s="28"/>
      <c r="AC82" s="1"/>
    </row>
    <row r="83" spans="7:29">
      <c r="G83" s="28"/>
      <c r="H83" s="28"/>
      <c r="I83" s="28"/>
      <c r="J83" s="28"/>
      <c r="K83" s="28"/>
      <c r="L83" s="28"/>
      <c r="M83" s="28"/>
      <c r="N83" s="28"/>
      <c r="O83" s="28"/>
      <c r="P83" s="28"/>
      <c r="Q83" s="28"/>
      <c r="R83" s="28"/>
      <c r="S83" s="28"/>
      <c r="T83" s="28"/>
      <c r="U83" s="28"/>
      <c r="V83" s="28"/>
      <c r="W83" s="28"/>
      <c r="X83" s="28"/>
      <c r="Y83" s="28"/>
      <c r="Z83" s="28"/>
      <c r="AA83" s="28"/>
      <c r="AC83" s="1"/>
    </row>
    <row r="84" spans="7:29">
      <c r="G84" s="28"/>
      <c r="H84" s="28"/>
      <c r="I84" s="28"/>
      <c r="J84" s="28"/>
      <c r="K84" s="28"/>
      <c r="L84" s="28"/>
      <c r="M84" s="28"/>
      <c r="N84" s="28"/>
      <c r="O84" s="28"/>
      <c r="P84" s="28"/>
      <c r="Q84" s="28"/>
      <c r="R84" s="28"/>
      <c r="S84" s="28"/>
      <c r="T84" s="28"/>
      <c r="U84" s="28"/>
      <c r="V84" s="28"/>
      <c r="W84" s="28"/>
      <c r="X84" s="28"/>
      <c r="Y84" s="28"/>
      <c r="Z84" s="28"/>
      <c r="AA84" s="28"/>
      <c r="AC84" s="1"/>
    </row>
    <row r="85" spans="7:29">
      <c r="G85" s="28"/>
      <c r="H85" s="28"/>
      <c r="I85" s="28"/>
      <c r="J85" s="28"/>
      <c r="K85" s="28"/>
      <c r="L85" s="28"/>
      <c r="M85" s="28"/>
      <c r="N85" s="28"/>
      <c r="O85" s="28"/>
      <c r="P85" s="28"/>
      <c r="Q85" s="28"/>
      <c r="R85" s="28"/>
      <c r="S85" s="28"/>
      <c r="T85" s="28"/>
      <c r="U85" s="28"/>
      <c r="V85" s="28"/>
      <c r="W85" s="28"/>
      <c r="X85" s="28"/>
      <c r="Y85" s="28"/>
      <c r="Z85" s="28"/>
      <c r="AA85" s="28"/>
      <c r="AC85" s="1"/>
    </row>
    <row r="86" spans="7:29">
      <c r="G86" s="28"/>
      <c r="H86" s="28"/>
      <c r="I86" s="28"/>
      <c r="J86" s="28"/>
      <c r="K86" s="28"/>
      <c r="L86" s="28"/>
      <c r="M86" s="28"/>
      <c r="N86" s="28"/>
      <c r="O86" s="28"/>
      <c r="P86" s="28"/>
      <c r="Q86" s="28"/>
      <c r="R86" s="28"/>
      <c r="S86" s="28"/>
      <c r="T86" s="28"/>
      <c r="U86" s="28"/>
      <c r="V86" s="28"/>
      <c r="W86" s="28"/>
      <c r="X86" s="28"/>
      <c r="Y86" s="28"/>
      <c r="Z86" s="28"/>
      <c r="AA86" s="28"/>
      <c r="AC86" s="1"/>
    </row>
    <row r="87" spans="7:29">
      <c r="G87" s="28"/>
      <c r="H87" s="28"/>
      <c r="I87" s="28"/>
      <c r="J87" s="28"/>
      <c r="K87" s="28"/>
      <c r="L87" s="28"/>
      <c r="M87" s="28"/>
      <c r="N87" s="28"/>
      <c r="O87" s="28"/>
      <c r="P87" s="28"/>
      <c r="Q87" s="28"/>
      <c r="R87" s="28"/>
      <c r="S87" s="28"/>
      <c r="T87" s="28"/>
      <c r="U87" s="28"/>
      <c r="V87" s="28"/>
      <c r="W87" s="28"/>
      <c r="X87" s="28"/>
      <c r="Y87" s="28"/>
      <c r="Z87" s="28"/>
      <c r="AA87" s="28"/>
      <c r="AC87" s="1"/>
    </row>
    <row r="88" spans="7:29">
      <c r="G88" s="28"/>
      <c r="H88" s="28"/>
      <c r="I88" s="28"/>
      <c r="J88" s="28"/>
      <c r="K88" s="28"/>
      <c r="L88" s="28"/>
      <c r="M88" s="28"/>
      <c r="N88" s="28"/>
      <c r="O88" s="28"/>
      <c r="P88" s="28"/>
      <c r="Q88" s="28"/>
      <c r="R88" s="28"/>
      <c r="S88" s="28"/>
      <c r="T88" s="28"/>
      <c r="U88" s="28"/>
      <c r="V88" s="28"/>
      <c r="W88" s="28"/>
      <c r="X88" s="28"/>
      <c r="Y88" s="28"/>
      <c r="Z88" s="28"/>
      <c r="AA88" s="28"/>
      <c r="AC88" s="1"/>
    </row>
    <row r="89" spans="7:29">
      <c r="G89" s="28"/>
      <c r="H89" s="28"/>
      <c r="I89" s="28"/>
      <c r="J89" s="28"/>
      <c r="K89" s="28"/>
      <c r="L89" s="28"/>
      <c r="M89" s="28"/>
      <c r="N89" s="28"/>
      <c r="O89" s="28"/>
      <c r="P89" s="28"/>
      <c r="Q89" s="28"/>
      <c r="R89" s="28"/>
      <c r="S89" s="28"/>
      <c r="T89" s="28"/>
      <c r="U89" s="28"/>
      <c r="V89" s="28"/>
      <c r="W89" s="28"/>
      <c r="X89" s="28"/>
      <c r="Y89" s="28"/>
      <c r="Z89" s="28"/>
      <c r="AA89" s="28"/>
      <c r="AC89" s="1"/>
    </row>
    <row r="90" spans="7:29">
      <c r="G90" s="28"/>
      <c r="H90" s="28"/>
      <c r="I90" s="28"/>
      <c r="J90" s="28"/>
      <c r="K90" s="28"/>
      <c r="L90" s="28"/>
      <c r="M90" s="28"/>
      <c r="N90" s="28"/>
      <c r="O90" s="28"/>
      <c r="P90" s="28"/>
      <c r="Q90" s="28"/>
      <c r="R90" s="28"/>
      <c r="S90" s="28"/>
      <c r="T90" s="28"/>
      <c r="U90" s="28"/>
      <c r="V90" s="28"/>
      <c r="W90" s="28"/>
      <c r="X90" s="28"/>
      <c r="Y90" s="28"/>
      <c r="Z90" s="28"/>
      <c r="AA90" s="28"/>
      <c r="AC90" s="1"/>
    </row>
    <row r="91" spans="7:29">
      <c r="G91" s="28"/>
      <c r="H91" s="28"/>
      <c r="I91" s="28"/>
      <c r="J91" s="28"/>
      <c r="K91" s="28"/>
      <c r="L91" s="28"/>
      <c r="M91" s="28"/>
      <c r="N91" s="28"/>
      <c r="O91" s="28"/>
      <c r="P91" s="28"/>
      <c r="Q91" s="28"/>
      <c r="R91" s="28"/>
      <c r="S91" s="28"/>
      <c r="T91" s="28"/>
      <c r="U91" s="28"/>
      <c r="V91" s="28"/>
      <c r="W91" s="28"/>
      <c r="X91" s="28"/>
      <c r="Y91" s="28"/>
      <c r="Z91" s="28"/>
      <c r="AA91" s="28"/>
      <c r="AC91" s="1"/>
    </row>
    <row r="92" spans="7:29">
      <c r="G92" s="28"/>
      <c r="H92" s="28"/>
      <c r="I92" s="28"/>
      <c r="J92" s="28"/>
      <c r="K92" s="28"/>
      <c r="L92" s="28"/>
      <c r="M92" s="28"/>
      <c r="N92" s="28"/>
      <c r="O92" s="28"/>
      <c r="P92" s="28"/>
      <c r="Q92" s="28"/>
      <c r="R92" s="28"/>
      <c r="S92" s="28"/>
      <c r="T92" s="28"/>
      <c r="U92" s="28"/>
      <c r="V92" s="28"/>
      <c r="W92" s="28"/>
      <c r="X92" s="28"/>
      <c r="Y92" s="28"/>
      <c r="Z92" s="28"/>
      <c r="AA92" s="28"/>
      <c r="AC92" s="1"/>
    </row>
    <row r="93" spans="7:29">
      <c r="G93" s="28"/>
      <c r="H93" s="28"/>
      <c r="I93" s="28"/>
      <c r="J93" s="28"/>
      <c r="K93" s="28"/>
      <c r="L93" s="28"/>
      <c r="M93" s="28"/>
      <c r="N93" s="28"/>
      <c r="O93" s="28"/>
      <c r="P93" s="28"/>
      <c r="Q93" s="28"/>
      <c r="R93" s="28"/>
      <c r="S93" s="28"/>
      <c r="T93" s="28"/>
      <c r="U93" s="28"/>
      <c r="V93" s="28"/>
      <c r="W93" s="28"/>
      <c r="X93" s="28"/>
      <c r="Y93" s="28"/>
      <c r="Z93" s="28"/>
      <c r="AA93" s="28"/>
      <c r="AC93" s="1"/>
    </row>
    <row r="94" spans="7:29">
      <c r="G94" s="28"/>
      <c r="H94" s="28"/>
      <c r="I94" s="28"/>
      <c r="J94" s="28"/>
      <c r="K94" s="28"/>
      <c r="L94" s="28"/>
      <c r="M94" s="28"/>
      <c r="N94" s="28"/>
      <c r="O94" s="28"/>
      <c r="P94" s="28"/>
      <c r="Q94" s="28"/>
      <c r="R94" s="28"/>
      <c r="S94" s="28"/>
      <c r="T94" s="28"/>
      <c r="U94" s="28"/>
      <c r="V94" s="28"/>
      <c r="W94" s="28"/>
      <c r="X94" s="28"/>
      <c r="Y94" s="28"/>
      <c r="Z94" s="28"/>
      <c r="AA94" s="28"/>
      <c r="AC94" s="1"/>
    </row>
    <row r="95" spans="7:29">
      <c r="G95" s="28"/>
      <c r="H95" s="28"/>
      <c r="I95" s="28"/>
      <c r="J95" s="28"/>
      <c r="K95" s="28"/>
      <c r="L95" s="28"/>
      <c r="M95" s="28"/>
      <c r="N95" s="28"/>
      <c r="O95" s="28"/>
      <c r="P95" s="28"/>
      <c r="Q95" s="28"/>
      <c r="R95" s="28"/>
      <c r="S95" s="28"/>
      <c r="T95" s="28"/>
      <c r="U95" s="28"/>
      <c r="V95" s="28"/>
      <c r="W95" s="28"/>
      <c r="X95" s="28"/>
      <c r="Y95" s="28"/>
      <c r="Z95" s="28"/>
      <c r="AA95" s="28"/>
      <c r="AC95" s="1"/>
    </row>
    <row r="96" spans="7:29">
      <c r="G96" s="28"/>
      <c r="H96" s="28"/>
      <c r="I96" s="28"/>
      <c r="J96" s="28"/>
      <c r="K96" s="28"/>
      <c r="L96" s="28"/>
      <c r="M96" s="28"/>
      <c r="N96" s="28"/>
      <c r="O96" s="28"/>
      <c r="P96" s="28"/>
      <c r="Q96" s="28"/>
      <c r="R96" s="28"/>
      <c r="S96" s="28"/>
      <c r="T96" s="28"/>
      <c r="U96" s="28"/>
      <c r="V96" s="28"/>
      <c r="W96" s="28"/>
      <c r="X96" s="28"/>
      <c r="Y96" s="28"/>
      <c r="Z96" s="28"/>
      <c r="AA96" s="28"/>
      <c r="AC96" s="1"/>
    </row>
    <row r="97" spans="7:29">
      <c r="G97" s="28"/>
      <c r="H97" s="28"/>
      <c r="I97" s="28"/>
      <c r="J97" s="28"/>
      <c r="K97" s="28"/>
      <c r="L97" s="28"/>
      <c r="M97" s="28"/>
      <c r="N97" s="28"/>
      <c r="O97" s="28"/>
      <c r="P97" s="28"/>
      <c r="Q97" s="28"/>
      <c r="R97" s="28"/>
      <c r="S97" s="28"/>
      <c r="T97" s="28"/>
      <c r="U97" s="28"/>
      <c r="V97" s="28"/>
      <c r="W97" s="28"/>
      <c r="X97" s="28"/>
      <c r="Y97" s="28"/>
      <c r="Z97" s="28"/>
      <c r="AA97" s="28"/>
      <c r="AC97" s="1"/>
    </row>
    <row r="98" spans="7:29">
      <c r="G98" s="28"/>
      <c r="H98" s="28"/>
      <c r="I98" s="28"/>
      <c r="J98" s="28"/>
      <c r="K98" s="28"/>
      <c r="L98" s="28"/>
      <c r="M98" s="28"/>
      <c r="N98" s="28"/>
      <c r="O98" s="28"/>
      <c r="P98" s="28"/>
      <c r="Q98" s="28"/>
      <c r="R98" s="28"/>
      <c r="S98" s="28"/>
      <c r="T98" s="28"/>
      <c r="U98" s="28"/>
      <c r="V98" s="28"/>
      <c r="W98" s="28"/>
      <c r="X98" s="28"/>
      <c r="Y98" s="28"/>
      <c r="Z98" s="28"/>
      <c r="AA98" s="28"/>
      <c r="AC98" s="1"/>
    </row>
    <row r="99" spans="7:29">
      <c r="G99" s="28"/>
      <c r="H99" s="28"/>
      <c r="I99" s="28"/>
      <c r="J99" s="28"/>
      <c r="K99" s="28"/>
      <c r="L99" s="28"/>
      <c r="M99" s="28"/>
      <c r="N99" s="28"/>
      <c r="O99" s="28"/>
      <c r="P99" s="28"/>
      <c r="Q99" s="28"/>
      <c r="R99" s="28"/>
      <c r="S99" s="28"/>
      <c r="T99" s="28"/>
      <c r="U99" s="28"/>
      <c r="V99" s="28"/>
      <c r="W99" s="28"/>
      <c r="X99" s="28"/>
      <c r="Y99" s="28"/>
      <c r="Z99" s="28"/>
      <c r="AA99" s="28"/>
      <c r="AC99" s="1"/>
    </row>
    <row r="100" spans="7:29">
      <c r="G100" s="28"/>
      <c r="H100" s="28"/>
      <c r="I100" s="28"/>
      <c r="J100" s="28"/>
      <c r="K100" s="28"/>
      <c r="L100" s="28"/>
      <c r="M100" s="28"/>
      <c r="N100" s="28"/>
      <c r="O100" s="28"/>
      <c r="P100" s="28"/>
      <c r="Q100" s="28"/>
      <c r="R100" s="28"/>
      <c r="S100" s="28"/>
      <c r="T100" s="28"/>
      <c r="U100" s="28"/>
      <c r="V100" s="28"/>
      <c r="W100" s="28"/>
      <c r="X100" s="28"/>
      <c r="Y100" s="28"/>
      <c r="Z100" s="28"/>
      <c r="AA100" s="28"/>
      <c r="AC100" s="1"/>
    </row>
    <row r="101" spans="7:29">
      <c r="AC101" s="1"/>
    </row>
    <row r="102" spans="7:29">
      <c r="AC102" s="1"/>
    </row>
    <row r="103" spans="7:29">
      <c r="AC103" s="1"/>
    </row>
    <row r="104" spans="7:29">
      <c r="AC104" s="1"/>
    </row>
    <row r="105" spans="7:29">
      <c r="AC105" s="1"/>
    </row>
    <row r="106" spans="7:29">
      <c r="AC106" s="1"/>
    </row>
    <row r="107" spans="7:29">
      <c r="AC107" s="1"/>
    </row>
  </sheetData>
  <sheetProtection password="EF73" sheet="1" objects="1" scenarios="1" formatCells="0"/>
  <customSheetViews>
    <customSheetView guid="{D786A5C0-FBC0-4F24-9F75-D436CA99DC6C}" zeroValues="0" hiddenRows="1" hiddenColumns="1" state="hidden" topLeftCell="B6">
      <selection activeCell="J24" sqref="J24"/>
      <pageMargins left="0.7" right="0.7" top="0.75" bottom="0.75" header="0.3" footer="0.3"/>
      <pageSetup orientation="portrait" r:id="rId1"/>
    </customSheetView>
  </customSheetViews>
  <mergeCells count="5">
    <mergeCell ref="C11:D11"/>
    <mergeCell ref="C12:D21"/>
    <mergeCell ref="C24:C27"/>
    <mergeCell ref="C7:C8"/>
    <mergeCell ref="D7:D8"/>
  </mergeCells>
  <dataValidations count="9">
    <dataValidation type="decimal" allowBlank="1" showInputMessage="1" showErrorMessage="1" error="أدخال غير صحيح" promptTitle="أجاز الوصية ضع 1 غير ذلك ضع 0  " prompt=" " sqref="IR12:IU23 I65527:L65536">
      <formula1>0</formula1>
      <formula2>1</formula2>
    </dataValidation>
    <dataValidation type="decimal" allowBlank="1" showInputMessage="1" showErrorMessage="1" error="أدخال غير صحيح" prompt="هذه الخلية مخصصة لتصحيح المسألة  ضع مقام الكسر أعلاه هنا" sqref="O48:O49 P65524:P65525">
      <formula1>0</formula1>
      <formula2>1000</formula2>
    </dataValidation>
    <dataValidation type="decimal" allowBlank="1" showInputMessage="1" showErrorMessage="1" error="أدخال غير صحيح" prompt="ضع بسط الفريضة أن لزم الأمر " sqref="IQ12:IQ23 H65527:H65536">
      <formula1>1</formula1>
      <formula2>100</formula2>
    </dataValidation>
    <dataValidation type="decimal" allowBlank="1" showInputMessage="1" showErrorMessage="1" error="أدخال غير صحيح (تأكد من الكسر)" promptTitle=" " prompt="وصى المتوفى (ضع الوصية الرابعة)" sqref="L65522">
      <formula1>0</formula1>
      <formula2>99/100</formula2>
    </dataValidation>
    <dataValidation type="textLength" operator="lessThan" allowBlank="1" showInputMessage="1" showErrorMessage="1" error="أدخال غير صحيح" prompt="ضع أسم الوارث فى هذه الخلية" sqref="IO12:IO23 F65527:F65536">
      <formula1>20</formula1>
    </dataValidation>
    <dataValidation type="decimal" allowBlank="1" showInputMessage="1" showErrorMessage="1" error="أدخال غير صحيح (ضع صفر ان لم يوصى)" promptTitle=" " prompt="وصى المتوفى  (ضع الوصية الأولى)" sqref="I65522">
      <formula1>0</formula1>
      <formula2>99/100</formula2>
    </dataValidation>
    <dataValidation type="decimal" allowBlank="1" showInputMessage="1" showErrorMessage="1" error="أدخال غير صحيح (تأكد من الكسر)" promptTitle=" " prompt="وصى المتوفى (ضع الوصية التانية)" sqref="J65522">
      <formula1>0</formula1>
      <formula2>99/100</formula2>
    </dataValidation>
    <dataValidation type="decimal" allowBlank="1" showInputMessage="1" showErrorMessage="1" error="أدخال غير صحيح (تأكد من الكسر)" promptTitle=" " prompt="وصى المتوفى (ضع الوصية التالثة)" sqref="K65522">
      <formula1>0</formula1>
      <formula2>99/100</formula2>
    </dataValidation>
    <dataValidation type="decimal" allowBlank="1" showInputMessage="1" showErrorMessage="1" error="أدخال غير صحيح" prompt="ضع فريضة الوارث فى هذه الخلية" sqref="IP12:IP23 G65527:G65536">
      <formula1>0</formula1>
      <formula2>1</formula2>
    </dataValidation>
  </dataValidations>
  <pageMargins left="0.7" right="0.7" top="0.75" bottom="0.75" header="0.3" footer="0.3"/>
  <pageSetup orientation="portrait"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20C20A"/>
  </sheetPr>
  <dimension ref="A1:BF1218"/>
  <sheetViews>
    <sheetView showGridLines="0" showZeros="0" rightToLeft="1" topLeftCell="F43" zoomScale="70" zoomScaleNormal="70" workbookViewId="0">
      <selection activeCell="H59" sqref="H59"/>
    </sheetView>
  </sheetViews>
  <sheetFormatPr defaultColWidth="35.375" defaultRowHeight="33" customHeight="1"/>
  <cols>
    <col min="1" max="2" width="35.375" hidden="1" customWidth="1"/>
    <col min="3" max="3" width="10.125" hidden="1" customWidth="1"/>
    <col min="4" max="5" width="35.375" hidden="1" customWidth="1"/>
    <col min="6" max="6" width="10.5" customWidth="1"/>
    <col min="7" max="8" width="35.375" customWidth="1"/>
    <col min="9" max="9" width="7.875" customWidth="1"/>
    <col min="10" max="10" width="23.375" customWidth="1"/>
    <col min="11" max="11" width="62.5" customWidth="1"/>
    <col min="12" max="12" width="35.375" customWidth="1"/>
    <col min="13" max="35" width="35.375" hidden="1" customWidth="1"/>
    <col min="36" max="55" width="35.375" customWidth="1"/>
    <col min="56" max="56" width="8.75" customWidth="1"/>
    <col min="57" max="57" width="7.375" customWidth="1"/>
    <col min="58" max="58" width="6.125" customWidth="1"/>
    <col min="59" max="59" width="5.125" customWidth="1"/>
    <col min="60" max="60" width="5.875" customWidth="1"/>
    <col min="61" max="61" width="5.75" customWidth="1"/>
  </cols>
  <sheetData>
    <row r="1" spans="1:58" ht="33" hidden="1" customHeight="1">
      <c r="A1" s="73"/>
      <c r="B1" s="73"/>
      <c r="C1" s="73"/>
      <c r="D1" s="73"/>
      <c r="E1" s="73"/>
      <c r="F1" s="73"/>
      <c r="G1" s="73"/>
      <c r="H1" s="38"/>
      <c r="I1" s="38"/>
      <c r="L1" s="43"/>
      <c r="M1" s="43"/>
      <c r="V1" t="b">
        <f>OR('شرح الحالة'!O136=TRUE,'شرح الحالة'!O135=TRUE)</f>
        <v>0</v>
      </c>
    </row>
    <row r="2" spans="1:58" ht="48" hidden="1" customHeight="1">
      <c r="A2" s="76"/>
      <c r="B2" s="76"/>
      <c r="C2" s="74"/>
      <c r="D2" s="74"/>
      <c r="E2" s="74"/>
      <c r="F2" s="74"/>
      <c r="G2" s="74"/>
      <c r="I2" s="77"/>
      <c r="J2" s="43"/>
      <c r="K2" s="43"/>
      <c r="L2" s="43"/>
      <c r="M2" s="43"/>
      <c r="Q2" t="b">
        <f>'شرح الحالة'!$CG$29</f>
        <v>0</v>
      </c>
      <c r="R2">
        <f>IF(Q2=TRUE, 'أدخال البيانات'!M15+'أدخال البيانات'!M14+'أدخال البيانات'!M12+'أدخال البيانات'!F14,1)</f>
        <v>1</v>
      </c>
      <c r="S2" t="b">
        <f>'شرح الحالة'!$AQ$55</f>
        <v>0</v>
      </c>
      <c r="T2">
        <f>IF(S2=TRUE,3,1)</f>
        <v>1</v>
      </c>
    </row>
    <row r="3" spans="1:58" ht="29.25" hidden="1" customHeight="1" thickBot="1">
      <c r="A3" s="76"/>
      <c r="B3" s="76"/>
      <c r="C3" s="43" t="s">
        <v>161</v>
      </c>
      <c r="D3" s="75"/>
      <c r="E3" s="75"/>
      <c r="F3" s="75"/>
      <c r="G3" s="75"/>
      <c r="J3" s="106"/>
      <c r="K3" s="106"/>
      <c r="L3" s="43"/>
      <c r="M3" s="43"/>
      <c r="P3" t="b">
        <f>AND('شرح الحالة'!O133=TRUE,'شرح الحالة'!O134=TRUE,'أدخال البيانات'!AS11=1)</f>
        <v>0</v>
      </c>
      <c r="T3">
        <f>IF('أدخال البيانات'!AS11=1,T6,U3)</f>
        <v>1</v>
      </c>
      <c r="U3">
        <f>Sheet5!M38</f>
        <v>1</v>
      </c>
      <c r="W3" t="b">
        <f>AND('أدخال البيانات'!M12=1,'أدخال البيانات'!M13&gt;=3,'أدخال البيانات'!AS11=1)</f>
        <v>0</v>
      </c>
    </row>
    <row r="4" spans="1:58" ht="25.5" hidden="1" customHeight="1" thickTop="1" thickBot="1">
      <c r="A4" s="76"/>
      <c r="B4" s="76"/>
      <c r="C4" s="410"/>
      <c r="D4" s="410"/>
      <c r="E4" s="410"/>
      <c r="F4" s="410"/>
      <c r="G4" s="410"/>
      <c r="H4" s="411" t="s">
        <v>172</v>
      </c>
      <c r="I4" s="1403" t="e">
        <f>H37</f>
        <v>#DIV/0!</v>
      </c>
      <c r="J4" s="1404"/>
      <c r="K4" s="107"/>
      <c r="L4" s="43"/>
      <c r="M4" s="38"/>
      <c r="N4" s="40">
        <f>S5/288</f>
        <v>0</v>
      </c>
      <c r="O4" s="38">
        <f>IF('أدخال البيانات'!E6="تعول على",1000,1)</f>
        <v>1</v>
      </c>
      <c r="P4" s="38" t="b">
        <f>AND('شرح الحالة'!O135=TRUE,'شرح الحالة'!O136=TRUE,'أدخال البيانات'!AS11=1)</f>
        <v>0</v>
      </c>
      <c r="Q4" s="38" t="b">
        <f>OR(P3=TRUE,P4=TRUE)</f>
        <v>0</v>
      </c>
      <c r="R4" s="38">
        <f>IF(Q4=TRUE,3,1)</f>
        <v>1</v>
      </c>
      <c r="S4" s="42">
        <f>R7*'أدخال البيانات'!L5</f>
        <v>1</v>
      </c>
      <c r="T4" s="38" t="b">
        <f>OR('أدخال البيانات'!E6="تعول على",'أدخال البيانات'!E6="ترد على")</f>
        <v>1</v>
      </c>
      <c r="U4" s="38"/>
      <c r="V4" s="38"/>
      <c r="W4" s="38">
        <f>IF(W3=TRUE,2,1)</f>
        <v>1</v>
      </c>
      <c r="X4" s="38"/>
      <c r="Y4" s="38"/>
      <c r="Z4" s="38"/>
      <c r="AD4" s="147"/>
      <c r="AE4" s="148"/>
      <c r="AF4" s="147"/>
      <c r="AG4" s="147"/>
      <c r="AH4" s="149"/>
      <c r="AI4" s="149"/>
      <c r="AJ4" s="149"/>
      <c r="AQ4" s="252" t="s">
        <v>554</v>
      </c>
      <c r="AR4" s="262" t="s">
        <v>562</v>
      </c>
    </row>
    <row r="5" spans="1:58" ht="30" hidden="1" customHeight="1" thickTop="1" thickBot="1">
      <c r="A5" s="41"/>
      <c r="B5" s="41"/>
      <c r="C5" s="410"/>
      <c r="D5" s="410"/>
      <c r="E5" s="410"/>
      <c r="F5" s="410"/>
      <c r="G5" s="410"/>
      <c r="H5" s="412" t="s">
        <v>174</v>
      </c>
      <c r="I5" s="413">
        <v>1233</v>
      </c>
      <c r="J5" s="414" t="s">
        <v>159</v>
      </c>
      <c r="K5" s="61"/>
      <c r="L5" s="61"/>
      <c r="M5" s="38"/>
      <c r="N5" s="38"/>
      <c r="O5" s="40" t="e">
        <f>I4-1/2</f>
        <v>#DIV/0!</v>
      </c>
      <c r="P5" s="38">
        <f>IF(P6=TRUE,1,1)</f>
        <v>1</v>
      </c>
      <c r="Q5" s="38">
        <v>1</v>
      </c>
      <c r="R5" s="38" t="s">
        <v>114</v>
      </c>
      <c r="S5" s="42">
        <f>IF('أدخال البيانات'!E6="ترد على",S4*N42,U7*'أدخال البيانات'!L5)*IF('أدخال البيانات'!AS11=1,3,1)*W4*R2*T2</f>
        <v>0</v>
      </c>
      <c r="T5" s="38" t="b">
        <f>AND('أدخال البيانات'!F13=1,'أدخال البيانات'!M13+'أدخال البيانات'!M12&gt;0,'أدخال البيانات'!F15+'أدخال البيانات'!F14&gt;0,'أدخال البيانات'!M12&gt;=0,'أدخال البيانات'!الأبناء__ذكور+'أدخال البيانات'!F10+'أدخال البيانات'!F11+'أدخال البيانات'!F12=0)</f>
        <v>0</v>
      </c>
      <c r="U5" s="58">
        <f>'أدخال البيانات'!$V$7</f>
        <v>0</v>
      </c>
      <c r="V5" s="108" t="s">
        <v>157</v>
      </c>
      <c r="W5" s="38"/>
      <c r="X5" s="38" t="s">
        <v>114</v>
      </c>
      <c r="Y5" s="38" t="s">
        <v>114</v>
      </c>
      <c r="Z5" s="38"/>
      <c r="AD5" s="150" t="s">
        <v>770</v>
      </c>
      <c r="AE5" s="151"/>
      <c r="AF5" s="150">
        <f>IF('أدخال البيانات'!G9&gt;0,'أدخال البيانات'!F9,0)</f>
        <v>0</v>
      </c>
      <c r="AG5" s="152">
        <f>'أدخال البيانات'!G9</f>
        <v>0</v>
      </c>
      <c r="AH5" s="153" t="e">
        <f t="shared" ref="AH5:AH30" si="0">AI5*AF5</f>
        <v>#DIV/0!</v>
      </c>
      <c r="AI5" s="154" t="e">
        <f t="shared" ref="AI5:AI30" si="1">O11/N11</f>
        <v>#DIV/0!</v>
      </c>
      <c r="AJ5" s="149" t="e">
        <f t="shared" ref="AJ5:AJ30" si="2">Q11/P11*O11</f>
        <v>#DIV/0!</v>
      </c>
      <c r="AY5" s="510" t="s">
        <v>748</v>
      </c>
      <c r="AZ5" s="510"/>
      <c r="BA5" s="510"/>
    </row>
    <row r="6" spans="1:58" ht="25.5" hidden="1" customHeight="1" thickTop="1" thickBot="1">
      <c r="A6" s="41"/>
      <c r="B6" s="41"/>
      <c r="C6" s="410"/>
      <c r="D6" s="410"/>
      <c r="E6" s="410"/>
      <c r="F6" s="410"/>
      <c r="G6" s="410"/>
      <c r="H6" s="415"/>
      <c r="I6" s="415"/>
      <c r="J6" s="415"/>
      <c r="K6" s="41"/>
      <c r="L6" s="41"/>
      <c r="M6" s="103" t="e">
        <f>GCD(I4,E8)</f>
        <v>#DIV/0!</v>
      </c>
      <c r="N6" s="38" t="s">
        <v>114</v>
      </c>
      <c r="O6" s="40" t="e">
        <f>IF(Sheet5!N39=TRUE,P10*Q7,Q7)</f>
        <v>#DIV/0!</v>
      </c>
      <c r="P6" s="38" t="b">
        <f>AND('أدخال البيانات'!F13=1,'أدخال البيانات'!G13=4/9,'أدخال البيانات'!M11=1,'أدخال البيانات'!N11=1/3,'أدخال البيانات'!M12=1,'أدخال البيانات'!N12=2/9)</f>
        <v>0</v>
      </c>
      <c r="Q6" s="38"/>
      <c r="R6" s="38">
        <f>W38</f>
        <v>0</v>
      </c>
      <c r="S6" s="38">
        <f>S9</f>
        <v>0</v>
      </c>
      <c r="T6" s="38">
        <f>IF(T5=TRUE,((AF12+AF11)*2)+AF23+AF24,1)</f>
        <v>1</v>
      </c>
      <c r="U6" s="38">
        <f>IF(P10&lt;=2,1,P10)</f>
        <v>1</v>
      </c>
      <c r="V6" s="58">
        <f>P10</f>
        <v>0</v>
      </c>
      <c r="W6" s="38"/>
      <c r="X6" s="38"/>
      <c r="Y6" s="38" t="s">
        <v>114</v>
      </c>
      <c r="Z6" s="38" t="s">
        <v>114</v>
      </c>
      <c r="AA6" t="s">
        <v>114</v>
      </c>
      <c r="AD6" s="155" t="s">
        <v>771</v>
      </c>
      <c r="AE6" s="151"/>
      <c r="AF6" s="156">
        <f>IF('أدخال البيانات'!N9&gt;0,'أدخال البيانات'!M9,0)</f>
        <v>0</v>
      </c>
      <c r="AG6" s="152">
        <f>'أدخال البيانات'!N9</f>
        <v>0</v>
      </c>
      <c r="AH6" s="153" t="e">
        <f t="shared" si="0"/>
        <v>#DIV/0!</v>
      </c>
      <c r="AI6" s="154" t="e">
        <f t="shared" si="1"/>
        <v>#DIV/0!</v>
      </c>
      <c r="AJ6" s="149" t="e">
        <f t="shared" si="2"/>
        <v>#DIV/0!</v>
      </c>
      <c r="AM6" s="250" t="s">
        <v>553</v>
      </c>
      <c r="AN6" s="1408">
        <v>0</v>
      </c>
      <c r="AO6" s="1409"/>
    </row>
    <row r="7" spans="1:58" ht="25.5" hidden="1" customHeight="1">
      <c r="A7" s="41" t="s">
        <v>114</v>
      </c>
      <c r="B7" s="41"/>
      <c r="C7" s="410"/>
      <c r="D7" s="410"/>
      <c r="E7" s="410"/>
      <c r="F7" s="410"/>
      <c r="G7" s="410"/>
      <c r="H7" s="410"/>
      <c r="I7" s="415" t="s">
        <v>114</v>
      </c>
      <c r="J7" s="415" t="s">
        <v>114</v>
      </c>
      <c r="K7" s="41"/>
      <c r="L7" s="38"/>
      <c r="M7" s="41"/>
      <c r="N7" s="40" t="e">
        <f>IF(N8&gt;=1,2,1)</f>
        <v>#DIV/0!</v>
      </c>
      <c r="O7" s="38" t="e">
        <f>IF(M6&gt;1,"مشكلة بمعالج التصحيح صحح المسألة يدويا",P8)</f>
        <v>#DIV/0!</v>
      </c>
      <c r="P7" s="38" t="b">
        <f>ISNUMBER('أدخال البيانات'!R8)</f>
        <v>1</v>
      </c>
      <c r="Q7" s="109" t="e">
        <f>IF('أدخال البيانات'!E6="صحيحة",S8*Sheet5!J39,S8*T9)*Sheet5!N42</f>
        <v>#DIV/0!</v>
      </c>
      <c r="R7" s="38">
        <f>'أدخال البيانات'!AK5</f>
        <v>1</v>
      </c>
      <c r="S7" s="38" t="str">
        <f>IF(T38&lt;0.0000000001,"العملية صحيحة","  خطأ يطلب المراجعة بتصحيح المسألة")</f>
        <v>العملية صحيحة</v>
      </c>
      <c r="T7" s="40" t="e">
        <f>CORREL(O12:O34,L12:L34)</f>
        <v>#DIV/0!</v>
      </c>
      <c r="U7" s="38">
        <f>W42*W8*V9*Sheet5!J39*R4*T3*Sheet5!I31</f>
        <v>1</v>
      </c>
      <c r="V7" s="38"/>
      <c r="W7" s="38"/>
      <c r="X7" s="38"/>
      <c r="Y7" s="38"/>
      <c r="Z7" s="38"/>
      <c r="AD7" s="155" t="s">
        <v>772</v>
      </c>
      <c r="AE7" s="151"/>
      <c r="AF7" s="156">
        <f>IF('أدخال البيانات'!N11&gt;0,'أدخال البيانات'!M11,0)</f>
        <v>0</v>
      </c>
      <c r="AG7" s="152">
        <f>'أدخال البيانات'!N11</f>
        <v>0</v>
      </c>
      <c r="AH7" s="153" t="e">
        <f t="shared" si="0"/>
        <v>#DIV/0!</v>
      </c>
      <c r="AI7" s="154" t="e">
        <f t="shared" si="1"/>
        <v>#DIV/0!</v>
      </c>
      <c r="AJ7" s="149" t="e">
        <f t="shared" si="2"/>
        <v>#DIV/0!</v>
      </c>
      <c r="AM7" s="249" t="s">
        <v>171</v>
      </c>
      <c r="AN7" s="1410">
        <f>IF( T4=TRUE,R10, W8*V9*'أدخال البيانات'!AK5)</f>
        <v>1</v>
      </c>
      <c r="AO7" s="1411"/>
    </row>
    <row r="8" spans="1:58" ht="25.5" hidden="1" customHeight="1" thickBot="1">
      <c r="A8" s="41"/>
      <c r="B8" s="41"/>
      <c r="C8" s="416" t="s">
        <v>114</v>
      </c>
      <c r="D8" s="417"/>
      <c r="E8" s="1405">
        <v>1</v>
      </c>
      <c r="F8" s="1406"/>
      <c r="G8" s="1407"/>
      <c r="H8" s="410"/>
      <c r="I8" s="415" t="s">
        <v>114</v>
      </c>
      <c r="J8" s="410"/>
      <c r="L8" s="72"/>
      <c r="M8" s="83">
        <f>1/E8</f>
        <v>1</v>
      </c>
      <c r="N8" t="e">
        <f>SUM(AA8:AA1170)</f>
        <v>#DIV/0!</v>
      </c>
      <c r="O8" s="82" t="e">
        <f>IF(P7=TRUE,O7," لا يرد الباقى على الزوج أو الزوجة  أن وجدا قد يرد على ذو الأرحـام أوينظر فيه من قبل القاضى")</f>
        <v>#DIV/0!</v>
      </c>
      <c r="P8" s="105" t="s">
        <v>173</v>
      </c>
      <c r="Q8" t="str">
        <f>IF(P10&lt;1*O4,"المسألة تعول أو ترد","   معامل المسألةغير صحيح")</f>
        <v>المسألة تعول أو ترد</v>
      </c>
      <c r="R8" s="38">
        <f>GCD(O11:O36)</f>
        <v>0</v>
      </c>
      <c r="S8" s="1" t="e">
        <f>IF('أدخال البيانات'!E6="ترد على",'طريقة العمل'!AN7/U5,R10)</f>
        <v>#DIV/0!</v>
      </c>
      <c r="T8" s="1" t="e">
        <f>1/S8</f>
        <v>#DIV/0!</v>
      </c>
      <c r="U8">
        <f>IF('أدخال البيانات'!F14+('أدخال البيانات'!M12-1)=0,('أدخال البيانات'!F15*2)+'أدخال البيانات'!M13,1)</f>
        <v>1</v>
      </c>
      <c r="V8">
        <f>IF('أدخال البيانات'!AS11+'أدخال البيانات'!AS10=1,U8,1)</f>
        <v>1</v>
      </c>
      <c r="W8" s="97">
        <f>IF(V8=0,1,V8)</f>
        <v>1</v>
      </c>
      <c r="Z8">
        <v>1.5</v>
      </c>
      <c r="AA8" t="e">
        <f>IF(AB8=Z8,1,0)</f>
        <v>#DIV/0!</v>
      </c>
      <c r="AB8" s="1" t="e">
        <f>I4</f>
        <v>#DIV/0!</v>
      </c>
      <c r="AD8" s="155" t="s">
        <v>773</v>
      </c>
      <c r="AE8" s="151"/>
      <c r="AF8" s="156">
        <f>IF('أدخال البيانات'!G10&gt;0,'أدخال البيانات'!F10,0)</f>
        <v>0</v>
      </c>
      <c r="AG8" s="152">
        <f>'أدخال البيانات'!G10</f>
        <v>0</v>
      </c>
      <c r="AH8" s="153" t="e">
        <f t="shared" si="0"/>
        <v>#DIV/0!</v>
      </c>
      <c r="AI8" s="154" t="e">
        <f t="shared" si="1"/>
        <v>#DIV/0!</v>
      </c>
      <c r="AJ8" s="149" t="e">
        <f t="shared" si="2"/>
        <v>#DIV/0!</v>
      </c>
      <c r="AM8" s="251" t="s">
        <v>553</v>
      </c>
      <c r="AN8" s="1408">
        <v>0</v>
      </c>
      <c r="AO8" s="1409"/>
    </row>
    <row r="9" spans="1:58" ht="25.5" hidden="1" customHeight="1" thickBot="1">
      <c r="A9" s="41"/>
      <c r="B9" s="41"/>
      <c r="C9" s="415"/>
      <c r="D9" s="415"/>
      <c r="E9" s="415"/>
      <c r="F9" s="415"/>
      <c r="G9" s="415"/>
      <c r="H9" s="415"/>
      <c r="I9" s="415"/>
      <c r="J9" s="415"/>
      <c r="K9" s="41"/>
      <c r="L9" s="41"/>
      <c r="M9" s="41"/>
      <c r="N9" s="38">
        <f>IF(P10&gt;=0,P10,1)</f>
        <v>0</v>
      </c>
      <c r="O9" s="38">
        <f>IF(AN7&gt;2,P10,1)</f>
        <v>1</v>
      </c>
      <c r="P9" s="38">
        <f>IF(1&gt;W38&gt;0,S9,S10)</f>
        <v>0</v>
      </c>
      <c r="Q9" s="38">
        <f>LCM(W11:W36)</f>
        <v>0</v>
      </c>
      <c r="R9" s="38">
        <f>GCD(S11:S36)</f>
        <v>0</v>
      </c>
      <c r="S9" s="38">
        <f>MAX(R8:R9,U38)</f>
        <v>0</v>
      </c>
      <c r="T9" s="109">
        <f>IF(AF13+D31&gt;1,3,1)*IF(AF25+AF13&gt;0,AF25+AF13,1)</f>
        <v>1</v>
      </c>
      <c r="U9" s="38">
        <f>IF( V1=TRUE,('أدخال البيانات'!F14*2)+'أدخال البيانات'!M12,1)</f>
        <v>1</v>
      </c>
      <c r="V9" s="38">
        <f>IF('أدخال البيانات'!F14+'أدخال البيانات'!M12=0,1,U9)</f>
        <v>1</v>
      </c>
      <c r="W9" s="38"/>
      <c r="X9" s="38"/>
      <c r="Y9" s="38"/>
      <c r="Z9" s="38">
        <f>Z8+1</f>
        <v>2.5</v>
      </c>
      <c r="AA9" t="e">
        <f t="shared" ref="AA9:AA74" si="3">IF(AB9=Z9,1,0)</f>
        <v>#DIV/0!</v>
      </c>
      <c r="AB9" s="1" t="e">
        <f t="shared" ref="AB9:AB74" si="4">$AB$8</f>
        <v>#DIV/0!</v>
      </c>
      <c r="AD9" s="155" t="str">
        <f>'أدخال البيانات'!E12</f>
        <v>الأب</v>
      </c>
      <c r="AE9" s="151"/>
      <c r="AF9" s="156">
        <f>IF('أدخال البيانات'!G12&gt;0,'أدخال البيانات'!F12,0)</f>
        <v>0</v>
      </c>
      <c r="AG9" s="152">
        <f>'أدخال البيانات'!G12</f>
        <v>0</v>
      </c>
      <c r="AH9" s="153" t="e">
        <f t="shared" si="0"/>
        <v>#DIV/0!</v>
      </c>
      <c r="AI9" s="154" t="e">
        <f t="shared" si="1"/>
        <v>#DIV/0!</v>
      </c>
      <c r="AJ9" s="149" t="e">
        <f t="shared" si="2"/>
        <v>#DIV/0!</v>
      </c>
    </row>
    <row r="10" spans="1:58" s="267" customFormat="1" ht="36" hidden="1" customHeight="1" thickTop="1" thickBot="1">
      <c r="B10" s="268"/>
      <c r="C10" s="441" t="s">
        <v>156</v>
      </c>
      <c r="D10" s="442"/>
      <c r="E10" s="443" t="str">
        <f>'أدخال البيانات'!F8</f>
        <v>العدد</v>
      </c>
      <c r="F10" s="443" t="s">
        <v>552</v>
      </c>
      <c r="G10" s="443" t="str">
        <f>'أدخال البيانات'!G8</f>
        <v>الفريضة</v>
      </c>
      <c r="H10" s="443" t="str">
        <f>'أدخال البيانات'!I8</f>
        <v xml:space="preserve">عدد الحصص </v>
      </c>
      <c r="I10" s="441" t="s">
        <v>158</v>
      </c>
      <c r="J10" s="443" t="s">
        <v>175</v>
      </c>
      <c r="K10" s="269"/>
      <c r="L10" s="269"/>
      <c r="M10" s="269"/>
      <c r="N10" s="270">
        <f>IF('أدخال البيانات'!E6="تعول على",S6,P10)/P5*M8</f>
        <v>0</v>
      </c>
      <c r="O10" s="270"/>
      <c r="P10" s="271">
        <f>P9</f>
        <v>0</v>
      </c>
      <c r="Q10" s="270">
        <f>LCM(W11:W36)</f>
        <v>0</v>
      </c>
      <c r="R10" s="270">
        <f>R7</f>
        <v>1</v>
      </c>
      <c r="S10" s="270">
        <f>IF(S9&lt;=2,1,S6)</f>
        <v>1</v>
      </c>
      <c r="T10" s="270">
        <f>IF(T5=FALSE,D30+D29,1)</f>
        <v>2</v>
      </c>
      <c r="U10" s="270">
        <f>IF(AF24=0,1,T10)</f>
        <v>1</v>
      </c>
      <c r="V10" s="270"/>
      <c r="W10" s="270"/>
      <c r="X10" s="270"/>
      <c r="Y10" s="270"/>
      <c r="Z10" s="270">
        <f>Z9+1</f>
        <v>3.5</v>
      </c>
      <c r="AA10" s="267" t="e">
        <f t="shared" si="3"/>
        <v>#DIV/0!</v>
      </c>
      <c r="AB10" s="272" t="e">
        <f t="shared" si="4"/>
        <v>#DIV/0!</v>
      </c>
      <c r="AD10" s="273" t="str">
        <f>'أدخال البيانات'!E13</f>
        <v>الجد(أب الأب)</v>
      </c>
      <c r="AE10" s="274"/>
      <c r="AF10" s="275">
        <f>IF('أدخال البيانات'!G13&gt;0,'أدخال البيانات'!F13,0)</f>
        <v>0</v>
      </c>
      <c r="AG10" s="154">
        <f>'أدخال البيانات'!G13</f>
        <v>0</v>
      </c>
      <c r="AH10" s="154" t="e">
        <f t="shared" si="0"/>
        <v>#DIV/0!</v>
      </c>
      <c r="AI10" s="154" t="e">
        <f t="shared" si="1"/>
        <v>#DIV/0!</v>
      </c>
      <c r="AJ10" s="276" t="e">
        <f t="shared" si="2"/>
        <v>#DIV/0!</v>
      </c>
      <c r="BB10" s="267">
        <v>3</v>
      </c>
      <c r="BC10" s="267">
        <v>2</v>
      </c>
      <c r="BD10" s="267">
        <v>1</v>
      </c>
    </row>
    <row r="11" spans="1:58" s="267" customFormat="1" ht="17.25" hidden="1" customHeight="1" thickBot="1">
      <c r="A11" s="150" t="str">
        <f t="shared" ref="A11:A35" si="5">AD5</f>
        <v>ابن</v>
      </c>
      <c r="B11" s="267" t="str">
        <f>IF(E11&gt;0,C11,A11)</f>
        <v>ابن</v>
      </c>
      <c r="C11" s="447" t="str">
        <f t="shared" ref="C11:C36" si="6">IF(AF5=0,"",AD5)</f>
        <v/>
      </c>
      <c r="D11" s="448">
        <f t="shared" ref="D11:D36" si="7">IF(AF5=0,1,AF5)</f>
        <v>1</v>
      </c>
      <c r="E11" s="448">
        <f t="shared" ref="E11:E36" si="8">IF(AF5=0,0,AF5)</f>
        <v>0</v>
      </c>
      <c r="F11" s="469">
        <v>0</v>
      </c>
      <c r="G11" s="449">
        <f>IF(AG5=0,0,AG5)</f>
        <v>0</v>
      </c>
      <c r="H11" s="450" t="e">
        <f t="shared" ref="H11:H36" si="9">IF(AH5=0,"",AH5)</f>
        <v>#DIV/0!</v>
      </c>
      <c r="I11" s="450" t="e">
        <f t="shared" ref="I11:I36" si="10">IF(AI5=0,"",AI5)</f>
        <v>#DIV/0!</v>
      </c>
      <c r="J11" s="451" t="e">
        <f t="shared" ref="J11:J36" si="11">IF(AJ5=0,"",AJ5)</f>
        <v>#DIV/0!</v>
      </c>
      <c r="K11" s="277"/>
      <c r="L11" s="278">
        <f t="shared" ref="L11:L36" si="12">P11*AG5</f>
        <v>0</v>
      </c>
      <c r="M11" s="279">
        <f>N10</f>
        <v>0</v>
      </c>
      <c r="N11" s="280">
        <f>N10</f>
        <v>0</v>
      </c>
      <c r="O11" s="62">
        <f t="shared" ref="O11:O36" si="13">IF(AF5&gt;0,L11/AF5,0)</f>
        <v>0</v>
      </c>
      <c r="P11" s="63">
        <f>S5</f>
        <v>0</v>
      </c>
      <c r="Q11" s="63">
        <f>I5</f>
        <v>1233</v>
      </c>
      <c r="R11" s="63" t="str">
        <f>Q8</f>
        <v>المسألة تعول أو ترد</v>
      </c>
      <c r="S11" s="63">
        <f t="shared" ref="S11:S36" si="14">ABS(GCD(O11))</f>
        <v>0</v>
      </c>
      <c r="T11" s="63">
        <f>ABS(IF(X11&gt;=0,X11,0))</f>
        <v>0</v>
      </c>
      <c r="U11" s="63">
        <f t="shared" ref="U11:U36" si="15">MROUND(O11,1)</f>
        <v>0</v>
      </c>
      <c r="V11" s="63" t="b">
        <f>IF(T11=0,TRUE,FALSE)</f>
        <v>1</v>
      </c>
      <c r="W11" s="64">
        <f>IF(V11=TRUE,U11,0)</f>
        <v>0</v>
      </c>
      <c r="X11" s="63">
        <f t="shared" ref="X11:X36" si="16">IF(ISNUMBER(ABS(MOD(O11,1)))=FALSE,0,O11)</f>
        <v>0</v>
      </c>
      <c r="Z11" s="267">
        <f>Z10+1</f>
        <v>4.5</v>
      </c>
      <c r="AA11" s="267" t="e">
        <f t="shared" si="3"/>
        <v>#DIV/0!</v>
      </c>
      <c r="AB11" s="272" t="e">
        <f t="shared" si="4"/>
        <v>#DIV/0!</v>
      </c>
      <c r="AC11" s="267" t="e">
        <f t="shared" ref="AC11:AC35" si="17">IF(AH5&gt;0,AH5,1)</f>
        <v>#DIV/0!</v>
      </c>
      <c r="AD11" s="273" t="s">
        <v>774</v>
      </c>
      <c r="AE11" s="274"/>
      <c r="AF11" s="275">
        <f>IF('أدخال البيانات'!G14&gt;0,'أدخال البيانات'!F14,0)</f>
        <v>0</v>
      </c>
      <c r="AG11" s="154">
        <f>'أدخال البيانات'!G14</f>
        <v>0</v>
      </c>
      <c r="AH11" s="154" t="e">
        <f t="shared" si="0"/>
        <v>#DIV/0!</v>
      </c>
      <c r="AI11" s="154" t="e">
        <f t="shared" si="1"/>
        <v>#DIV/0!</v>
      </c>
      <c r="AJ11" s="276" t="e">
        <f t="shared" si="2"/>
        <v>#DIV/0!</v>
      </c>
      <c r="AU11" s="267">
        <f>LARGE(G11:G36,1)</f>
        <v>0</v>
      </c>
      <c r="AV11" s="267">
        <f>MATCH(AU11,G11:G36,0)+1</f>
        <v>2</v>
      </c>
      <c r="AW11" s="267" t="str">
        <f>HLOOKUP(BB11,BB11:BC36,AV11,FALSE)</f>
        <v/>
      </c>
      <c r="AX11" s="267" t="e">
        <f>VLOOKUP(2,BA11:BD36,4,FALSE)</f>
        <v>#N/A</v>
      </c>
      <c r="AY11" s="267" t="e">
        <f>VLOOKUP(2,BA11:BC36,3,FALSE)</f>
        <v>#N/A</v>
      </c>
      <c r="AZ11" s="267" t="e">
        <f>VLOOKUP(2,BA12:BC36,2,FALSE)</f>
        <v>#N/A</v>
      </c>
      <c r="BA11" s="515">
        <f>IF(BC11&gt;0,1,0)</f>
        <v>1</v>
      </c>
      <c r="BB11" s="513" t="str">
        <f>C10</f>
        <v>الوارثون</v>
      </c>
      <c r="BC11" s="514" t="str">
        <f t="shared" ref="BC11:BC37" si="18">G10</f>
        <v>الفريضة</v>
      </c>
      <c r="BD11" s="511" t="str">
        <f t="shared" ref="BD11:BD35" si="19">BE11</f>
        <v>العدد</v>
      </c>
      <c r="BE11" s="511" t="str">
        <f t="shared" ref="BE11:BE37" si="20">E10</f>
        <v>العدد</v>
      </c>
      <c r="BF11" s="511" t="str">
        <f t="shared" ref="BF11:BF36" si="21">BC11</f>
        <v>الفريضة</v>
      </c>
    </row>
    <row r="12" spans="1:58" s="267" customFormat="1" ht="17.25" hidden="1" customHeight="1" thickBot="1">
      <c r="A12" s="281" t="str">
        <f t="shared" si="5"/>
        <v xml:space="preserve">بنت  </v>
      </c>
      <c r="B12" s="267" t="str">
        <f>IF(E12&gt;0,C12,A11)</f>
        <v>ابن</v>
      </c>
      <c r="C12" s="452" t="str">
        <f t="shared" si="6"/>
        <v/>
      </c>
      <c r="D12" s="453">
        <f t="shared" si="7"/>
        <v>1</v>
      </c>
      <c r="E12" s="453">
        <f t="shared" si="8"/>
        <v>0</v>
      </c>
      <c r="F12" s="470">
        <v>0</v>
      </c>
      <c r="G12" s="454">
        <f t="shared" ref="G12:G36" si="22">IF(AG6=0,0,AG6)</f>
        <v>0</v>
      </c>
      <c r="H12" s="455" t="e">
        <f t="shared" si="9"/>
        <v>#DIV/0!</v>
      </c>
      <c r="I12" s="455" t="e">
        <f t="shared" si="10"/>
        <v>#DIV/0!</v>
      </c>
      <c r="J12" s="446" t="e">
        <f t="shared" si="11"/>
        <v>#DIV/0!</v>
      </c>
      <c r="K12" s="277"/>
      <c r="L12" s="282">
        <f t="shared" si="12"/>
        <v>0</v>
      </c>
      <c r="M12" s="279">
        <f>N11</f>
        <v>0</v>
      </c>
      <c r="N12" s="280">
        <f t="shared" ref="N12:N36" si="23">$N$11</f>
        <v>0</v>
      </c>
      <c r="O12" s="65">
        <f t="shared" si="13"/>
        <v>0</v>
      </c>
      <c r="P12" s="59">
        <f t="shared" ref="P12:P36" si="24">$P$11</f>
        <v>0</v>
      </c>
      <c r="Q12" s="59">
        <f t="shared" ref="Q12:Q36" si="25">$Q$11</f>
        <v>1233</v>
      </c>
      <c r="R12" s="59" t="str">
        <f>$R$11</f>
        <v>المسألة تعول أو ترد</v>
      </c>
      <c r="S12" s="63">
        <f t="shared" si="14"/>
        <v>0</v>
      </c>
      <c r="T12" s="63">
        <f t="shared" ref="T12:T36" si="26">ABS(IF(X12&gt;=0,X12,0))</f>
        <v>0</v>
      </c>
      <c r="U12" s="59">
        <f t="shared" si="15"/>
        <v>0</v>
      </c>
      <c r="V12" s="59" t="b">
        <f t="shared" ref="V12:V36" si="27">IF(T12=0,TRUE,FALSE)</f>
        <v>1</v>
      </c>
      <c r="W12" s="66">
        <f t="shared" ref="W12:W36" si="28">IF(V12=TRUE,U12,0)</f>
        <v>0</v>
      </c>
      <c r="X12" s="63">
        <f t="shared" si="16"/>
        <v>0</v>
      </c>
      <c r="Z12" s="267">
        <f>Z11+1</f>
        <v>5.5</v>
      </c>
      <c r="AA12" s="267" t="e">
        <f t="shared" si="3"/>
        <v>#DIV/0!</v>
      </c>
      <c r="AB12" s="272" t="e">
        <f t="shared" si="4"/>
        <v>#DIV/0!</v>
      </c>
      <c r="AC12" s="267" t="e">
        <f t="shared" si="17"/>
        <v>#DIV/0!</v>
      </c>
      <c r="AD12" s="273" t="s">
        <v>775</v>
      </c>
      <c r="AE12" s="274"/>
      <c r="AF12" s="275">
        <f>IF('أدخال البيانات'!G15&gt;0,'أدخال البيانات'!F15,0)</f>
        <v>0</v>
      </c>
      <c r="AG12" s="154">
        <f>'أدخال البيانات'!G15</f>
        <v>0</v>
      </c>
      <c r="AH12" s="154" t="e">
        <f t="shared" si="0"/>
        <v>#DIV/0!</v>
      </c>
      <c r="AI12" s="154" t="e">
        <f t="shared" si="1"/>
        <v>#DIV/0!</v>
      </c>
      <c r="AJ12" s="276" t="e">
        <f t="shared" si="2"/>
        <v>#DIV/0!</v>
      </c>
      <c r="AU12" s="267">
        <f>LARGE(G11:G36,2)</f>
        <v>0</v>
      </c>
      <c r="AV12" s="267">
        <f>MATCH(AU12,G11:G36,0)+1</f>
        <v>2</v>
      </c>
      <c r="AW12" s="267" t="str">
        <f>HLOOKUP(BB11,BB11:BC36,AV12,TRUE)</f>
        <v/>
      </c>
      <c r="AX12" s="267" t="e">
        <f>VLOOKUP(3,BA11:BD36,4,FALSE)</f>
        <v>#N/A</v>
      </c>
      <c r="AY12" s="267" t="e">
        <f>VLOOKUP(3,BA11:BC36,3,FALSE)</f>
        <v>#N/A</v>
      </c>
      <c r="AZ12" s="267" t="e">
        <f>VLOOKUP(3,BA12:BC36,2,FALSE)</f>
        <v>#N/A</v>
      </c>
      <c r="BA12" s="517">
        <f>IF(BC12&gt;0,BA11+1,BA11)</f>
        <v>1</v>
      </c>
      <c r="BB12" s="516" t="str">
        <f>C11</f>
        <v/>
      </c>
      <c r="BC12" s="512">
        <f t="shared" si="18"/>
        <v>0</v>
      </c>
      <c r="BD12" s="511">
        <f t="shared" si="19"/>
        <v>0</v>
      </c>
      <c r="BE12" s="511">
        <f t="shared" si="20"/>
        <v>0</v>
      </c>
      <c r="BF12" s="511">
        <f t="shared" si="21"/>
        <v>0</v>
      </c>
    </row>
    <row r="13" spans="1:58" s="267" customFormat="1" ht="17.25" hidden="1" customHeight="1" thickBot="1">
      <c r="A13" s="281" t="str">
        <f t="shared" si="5"/>
        <v xml:space="preserve">الأم  </v>
      </c>
      <c r="B13" s="267" t="str">
        <f t="shared" ref="B13:B35" si="29">IF(E13&gt;0,C13,A13)</f>
        <v xml:space="preserve">الأم  </v>
      </c>
      <c r="C13" s="452" t="str">
        <f t="shared" si="6"/>
        <v/>
      </c>
      <c r="D13" s="453">
        <f t="shared" si="7"/>
        <v>1</v>
      </c>
      <c r="E13" s="453">
        <f t="shared" si="8"/>
        <v>0</v>
      </c>
      <c r="F13" s="470">
        <v>1</v>
      </c>
      <c r="G13" s="454">
        <f t="shared" si="22"/>
        <v>0</v>
      </c>
      <c r="H13" s="455" t="e">
        <f t="shared" si="9"/>
        <v>#DIV/0!</v>
      </c>
      <c r="I13" s="455" t="e">
        <f t="shared" si="10"/>
        <v>#DIV/0!</v>
      </c>
      <c r="J13" s="446" t="e">
        <f t="shared" si="11"/>
        <v>#DIV/0!</v>
      </c>
      <c r="K13" s="277"/>
      <c r="L13" s="282">
        <f t="shared" si="12"/>
        <v>0</v>
      </c>
      <c r="M13" s="279">
        <f t="shared" ref="M13:M36" si="30">N12</f>
        <v>0</v>
      </c>
      <c r="N13" s="280">
        <f t="shared" si="23"/>
        <v>0</v>
      </c>
      <c r="O13" s="65">
        <f t="shared" si="13"/>
        <v>0</v>
      </c>
      <c r="P13" s="59">
        <f t="shared" si="24"/>
        <v>0</v>
      </c>
      <c r="Q13" s="59">
        <f t="shared" si="25"/>
        <v>1233</v>
      </c>
      <c r="R13" s="59"/>
      <c r="S13" s="63">
        <f t="shared" si="14"/>
        <v>0</v>
      </c>
      <c r="T13" s="63">
        <f t="shared" si="26"/>
        <v>0</v>
      </c>
      <c r="U13" s="59">
        <f t="shared" si="15"/>
        <v>0</v>
      </c>
      <c r="V13" s="59" t="b">
        <f t="shared" si="27"/>
        <v>1</v>
      </c>
      <c r="W13" s="66">
        <f t="shared" si="28"/>
        <v>0</v>
      </c>
      <c r="X13" s="63">
        <f t="shared" si="16"/>
        <v>0</v>
      </c>
      <c r="Z13" s="267">
        <f t="shared" ref="Z13:Z75" si="31">Z12+1</f>
        <v>6.5</v>
      </c>
      <c r="AA13" s="267" t="e">
        <f t="shared" si="3"/>
        <v>#DIV/0!</v>
      </c>
      <c r="AB13" s="272" t="e">
        <f t="shared" si="4"/>
        <v>#DIV/0!</v>
      </c>
      <c r="AC13" s="267" t="e">
        <f t="shared" si="17"/>
        <v>#DIV/0!</v>
      </c>
      <c r="AD13" s="273" t="s">
        <v>776</v>
      </c>
      <c r="AE13" s="274"/>
      <c r="AF13" s="275">
        <f>IF('أدخال البيانات'!N15&gt;0,'أدخال البيانات'!M15,0)</f>
        <v>0</v>
      </c>
      <c r="AG13" s="154">
        <f>'أدخال البيانات'!N15</f>
        <v>0</v>
      </c>
      <c r="AH13" s="154" t="e">
        <f t="shared" si="0"/>
        <v>#DIV/0!</v>
      </c>
      <c r="AI13" s="154" t="e">
        <f t="shared" si="1"/>
        <v>#DIV/0!</v>
      </c>
      <c r="AJ13" s="276" t="e">
        <f t="shared" si="2"/>
        <v>#DIV/0!</v>
      </c>
      <c r="AU13" s="267">
        <f>LARGE(G11:G36,3)</f>
        <v>0</v>
      </c>
      <c r="AV13" s="267">
        <f>MATCH(AU13,G11:G36,0)+1</f>
        <v>2</v>
      </c>
      <c r="AW13" s="267" t="str">
        <f>HLOOKUP(BB11,BB11:BC36,AV13,TRUE)</f>
        <v/>
      </c>
      <c r="AX13" s="267" t="e">
        <f>VLOOKUP(4,BA11:BD36,4,FALSE)</f>
        <v>#N/A</v>
      </c>
      <c r="AY13" s="267" t="e">
        <f>VLOOKUP(4,BA11:BC36,3,FALSE)</f>
        <v>#N/A</v>
      </c>
      <c r="AZ13" s="267" t="e">
        <f>VLOOKUP(4,BA12:BC36,2,FALSE)</f>
        <v>#N/A</v>
      </c>
      <c r="BA13" s="517">
        <f>IF(BC13&gt;0,BA12+1,BA12)</f>
        <v>1</v>
      </c>
      <c r="BB13" s="516" t="str">
        <f>C12</f>
        <v/>
      </c>
      <c r="BC13" s="512">
        <f t="shared" si="18"/>
        <v>0</v>
      </c>
      <c r="BD13" s="511">
        <f t="shared" si="19"/>
        <v>0</v>
      </c>
      <c r="BE13" s="511">
        <f t="shared" si="20"/>
        <v>0</v>
      </c>
      <c r="BF13" s="511">
        <f t="shared" si="21"/>
        <v>0</v>
      </c>
    </row>
    <row r="14" spans="1:58" s="267" customFormat="1" ht="17.25" hidden="1" customHeight="1" thickBot="1">
      <c r="A14" s="281" t="str">
        <f t="shared" si="5"/>
        <v>ابن ابن</v>
      </c>
      <c r="B14" s="267" t="str">
        <f t="shared" si="29"/>
        <v>ابن ابن</v>
      </c>
      <c r="C14" s="452" t="str">
        <f t="shared" si="6"/>
        <v/>
      </c>
      <c r="D14" s="453">
        <f t="shared" si="7"/>
        <v>1</v>
      </c>
      <c r="E14" s="453">
        <f t="shared" si="8"/>
        <v>0</v>
      </c>
      <c r="F14" s="470"/>
      <c r="G14" s="454">
        <f t="shared" si="22"/>
        <v>0</v>
      </c>
      <c r="H14" s="455" t="e">
        <f t="shared" si="9"/>
        <v>#DIV/0!</v>
      </c>
      <c r="I14" s="455" t="e">
        <f t="shared" si="10"/>
        <v>#DIV/0!</v>
      </c>
      <c r="J14" s="446" t="e">
        <f t="shared" si="11"/>
        <v>#DIV/0!</v>
      </c>
      <c r="K14" s="277"/>
      <c r="L14" s="282">
        <f t="shared" si="12"/>
        <v>0</v>
      </c>
      <c r="M14" s="279">
        <f t="shared" si="30"/>
        <v>0</v>
      </c>
      <c r="N14" s="280">
        <f t="shared" si="23"/>
        <v>0</v>
      </c>
      <c r="O14" s="65">
        <f t="shared" si="13"/>
        <v>0</v>
      </c>
      <c r="P14" s="59">
        <f t="shared" si="24"/>
        <v>0</v>
      </c>
      <c r="Q14" s="59">
        <f t="shared" si="25"/>
        <v>1233</v>
      </c>
      <c r="R14" s="59"/>
      <c r="S14" s="63">
        <f t="shared" si="14"/>
        <v>0</v>
      </c>
      <c r="T14" s="63">
        <f t="shared" si="26"/>
        <v>0</v>
      </c>
      <c r="U14" s="59">
        <f t="shared" si="15"/>
        <v>0</v>
      </c>
      <c r="V14" s="59" t="b">
        <f t="shared" si="27"/>
        <v>1</v>
      </c>
      <c r="W14" s="66">
        <f t="shared" si="28"/>
        <v>0</v>
      </c>
      <c r="X14" s="63">
        <f t="shared" si="16"/>
        <v>0</v>
      </c>
      <c r="Z14" s="267">
        <f t="shared" si="31"/>
        <v>7.5</v>
      </c>
      <c r="AA14" s="267" t="e">
        <f t="shared" si="3"/>
        <v>#DIV/0!</v>
      </c>
      <c r="AB14" s="272" t="e">
        <f t="shared" si="4"/>
        <v>#DIV/0!</v>
      </c>
      <c r="AC14" s="267" t="e">
        <f t="shared" si="17"/>
        <v>#DIV/0!</v>
      </c>
      <c r="AD14" s="273" t="s">
        <v>777</v>
      </c>
      <c r="AE14" s="274"/>
      <c r="AF14" s="275">
        <f>IF('أدخال البيانات'!G16&gt;0,'أدخال البيانات'!F16,0)</f>
        <v>0</v>
      </c>
      <c r="AG14" s="154">
        <f>'أدخال البيانات'!G16</f>
        <v>0</v>
      </c>
      <c r="AH14" s="154" t="e">
        <f t="shared" si="0"/>
        <v>#DIV/0!</v>
      </c>
      <c r="AI14" s="154" t="e">
        <f t="shared" si="1"/>
        <v>#DIV/0!</v>
      </c>
      <c r="AJ14" s="276" t="e">
        <f t="shared" si="2"/>
        <v>#DIV/0!</v>
      </c>
      <c r="AU14" s="267">
        <f>LARGE(G11:G36,4)</f>
        <v>0</v>
      </c>
      <c r="AV14" s="267">
        <f>MATCH(AU14,G11:G36,0)+1</f>
        <v>2</v>
      </c>
      <c r="AW14" s="267" t="str">
        <f>HLOOKUP(BB11,BB11:BC36,AV14,TRUE)</f>
        <v/>
      </c>
      <c r="AX14" s="267" t="e">
        <f>VLOOKUP(5,BA11:BD36,4,FALSE)</f>
        <v>#N/A</v>
      </c>
      <c r="AY14" s="267" t="e">
        <f>VLOOKUP(5,BA11:BC36,3,FALSE)</f>
        <v>#N/A</v>
      </c>
      <c r="AZ14" s="267" t="e">
        <f>VLOOKUP(5,BA12:BC36,2,FALSE)</f>
        <v>#N/A</v>
      </c>
      <c r="BA14" s="520">
        <f>IF(BC14&gt;0,BA13+1,BA13)</f>
        <v>1</v>
      </c>
      <c r="BB14" s="518" t="s">
        <v>154</v>
      </c>
      <c r="BC14" s="519">
        <f t="shared" si="18"/>
        <v>0</v>
      </c>
      <c r="BD14" s="511">
        <f t="shared" si="19"/>
        <v>0</v>
      </c>
      <c r="BE14" s="511">
        <f t="shared" si="20"/>
        <v>0</v>
      </c>
      <c r="BF14" s="511">
        <f t="shared" si="21"/>
        <v>0</v>
      </c>
    </row>
    <row r="15" spans="1:58" s="267" customFormat="1" ht="17.25" hidden="1" customHeight="1" thickBot="1">
      <c r="A15" s="281" t="str">
        <f t="shared" si="5"/>
        <v>الأب</v>
      </c>
      <c r="B15" s="267" t="str">
        <f t="shared" si="29"/>
        <v>الأب</v>
      </c>
      <c r="C15" s="452" t="str">
        <f t="shared" si="6"/>
        <v/>
      </c>
      <c r="D15" s="453">
        <f t="shared" si="7"/>
        <v>1</v>
      </c>
      <c r="E15" s="453">
        <f t="shared" si="8"/>
        <v>0</v>
      </c>
      <c r="F15" s="470">
        <v>0</v>
      </c>
      <c r="G15" s="454">
        <f t="shared" si="22"/>
        <v>0</v>
      </c>
      <c r="H15" s="455" t="e">
        <f t="shared" si="9"/>
        <v>#DIV/0!</v>
      </c>
      <c r="I15" s="455" t="e">
        <f t="shared" si="10"/>
        <v>#DIV/0!</v>
      </c>
      <c r="J15" s="446" t="e">
        <f t="shared" si="11"/>
        <v>#DIV/0!</v>
      </c>
      <c r="K15" s="277"/>
      <c r="L15" s="282">
        <f t="shared" si="12"/>
        <v>0</v>
      </c>
      <c r="M15" s="279">
        <f t="shared" si="30"/>
        <v>0</v>
      </c>
      <c r="N15" s="280">
        <f t="shared" si="23"/>
        <v>0</v>
      </c>
      <c r="O15" s="65">
        <f t="shared" si="13"/>
        <v>0</v>
      </c>
      <c r="P15" s="59">
        <f t="shared" si="24"/>
        <v>0</v>
      </c>
      <c r="Q15" s="59">
        <f t="shared" si="25"/>
        <v>1233</v>
      </c>
      <c r="R15" s="59" t="str">
        <f>$R$11</f>
        <v>المسألة تعول أو ترد</v>
      </c>
      <c r="S15" s="63">
        <f t="shared" si="14"/>
        <v>0</v>
      </c>
      <c r="T15" s="63">
        <f t="shared" si="26"/>
        <v>0</v>
      </c>
      <c r="U15" s="59">
        <f t="shared" si="15"/>
        <v>0</v>
      </c>
      <c r="V15" s="59" t="b">
        <f t="shared" si="27"/>
        <v>1</v>
      </c>
      <c r="W15" s="66">
        <f t="shared" si="28"/>
        <v>0</v>
      </c>
      <c r="X15" s="63">
        <f t="shared" si="16"/>
        <v>0</v>
      </c>
      <c r="Z15" s="267">
        <f t="shared" si="31"/>
        <v>8.5</v>
      </c>
      <c r="AA15" s="267" t="e">
        <f t="shared" si="3"/>
        <v>#DIV/0!</v>
      </c>
      <c r="AB15" s="272" t="e">
        <f t="shared" si="4"/>
        <v>#DIV/0!</v>
      </c>
      <c r="AC15" s="267" t="e">
        <f t="shared" si="17"/>
        <v>#DIV/0!</v>
      </c>
      <c r="AD15" s="273" t="s">
        <v>778</v>
      </c>
      <c r="AE15" s="274"/>
      <c r="AF15" s="275">
        <f>IF('أدخال البيانات'!G17&gt;0,'أدخال البيانات'!F17,0)</f>
        <v>0</v>
      </c>
      <c r="AG15" s="154">
        <f>'أدخال البيانات'!G17</f>
        <v>0</v>
      </c>
      <c r="AH15" s="154" t="e">
        <f t="shared" si="0"/>
        <v>#DIV/0!</v>
      </c>
      <c r="AI15" s="154" t="e">
        <f t="shared" si="1"/>
        <v>#DIV/0!</v>
      </c>
      <c r="AJ15" s="276" t="e">
        <f t="shared" si="2"/>
        <v>#DIV/0!</v>
      </c>
      <c r="AU15" s="267">
        <f>LARGE(G11:G40,5)</f>
        <v>0</v>
      </c>
      <c r="AV15" s="267">
        <f>MATCH(AU15,G11:G36,0)+1</f>
        <v>2</v>
      </c>
      <c r="AW15" s="267" t="str">
        <f>HLOOKUP(BB11,BB11:BC36,AV15,TRUE)</f>
        <v/>
      </c>
      <c r="AX15" s="267" t="e">
        <f>VLOOKUP(6,BA11:BD36,4,FALSE)</f>
        <v>#N/A</v>
      </c>
      <c r="AY15" s="267" t="e">
        <f>VLOOKUP(6,BA11:BC36,3,FALSE)</f>
        <v>#N/A</v>
      </c>
      <c r="AZ15" s="267" t="e">
        <f>VLOOKUP(6,BA12:BC36,2,FALSE)</f>
        <v>#N/A</v>
      </c>
      <c r="BA15" s="267">
        <f>IF(BC15&gt;0,BA14+1,BA14)</f>
        <v>1</v>
      </c>
      <c r="BB15" s="511" t="str">
        <f>C14</f>
        <v/>
      </c>
      <c r="BC15" s="272">
        <f t="shared" si="18"/>
        <v>0</v>
      </c>
      <c r="BD15" s="511">
        <f t="shared" si="19"/>
        <v>0</v>
      </c>
      <c r="BE15" s="511">
        <f t="shared" si="20"/>
        <v>0</v>
      </c>
      <c r="BF15" s="511">
        <f t="shared" si="21"/>
        <v>0</v>
      </c>
    </row>
    <row r="16" spans="1:58" s="267" customFormat="1" ht="17.25" hidden="1" customHeight="1" thickBot="1">
      <c r="A16" s="281" t="str">
        <f t="shared" si="5"/>
        <v>الجد(أب الأب)</v>
      </c>
      <c r="B16" s="267" t="str">
        <f t="shared" si="29"/>
        <v>الجد(أب الأب)</v>
      </c>
      <c r="C16" s="452" t="str">
        <f t="shared" si="6"/>
        <v/>
      </c>
      <c r="D16" s="453">
        <f t="shared" si="7"/>
        <v>1</v>
      </c>
      <c r="E16" s="453">
        <f t="shared" si="8"/>
        <v>0</v>
      </c>
      <c r="F16" s="470">
        <v>0</v>
      </c>
      <c r="G16" s="454">
        <f t="shared" si="22"/>
        <v>0</v>
      </c>
      <c r="H16" s="455" t="e">
        <f t="shared" si="9"/>
        <v>#DIV/0!</v>
      </c>
      <c r="I16" s="455" t="e">
        <f t="shared" si="10"/>
        <v>#DIV/0!</v>
      </c>
      <c r="J16" s="446" t="e">
        <f t="shared" si="11"/>
        <v>#DIV/0!</v>
      </c>
      <c r="K16" s="277"/>
      <c r="L16" s="282">
        <f t="shared" si="12"/>
        <v>0</v>
      </c>
      <c r="M16" s="279">
        <f t="shared" si="30"/>
        <v>0</v>
      </c>
      <c r="N16" s="280">
        <f t="shared" si="23"/>
        <v>0</v>
      </c>
      <c r="O16" s="65">
        <f t="shared" si="13"/>
        <v>0</v>
      </c>
      <c r="P16" s="59">
        <f t="shared" si="24"/>
        <v>0</v>
      </c>
      <c r="Q16" s="59">
        <f t="shared" si="25"/>
        <v>1233</v>
      </c>
      <c r="R16" s="59"/>
      <c r="S16" s="63">
        <f t="shared" si="14"/>
        <v>0</v>
      </c>
      <c r="T16" s="63">
        <f t="shared" si="26"/>
        <v>0</v>
      </c>
      <c r="U16" s="59">
        <f t="shared" si="15"/>
        <v>0</v>
      </c>
      <c r="V16" s="59" t="b">
        <f t="shared" si="27"/>
        <v>1</v>
      </c>
      <c r="W16" s="66">
        <f t="shared" si="28"/>
        <v>0</v>
      </c>
      <c r="X16" s="63">
        <f t="shared" si="16"/>
        <v>0</v>
      </c>
      <c r="Z16" s="267">
        <f t="shared" si="31"/>
        <v>9.5</v>
      </c>
      <c r="AA16" s="267" t="e">
        <f t="shared" si="3"/>
        <v>#DIV/0!</v>
      </c>
      <c r="AB16" s="272" t="e">
        <f t="shared" si="4"/>
        <v>#DIV/0!</v>
      </c>
      <c r="AC16" s="267" t="e">
        <f t="shared" si="17"/>
        <v>#DIV/0!</v>
      </c>
      <c r="AD16" s="273" t="str">
        <f>'أدخال البيانات'!E18</f>
        <v xml:space="preserve">العم الشقيق  </v>
      </c>
      <c r="AE16" s="274"/>
      <c r="AF16" s="275">
        <f>IF('أدخال البيانات'!G18&gt;0,'أدخال البيانات'!F18,0)</f>
        <v>0</v>
      </c>
      <c r="AG16" s="154">
        <f>'أدخال البيانات'!G18</f>
        <v>0</v>
      </c>
      <c r="AH16" s="154" t="e">
        <f t="shared" si="0"/>
        <v>#DIV/0!</v>
      </c>
      <c r="AI16" s="154" t="e">
        <f t="shared" si="1"/>
        <v>#DIV/0!</v>
      </c>
      <c r="AJ16" s="276" t="e">
        <f t="shared" si="2"/>
        <v>#DIV/0!</v>
      </c>
      <c r="AU16" s="267">
        <f>LARGE(G11:G41,6)</f>
        <v>0</v>
      </c>
      <c r="AV16" s="267">
        <f>MATCH(AU16,G11:G36,0)+1</f>
        <v>2</v>
      </c>
      <c r="AW16" s="267" t="str">
        <f>HLOOKUP(BB11,BB11:BC36,AV16,TRUE)</f>
        <v/>
      </c>
      <c r="AX16" s="267" t="e">
        <f>VLOOKUP(7,BA11:BD36,4,FALSE)</f>
        <v>#N/A</v>
      </c>
      <c r="AY16" s="267" t="e">
        <f>VLOOKUP(7,BA11:BC36,3,FALSE)</f>
        <v>#N/A</v>
      </c>
      <c r="AZ16" s="267" t="e">
        <f>VLOOKUP(7,BA12:BC36,2,FALSE)</f>
        <v>#N/A</v>
      </c>
      <c r="BA16" s="267">
        <f>IF(BC16&gt;0,BA15+1,BA15)</f>
        <v>1</v>
      </c>
      <c r="BB16" s="511" t="str">
        <f>C15</f>
        <v/>
      </c>
      <c r="BC16" s="272">
        <f t="shared" si="18"/>
        <v>0</v>
      </c>
      <c r="BD16" s="511">
        <f t="shared" si="19"/>
        <v>0</v>
      </c>
      <c r="BE16" s="511">
        <f t="shared" si="20"/>
        <v>0</v>
      </c>
      <c r="BF16" s="511">
        <f t="shared" si="21"/>
        <v>0</v>
      </c>
    </row>
    <row r="17" spans="1:58" s="267" customFormat="1" ht="17.25" hidden="1" customHeight="1" thickBot="1">
      <c r="A17" s="281" t="str">
        <f t="shared" si="5"/>
        <v xml:space="preserve"> أخ شقيق</v>
      </c>
      <c r="B17" s="267" t="str">
        <f t="shared" si="29"/>
        <v xml:space="preserve"> أخ شقيق</v>
      </c>
      <c r="C17" s="452" t="str">
        <f t="shared" si="6"/>
        <v/>
      </c>
      <c r="D17" s="453">
        <f t="shared" si="7"/>
        <v>1</v>
      </c>
      <c r="E17" s="453">
        <f t="shared" si="8"/>
        <v>0</v>
      </c>
      <c r="F17" s="470">
        <v>0</v>
      </c>
      <c r="G17" s="454">
        <f t="shared" si="22"/>
        <v>0</v>
      </c>
      <c r="H17" s="455" t="e">
        <f t="shared" si="9"/>
        <v>#DIV/0!</v>
      </c>
      <c r="I17" s="455" t="e">
        <f t="shared" si="10"/>
        <v>#DIV/0!</v>
      </c>
      <c r="J17" s="446" t="e">
        <f t="shared" si="11"/>
        <v>#DIV/0!</v>
      </c>
      <c r="K17" s="277"/>
      <c r="L17" s="282">
        <f t="shared" si="12"/>
        <v>0</v>
      </c>
      <c r="M17" s="279">
        <f t="shared" si="30"/>
        <v>0</v>
      </c>
      <c r="N17" s="280">
        <f t="shared" si="23"/>
        <v>0</v>
      </c>
      <c r="O17" s="65">
        <f t="shared" si="13"/>
        <v>0</v>
      </c>
      <c r="P17" s="59">
        <f t="shared" si="24"/>
        <v>0</v>
      </c>
      <c r="Q17" s="59">
        <f t="shared" si="25"/>
        <v>1233</v>
      </c>
      <c r="R17" s="59"/>
      <c r="S17" s="63">
        <f t="shared" si="14"/>
        <v>0</v>
      </c>
      <c r="T17" s="63">
        <f t="shared" si="26"/>
        <v>0</v>
      </c>
      <c r="U17" s="59">
        <f t="shared" si="15"/>
        <v>0</v>
      </c>
      <c r="V17" s="59" t="b">
        <f t="shared" si="27"/>
        <v>1</v>
      </c>
      <c r="W17" s="66">
        <f t="shared" si="28"/>
        <v>0</v>
      </c>
      <c r="X17" s="63">
        <f t="shared" si="16"/>
        <v>0</v>
      </c>
      <c r="Z17" s="267">
        <f t="shared" si="31"/>
        <v>10.5</v>
      </c>
      <c r="AA17" s="267" t="e">
        <f t="shared" si="3"/>
        <v>#DIV/0!</v>
      </c>
      <c r="AB17" s="272" t="e">
        <f t="shared" si="4"/>
        <v>#DIV/0!</v>
      </c>
      <c r="AC17" s="267" t="e">
        <f t="shared" si="17"/>
        <v>#DIV/0!</v>
      </c>
      <c r="AD17" s="273" t="str">
        <f>'أدخال البيانات'!E19</f>
        <v xml:space="preserve">العم لأب </v>
      </c>
      <c r="AE17" s="274"/>
      <c r="AF17" s="275">
        <f>IF('أدخال البيانات'!G19&gt;0,'أدخال البيانات'!F19,0)</f>
        <v>0</v>
      </c>
      <c r="AG17" s="154">
        <f>'أدخال البيانات'!G19</f>
        <v>0</v>
      </c>
      <c r="AH17" s="154" t="e">
        <f t="shared" si="0"/>
        <v>#DIV/0!</v>
      </c>
      <c r="AI17" s="154" t="e">
        <f t="shared" si="1"/>
        <v>#DIV/0!</v>
      </c>
      <c r="AJ17" s="276" t="e">
        <f t="shared" si="2"/>
        <v>#DIV/0!</v>
      </c>
      <c r="AU17" s="267">
        <f>LARGE(G11:G36,7)</f>
        <v>0</v>
      </c>
      <c r="AV17" s="267">
        <f>MATCH(AU17,G11:G36,0)+1</f>
        <v>2</v>
      </c>
      <c r="AW17" s="267" t="str">
        <f>HLOOKUP(BB11,BB11:BC36,AV17,TRUE)</f>
        <v/>
      </c>
      <c r="AX17" s="267" t="e">
        <f>VLOOKUP(8,BA11:BD36,4,FALSE)</f>
        <v>#N/A</v>
      </c>
      <c r="AY17" s="267" t="e">
        <f>VLOOKUP(8,BA11:BC36,3,FALSE)</f>
        <v>#N/A</v>
      </c>
      <c r="AZ17" s="267" t="e">
        <f>VLOOKUP(8,BA12:BC36,2,FALSE)</f>
        <v>#N/A</v>
      </c>
      <c r="BA17" s="267">
        <f t="shared" ref="BA17:BA36" si="32">IF(BC17&gt;0,BA16+1,BA16)</f>
        <v>1</v>
      </c>
      <c r="BB17" s="511" t="str">
        <f>C16</f>
        <v/>
      </c>
      <c r="BC17" s="272">
        <f t="shared" si="18"/>
        <v>0</v>
      </c>
      <c r="BD17" s="511">
        <f t="shared" si="19"/>
        <v>0</v>
      </c>
      <c r="BE17" s="511">
        <f t="shared" si="20"/>
        <v>0</v>
      </c>
      <c r="BF17" s="511">
        <f t="shared" si="21"/>
        <v>0</v>
      </c>
    </row>
    <row r="18" spans="1:58" s="267" customFormat="1" ht="21" hidden="1" customHeight="1" thickBot="1">
      <c r="A18" s="281" t="str">
        <f t="shared" si="5"/>
        <v>اخ لأب</v>
      </c>
      <c r="B18" s="267" t="str">
        <f t="shared" si="29"/>
        <v>اخ لأب</v>
      </c>
      <c r="C18" s="452" t="str">
        <f t="shared" si="6"/>
        <v/>
      </c>
      <c r="D18" s="453">
        <f t="shared" si="7"/>
        <v>1</v>
      </c>
      <c r="E18" s="453">
        <f t="shared" si="8"/>
        <v>0</v>
      </c>
      <c r="F18" s="470">
        <v>0</v>
      </c>
      <c r="G18" s="454">
        <f t="shared" si="22"/>
        <v>0</v>
      </c>
      <c r="H18" s="455" t="e">
        <f t="shared" si="9"/>
        <v>#DIV/0!</v>
      </c>
      <c r="I18" s="455" t="e">
        <f t="shared" si="10"/>
        <v>#DIV/0!</v>
      </c>
      <c r="J18" s="446" t="e">
        <f t="shared" si="11"/>
        <v>#DIV/0!</v>
      </c>
      <c r="K18" s="277"/>
      <c r="L18" s="282">
        <f t="shared" si="12"/>
        <v>0</v>
      </c>
      <c r="M18" s="279">
        <f t="shared" si="30"/>
        <v>0</v>
      </c>
      <c r="N18" s="280">
        <f t="shared" si="23"/>
        <v>0</v>
      </c>
      <c r="O18" s="65">
        <f t="shared" si="13"/>
        <v>0</v>
      </c>
      <c r="P18" s="59">
        <f t="shared" si="24"/>
        <v>0</v>
      </c>
      <c r="Q18" s="59">
        <f t="shared" si="25"/>
        <v>1233</v>
      </c>
      <c r="R18" s="59"/>
      <c r="S18" s="63">
        <f t="shared" si="14"/>
        <v>0</v>
      </c>
      <c r="T18" s="63">
        <f t="shared" si="26"/>
        <v>0</v>
      </c>
      <c r="U18" s="59">
        <f t="shared" si="15"/>
        <v>0</v>
      </c>
      <c r="V18" s="59" t="b">
        <f t="shared" si="27"/>
        <v>1</v>
      </c>
      <c r="W18" s="66">
        <f t="shared" si="28"/>
        <v>0</v>
      </c>
      <c r="X18" s="63">
        <f t="shared" si="16"/>
        <v>0</v>
      </c>
      <c r="Z18" s="267">
        <f t="shared" si="31"/>
        <v>11.5</v>
      </c>
      <c r="AA18" s="267" t="e">
        <f t="shared" si="3"/>
        <v>#DIV/0!</v>
      </c>
      <c r="AB18" s="272" t="e">
        <f t="shared" si="4"/>
        <v>#DIV/0!</v>
      </c>
      <c r="AC18" s="267" t="e">
        <f t="shared" si="17"/>
        <v>#DIV/0!</v>
      </c>
      <c r="AD18" s="273" t="str">
        <f>'أدخال البيانات'!E20</f>
        <v xml:space="preserve"> أبن العم الشقيق </v>
      </c>
      <c r="AE18" s="274"/>
      <c r="AF18" s="275">
        <f>IF('أدخال البيانات'!G20&gt;0,'أدخال البيانات'!F20,0)</f>
        <v>0</v>
      </c>
      <c r="AG18" s="154">
        <f>'أدخال البيانات'!G20</f>
        <v>0</v>
      </c>
      <c r="AH18" s="154" t="e">
        <f t="shared" si="0"/>
        <v>#DIV/0!</v>
      </c>
      <c r="AI18" s="154" t="e">
        <f t="shared" si="1"/>
        <v>#DIV/0!</v>
      </c>
      <c r="AJ18" s="276" t="e">
        <f t="shared" si="2"/>
        <v>#DIV/0!</v>
      </c>
      <c r="AU18" s="267">
        <f>LARGE(G11:G36,8)</f>
        <v>0</v>
      </c>
      <c r="AV18" s="267">
        <f>MATCH(AU18,G11:G36,0)+1</f>
        <v>2</v>
      </c>
      <c r="AW18" s="267" t="str">
        <f>HLOOKUP(BB11,BB11:BC36,AV18,TRUE)</f>
        <v/>
      </c>
      <c r="AX18" s="267" t="e">
        <f>VLOOKUP(9,BA11:BD36,4,FALSE)</f>
        <v>#N/A</v>
      </c>
      <c r="AY18" s="267" t="e">
        <f>VLOOKUP(9,BA11:BC36,3,FALSE)</f>
        <v>#N/A</v>
      </c>
      <c r="AZ18" s="267" t="e">
        <f>VLOOKUP(9,BA12:BC36,2,FALSE)</f>
        <v>#N/A</v>
      </c>
      <c r="BA18" s="267">
        <f t="shared" si="32"/>
        <v>1</v>
      </c>
      <c r="BB18" s="511" t="str">
        <f>C17</f>
        <v/>
      </c>
      <c r="BC18" s="272">
        <f t="shared" si="18"/>
        <v>0</v>
      </c>
      <c r="BD18" s="511">
        <f t="shared" si="19"/>
        <v>0</v>
      </c>
      <c r="BE18" s="511">
        <f t="shared" si="20"/>
        <v>0</v>
      </c>
      <c r="BF18" s="511">
        <f t="shared" si="21"/>
        <v>0</v>
      </c>
    </row>
    <row r="19" spans="1:58" s="267" customFormat="1" ht="17.25" hidden="1" customHeight="1" thickBot="1">
      <c r="A19" s="281" t="str">
        <f t="shared" si="5"/>
        <v>اخ لأم</v>
      </c>
      <c r="B19" s="267" t="str">
        <f t="shared" si="29"/>
        <v>اخ لأم</v>
      </c>
      <c r="C19" s="452" t="str">
        <f t="shared" si="6"/>
        <v/>
      </c>
      <c r="D19" s="453">
        <f t="shared" si="7"/>
        <v>1</v>
      </c>
      <c r="E19" s="453">
        <f t="shared" si="8"/>
        <v>0</v>
      </c>
      <c r="F19" s="470"/>
      <c r="G19" s="454">
        <f t="shared" si="22"/>
        <v>0</v>
      </c>
      <c r="H19" s="455" t="e">
        <f t="shared" si="9"/>
        <v>#DIV/0!</v>
      </c>
      <c r="I19" s="455" t="e">
        <f t="shared" si="10"/>
        <v>#DIV/0!</v>
      </c>
      <c r="J19" s="446" t="e">
        <f t="shared" si="11"/>
        <v>#DIV/0!</v>
      </c>
      <c r="K19" s="277"/>
      <c r="L19" s="282">
        <f t="shared" si="12"/>
        <v>0</v>
      </c>
      <c r="M19" s="279">
        <f t="shared" si="30"/>
        <v>0</v>
      </c>
      <c r="N19" s="280">
        <f t="shared" si="23"/>
        <v>0</v>
      </c>
      <c r="O19" s="65">
        <f t="shared" si="13"/>
        <v>0</v>
      </c>
      <c r="P19" s="59">
        <f t="shared" si="24"/>
        <v>0</v>
      </c>
      <c r="Q19" s="59">
        <f t="shared" si="25"/>
        <v>1233</v>
      </c>
      <c r="R19" s="59"/>
      <c r="S19" s="63">
        <f t="shared" si="14"/>
        <v>0</v>
      </c>
      <c r="T19" s="63">
        <f t="shared" si="26"/>
        <v>0</v>
      </c>
      <c r="U19" s="59">
        <f t="shared" si="15"/>
        <v>0</v>
      </c>
      <c r="V19" s="59" t="b">
        <f t="shared" si="27"/>
        <v>1</v>
      </c>
      <c r="W19" s="66">
        <f t="shared" si="28"/>
        <v>0</v>
      </c>
      <c r="X19" s="63">
        <f t="shared" si="16"/>
        <v>0</v>
      </c>
      <c r="Z19" s="267">
        <f t="shared" si="31"/>
        <v>12.5</v>
      </c>
      <c r="AA19" s="267" t="e">
        <f t="shared" si="3"/>
        <v>#DIV/0!</v>
      </c>
      <c r="AB19" s="272" t="e">
        <f t="shared" si="4"/>
        <v>#DIV/0!</v>
      </c>
      <c r="AC19" s="267" t="e">
        <f t="shared" si="17"/>
        <v>#DIV/0!</v>
      </c>
      <c r="AD19" s="273" t="str">
        <f>'أدخال البيانات'!E21</f>
        <v xml:space="preserve"> أبن العم لأب  </v>
      </c>
      <c r="AE19" s="274"/>
      <c r="AF19" s="275">
        <f>IF('أدخال البيانات'!G21&gt;0,'أدخال البيانات'!F21,0)</f>
        <v>0</v>
      </c>
      <c r="AG19" s="154">
        <f>'أدخال البيانات'!G21</f>
        <v>0</v>
      </c>
      <c r="AH19" s="154" t="e">
        <f t="shared" si="0"/>
        <v>#DIV/0!</v>
      </c>
      <c r="AI19" s="154" t="e">
        <f t="shared" si="1"/>
        <v>#DIV/0!</v>
      </c>
      <c r="AJ19" s="276" t="e">
        <f t="shared" si="2"/>
        <v>#DIV/0!</v>
      </c>
      <c r="AU19" s="267">
        <f>LARGE(G11:G36,9)</f>
        <v>0</v>
      </c>
      <c r="AV19" s="267">
        <f>MATCH(AU19,G11:G36,0)+1</f>
        <v>2</v>
      </c>
      <c r="AW19" s="267" t="str">
        <f>HLOOKUP(BB11,BB11:BC36,AV19,TRUE)</f>
        <v/>
      </c>
      <c r="AX19" s="267" t="e">
        <f>VLOOKUP(10,BA11:BD36,4,FALSE)</f>
        <v>#N/A</v>
      </c>
      <c r="AY19" s="267" t="e">
        <f>VLOOKUP(10,BA11:BC36,3,FALSE)</f>
        <v>#N/A</v>
      </c>
      <c r="AZ19" s="267" t="e">
        <f>VLOOKUP(10,BA12:BC36,2,FALSE)</f>
        <v>#N/A</v>
      </c>
      <c r="BA19" s="267">
        <f t="shared" si="32"/>
        <v>1</v>
      </c>
      <c r="BB19" s="511" t="str">
        <f>C18</f>
        <v/>
      </c>
      <c r="BC19" s="272">
        <f t="shared" si="18"/>
        <v>0</v>
      </c>
      <c r="BD19" s="511">
        <f t="shared" si="19"/>
        <v>0</v>
      </c>
      <c r="BE19" s="511">
        <f t="shared" si="20"/>
        <v>0</v>
      </c>
      <c r="BF19" s="511">
        <f t="shared" si="21"/>
        <v>0</v>
      </c>
    </row>
    <row r="20" spans="1:58" s="267" customFormat="1" ht="17.25" hidden="1" customHeight="1" thickBot="1">
      <c r="A20" s="281" t="str">
        <f t="shared" si="5"/>
        <v>ابن اخ</v>
      </c>
      <c r="B20" s="267" t="str">
        <f t="shared" si="29"/>
        <v>ابن اخ</v>
      </c>
      <c r="C20" s="452" t="str">
        <f t="shared" si="6"/>
        <v/>
      </c>
      <c r="D20" s="453">
        <f t="shared" si="7"/>
        <v>1</v>
      </c>
      <c r="E20" s="453">
        <f t="shared" si="8"/>
        <v>0</v>
      </c>
      <c r="F20" s="470"/>
      <c r="G20" s="454">
        <f t="shared" si="22"/>
        <v>0</v>
      </c>
      <c r="H20" s="455" t="e">
        <f t="shared" si="9"/>
        <v>#DIV/0!</v>
      </c>
      <c r="I20" s="455" t="e">
        <f t="shared" si="10"/>
        <v>#DIV/0!</v>
      </c>
      <c r="J20" s="446" t="e">
        <f t="shared" si="11"/>
        <v>#DIV/0!</v>
      </c>
      <c r="K20" s="277"/>
      <c r="L20" s="282">
        <f t="shared" si="12"/>
        <v>0</v>
      </c>
      <c r="M20" s="279">
        <f t="shared" si="30"/>
        <v>0</v>
      </c>
      <c r="N20" s="280">
        <f t="shared" si="23"/>
        <v>0</v>
      </c>
      <c r="O20" s="65">
        <f t="shared" si="13"/>
        <v>0</v>
      </c>
      <c r="P20" s="59">
        <f t="shared" si="24"/>
        <v>0</v>
      </c>
      <c r="Q20" s="59">
        <f t="shared" si="25"/>
        <v>1233</v>
      </c>
      <c r="R20" s="59"/>
      <c r="S20" s="63">
        <f t="shared" si="14"/>
        <v>0</v>
      </c>
      <c r="T20" s="63">
        <f t="shared" si="26"/>
        <v>0</v>
      </c>
      <c r="U20" s="59">
        <f t="shared" si="15"/>
        <v>0</v>
      </c>
      <c r="V20" s="59" t="b">
        <f t="shared" si="27"/>
        <v>1</v>
      </c>
      <c r="W20" s="66">
        <f t="shared" si="28"/>
        <v>0</v>
      </c>
      <c r="X20" s="63">
        <f t="shared" si="16"/>
        <v>0</v>
      </c>
      <c r="Z20" s="267">
        <f t="shared" si="31"/>
        <v>13.5</v>
      </c>
      <c r="AA20" s="267" t="e">
        <f t="shared" si="3"/>
        <v>#DIV/0!</v>
      </c>
      <c r="AB20" s="272" t="e">
        <f t="shared" si="4"/>
        <v>#DIV/0!</v>
      </c>
      <c r="AC20" s="267" t="e">
        <f t="shared" si="17"/>
        <v>#DIV/0!</v>
      </c>
      <c r="AD20" s="273" t="s">
        <v>146</v>
      </c>
      <c r="AE20" s="274"/>
      <c r="AF20" s="275">
        <f>IF('أدخال البيانات'!G22&gt;0,'أدخال البيانات'!F22,0)</f>
        <v>0</v>
      </c>
      <c r="AG20" s="154">
        <f>'أدخال البيانات'!G22</f>
        <v>0</v>
      </c>
      <c r="AH20" s="154" t="e">
        <f t="shared" si="0"/>
        <v>#DIV/0!</v>
      </c>
      <c r="AI20" s="154" t="e">
        <f t="shared" si="1"/>
        <v>#DIV/0!</v>
      </c>
      <c r="AJ20" s="276" t="e">
        <f t="shared" si="2"/>
        <v>#DIV/0!</v>
      </c>
      <c r="AU20" s="267">
        <f>LARGE(G11:G36,10)</f>
        <v>0</v>
      </c>
      <c r="AV20" s="267">
        <f>MATCH(AU20,G11:G36,0)+1</f>
        <v>2</v>
      </c>
      <c r="AW20" s="267" t="str">
        <f>HLOOKUP(BB11,BB11:BC36,AV20,TRUE)</f>
        <v/>
      </c>
      <c r="AX20" s="267" t="e">
        <f>VLOOKUP(11,BA11:BD36,4,FALSE)</f>
        <v>#N/A</v>
      </c>
      <c r="AY20" s="267" t="e">
        <f>VLOOKUP(11,BA11:BC36,3,FALSE)</f>
        <v>#N/A</v>
      </c>
      <c r="AZ20" s="267" t="e">
        <f>VLOOKUP(11,BA12:BC36,2,FALSE)</f>
        <v>#N/A</v>
      </c>
      <c r="BA20" s="267">
        <f t="shared" si="32"/>
        <v>1</v>
      </c>
      <c r="BB20" s="511" t="s">
        <v>752</v>
      </c>
      <c r="BC20" s="272">
        <f t="shared" si="18"/>
        <v>0</v>
      </c>
      <c r="BD20" s="511">
        <f t="shared" si="19"/>
        <v>0</v>
      </c>
      <c r="BE20" s="511">
        <f t="shared" si="20"/>
        <v>0</v>
      </c>
      <c r="BF20" s="511">
        <f t="shared" si="21"/>
        <v>0</v>
      </c>
    </row>
    <row r="21" spans="1:58" s="267" customFormat="1" ht="17.25" hidden="1" customHeight="1" thickBot="1">
      <c r="A21" s="281" t="str">
        <f t="shared" si="5"/>
        <v>ابن أخ لأب</v>
      </c>
      <c r="B21" s="267" t="str">
        <f t="shared" si="29"/>
        <v>ابن أخ لأب</v>
      </c>
      <c r="C21" s="452" t="str">
        <f t="shared" si="6"/>
        <v/>
      </c>
      <c r="D21" s="453">
        <f t="shared" si="7"/>
        <v>1</v>
      </c>
      <c r="E21" s="453">
        <f t="shared" si="8"/>
        <v>0</v>
      </c>
      <c r="F21" s="470"/>
      <c r="G21" s="454">
        <f t="shared" si="22"/>
        <v>0</v>
      </c>
      <c r="H21" s="455" t="e">
        <f t="shared" si="9"/>
        <v>#DIV/0!</v>
      </c>
      <c r="I21" s="455" t="e">
        <f t="shared" si="10"/>
        <v>#DIV/0!</v>
      </c>
      <c r="J21" s="446" t="e">
        <f t="shared" si="11"/>
        <v>#DIV/0!</v>
      </c>
      <c r="K21" s="277"/>
      <c r="L21" s="282">
        <f t="shared" si="12"/>
        <v>0</v>
      </c>
      <c r="M21" s="279">
        <f t="shared" si="30"/>
        <v>0</v>
      </c>
      <c r="N21" s="280">
        <f t="shared" si="23"/>
        <v>0</v>
      </c>
      <c r="O21" s="65">
        <f t="shared" si="13"/>
        <v>0</v>
      </c>
      <c r="P21" s="59">
        <f t="shared" si="24"/>
        <v>0</v>
      </c>
      <c r="Q21" s="59">
        <f t="shared" si="25"/>
        <v>1233</v>
      </c>
      <c r="R21" s="59"/>
      <c r="S21" s="63">
        <f t="shared" si="14"/>
        <v>0</v>
      </c>
      <c r="T21" s="63">
        <f t="shared" si="26"/>
        <v>0</v>
      </c>
      <c r="U21" s="59">
        <f t="shared" si="15"/>
        <v>0</v>
      </c>
      <c r="V21" s="59" t="b">
        <f t="shared" si="27"/>
        <v>1</v>
      </c>
      <c r="W21" s="66">
        <f t="shared" si="28"/>
        <v>0</v>
      </c>
      <c r="X21" s="63">
        <f t="shared" si="16"/>
        <v>0</v>
      </c>
      <c r="Z21" s="267">
        <f t="shared" si="31"/>
        <v>14.5</v>
      </c>
      <c r="AA21" s="267" t="e">
        <f t="shared" si="3"/>
        <v>#DIV/0!</v>
      </c>
      <c r="AB21" s="272" t="e">
        <f t="shared" si="4"/>
        <v>#DIV/0!</v>
      </c>
      <c r="AC21" s="267" t="e">
        <f t="shared" si="17"/>
        <v>#DIV/0!</v>
      </c>
      <c r="AD21" s="273" t="str">
        <f>'أدخال البيانات'!E23</f>
        <v>بيت مال المسلمين</v>
      </c>
      <c r="AE21" s="274"/>
      <c r="AF21" s="275">
        <f>IF('أدخال البيانات'!G23&gt;0,'أدخال البيانات'!F23,0)</f>
        <v>0</v>
      </c>
      <c r="AG21" s="154">
        <f>'أدخال البيانات'!G23</f>
        <v>0</v>
      </c>
      <c r="AH21" s="154" t="e">
        <f t="shared" si="0"/>
        <v>#DIV/0!</v>
      </c>
      <c r="AI21" s="154" t="e">
        <f t="shared" si="1"/>
        <v>#DIV/0!</v>
      </c>
      <c r="AJ21" s="276" t="e">
        <f t="shared" si="2"/>
        <v>#DIV/0!</v>
      </c>
      <c r="AU21" s="267">
        <f>LARGE(G11:G36,11)</f>
        <v>0</v>
      </c>
      <c r="AV21" s="267">
        <f>MATCH(AU21,G11:G36,0)+1</f>
        <v>2</v>
      </c>
      <c r="AW21" s="267" t="str">
        <f>HLOOKUP(BB11,BB11:BC36,AV21,TRUE)</f>
        <v/>
      </c>
      <c r="AX21" s="267" t="e">
        <f>VLOOKUP(12,BA11:BD36,4,FALSE)</f>
        <v>#N/A</v>
      </c>
      <c r="AY21" s="267" t="e">
        <f>VLOOKUP(12,BA11:BC36,3,FALSE)</f>
        <v>#N/A</v>
      </c>
      <c r="AZ21" s="267" t="e">
        <f>VLOOKUP(12,BA12:BC36,2,FALSE)</f>
        <v>#N/A</v>
      </c>
      <c r="BA21" s="267">
        <f t="shared" si="32"/>
        <v>1</v>
      </c>
      <c r="BB21" s="511" t="str">
        <f t="shared" ref="BB21:BB31" si="33">C20</f>
        <v/>
      </c>
      <c r="BC21" s="272">
        <f t="shared" si="18"/>
        <v>0</v>
      </c>
      <c r="BD21" s="511">
        <f t="shared" si="19"/>
        <v>0</v>
      </c>
      <c r="BE21" s="511">
        <f t="shared" si="20"/>
        <v>0</v>
      </c>
      <c r="BF21" s="511">
        <f t="shared" si="21"/>
        <v>0</v>
      </c>
    </row>
    <row r="22" spans="1:58" s="267" customFormat="1" ht="17.25" hidden="1" customHeight="1" thickBot="1">
      <c r="A22" s="281" t="str">
        <f t="shared" si="5"/>
        <v xml:space="preserve">العم الشقيق  </v>
      </c>
      <c r="B22" s="267" t="str">
        <f t="shared" si="29"/>
        <v xml:space="preserve">العم الشقيق  </v>
      </c>
      <c r="C22" s="452" t="str">
        <f t="shared" si="6"/>
        <v/>
      </c>
      <c r="D22" s="453">
        <f t="shared" si="7"/>
        <v>1</v>
      </c>
      <c r="E22" s="453">
        <f t="shared" si="8"/>
        <v>0</v>
      </c>
      <c r="F22" s="470">
        <v>0</v>
      </c>
      <c r="G22" s="454">
        <f t="shared" si="22"/>
        <v>0</v>
      </c>
      <c r="H22" s="455" t="e">
        <f t="shared" si="9"/>
        <v>#DIV/0!</v>
      </c>
      <c r="I22" s="455" t="e">
        <f t="shared" si="10"/>
        <v>#DIV/0!</v>
      </c>
      <c r="J22" s="446" t="e">
        <f t="shared" si="11"/>
        <v>#DIV/0!</v>
      </c>
      <c r="K22" s="277"/>
      <c r="L22" s="282">
        <f t="shared" si="12"/>
        <v>0</v>
      </c>
      <c r="M22" s="279">
        <f t="shared" si="30"/>
        <v>0</v>
      </c>
      <c r="N22" s="280">
        <f t="shared" si="23"/>
        <v>0</v>
      </c>
      <c r="O22" s="65">
        <f t="shared" si="13"/>
        <v>0</v>
      </c>
      <c r="P22" s="59">
        <f t="shared" si="24"/>
        <v>0</v>
      </c>
      <c r="Q22" s="59">
        <f t="shared" si="25"/>
        <v>1233</v>
      </c>
      <c r="R22" s="59"/>
      <c r="S22" s="63">
        <f t="shared" si="14"/>
        <v>0</v>
      </c>
      <c r="T22" s="63">
        <f t="shared" si="26"/>
        <v>0</v>
      </c>
      <c r="U22" s="59">
        <f t="shared" si="15"/>
        <v>0</v>
      </c>
      <c r="V22" s="59" t="b">
        <f t="shared" si="27"/>
        <v>1</v>
      </c>
      <c r="W22" s="66">
        <f t="shared" si="28"/>
        <v>0</v>
      </c>
      <c r="X22" s="63">
        <f t="shared" si="16"/>
        <v>0</v>
      </c>
      <c r="Z22" s="267">
        <f t="shared" si="31"/>
        <v>15.5</v>
      </c>
      <c r="AA22" s="267" t="e">
        <f t="shared" si="3"/>
        <v>#DIV/0!</v>
      </c>
      <c r="AB22" s="272" t="e">
        <f t="shared" si="4"/>
        <v>#DIV/0!</v>
      </c>
      <c r="AC22" s="267" t="e">
        <f t="shared" si="17"/>
        <v>#DIV/0!</v>
      </c>
      <c r="AD22" s="273" t="s">
        <v>21</v>
      </c>
      <c r="AE22" s="274"/>
      <c r="AF22" s="275">
        <f>IF('أدخال البيانات'!N10&gt;0,'أدخال البيانات'!M10,0)</f>
        <v>0</v>
      </c>
      <c r="AG22" s="154">
        <f>'أدخال البيانات'!N10</f>
        <v>0</v>
      </c>
      <c r="AH22" s="154" t="e">
        <f t="shared" si="0"/>
        <v>#DIV/0!</v>
      </c>
      <c r="AI22" s="154" t="e">
        <f t="shared" si="1"/>
        <v>#DIV/0!</v>
      </c>
      <c r="AJ22" s="276" t="e">
        <f t="shared" si="2"/>
        <v>#DIV/0!</v>
      </c>
      <c r="AU22" s="267">
        <f>LARGE(G11:G36,12)</f>
        <v>0</v>
      </c>
      <c r="AV22" s="267">
        <f>MATCH(AU22,G11:G36,0)+1</f>
        <v>2</v>
      </c>
      <c r="AW22" s="267" t="str">
        <f>HLOOKUP(BB11,BB11:BC36,AV22,TRUE)</f>
        <v/>
      </c>
      <c r="AX22" s="267" t="e">
        <f>VLOOKUP(13,BA11:BD36,4,FALSE)</f>
        <v>#N/A</v>
      </c>
      <c r="AY22" s="267" t="e">
        <f>VLOOKUP(13,BA11:BC36,3,FALSE)</f>
        <v>#N/A</v>
      </c>
      <c r="AZ22" s="267" t="e">
        <f>VLOOKUP(13,BA12:BC36,2,FALSE)</f>
        <v>#N/A</v>
      </c>
      <c r="BA22" s="267">
        <f t="shared" si="32"/>
        <v>1</v>
      </c>
      <c r="BB22" s="511" t="str">
        <f t="shared" si="33"/>
        <v/>
      </c>
      <c r="BC22" s="272">
        <f t="shared" si="18"/>
        <v>0</v>
      </c>
      <c r="BD22" s="511">
        <f t="shared" si="19"/>
        <v>0</v>
      </c>
      <c r="BE22" s="511">
        <f t="shared" si="20"/>
        <v>0</v>
      </c>
      <c r="BF22" s="511">
        <f t="shared" si="21"/>
        <v>0</v>
      </c>
    </row>
    <row r="23" spans="1:58" s="267" customFormat="1" ht="17.25" hidden="1" customHeight="1" thickBot="1">
      <c r="A23" s="281" t="str">
        <f t="shared" si="5"/>
        <v xml:space="preserve">العم لأب </v>
      </c>
      <c r="B23" s="267" t="str">
        <f t="shared" si="29"/>
        <v xml:space="preserve">العم لأب </v>
      </c>
      <c r="C23" s="452" t="str">
        <f t="shared" si="6"/>
        <v/>
      </c>
      <c r="D23" s="453">
        <f t="shared" si="7"/>
        <v>1</v>
      </c>
      <c r="E23" s="453">
        <f t="shared" si="8"/>
        <v>0</v>
      </c>
      <c r="F23" s="470"/>
      <c r="G23" s="454">
        <f t="shared" si="22"/>
        <v>0</v>
      </c>
      <c r="H23" s="455" t="e">
        <f t="shared" si="9"/>
        <v>#DIV/0!</v>
      </c>
      <c r="I23" s="455" t="e">
        <f t="shared" si="10"/>
        <v>#DIV/0!</v>
      </c>
      <c r="J23" s="446" t="e">
        <f t="shared" si="11"/>
        <v>#DIV/0!</v>
      </c>
      <c r="K23" s="277"/>
      <c r="L23" s="282">
        <f t="shared" si="12"/>
        <v>0</v>
      </c>
      <c r="M23" s="279">
        <f t="shared" si="30"/>
        <v>0</v>
      </c>
      <c r="N23" s="280">
        <f t="shared" si="23"/>
        <v>0</v>
      </c>
      <c r="O23" s="65">
        <f t="shared" si="13"/>
        <v>0</v>
      </c>
      <c r="P23" s="59">
        <f t="shared" si="24"/>
        <v>0</v>
      </c>
      <c r="Q23" s="59">
        <f t="shared" si="25"/>
        <v>1233</v>
      </c>
      <c r="R23" s="59"/>
      <c r="S23" s="63">
        <f t="shared" si="14"/>
        <v>0</v>
      </c>
      <c r="T23" s="63">
        <f t="shared" si="26"/>
        <v>0</v>
      </c>
      <c r="U23" s="59">
        <f t="shared" si="15"/>
        <v>0</v>
      </c>
      <c r="V23" s="59" t="b">
        <f t="shared" si="27"/>
        <v>1</v>
      </c>
      <c r="W23" s="66">
        <f t="shared" si="28"/>
        <v>0</v>
      </c>
      <c r="X23" s="63">
        <f t="shared" si="16"/>
        <v>0</v>
      </c>
      <c r="Z23" s="267">
        <f t="shared" si="31"/>
        <v>16.5</v>
      </c>
      <c r="AA23" s="267" t="e">
        <f t="shared" si="3"/>
        <v>#DIV/0!</v>
      </c>
      <c r="AB23" s="272" t="e">
        <f t="shared" si="4"/>
        <v>#DIV/0!</v>
      </c>
      <c r="AC23" s="267" t="e">
        <f t="shared" si="17"/>
        <v>#DIV/0!</v>
      </c>
      <c r="AD23" s="273" t="s">
        <v>783</v>
      </c>
      <c r="AE23" s="274"/>
      <c r="AF23" s="275">
        <f>IF('أدخال البيانات'!N12&gt;0,'أدخال البيانات'!M12,0)</f>
        <v>0</v>
      </c>
      <c r="AG23" s="154">
        <f>'أدخال البيانات'!N12</f>
        <v>0</v>
      </c>
      <c r="AH23" s="154" t="e">
        <f t="shared" si="0"/>
        <v>#DIV/0!</v>
      </c>
      <c r="AI23" s="154" t="e">
        <f t="shared" si="1"/>
        <v>#DIV/0!</v>
      </c>
      <c r="AJ23" s="276" t="e">
        <f t="shared" si="2"/>
        <v>#DIV/0!</v>
      </c>
      <c r="AX23" s="267" t="e">
        <f>VLOOKUP(14,BA11:BD36,4,FALSE)</f>
        <v>#N/A</v>
      </c>
      <c r="AY23" s="267" t="e">
        <f>VLOOKUP(14,BA11:BC36,3,FALSE)</f>
        <v>#N/A</v>
      </c>
      <c r="AZ23" s="267" t="e">
        <f>VLOOKUP(14,BA12:BC36,2,FALSE)</f>
        <v>#N/A</v>
      </c>
      <c r="BA23" s="267">
        <f t="shared" si="32"/>
        <v>1</v>
      </c>
      <c r="BB23" s="511" t="str">
        <f t="shared" si="33"/>
        <v/>
      </c>
      <c r="BC23" s="272">
        <f t="shared" si="18"/>
        <v>0</v>
      </c>
      <c r="BD23" s="511">
        <f t="shared" si="19"/>
        <v>0</v>
      </c>
      <c r="BE23" s="511">
        <f t="shared" si="20"/>
        <v>0</v>
      </c>
      <c r="BF23" s="511">
        <f t="shared" si="21"/>
        <v>0</v>
      </c>
    </row>
    <row r="24" spans="1:58" s="267" customFormat="1" ht="17.25" hidden="1" customHeight="1" thickBot="1">
      <c r="A24" s="281" t="str">
        <f t="shared" si="5"/>
        <v xml:space="preserve"> أبن العم الشقيق </v>
      </c>
      <c r="B24" s="267" t="str">
        <f t="shared" si="29"/>
        <v xml:space="preserve"> أبن العم الشقيق </v>
      </c>
      <c r="C24" s="452" t="str">
        <f t="shared" si="6"/>
        <v/>
      </c>
      <c r="D24" s="453">
        <f t="shared" si="7"/>
        <v>1</v>
      </c>
      <c r="E24" s="453">
        <f t="shared" si="8"/>
        <v>0</v>
      </c>
      <c r="F24" s="470"/>
      <c r="G24" s="454">
        <f t="shared" si="22"/>
        <v>0</v>
      </c>
      <c r="H24" s="455" t="e">
        <f t="shared" si="9"/>
        <v>#DIV/0!</v>
      </c>
      <c r="I24" s="455" t="e">
        <f t="shared" si="10"/>
        <v>#DIV/0!</v>
      </c>
      <c r="J24" s="446" t="e">
        <f t="shared" si="11"/>
        <v>#DIV/0!</v>
      </c>
      <c r="K24" s="277"/>
      <c r="L24" s="282">
        <f t="shared" si="12"/>
        <v>0</v>
      </c>
      <c r="M24" s="279">
        <f t="shared" si="30"/>
        <v>0</v>
      </c>
      <c r="N24" s="280">
        <f t="shared" si="23"/>
        <v>0</v>
      </c>
      <c r="O24" s="65">
        <f t="shared" si="13"/>
        <v>0</v>
      </c>
      <c r="P24" s="59">
        <f t="shared" si="24"/>
        <v>0</v>
      </c>
      <c r="Q24" s="59">
        <f t="shared" si="25"/>
        <v>1233</v>
      </c>
      <c r="R24" s="59"/>
      <c r="S24" s="63">
        <f t="shared" si="14"/>
        <v>0</v>
      </c>
      <c r="T24" s="63">
        <f t="shared" si="26"/>
        <v>0</v>
      </c>
      <c r="U24" s="59">
        <f t="shared" si="15"/>
        <v>0</v>
      </c>
      <c r="V24" s="59" t="b">
        <f t="shared" si="27"/>
        <v>1</v>
      </c>
      <c r="W24" s="66">
        <f t="shared" si="28"/>
        <v>0</v>
      </c>
      <c r="X24" s="63">
        <f t="shared" si="16"/>
        <v>0</v>
      </c>
      <c r="Z24" s="267">
        <f t="shared" si="31"/>
        <v>17.5</v>
      </c>
      <c r="AA24" s="267" t="e">
        <f t="shared" si="3"/>
        <v>#DIV/0!</v>
      </c>
      <c r="AB24" s="272" t="e">
        <f t="shared" si="4"/>
        <v>#DIV/0!</v>
      </c>
      <c r="AC24" s="267" t="e">
        <f t="shared" si="17"/>
        <v>#DIV/0!</v>
      </c>
      <c r="AD24" s="273" t="s">
        <v>779</v>
      </c>
      <c r="AE24" s="274"/>
      <c r="AF24" s="275">
        <f>IF('أدخال البيانات'!N13&gt;0,'أدخال البيانات'!M13,0)</f>
        <v>0</v>
      </c>
      <c r="AG24" s="154">
        <f>'أدخال البيانات'!N13</f>
        <v>0</v>
      </c>
      <c r="AH24" s="154" t="e">
        <f t="shared" si="0"/>
        <v>#DIV/0!</v>
      </c>
      <c r="AI24" s="154" t="e">
        <f t="shared" si="1"/>
        <v>#DIV/0!</v>
      </c>
      <c r="AJ24" s="276" t="e">
        <f t="shared" si="2"/>
        <v>#DIV/0!</v>
      </c>
      <c r="BA24" s="267">
        <f t="shared" si="32"/>
        <v>1</v>
      </c>
      <c r="BB24" s="511" t="str">
        <f t="shared" si="33"/>
        <v/>
      </c>
      <c r="BC24" s="272">
        <f t="shared" si="18"/>
        <v>0</v>
      </c>
      <c r="BD24" s="511">
        <f t="shared" si="19"/>
        <v>0</v>
      </c>
      <c r="BE24" s="511">
        <f t="shared" si="20"/>
        <v>0</v>
      </c>
      <c r="BF24" s="511">
        <f t="shared" si="21"/>
        <v>0</v>
      </c>
    </row>
    <row r="25" spans="1:58" s="267" customFormat="1" ht="17.25" hidden="1" customHeight="1" thickBot="1">
      <c r="A25" s="281" t="str">
        <f t="shared" si="5"/>
        <v xml:space="preserve"> أبن العم لأب  </v>
      </c>
      <c r="B25" s="267" t="str">
        <f t="shared" si="29"/>
        <v xml:space="preserve"> أبن العم لأب  </v>
      </c>
      <c r="C25" s="452" t="str">
        <f t="shared" si="6"/>
        <v/>
      </c>
      <c r="D25" s="453">
        <f t="shared" si="7"/>
        <v>1</v>
      </c>
      <c r="E25" s="453">
        <f t="shared" si="8"/>
        <v>0</v>
      </c>
      <c r="F25" s="470"/>
      <c r="G25" s="454">
        <f t="shared" si="22"/>
        <v>0</v>
      </c>
      <c r="H25" s="455" t="e">
        <f t="shared" si="9"/>
        <v>#DIV/0!</v>
      </c>
      <c r="I25" s="455" t="e">
        <f t="shared" si="10"/>
        <v>#DIV/0!</v>
      </c>
      <c r="J25" s="446" t="e">
        <f t="shared" si="11"/>
        <v>#DIV/0!</v>
      </c>
      <c r="K25" s="277"/>
      <c r="L25" s="282">
        <f t="shared" si="12"/>
        <v>0</v>
      </c>
      <c r="M25" s="279">
        <f t="shared" si="30"/>
        <v>0</v>
      </c>
      <c r="N25" s="280">
        <f t="shared" si="23"/>
        <v>0</v>
      </c>
      <c r="O25" s="65">
        <f t="shared" si="13"/>
        <v>0</v>
      </c>
      <c r="P25" s="59">
        <f t="shared" si="24"/>
        <v>0</v>
      </c>
      <c r="Q25" s="59">
        <f t="shared" si="25"/>
        <v>1233</v>
      </c>
      <c r="R25" s="59"/>
      <c r="S25" s="63">
        <f t="shared" si="14"/>
        <v>0</v>
      </c>
      <c r="T25" s="63">
        <f t="shared" si="26"/>
        <v>0</v>
      </c>
      <c r="U25" s="59">
        <f t="shared" si="15"/>
        <v>0</v>
      </c>
      <c r="V25" s="59" t="b">
        <f t="shared" si="27"/>
        <v>1</v>
      </c>
      <c r="W25" s="66">
        <f t="shared" si="28"/>
        <v>0</v>
      </c>
      <c r="X25" s="63">
        <f t="shared" si="16"/>
        <v>0</v>
      </c>
      <c r="Z25" s="267">
        <f t="shared" si="31"/>
        <v>18.5</v>
      </c>
      <c r="AA25" s="267" t="e">
        <f t="shared" si="3"/>
        <v>#DIV/0!</v>
      </c>
      <c r="AB25" s="272" t="e">
        <f t="shared" si="4"/>
        <v>#DIV/0!</v>
      </c>
      <c r="AC25" s="267" t="e">
        <f t="shared" si="17"/>
        <v>#DIV/0!</v>
      </c>
      <c r="AD25" s="273" t="s">
        <v>780</v>
      </c>
      <c r="AE25" s="274"/>
      <c r="AF25" s="275">
        <f>IF('أدخال البيانات'!N14&gt;0,'أدخال البيانات'!M14,0)</f>
        <v>0</v>
      </c>
      <c r="AG25" s="154">
        <f>'أدخال البيانات'!N14</f>
        <v>0</v>
      </c>
      <c r="AH25" s="154" t="e">
        <f t="shared" si="0"/>
        <v>#DIV/0!</v>
      </c>
      <c r="AI25" s="154" t="e">
        <f t="shared" si="1"/>
        <v>#DIV/0!</v>
      </c>
      <c r="AJ25" s="276" t="e">
        <f t="shared" si="2"/>
        <v>#DIV/0!</v>
      </c>
      <c r="AV25" s="267">
        <f>IFERROR(AX11,0)</f>
        <v>0</v>
      </c>
      <c r="AW25" s="267">
        <f>IFERROR(AY11,0)</f>
        <v>0</v>
      </c>
      <c r="AY25" s="267">
        <f>IFERROR(AZ11,0)</f>
        <v>0</v>
      </c>
      <c r="BA25" s="267">
        <f t="shared" si="32"/>
        <v>1</v>
      </c>
      <c r="BB25" s="511" t="str">
        <f t="shared" si="33"/>
        <v/>
      </c>
      <c r="BC25" s="272">
        <f t="shared" si="18"/>
        <v>0</v>
      </c>
      <c r="BD25" s="511">
        <f t="shared" si="19"/>
        <v>0</v>
      </c>
      <c r="BE25" s="511">
        <f t="shared" si="20"/>
        <v>0</v>
      </c>
      <c r="BF25" s="511">
        <f t="shared" si="21"/>
        <v>0</v>
      </c>
    </row>
    <row r="26" spans="1:58" s="267" customFormat="1" ht="17.25" hidden="1" customHeight="1" thickBot="1">
      <c r="A26" s="281" t="str">
        <f t="shared" si="5"/>
        <v>الزوج</v>
      </c>
      <c r="B26" s="267" t="str">
        <f t="shared" si="29"/>
        <v>الزوج</v>
      </c>
      <c r="C26" s="452" t="str">
        <f>IF(AF20=0,"",AD20)</f>
        <v/>
      </c>
      <c r="D26" s="453">
        <f t="shared" si="7"/>
        <v>1</v>
      </c>
      <c r="E26" s="453">
        <f t="shared" si="8"/>
        <v>0</v>
      </c>
      <c r="F26" s="470"/>
      <c r="G26" s="454">
        <f t="shared" si="22"/>
        <v>0</v>
      </c>
      <c r="H26" s="455" t="e">
        <f t="shared" si="9"/>
        <v>#DIV/0!</v>
      </c>
      <c r="I26" s="455" t="e">
        <f t="shared" si="10"/>
        <v>#DIV/0!</v>
      </c>
      <c r="J26" s="446" t="e">
        <f t="shared" si="11"/>
        <v>#DIV/0!</v>
      </c>
      <c r="K26" s="283"/>
      <c r="L26" s="284">
        <f t="shared" si="12"/>
        <v>0</v>
      </c>
      <c r="M26" s="285">
        <f t="shared" si="30"/>
        <v>0</v>
      </c>
      <c r="N26" s="286">
        <f t="shared" si="23"/>
        <v>0</v>
      </c>
      <c r="O26" s="110">
        <f t="shared" si="13"/>
        <v>0</v>
      </c>
      <c r="P26" s="111">
        <f t="shared" si="24"/>
        <v>0</v>
      </c>
      <c r="Q26" s="111">
        <f t="shared" si="25"/>
        <v>1233</v>
      </c>
      <c r="R26" s="111" t="s">
        <v>114</v>
      </c>
      <c r="S26" s="112">
        <f t="shared" si="14"/>
        <v>0</v>
      </c>
      <c r="T26" s="112">
        <f t="shared" si="26"/>
        <v>0</v>
      </c>
      <c r="U26" s="111">
        <f t="shared" si="15"/>
        <v>0</v>
      </c>
      <c r="V26" s="111" t="b">
        <f t="shared" si="27"/>
        <v>1</v>
      </c>
      <c r="W26" s="113">
        <f t="shared" si="28"/>
        <v>0</v>
      </c>
      <c r="X26" s="63">
        <f t="shared" si="16"/>
        <v>0</v>
      </c>
      <c r="Y26" s="270"/>
      <c r="Z26" s="270">
        <f t="shared" si="31"/>
        <v>19.5</v>
      </c>
      <c r="AA26" s="267" t="e">
        <f t="shared" si="3"/>
        <v>#DIV/0!</v>
      </c>
      <c r="AB26" s="272" t="e">
        <f t="shared" si="4"/>
        <v>#DIV/0!</v>
      </c>
      <c r="AC26" s="267" t="e">
        <f t="shared" si="17"/>
        <v>#DIV/0!</v>
      </c>
      <c r="AD26" s="273" t="s">
        <v>0</v>
      </c>
      <c r="AE26" s="274"/>
      <c r="AF26" s="275">
        <f>IF('أدخال البيانات'!N16&gt;0,'أدخال البيانات'!M16,0)</f>
        <v>0</v>
      </c>
      <c r="AG26" s="154">
        <f>'أدخال البيانات'!N16</f>
        <v>0</v>
      </c>
      <c r="AH26" s="154" t="e">
        <f t="shared" si="0"/>
        <v>#DIV/0!</v>
      </c>
      <c r="AI26" s="154" t="e">
        <f t="shared" si="1"/>
        <v>#DIV/0!</v>
      </c>
      <c r="AJ26" s="276" t="e">
        <f t="shared" si="2"/>
        <v>#DIV/0!</v>
      </c>
      <c r="AV26" s="267">
        <f t="shared" ref="AV26:AV37" si="34">IFERROR(AX12,0)</f>
        <v>0</v>
      </c>
      <c r="AW26" s="267">
        <f t="shared" ref="AW26:AW37" si="35">IFERROR(AY12,0)</f>
        <v>0</v>
      </c>
      <c r="AY26" s="267">
        <f t="shared" ref="AY26:AY41" si="36">IFERROR(AZ12,0)</f>
        <v>0</v>
      </c>
      <c r="BA26" s="267">
        <f t="shared" si="32"/>
        <v>1</v>
      </c>
      <c r="BB26" s="511" t="str">
        <f t="shared" si="33"/>
        <v/>
      </c>
      <c r="BC26" s="272">
        <f t="shared" si="18"/>
        <v>0</v>
      </c>
      <c r="BD26" s="511">
        <f t="shared" si="19"/>
        <v>0</v>
      </c>
      <c r="BE26" s="511">
        <f t="shared" si="20"/>
        <v>0</v>
      </c>
      <c r="BF26" s="511">
        <f t="shared" si="21"/>
        <v>0</v>
      </c>
    </row>
    <row r="27" spans="1:58" s="267" customFormat="1" ht="17.25" hidden="1" customHeight="1" thickBot="1">
      <c r="A27" s="281" t="str">
        <f t="shared" si="5"/>
        <v>بيت مال المسلمين</v>
      </c>
      <c r="B27" s="267" t="str">
        <f t="shared" si="29"/>
        <v>بيت مال المسلمين</v>
      </c>
      <c r="C27" s="452" t="str">
        <f t="shared" si="6"/>
        <v/>
      </c>
      <c r="D27" s="453">
        <f t="shared" si="7"/>
        <v>1</v>
      </c>
      <c r="E27" s="453">
        <f t="shared" si="8"/>
        <v>0</v>
      </c>
      <c r="F27" s="470"/>
      <c r="G27" s="454">
        <f t="shared" si="22"/>
        <v>0</v>
      </c>
      <c r="H27" s="455" t="e">
        <f t="shared" si="9"/>
        <v>#DIV/0!</v>
      </c>
      <c r="I27" s="455" t="e">
        <f t="shared" si="10"/>
        <v>#DIV/0!</v>
      </c>
      <c r="J27" s="446" t="e">
        <f t="shared" si="11"/>
        <v>#DIV/0!</v>
      </c>
      <c r="K27" s="277"/>
      <c r="L27" s="282">
        <f t="shared" si="12"/>
        <v>0</v>
      </c>
      <c r="M27" s="279">
        <f t="shared" si="30"/>
        <v>0</v>
      </c>
      <c r="N27" s="280">
        <f t="shared" si="23"/>
        <v>0</v>
      </c>
      <c r="O27" s="65">
        <f t="shared" si="13"/>
        <v>0</v>
      </c>
      <c r="P27" s="59">
        <f t="shared" si="24"/>
        <v>0</v>
      </c>
      <c r="Q27" s="59">
        <f t="shared" si="25"/>
        <v>1233</v>
      </c>
      <c r="R27" s="59"/>
      <c r="S27" s="63">
        <f t="shared" si="14"/>
        <v>0</v>
      </c>
      <c r="T27" s="63">
        <f t="shared" si="26"/>
        <v>0</v>
      </c>
      <c r="U27" s="59">
        <f t="shared" si="15"/>
        <v>0</v>
      </c>
      <c r="V27" s="59" t="b">
        <f t="shared" si="27"/>
        <v>1</v>
      </c>
      <c r="W27" s="66">
        <f t="shared" si="28"/>
        <v>0</v>
      </c>
      <c r="X27" s="63">
        <f t="shared" si="16"/>
        <v>0</v>
      </c>
      <c r="Z27" s="267">
        <f t="shared" si="31"/>
        <v>20.5</v>
      </c>
      <c r="AA27" s="267" t="e">
        <f t="shared" si="3"/>
        <v>#DIV/0!</v>
      </c>
      <c r="AB27" s="272" t="e">
        <f t="shared" si="4"/>
        <v>#DIV/0!</v>
      </c>
      <c r="AC27" s="267" t="e">
        <f t="shared" si="17"/>
        <v>#DIV/0!</v>
      </c>
      <c r="AD27" s="273" t="s">
        <v>1</v>
      </c>
      <c r="AE27" s="274"/>
      <c r="AF27" s="275">
        <f>IF('أدخال البيانات'!N17&gt;0,'أدخال البيانات'!M17,0)</f>
        <v>0</v>
      </c>
      <c r="AG27" s="154">
        <f>'أدخال البيانات'!N17</f>
        <v>0</v>
      </c>
      <c r="AH27" s="154" t="e">
        <f t="shared" si="0"/>
        <v>#DIV/0!</v>
      </c>
      <c r="AI27" s="154" t="e">
        <f t="shared" si="1"/>
        <v>#DIV/0!</v>
      </c>
      <c r="AJ27" s="276" t="e">
        <f t="shared" si="2"/>
        <v>#DIV/0!</v>
      </c>
      <c r="AV27" s="267">
        <f t="shared" si="34"/>
        <v>0</v>
      </c>
      <c r="AW27" s="267">
        <f t="shared" si="35"/>
        <v>0</v>
      </c>
      <c r="AY27" s="267">
        <f t="shared" si="36"/>
        <v>0</v>
      </c>
      <c r="BA27" s="267">
        <f t="shared" si="32"/>
        <v>1</v>
      </c>
      <c r="BB27" s="511" t="str">
        <f t="shared" si="33"/>
        <v/>
      </c>
      <c r="BC27" s="272">
        <f t="shared" si="18"/>
        <v>0</v>
      </c>
      <c r="BD27" s="511">
        <f t="shared" si="19"/>
        <v>0</v>
      </c>
      <c r="BE27" s="511">
        <f t="shared" si="20"/>
        <v>0</v>
      </c>
      <c r="BF27" s="511">
        <f t="shared" si="21"/>
        <v>0</v>
      </c>
    </row>
    <row r="28" spans="1:58" s="267" customFormat="1" ht="17.25" hidden="1" customHeight="1" thickBot="1">
      <c r="A28" s="281" t="str">
        <f t="shared" si="5"/>
        <v>بنت الأبن</v>
      </c>
      <c r="B28" s="267" t="str">
        <f t="shared" si="29"/>
        <v>بنت الأبن</v>
      </c>
      <c r="C28" s="452" t="str">
        <f t="shared" si="6"/>
        <v/>
      </c>
      <c r="D28" s="453">
        <f t="shared" si="7"/>
        <v>1</v>
      </c>
      <c r="E28" s="453">
        <f t="shared" si="8"/>
        <v>0</v>
      </c>
      <c r="F28" s="470">
        <v>0</v>
      </c>
      <c r="G28" s="454">
        <f t="shared" si="22"/>
        <v>0</v>
      </c>
      <c r="H28" s="455" t="e">
        <f t="shared" si="9"/>
        <v>#DIV/0!</v>
      </c>
      <c r="I28" s="455" t="e">
        <f t="shared" si="10"/>
        <v>#DIV/0!</v>
      </c>
      <c r="J28" s="446" t="e">
        <f t="shared" si="11"/>
        <v>#DIV/0!</v>
      </c>
      <c r="K28" s="277"/>
      <c r="L28" s="282">
        <f t="shared" si="12"/>
        <v>0</v>
      </c>
      <c r="M28" s="279">
        <f t="shared" si="30"/>
        <v>0</v>
      </c>
      <c r="N28" s="280">
        <f t="shared" si="23"/>
        <v>0</v>
      </c>
      <c r="O28" s="65">
        <f t="shared" si="13"/>
        <v>0</v>
      </c>
      <c r="P28" s="59">
        <f t="shared" si="24"/>
        <v>0</v>
      </c>
      <c r="Q28" s="59">
        <f t="shared" si="25"/>
        <v>1233</v>
      </c>
      <c r="R28" s="59"/>
      <c r="S28" s="63">
        <f t="shared" si="14"/>
        <v>0</v>
      </c>
      <c r="T28" s="63">
        <f t="shared" si="26"/>
        <v>0</v>
      </c>
      <c r="U28" s="59">
        <f t="shared" si="15"/>
        <v>0</v>
      </c>
      <c r="V28" s="59" t="b">
        <f t="shared" si="27"/>
        <v>1</v>
      </c>
      <c r="W28" s="66">
        <f t="shared" si="28"/>
        <v>0</v>
      </c>
      <c r="X28" s="63">
        <f t="shared" si="16"/>
        <v>0</v>
      </c>
      <c r="Z28" s="267">
        <f t="shared" si="31"/>
        <v>21.5</v>
      </c>
      <c r="AA28" s="267" t="e">
        <f t="shared" si="3"/>
        <v>#DIV/0!</v>
      </c>
      <c r="AB28" s="272" t="e">
        <f t="shared" si="4"/>
        <v>#DIV/0!</v>
      </c>
      <c r="AC28" s="267" t="e">
        <f t="shared" si="17"/>
        <v>#DIV/0!</v>
      </c>
      <c r="AD28" s="273" t="s">
        <v>781</v>
      </c>
      <c r="AE28" s="274"/>
      <c r="AF28" s="275">
        <f>IF('أدخال البيانات'!N18&gt;0,'أدخال البيانات'!M18,0)</f>
        <v>0</v>
      </c>
      <c r="AG28" s="154">
        <f>'أدخال البيانات'!N18</f>
        <v>0</v>
      </c>
      <c r="AH28" s="154" t="e">
        <f t="shared" si="0"/>
        <v>#DIV/0!</v>
      </c>
      <c r="AI28" s="154" t="e">
        <f t="shared" si="1"/>
        <v>#DIV/0!</v>
      </c>
      <c r="AJ28" s="276" t="e">
        <f t="shared" si="2"/>
        <v>#DIV/0!</v>
      </c>
      <c r="AV28" s="267">
        <f t="shared" si="34"/>
        <v>0</v>
      </c>
      <c r="AW28" s="267">
        <f t="shared" si="35"/>
        <v>0</v>
      </c>
      <c r="AY28" s="267">
        <f t="shared" si="36"/>
        <v>0</v>
      </c>
      <c r="BA28" s="267">
        <f t="shared" si="32"/>
        <v>1</v>
      </c>
      <c r="BB28" s="511" t="str">
        <f t="shared" si="33"/>
        <v/>
      </c>
      <c r="BC28" s="272">
        <f t="shared" si="18"/>
        <v>0</v>
      </c>
      <c r="BD28" s="511">
        <f t="shared" si="19"/>
        <v>0</v>
      </c>
      <c r="BE28" s="511">
        <f t="shared" si="20"/>
        <v>0</v>
      </c>
      <c r="BF28" s="511">
        <f t="shared" si="21"/>
        <v>0</v>
      </c>
    </row>
    <row r="29" spans="1:58" s="267" customFormat="1" ht="17.25" hidden="1" customHeight="1" thickBot="1">
      <c r="A29" s="281" t="str">
        <f t="shared" si="5"/>
        <v xml:space="preserve"> أخت الشقيقة</v>
      </c>
      <c r="B29" s="267" t="str">
        <f t="shared" si="29"/>
        <v xml:space="preserve"> أخت الشقيقة</v>
      </c>
      <c r="C29" s="452" t="str">
        <f t="shared" si="6"/>
        <v/>
      </c>
      <c r="D29" s="453">
        <f t="shared" si="7"/>
        <v>1</v>
      </c>
      <c r="E29" s="453">
        <f t="shared" si="8"/>
        <v>0</v>
      </c>
      <c r="F29" s="470">
        <v>0</v>
      </c>
      <c r="G29" s="454">
        <f t="shared" si="22"/>
        <v>0</v>
      </c>
      <c r="H29" s="455" t="e">
        <f t="shared" si="9"/>
        <v>#DIV/0!</v>
      </c>
      <c r="I29" s="455" t="e">
        <f t="shared" si="10"/>
        <v>#DIV/0!</v>
      </c>
      <c r="J29" s="446" t="e">
        <f t="shared" si="11"/>
        <v>#DIV/0!</v>
      </c>
      <c r="K29" s="283"/>
      <c r="L29" s="284">
        <f t="shared" si="12"/>
        <v>0</v>
      </c>
      <c r="M29" s="285">
        <f t="shared" si="30"/>
        <v>0</v>
      </c>
      <c r="N29" s="286">
        <f t="shared" si="23"/>
        <v>0</v>
      </c>
      <c r="O29" s="110">
        <f t="shared" si="13"/>
        <v>0</v>
      </c>
      <c r="P29" s="111">
        <f t="shared" si="24"/>
        <v>0</v>
      </c>
      <c r="Q29" s="111">
        <f t="shared" si="25"/>
        <v>1233</v>
      </c>
      <c r="R29" s="111"/>
      <c r="S29" s="112">
        <f t="shared" si="14"/>
        <v>0</v>
      </c>
      <c r="T29" s="112">
        <f t="shared" si="26"/>
        <v>0</v>
      </c>
      <c r="U29" s="111">
        <f t="shared" si="15"/>
        <v>0</v>
      </c>
      <c r="V29" s="111" t="b">
        <f>IF(T29=0,TRUE,FALSE)</f>
        <v>1</v>
      </c>
      <c r="W29" s="113">
        <f t="shared" si="28"/>
        <v>0</v>
      </c>
      <c r="X29" s="63">
        <f t="shared" si="16"/>
        <v>0</v>
      </c>
      <c r="Y29" s="270"/>
      <c r="Z29" s="270">
        <f t="shared" si="31"/>
        <v>22.5</v>
      </c>
      <c r="AA29" s="267" t="e">
        <f t="shared" si="3"/>
        <v>#DIV/0!</v>
      </c>
      <c r="AB29" s="272" t="e">
        <f t="shared" si="4"/>
        <v>#DIV/0!</v>
      </c>
      <c r="AC29" s="267" t="e">
        <f t="shared" si="17"/>
        <v>#DIV/0!</v>
      </c>
      <c r="AD29" s="273" t="s">
        <v>782</v>
      </c>
      <c r="AE29" s="274"/>
      <c r="AF29" s="275">
        <f>IF('أدخال البيانات'!G11&gt;0,'أدخال البيانات'!F11,0)</f>
        <v>0</v>
      </c>
      <c r="AG29" s="154">
        <f>'أدخال البيانات'!G11</f>
        <v>0</v>
      </c>
      <c r="AH29" s="154" t="e">
        <f t="shared" si="0"/>
        <v>#DIV/0!</v>
      </c>
      <c r="AI29" s="154" t="e">
        <f t="shared" si="1"/>
        <v>#DIV/0!</v>
      </c>
      <c r="AJ29" s="276" t="e">
        <f t="shared" si="2"/>
        <v>#DIV/0!</v>
      </c>
      <c r="AV29" s="267">
        <f t="shared" si="34"/>
        <v>0</v>
      </c>
      <c r="AW29" s="267">
        <f t="shared" si="35"/>
        <v>0</v>
      </c>
      <c r="AY29" s="267">
        <f t="shared" si="36"/>
        <v>0</v>
      </c>
      <c r="BA29" s="267">
        <f t="shared" si="32"/>
        <v>1</v>
      </c>
      <c r="BB29" s="511" t="str">
        <f t="shared" si="33"/>
        <v/>
      </c>
      <c r="BC29" s="272">
        <f t="shared" si="18"/>
        <v>0</v>
      </c>
      <c r="BD29" s="511">
        <f t="shared" si="19"/>
        <v>0</v>
      </c>
      <c r="BE29" s="511">
        <f t="shared" si="20"/>
        <v>0</v>
      </c>
      <c r="BF29" s="511">
        <f t="shared" si="21"/>
        <v>0</v>
      </c>
    </row>
    <row r="30" spans="1:58" s="267" customFormat="1" ht="17.25" hidden="1" customHeight="1" thickBot="1">
      <c r="A30" s="281" t="str">
        <f t="shared" si="5"/>
        <v>اخت من الأب</v>
      </c>
      <c r="B30" s="267" t="str">
        <f t="shared" si="29"/>
        <v>اخت من الأب</v>
      </c>
      <c r="C30" s="452" t="str">
        <f t="shared" si="6"/>
        <v/>
      </c>
      <c r="D30" s="453">
        <f t="shared" si="7"/>
        <v>1</v>
      </c>
      <c r="E30" s="453">
        <f t="shared" si="8"/>
        <v>0</v>
      </c>
      <c r="F30" s="470">
        <v>0</v>
      </c>
      <c r="G30" s="454">
        <f t="shared" si="22"/>
        <v>0</v>
      </c>
      <c r="H30" s="455" t="e">
        <f t="shared" si="9"/>
        <v>#DIV/0!</v>
      </c>
      <c r="I30" s="455" t="e">
        <f t="shared" si="10"/>
        <v>#DIV/0!</v>
      </c>
      <c r="J30" s="446" t="e">
        <f t="shared" si="11"/>
        <v>#DIV/0!</v>
      </c>
      <c r="K30" s="283"/>
      <c r="L30" s="284">
        <f t="shared" si="12"/>
        <v>0</v>
      </c>
      <c r="M30" s="285">
        <f t="shared" si="30"/>
        <v>0</v>
      </c>
      <c r="N30" s="286">
        <f t="shared" si="23"/>
        <v>0</v>
      </c>
      <c r="O30" s="110">
        <f t="shared" si="13"/>
        <v>0</v>
      </c>
      <c r="P30" s="111">
        <f t="shared" si="24"/>
        <v>0</v>
      </c>
      <c r="Q30" s="111">
        <f t="shared" si="25"/>
        <v>1233</v>
      </c>
      <c r="R30" s="111"/>
      <c r="S30" s="112">
        <f t="shared" si="14"/>
        <v>0</v>
      </c>
      <c r="T30" s="112">
        <f t="shared" si="26"/>
        <v>0</v>
      </c>
      <c r="U30" s="111">
        <f t="shared" si="15"/>
        <v>0</v>
      </c>
      <c r="V30" s="111" t="b">
        <f t="shared" si="27"/>
        <v>1</v>
      </c>
      <c r="W30" s="113">
        <f t="shared" si="28"/>
        <v>0</v>
      </c>
      <c r="X30" s="63">
        <f t="shared" si="16"/>
        <v>0</v>
      </c>
      <c r="Y30" s="270"/>
      <c r="Z30" s="270">
        <f t="shared" si="31"/>
        <v>23.5</v>
      </c>
      <c r="AA30" s="267" t="e">
        <f t="shared" si="3"/>
        <v>#DIV/0!</v>
      </c>
      <c r="AB30" s="272" t="e">
        <f t="shared" si="4"/>
        <v>#DIV/0!</v>
      </c>
      <c r="AC30" s="267" t="e">
        <f t="shared" si="17"/>
        <v>#DIV/0!</v>
      </c>
      <c r="AD30" s="273">
        <f>'أدخال البيانات'!L19</f>
        <v>0</v>
      </c>
      <c r="AE30" s="274"/>
      <c r="AF30" s="275">
        <f>IF('أدخال البيانات'!N19&gt;0,'أدخال البيانات'!M19,0)</f>
        <v>0</v>
      </c>
      <c r="AG30" s="154">
        <f>'أدخال البيانات'!N19</f>
        <v>0</v>
      </c>
      <c r="AH30" s="154" t="e">
        <f t="shared" si="0"/>
        <v>#DIV/0!</v>
      </c>
      <c r="AI30" s="154" t="e">
        <f t="shared" si="1"/>
        <v>#DIV/0!</v>
      </c>
      <c r="AJ30" s="276" t="e">
        <f t="shared" si="2"/>
        <v>#DIV/0!</v>
      </c>
      <c r="AV30" s="267">
        <f t="shared" si="34"/>
        <v>0</v>
      </c>
      <c r="AW30" s="267">
        <f t="shared" si="35"/>
        <v>0</v>
      </c>
      <c r="AY30" s="267">
        <f t="shared" si="36"/>
        <v>0</v>
      </c>
      <c r="BA30" s="267">
        <f t="shared" si="32"/>
        <v>1</v>
      </c>
      <c r="BB30" s="511" t="str">
        <f t="shared" si="33"/>
        <v/>
      </c>
      <c r="BC30" s="272">
        <f t="shared" si="18"/>
        <v>0</v>
      </c>
      <c r="BD30" s="511">
        <f t="shared" si="19"/>
        <v>0</v>
      </c>
      <c r="BE30" s="511">
        <f t="shared" si="20"/>
        <v>0</v>
      </c>
      <c r="BF30" s="511">
        <f t="shared" si="21"/>
        <v>0</v>
      </c>
    </row>
    <row r="31" spans="1:58" s="267" customFormat="1" ht="17.25" hidden="1" customHeight="1" thickBot="1">
      <c r="A31" s="281" t="str">
        <f t="shared" si="5"/>
        <v>أخت من الأم</v>
      </c>
      <c r="B31" s="267" t="str">
        <f t="shared" si="29"/>
        <v>أخت من الأم</v>
      </c>
      <c r="C31" s="452" t="str">
        <f t="shared" si="6"/>
        <v/>
      </c>
      <c r="D31" s="453">
        <f t="shared" si="7"/>
        <v>1</v>
      </c>
      <c r="E31" s="453">
        <f t="shared" si="8"/>
        <v>0</v>
      </c>
      <c r="F31" s="470"/>
      <c r="G31" s="454">
        <f t="shared" si="22"/>
        <v>0</v>
      </c>
      <c r="H31" s="455" t="e">
        <f t="shared" si="9"/>
        <v>#DIV/0!</v>
      </c>
      <c r="I31" s="455" t="e">
        <f t="shared" si="10"/>
        <v>#DIV/0!</v>
      </c>
      <c r="J31" s="446" t="e">
        <f t="shared" si="11"/>
        <v>#DIV/0!</v>
      </c>
      <c r="K31" s="283"/>
      <c r="L31" s="284">
        <f t="shared" si="12"/>
        <v>0</v>
      </c>
      <c r="M31" s="285">
        <f t="shared" si="30"/>
        <v>0</v>
      </c>
      <c r="N31" s="286">
        <f t="shared" si="23"/>
        <v>0</v>
      </c>
      <c r="O31" s="110">
        <f t="shared" si="13"/>
        <v>0</v>
      </c>
      <c r="P31" s="111">
        <f t="shared" si="24"/>
        <v>0</v>
      </c>
      <c r="Q31" s="111">
        <f t="shared" si="25"/>
        <v>1233</v>
      </c>
      <c r="R31" s="111"/>
      <c r="S31" s="112">
        <f t="shared" si="14"/>
        <v>0</v>
      </c>
      <c r="T31" s="112">
        <f t="shared" si="26"/>
        <v>0</v>
      </c>
      <c r="U31" s="111">
        <f t="shared" si="15"/>
        <v>0</v>
      </c>
      <c r="V31" s="111" t="b">
        <f t="shared" si="27"/>
        <v>1</v>
      </c>
      <c r="W31" s="113">
        <f t="shared" si="28"/>
        <v>0</v>
      </c>
      <c r="X31" s="63">
        <f t="shared" si="16"/>
        <v>0</v>
      </c>
      <c r="Y31" s="270"/>
      <c r="Z31" s="270">
        <f t="shared" si="31"/>
        <v>24.5</v>
      </c>
      <c r="AA31" s="267" t="e">
        <f t="shared" si="3"/>
        <v>#DIV/0!</v>
      </c>
      <c r="AB31" s="272" t="e">
        <f t="shared" si="4"/>
        <v>#DIV/0!</v>
      </c>
      <c r="AC31" s="267" t="e">
        <f t="shared" si="17"/>
        <v>#DIV/0!</v>
      </c>
      <c r="AV31" s="267">
        <f t="shared" si="34"/>
        <v>0</v>
      </c>
      <c r="AW31" s="267">
        <f t="shared" si="35"/>
        <v>0</v>
      </c>
      <c r="AY31" s="267">
        <f t="shared" si="36"/>
        <v>0</v>
      </c>
      <c r="BA31" s="267">
        <f t="shared" si="32"/>
        <v>1</v>
      </c>
      <c r="BB31" s="511" t="str">
        <f t="shared" si="33"/>
        <v/>
      </c>
      <c r="BC31" s="272">
        <f t="shared" si="18"/>
        <v>0</v>
      </c>
      <c r="BD31" s="511">
        <f t="shared" si="19"/>
        <v>0</v>
      </c>
      <c r="BE31" s="511">
        <f t="shared" si="20"/>
        <v>0</v>
      </c>
      <c r="BF31" s="511">
        <f t="shared" si="21"/>
        <v>0</v>
      </c>
    </row>
    <row r="32" spans="1:58" s="267" customFormat="1" ht="17.25" hidden="1" customHeight="1" thickBot="1">
      <c r="A32" s="281" t="str">
        <f t="shared" si="5"/>
        <v>الجدة(أم  الأم)</v>
      </c>
      <c r="B32" s="267" t="str">
        <f t="shared" si="29"/>
        <v>الجدة(أم  الأم)</v>
      </c>
      <c r="C32" s="452" t="str">
        <f t="shared" si="6"/>
        <v/>
      </c>
      <c r="D32" s="453">
        <f t="shared" si="7"/>
        <v>1</v>
      </c>
      <c r="E32" s="453">
        <f t="shared" si="8"/>
        <v>0</v>
      </c>
      <c r="F32" s="470"/>
      <c r="G32" s="454">
        <f t="shared" si="22"/>
        <v>0</v>
      </c>
      <c r="H32" s="455" t="e">
        <f t="shared" si="9"/>
        <v>#DIV/0!</v>
      </c>
      <c r="I32" s="455" t="e">
        <f t="shared" si="10"/>
        <v>#DIV/0!</v>
      </c>
      <c r="J32" s="446" t="e">
        <f t="shared" si="11"/>
        <v>#DIV/0!</v>
      </c>
      <c r="K32" s="283"/>
      <c r="L32" s="284">
        <f t="shared" si="12"/>
        <v>0</v>
      </c>
      <c r="M32" s="285">
        <f t="shared" si="30"/>
        <v>0</v>
      </c>
      <c r="N32" s="286">
        <f t="shared" si="23"/>
        <v>0</v>
      </c>
      <c r="O32" s="110">
        <f t="shared" si="13"/>
        <v>0</v>
      </c>
      <c r="P32" s="111">
        <f t="shared" si="24"/>
        <v>0</v>
      </c>
      <c r="Q32" s="111">
        <f t="shared" si="25"/>
        <v>1233</v>
      </c>
      <c r="R32" s="111"/>
      <c r="S32" s="112">
        <f t="shared" si="14"/>
        <v>0</v>
      </c>
      <c r="T32" s="112">
        <f t="shared" si="26"/>
        <v>0</v>
      </c>
      <c r="U32" s="111">
        <f t="shared" si="15"/>
        <v>0</v>
      </c>
      <c r="V32" s="111" t="b">
        <f t="shared" si="27"/>
        <v>1</v>
      </c>
      <c r="W32" s="113">
        <f t="shared" si="28"/>
        <v>0</v>
      </c>
      <c r="X32" s="63">
        <f t="shared" si="16"/>
        <v>0</v>
      </c>
      <c r="Y32" s="270"/>
      <c r="Z32" s="270">
        <f t="shared" si="31"/>
        <v>25.5</v>
      </c>
      <c r="AA32" s="267" t="e">
        <f t="shared" si="3"/>
        <v>#DIV/0!</v>
      </c>
      <c r="AB32" s="272" t="e">
        <f t="shared" si="4"/>
        <v>#DIV/0!</v>
      </c>
      <c r="AC32" s="267" t="e">
        <f t="shared" si="17"/>
        <v>#DIV/0!</v>
      </c>
      <c r="AV32" s="267">
        <f t="shared" si="34"/>
        <v>0</v>
      </c>
      <c r="AW32" s="267">
        <f t="shared" si="35"/>
        <v>0</v>
      </c>
      <c r="AY32" s="267">
        <f t="shared" si="36"/>
        <v>0</v>
      </c>
      <c r="BA32" s="267">
        <f t="shared" si="32"/>
        <v>1</v>
      </c>
      <c r="BB32" s="511" t="s">
        <v>751</v>
      </c>
      <c r="BC32" s="272">
        <f t="shared" si="18"/>
        <v>0</v>
      </c>
      <c r="BD32" s="511">
        <f t="shared" si="19"/>
        <v>0</v>
      </c>
      <c r="BE32" s="511">
        <f t="shared" si="20"/>
        <v>0</v>
      </c>
      <c r="BF32" s="511">
        <f t="shared" si="21"/>
        <v>0</v>
      </c>
    </row>
    <row r="33" spans="1:58" s="267" customFormat="1" ht="17.25" hidden="1" customHeight="1" thickBot="1">
      <c r="A33" s="281" t="str">
        <f t="shared" si="5"/>
        <v>الجدة(أم الأب)</v>
      </c>
      <c r="B33" s="267" t="str">
        <f t="shared" si="29"/>
        <v>الجدة(أم الأب)</v>
      </c>
      <c r="C33" s="452" t="str">
        <f t="shared" si="6"/>
        <v/>
      </c>
      <c r="D33" s="453">
        <f t="shared" si="7"/>
        <v>1</v>
      </c>
      <c r="E33" s="453">
        <f t="shared" si="8"/>
        <v>0</v>
      </c>
      <c r="F33" s="470"/>
      <c r="G33" s="454">
        <f t="shared" si="22"/>
        <v>0</v>
      </c>
      <c r="H33" s="455" t="e">
        <f t="shared" si="9"/>
        <v>#DIV/0!</v>
      </c>
      <c r="I33" s="455" t="e">
        <f t="shared" si="10"/>
        <v>#DIV/0!</v>
      </c>
      <c r="J33" s="446" t="e">
        <f t="shared" si="11"/>
        <v>#DIV/0!</v>
      </c>
      <c r="K33" s="283"/>
      <c r="L33" s="284">
        <f t="shared" si="12"/>
        <v>0</v>
      </c>
      <c r="M33" s="285">
        <f t="shared" si="30"/>
        <v>0</v>
      </c>
      <c r="N33" s="286">
        <f t="shared" si="23"/>
        <v>0</v>
      </c>
      <c r="O33" s="110">
        <f t="shared" si="13"/>
        <v>0</v>
      </c>
      <c r="P33" s="111">
        <f t="shared" si="24"/>
        <v>0</v>
      </c>
      <c r="Q33" s="111">
        <f t="shared" si="25"/>
        <v>1233</v>
      </c>
      <c r="R33" s="111"/>
      <c r="S33" s="112">
        <f t="shared" si="14"/>
        <v>0</v>
      </c>
      <c r="T33" s="112">
        <f t="shared" si="26"/>
        <v>0</v>
      </c>
      <c r="U33" s="111">
        <f t="shared" si="15"/>
        <v>0</v>
      </c>
      <c r="V33" s="111" t="b">
        <f t="shared" si="27"/>
        <v>1</v>
      </c>
      <c r="W33" s="113">
        <f t="shared" si="28"/>
        <v>0</v>
      </c>
      <c r="X33" s="63">
        <f t="shared" si="16"/>
        <v>0</v>
      </c>
      <c r="Y33" s="270"/>
      <c r="Z33" s="270">
        <f t="shared" si="31"/>
        <v>26.5</v>
      </c>
      <c r="AA33" s="267" t="e">
        <f t="shared" si="3"/>
        <v>#DIV/0!</v>
      </c>
      <c r="AB33" s="272" t="e">
        <f t="shared" si="4"/>
        <v>#DIV/0!</v>
      </c>
      <c r="AC33" s="267" t="e">
        <f t="shared" si="17"/>
        <v>#DIV/0!</v>
      </c>
      <c r="AV33" s="267">
        <f t="shared" si="34"/>
        <v>0</v>
      </c>
      <c r="AW33" s="267">
        <f t="shared" si="35"/>
        <v>0</v>
      </c>
      <c r="AY33" s="267">
        <f t="shared" si="36"/>
        <v>0</v>
      </c>
      <c r="BA33" s="267">
        <f t="shared" si="32"/>
        <v>1</v>
      </c>
      <c r="BB33" s="511" t="str">
        <f>C32</f>
        <v/>
      </c>
      <c r="BC33" s="272">
        <f t="shared" si="18"/>
        <v>0</v>
      </c>
      <c r="BD33" s="511">
        <f t="shared" si="19"/>
        <v>0</v>
      </c>
      <c r="BE33" s="511">
        <f t="shared" si="20"/>
        <v>0</v>
      </c>
      <c r="BF33" s="511">
        <f t="shared" si="21"/>
        <v>0</v>
      </c>
    </row>
    <row r="34" spans="1:58" s="267" customFormat="1" ht="17.25" hidden="1" customHeight="1" thickBot="1">
      <c r="A34" s="281" t="str">
        <f t="shared" si="5"/>
        <v>زوجة</v>
      </c>
      <c r="B34" s="267" t="str">
        <f t="shared" si="29"/>
        <v>زوجة</v>
      </c>
      <c r="C34" s="452" t="str">
        <f t="shared" si="6"/>
        <v/>
      </c>
      <c r="D34" s="453">
        <f t="shared" si="7"/>
        <v>1</v>
      </c>
      <c r="E34" s="453">
        <f t="shared" si="8"/>
        <v>0</v>
      </c>
      <c r="F34" s="470">
        <v>0</v>
      </c>
      <c r="G34" s="454">
        <f t="shared" si="22"/>
        <v>0</v>
      </c>
      <c r="H34" s="455" t="e">
        <f t="shared" si="9"/>
        <v>#DIV/0!</v>
      </c>
      <c r="I34" s="455" t="e">
        <f t="shared" si="10"/>
        <v>#DIV/0!</v>
      </c>
      <c r="J34" s="446" t="e">
        <f t="shared" si="11"/>
        <v>#DIV/0!</v>
      </c>
      <c r="K34" s="277"/>
      <c r="L34" s="282">
        <f t="shared" si="12"/>
        <v>0</v>
      </c>
      <c r="M34" s="279">
        <f t="shared" si="30"/>
        <v>0</v>
      </c>
      <c r="N34" s="280">
        <f t="shared" si="23"/>
        <v>0</v>
      </c>
      <c r="O34" s="65">
        <f t="shared" si="13"/>
        <v>0</v>
      </c>
      <c r="P34" s="59">
        <f t="shared" si="24"/>
        <v>0</v>
      </c>
      <c r="Q34" s="59">
        <f t="shared" si="25"/>
        <v>1233</v>
      </c>
      <c r="R34" s="59"/>
      <c r="S34" s="63">
        <f t="shared" si="14"/>
        <v>0</v>
      </c>
      <c r="T34" s="63">
        <f t="shared" si="26"/>
        <v>0</v>
      </c>
      <c r="U34" s="59">
        <f t="shared" si="15"/>
        <v>0</v>
      </c>
      <c r="V34" s="59" t="b">
        <f t="shared" si="27"/>
        <v>1</v>
      </c>
      <c r="W34" s="66">
        <f t="shared" si="28"/>
        <v>0</v>
      </c>
      <c r="X34" s="63">
        <f t="shared" si="16"/>
        <v>0</v>
      </c>
      <c r="Z34" s="267">
        <f t="shared" si="31"/>
        <v>27.5</v>
      </c>
      <c r="AA34" s="267" t="e">
        <f t="shared" si="3"/>
        <v>#DIV/0!</v>
      </c>
      <c r="AB34" s="272" t="e">
        <f t="shared" si="4"/>
        <v>#DIV/0!</v>
      </c>
      <c r="AC34" s="267" t="e">
        <f t="shared" si="17"/>
        <v>#DIV/0!</v>
      </c>
      <c r="AD34" s="270">
        <f>GCD(D29,D17)</f>
        <v>1</v>
      </c>
      <c r="AV34" s="267">
        <f t="shared" si="34"/>
        <v>0</v>
      </c>
      <c r="AW34" s="267">
        <f t="shared" si="35"/>
        <v>0</v>
      </c>
      <c r="AY34" s="267">
        <f t="shared" si="36"/>
        <v>0</v>
      </c>
      <c r="BA34" s="267">
        <f t="shared" si="32"/>
        <v>1</v>
      </c>
      <c r="BB34" s="511" t="str">
        <f>C33</f>
        <v/>
      </c>
      <c r="BC34" s="272">
        <f t="shared" si="18"/>
        <v>0</v>
      </c>
      <c r="BD34" s="511">
        <f t="shared" si="19"/>
        <v>0</v>
      </c>
      <c r="BE34" s="511">
        <f t="shared" si="20"/>
        <v>0</v>
      </c>
      <c r="BF34" s="511">
        <f t="shared" si="21"/>
        <v>0</v>
      </c>
    </row>
    <row r="35" spans="1:58" s="267" customFormat="1" ht="17.25" hidden="1" customHeight="1" thickBot="1">
      <c r="A35" s="281" t="str">
        <f t="shared" si="5"/>
        <v>ابن ابن ابن</v>
      </c>
      <c r="B35" s="267" t="str">
        <f t="shared" si="29"/>
        <v>ابن ابن ابن</v>
      </c>
      <c r="C35" s="452" t="str">
        <f t="shared" si="6"/>
        <v/>
      </c>
      <c r="D35" s="453">
        <f t="shared" si="7"/>
        <v>1</v>
      </c>
      <c r="E35" s="453">
        <f t="shared" si="8"/>
        <v>0</v>
      </c>
      <c r="F35" s="470"/>
      <c r="G35" s="454">
        <f t="shared" si="22"/>
        <v>0</v>
      </c>
      <c r="H35" s="455" t="e">
        <f t="shared" si="9"/>
        <v>#DIV/0!</v>
      </c>
      <c r="I35" s="455" t="e">
        <f t="shared" si="10"/>
        <v>#DIV/0!</v>
      </c>
      <c r="J35" s="446" t="e">
        <f t="shared" si="11"/>
        <v>#DIV/0!</v>
      </c>
      <c r="K35" s="277"/>
      <c r="L35" s="282">
        <f t="shared" si="12"/>
        <v>0</v>
      </c>
      <c r="M35" s="279">
        <f t="shared" si="30"/>
        <v>0</v>
      </c>
      <c r="N35" s="280">
        <f t="shared" si="23"/>
        <v>0</v>
      </c>
      <c r="O35" s="67">
        <f t="shared" si="13"/>
        <v>0</v>
      </c>
      <c r="P35" s="60">
        <f t="shared" si="24"/>
        <v>0</v>
      </c>
      <c r="Q35" s="60">
        <f t="shared" si="25"/>
        <v>1233</v>
      </c>
      <c r="R35" s="60"/>
      <c r="S35" s="63">
        <f t="shared" si="14"/>
        <v>0</v>
      </c>
      <c r="T35" s="63">
        <f t="shared" si="26"/>
        <v>0</v>
      </c>
      <c r="U35" s="60">
        <f t="shared" si="15"/>
        <v>0</v>
      </c>
      <c r="V35" s="60" t="b">
        <f t="shared" si="27"/>
        <v>1</v>
      </c>
      <c r="W35" s="68">
        <f t="shared" si="28"/>
        <v>0</v>
      </c>
      <c r="X35" s="63">
        <f t="shared" si="16"/>
        <v>0</v>
      </c>
      <c r="Z35" s="267">
        <f t="shared" si="31"/>
        <v>28.5</v>
      </c>
      <c r="AA35" s="267" t="e">
        <f t="shared" si="3"/>
        <v>#DIV/0!</v>
      </c>
      <c r="AB35" s="272" t="e">
        <f t="shared" si="4"/>
        <v>#DIV/0!</v>
      </c>
      <c r="AC35" s="267" t="e">
        <f t="shared" si="17"/>
        <v>#DIV/0!</v>
      </c>
      <c r="AU35" s="267" t="s">
        <v>114</v>
      </c>
      <c r="AV35" s="267">
        <f t="shared" si="34"/>
        <v>0</v>
      </c>
      <c r="AW35" s="267">
        <f t="shared" si="35"/>
        <v>0</v>
      </c>
      <c r="AY35" s="267">
        <f t="shared" si="36"/>
        <v>0</v>
      </c>
      <c r="BA35" s="267">
        <f t="shared" si="32"/>
        <v>1</v>
      </c>
      <c r="BB35" s="511" t="str">
        <f>C34</f>
        <v/>
      </c>
      <c r="BC35" s="272">
        <f t="shared" si="18"/>
        <v>0</v>
      </c>
      <c r="BD35" s="511">
        <f t="shared" si="19"/>
        <v>0</v>
      </c>
      <c r="BE35" s="511">
        <f t="shared" si="20"/>
        <v>0</v>
      </c>
      <c r="BF35" s="511">
        <f t="shared" si="21"/>
        <v>0</v>
      </c>
    </row>
    <row r="36" spans="1:58" s="267" customFormat="1" ht="17.25" hidden="1" customHeight="1" thickBot="1">
      <c r="A36" s="287"/>
      <c r="B36" s="267" t="str">
        <f>IF(G36&gt;0,C36,A35)</f>
        <v>ابن ابن ابن</v>
      </c>
      <c r="C36" s="471" t="str">
        <f t="shared" si="6"/>
        <v/>
      </c>
      <c r="D36" s="468">
        <f t="shared" si="7"/>
        <v>1</v>
      </c>
      <c r="E36" s="468">
        <f t="shared" si="8"/>
        <v>0</v>
      </c>
      <c r="F36" s="472"/>
      <c r="G36" s="468">
        <f t="shared" si="22"/>
        <v>0</v>
      </c>
      <c r="H36" s="473" t="e">
        <f t="shared" si="9"/>
        <v>#DIV/0!</v>
      </c>
      <c r="I36" s="473" t="e">
        <f t="shared" si="10"/>
        <v>#DIV/0!</v>
      </c>
      <c r="J36" s="474" t="e">
        <f t="shared" si="11"/>
        <v>#DIV/0!</v>
      </c>
      <c r="K36" s="277"/>
      <c r="L36" s="288">
        <f t="shared" si="12"/>
        <v>0</v>
      </c>
      <c r="M36" s="279">
        <f t="shared" si="30"/>
        <v>0</v>
      </c>
      <c r="N36" s="280">
        <f t="shared" si="23"/>
        <v>0</v>
      </c>
      <c r="O36" s="69">
        <f t="shared" si="13"/>
        <v>0</v>
      </c>
      <c r="P36" s="70">
        <f t="shared" si="24"/>
        <v>0</v>
      </c>
      <c r="Q36" s="70">
        <f t="shared" si="25"/>
        <v>1233</v>
      </c>
      <c r="R36" s="70"/>
      <c r="S36" s="63">
        <f t="shared" si="14"/>
        <v>0</v>
      </c>
      <c r="T36" s="63">
        <f t="shared" si="26"/>
        <v>0</v>
      </c>
      <c r="U36" s="70">
        <f t="shared" si="15"/>
        <v>0</v>
      </c>
      <c r="V36" s="70" t="b">
        <f t="shared" si="27"/>
        <v>1</v>
      </c>
      <c r="W36" s="71">
        <f t="shared" si="28"/>
        <v>0</v>
      </c>
      <c r="X36" s="63">
        <f t="shared" si="16"/>
        <v>0</v>
      </c>
      <c r="Z36" s="267">
        <f t="shared" si="31"/>
        <v>29.5</v>
      </c>
      <c r="AA36" s="267" t="e">
        <f t="shared" si="3"/>
        <v>#DIV/0!</v>
      </c>
      <c r="AB36" s="272" t="e">
        <f t="shared" si="4"/>
        <v>#DIV/0!</v>
      </c>
      <c r="AU36" s="267">
        <f>LARGE(G36:G62,1)</f>
        <v>0</v>
      </c>
      <c r="AV36" s="267">
        <f t="shared" si="34"/>
        <v>0</v>
      </c>
      <c r="AW36" s="267">
        <f t="shared" si="35"/>
        <v>0</v>
      </c>
      <c r="AY36" s="267">
        <f t="shared" si="36"/>
        <v>0</v>
      </c>
      <c r="BA36" s="267">
        <f t="shared" si="32"/>
        <v>1</v>
      </c>
      <c r="BB36" s="511" t="str">
        <f>C35</f>
        <v/>
      </c>
      <c r="BC36" s="272">
        <f t="shared" si="18"/>
        <v>0</v>
      </c>
      <c r="BD36" s="511">
        <f>BE36</f>
        <v>0</v>
      </c>
      <c r="BE36" s="511">
        <f t="shared" si="20"/>
        <v>0</v>
      </c>
      <c r="BF36" s="511">
        <f t="shared" si="21"/>
        <v>0</v>
      </c>
    </row>
    <row r="37" spans="1:58" ht="33" hidden="1" customHeight="1" thickBot="1">
      <c r="A37" s="39"/>
      <c r="B37" s="39"/>
      <c r="C37" s="418"/>
      <c r="D37" s="410"/>
      <c r="E37" s="419">
        <v>1</v>
      </c>
      <c r="F37" s="419"/>
      <c r="G37" s="444" t="s">
        <v>170</v>
      </c>
      <c r="H37" s="456" t="e">
        <f>SUM(AH5:AH30)</f>
        <v>#DIV/0!</v>
      </c>
      <c r="I37" s="410"/>
      <c r="J37" s="418"/>
      <c r="K37" s="39"/>
      <c r="L37" s="39"/>
      <c r="M37" s="39"/>
      <c r="N37" s="38" t="s">
        <v>114</v>
      </c>
      <c r="O37" s="38"/>
      <c r="P37" s="38"/>
      <c r="Q37" s="38"/>
      <c r="R37" s="38"/>
      <c r="S37" s="38"/>
      <c r="T37" s="38"/>
      <c r="U37" s="38"/>
      <c r="V37" s="38"/>
      <c r="W37" s="38"/>
      <c r="X37" s="38"/>
      <c r="Y37" s="38"/>
      <c r="Z37" s="38">
        <f t="shared" si="31"/>
        <v>30.5</v>
      </c>
      <c r="AA37" t="e">
        <f t="shared" si="3"/>
        <v>#DIV/0!</v>
      </c>
      <c r="AB37" s="1" t="e">
        <f t="shared" si="4"/>
        <v>#DIV/0!</v>
      </c>
      <c r="AC37" t="e">
        <f>GCD(AC11:AC35)</f>
        <v>#DIV/0!</v>
      </c>
      <c r="AV37" s="267">
        <f t="shared" si="34"/>
        <v>0</v>
      </c>
      <c r="AW37" s="267">
        <f t="shared" si="35"/>
        <v>0</v>
      </c>
      <c r="AX37" s="267"/>
      <c r="AY37" s="267">
        <f t="shared" si="36"/>
        <v>0</v>
      </c>
      <c r="BB37" s="293" t="str">
        <f>C36</f>
        <v/>
      </c>
      <c r="BC37" s="1">
        <f t="shared" si="18"/>
        <v>0</v>
      </c>
      <c r="BE37" s="293">
        <f t="shared" si="20"/>
        <v>0</v>
      </c>
    </row>
    <row r="38" spans="1:58" ht="20.25" customHeight="1" thickBot="1">
      <c r="A38" s="39"/>
      <c r="B38" s="39"/>
      <c r="E38" s="98">
        <v>1</v>
      </c>
      <c r="F38" s="98"/>
      <c r="G38" s="39" t="s">
        <v>114</v>
      </c>
      <c r="H38" s="54" t="s">
        <v>114</v>
      </c>
      <c r="I38" s="157" t="s">
        <v>114</v>
      </c>
      <c r="J38" s="39"/>
      <c r="K38" s="39"/>
      <c r="L38" s="39"/>
      <c r="M38" s="39"/>
      <c r="N38" s="38"/>
      <c r="O38" s="114"/>
      <c r="P38" s="115"/>
      <c r="Q38" s="115"/>
      <c r="R38" s="115">
        <f>IF(P10&lt;2,1,2)</f>
        <v>1</v>
      </c>
      <c r="S38" s="115">
        <f>GCD(S11:S36)</f>
        <v>0</v>
      </c>
      <c r="T38" s="116">
        <f>MAX(T11:T36)</f>
        <v>0</v>
      </c>
      <c r="U38" s="115">
        <f>GCD(U11:U36)</f>
        <v>0</v>
      </c>
      <c r="V38" s="115"/>
      <c r="W38" s="117">
        <f>GCD(W11:W36)</f>
        <v>0</v>
      </c>
      <c r="X38" s="38"/>
      <c r="Y38" s="38"/>
      <c r="Z38" s="38">
        <f t="shared" si="31"/>
        <v>31.5</v>
      </c>
      <c r="AA38" t="e">
        <f t="shared" si="3"/>
        <v>#DIV/0!</v>
      </c>
      <c r="AB38" s="1" t="e">
        <f t="shared" si="4"/>
        <v>#DIV/0!</v>
      </c>
      <c r="AW38" s="267"/>
      <c r="AX38" s="267"/>
      <c r="AY38" s="267">
        <f t="shared" si="36"/>
        <v>0</v>
      </c>
    </row>
    <row r="39" spans="1:58" ht="18" customHeight="1">
      <c r="A39" s="39"/>
      <c r="B39" s="38"/>
      <c r="C39" s="291" t="s">
        <v>114</v>
      </c>
      <c r="D39" s="99"/>
      <c r="E39" s="101"/>
      <c r="F39" s="101"/>
      <c r="G39" s="101"/>
      <c r="H39" s="101"/>
      <c r="J39" s="40" t="s">
        <v>114</v>
      </c>
      <c r="K39" s="40"/>
      <c r="L39" s="40"/>
      <c r="M39" s="40"/>
      <c r="Z39">
        <f t="shared" si="31"/>
        <v>32.5</v>
      </c>
      <c r="AA39" t="e">
        <f t="shared" si="3"/>
        <v>#DIV/0!</v>
      </c>
      <c r="AB39" s="1" t="e">
        <f t="shared" si="4"/>
        <v>#DIV/0!</v>
      </c>
      <c r="AW39" s="267"/>
      <c r="AX39" s="267"/>
      <c r="AY39" s="267">
        <f t="shared" si="36"/>
        <v>0</v>
      </c>
    </row>
    <row r="40" spans="1:58" ht="27.75" customHeight="1" thickBot="1">
      <c r="A40" s="39"/>
      <c r="B40" s="38"/>
      <c r="C40" s="28"/>
      <c r="D40" s="100"/>
      <c r="E40" s="79">
        <v>1</v>
      </c>
      <c r="F40" s="79"/>
      <c r="G40" s="999" t="s">
        <v>582</v>
      </c>
      <c r="H40" s="1000"/>
      <c r="I40" s="1000"/>
      <c r="J40" s="28"/>
      <c r="K40" s="39"/>
      <c r="L40" s="39"/>
      <c r="M40" s="39"/>
      <c r="N40" s="39"/>
      <c r="O40" s="1001" t="e">
        <f>SUM(AI5:AI30)</f>
        <v>#DIV/0!</v>
      </c>
      <c r="P40" s="39"/>
      <c r="Q40" s="39"/>
      <c r="R40" s="39"/>
      <c r="S40" s="39"/>
      <c r="T40" s="39"/>
      <c r="U40" s="39"/>
      <c r="V40" s="39"/>
      <c r="W40" s="39"/>
      <c r="X40" s="39"/>
      <c r="Y40" s="39"/>
      <c r="Z40" s="39">
        <f t="shared" si="31"/>
        <v>33.5</v>
      </c>
      <c r="AA40" s="28" t="e">
        <f t="shared" si="3"/>
        <v>#DIV/0!</v>
      </c>
      <c r="AB40" s="478" t="e">
        <f t="shared" si="4"/>
        <v>#DIV/0!</v>
      </c>
      <c r="AC40" s="28"/>
      <c r="AD40" s="28"/>
      <c r="AE40" s="28"/>
      <c r="AF40" s="28"/>
      <c r="AG40" s="28"/>
      <c r="AH40" s="28"/>
      <c r="AI40" s="28"/>
      <c r="AJ40" s="28"/>
      <c r="AK40" s="28"/>
      <c r="AL40" s="28"/>
      <c r="AM40" s="28"/>
      <c r="AN40" s="28"/>
      <c r="AO40" s="28"/>
      <c r="AP40" s="28"/>
      <c r="AW40" s="267"/>
      <c r="AX40" s="267"/>
      <c r="AY40" s="267">
        <f t="shared" si="36"/>
        <v>0</v>
      </c>
    </row>
    <row r="41" spans="1:58" ht="39.75" customHeight="1" thickTop="1" thickBot="1">
      <c r="A41" s="28"/>
      <c r="C41" s="292" t="s">
        <v>114</v>
      </c>
      <c r="D41" s="100"/>
      <c r="E41" s="79">
        <v>1</v>
      </c>
      <c r="F41" s="79"/>
      <c r="G41" s="1002" t="s">
        <v>835</v>
      </c>
      <c r="H41" s="988"/>
      <c r="I41" s="988"/>
      <c r="J41" s="1003"/>
      <c r="K41" s="989"/>
      <c r="L41" s="1006"/>
      <c r="M41" s="39"/>
      <c r="N41" s="39"/>
      <c r="O41" s="39"/>
      <c r="P41" s="39" t="s">
        <v>114</v>
      </c>
      <c r="Q41" s="39"/>
      <c r="R41" s="39"/>
      <c r="S41" s="39" t="s">
        <v>114</v>
      </c>
      <c r="T41" s="39"/>
      <c r="U41" s="39"/>
      <c r="V41" s="39"/>
      <c r="W41" s="39"/>
      <c r="X41" s="39"/>
      <c r="Y41" s="39"/>
      <c r="Z41" s="39">
        <f t="shared" si="31"/>
        <v>34.5</v>
      </c>
      <c r="AA41" s="28" t="e">
        <f t="shared" si="3"/>
        <v>#DIV/0!</v>
      </c>
      <c r="AB41" s="478" t="e">
        <f t="shared" si="4"/>
        <v>#DIV/0!</v>
      </c>
      <c r="AC41" s="28"/>
      <c r="AD41" s="28"/>
      <c r="AE41" s="28"/>
      <c r="AF41" s="28"/>
      <c r="AG41" s="28"/>
      <c r="AH41" s="28"/>
      <c r="AI41" s="28"/>
      <c r="AJ41" s="28"/>
      <c r="AK41" s="28"/>
      <c r="AL41" s="28"/>
      <c r="AM41" s="28"/>
      <c r="AN41" s="28"/>
      <c r="AO41" s="28"/>
      <c r="AP41" s="28"/>
      <c r="AW41" s="267"/>
      <c r="AX41" s="267"/>
      <c r="AY41" s="267">
        <f t="shared" si="36"/>
        <v>0</v>
      </c>
    </row>
    <row r="42" spans="1:58" ht="39.75" customHeight="1" thickTop="1" thickBot="1">
      <c r="A42" s="39"/>
      <c r="B42" s="38"/>
      <c r="C42" s="266"/>
      <c r="D42" s="100"/>
      <c r="E42" s="102">
        <v>1</v>
      </c>
      <c r="F42" s="102"/>
      <c r="G42" s="990" t="s">
        <v>808</v>
      </c>
      <c r="H42" s="991"/>
      <c r="I42" s="991"/>
      <c r="J42" s="994"/>
      <c r="K42" s="995"/>
      <c r="L42" s="1007"/>
      <c r="M42" s="43"/>
      <c r="N42" s="1008">
        <f>MAX(AF5:AF30)</f>
        <v>0</v>
      </c>
      <c r="O42" s="39"/>
      <c r="P42" s="39"/>
      <c r="Q42" s="39"/>
      <c r="R42" s="39"/>
      <c r="S42" s="39"/>
      <c r="T42" s="39"/>
      <c r="U42" s="39"/>
      <c r="V42" s="39"/>
      <c r="W42" s="39">
        <f>LCM(D11:D35)</f>
        <v>1</v>
      </c>
      <c r="X42" s="39"/>
      <c r="Y42" s="39"/>
      <c r="Z42" s="39">
        <f t="shared" si="31"/>
        <v>35.5</v>
      </c>
      <c r="AA42" s="28" t="e">
        <f t="shared" si="3"/>
        <v>#DIV/0!</v>
      </c>
      <c r="AB42" s="478" t="e">
        <f t="shared" si="4"/>
        <v>#DIV/0!</v>
      </c>
      <c r="AC42" s="28"/>
      <c r="AD42" s="28"/>
      <c r="AE42" s="28"/>
      <c r="AF42" s="28"/>
      <c r="AG42" s="28"/>
      <c r="AH42" s="28"/>
      <c r="AI42" s="28"/>
      <c r="AJ42" s="28"/>
      <c r="AK42" s="28"/>
      <c r="AL42" s="28"/>
      <c r="AM42" s="28"/>
      <c r="AN42" s="28"/>
      <c r="AO42" s="28"/>
      <c r="AP42" s="28"/>
    </row>
    <row r="43" spans="1:58" ht="39.75" customHeight="1" thickTop="1" thickBot="1">
      <c r="A43" s="39"/>
      <c r="B43" s="38"/>
      <c r="C43" s="266"/>
      <c r="D43" s="80"/>
      <c r="E43" s="102">
        <v>1</v>
      </c>
      <c r="F43" s="102"/>
      <c r="G43" s="990" t="s">
        <v>843</v>
      </c>
      <c r="H43" s="991"/>
      <c r="I43" s="991"/>
      <c r="J43" s="992"/>
      <c r="K43" s="993"/>
      <c r="L43" s="1006"/>
      <c r="M43" s="39"/>
      <c r="N43" s="39"/>
      <c r="O43" s="39"/>
      <c r="P43" s="39"/>
      <c r="Q43" s="39"/>
      <c r="R43" s="39"/>
      <c r="S43" s="39"/>
      <c r="T43" s="39"/>
      <c r="U43" s="39"/>
      <c r="V43" s="39"/>
      <c r="W43" s="39"/>
      <c r="X43" s="39"/>
      <c r="Y43" s="39"/>
      <c r="Z43" s="39">
        <f t="shared" si="31"/>
        <v>36.5</v>
      </c>
      <c r="AA43" s="28" t="e">
        <f t="shared" si="3"/>
        <v>#DIV/0!</v>
      </c>
      <c r="AB43" s="478" t="e">
        <f t="shared" si="4"/>
        <v>#DIV/0!</v>
      </c>
      <c r="AC43" s="28"/>
      <c r="AD43" s="28"/>
      <c r="AE43" s="28"/>
      <c r="AF43" s="28"/>
      <c r="AG43" s="28"/>
      <c r="AH43" s="28"/>
      <c r="AI43" s="28"/>
      <c r="AJ43" s="28"/>
      <c r="AK43" s="28"/>
      <c r="AL43" s="28"/>
      <c r="AM43" s="28"/>
      <c r="AN43" s="28"/>
      <c r="AO43" s="28"/>
      <c r="AP43" s="28"/>
    </row>
    <row r="44" spans="1:58" ht="39.75" customHeight="1" thickTop="1" thickBot="1">
      <c r="A44" s="39"/>
      <c r="B44" s="38"/>
      <c r="C44" s="266"/>
      <c r="D44" s="80"/>
      <c r="E44" s="102">
        <v>1</v>
      </c>
      <c r="F44" s="102"/>
      <c r="G44" s="990" t="s">
        <v>810</v>
      </c>
      <c r="H44" s="991"/>
      <c r="I44" s="991"/>
      <c r="J44" s="992"/>
      <c r="K44" s="993"/>
      <c r="L44" s="1006"/>
      <c r="M44" s="39"/>
      <c r="N44" s="39"/>
      <c r="O44" s="39">
        <v>2</v>
      </c>
      <c r="P44" s="39"/>
      <c r="Q44" s="39"/>
      <c r="R44" s="39"/>
      <c r="S44" s="39"/>
      <c r="T44" s="39"/>
      <c r="U44" s="39"/>
      <c r="V44" s="39"/>
      <c r="W44" s="39"/>
      <c r="X44" s="39"/>
      <c r="Y44" s="39"/>
      <c r="Z44" s="39">
        <f t="shared" si="31"/>
        <v>37.5</v>
      </c>
      <c r="AA44" s="28" t="e">
        <f t="shared" si="3"/>
        <v>#DIV/0!</v>
      </c>
      <c r="AB44" s="478" t="e">
        <f t="shared" si="4"/>
        <v>#DIV/0!</v>
      </c>
      <c r="AC44" s="28"/>
      <c r="AD44" s="28"/>
      <c r="AE44" s="28"/>
      <c r="AF44" s="28"/>
      <c r="AG44" s="28"/>
      <c r="AH44" s="28"/>
      <c r="AI44" s="28"/>
      <c r="AJ44" s="28"/>
      <c r="AK44" s="28"/>
      <c r="AL44" s="28"/>
      <c r="AM44" s="28"/>
      <c r="AN44" s="28"/>
      <c r="AO44" s="28"/>
      <c r="AP44" s="28"/>
    </row>
    <row r="45" spans="1:58" ht="39.75" customHeight="1" thickTop="1" thickBot="1">
      <c r="A45" s="39"/>
      <c r="B45" s="38"/>
      <c r="C45" s="432"/>
      <c r="D45" s="80"/>
      <c r="E45" s="102">
        <v>1</v>
      </c>
      <c r="F45" s="102"/>
      <c r="G45" s="990" t="s">
        <v>822</v>
      </c>
      <c r="H45" s="991"/>
      <c r="I45" s="991"/>
      <c r="J45" s="992"/>
      <c r="K45" s="993"/>
      <c r="L45" s="1006"/>
      <c r="M45" s="39"/>
      <c r="N45" s="39"/>
      <c r="O45" s="1001" t="e">
        <f>O40</f>
        <v>#DIV/0!</v>
      </c>
      <c r="P45" s="1009" t="e">
        <f>O45*2</f>
        <v>#DIV/0!</v>
      </c>
      <c r="Q45" s="1001" t="e">
        <f>P45*2</f>
        <v>#DIV/0!</v>
      </c>
      <c r="R45" s="39"/>
      <c r="S45" s="39"/>
      <c r="T45" s="39"/>
      <c r="U45" s="39"/>
      <c r="V45" s="39"/>
      <c r="W45" s="39"/>
      <c r="X45" s="39"/>
      <c r="Y45" s="39"/>
      <c r="Z45" s="39">
        <f t="shared" si="31"/>
        <v>38.5</v>
      </c>
      <c r="AA45" s="28" t="e">
        <f t="shared" si="3"/>
        <v>#DIV/0!</v>
      </c>
      <c r="AB45" s="478" t="e">
        <f t="shared" si="4"/>
        <v>#DIV/0!</v>
      </c>
      <c r="AC45" s="28"/>
      <c r="AD45" s="28"/>
      <c r="AE45" s="28"/>
      <c r="AF45" s="28"/>
      <c r="AG45" s="28"/>
      <c r="AH45" s="28"/>
      <c r="AI45" s="28"/>
      <c r="AJ45" s="28"/>
      <c r="AK45" s="28"/>
      <c r="AL45" s="28"/>
      <c r="AM45" s="28"/>
      <c r="AN45" s="28"/>
      <c r="AO45" s="28"/>
      <c r="AP45" s="28"/>
    </row>
    <row r="46" spans="1:58" ht="39.75" customHeight="1" thickTop="1" thickBot="1">
      <c r="A46" s="38"/>
      <c r="B46" s="38"/>
      <c r="C46" s="38"/>
      <c r="D46" s="38"/>
      <c r="E46" s="102">
        <v>1</v>
      </c>
      <c r="F46" s="38"/>
      <c r="G46" s="990" t="s">
        <v>804</v>
      </c>
      <c r="H46" s="996"/>
      <c r="I46" s="996"/>
      <c r="J46" s="992"/>
      <c r="K46" s="993"/>
      <c r="L46" s="1006"/>
      <c r="M46" s="39"/>
      <c r="N46" s="28"/>
      <c r="O46" s="28"/>
      <c r="P46" s="28"/>
      <c r="Q46" s="28"/>
      <c r="R46" s="28"/>
      <c r="S46" s="28"/>
      <c r="T46" s="28"/>
      <c r="U46" s="28"/>
      <c r="V46" s="28"/>
      <c r="W46" s="28"/>
      <c r="X46" s="28"/>
      <c r="Y46" s="28"/>
      <c r="Z46" s="28">
        <f t="shared" si="31"/>
        <v>39.5</v>
      </c>
      <c r="AA46" s="28" t="e">
        <f t="shared" si="3"/>
        <v>#DIV/0!</v>
      </c>
      <c r="AB46" s="478" t="e">
        <f t="shared" si="4"/>
        <v>#DIV/0!</v>
      </c>
      <c r="AC46" s="28"/>
      <c r="AD46" s="28"/>
      <c r="AE46" s="28"/>
      <c r="AF46" s="28"/>
      <c r="AG46" s="28"/>
      <c r="AH46" s="28"/>
      <c r="AI46" s="28"/>
      <c r="AJ46" s="28"/>
      <c r="AK46" s="28"/>
      <c r="AL46" s="28"/>
      <c r="AM46" s="28"/>
      <c r="AN46" s="28"/>
      <c r="AO46" s="28"/>
      <c r="AP46" s="28"/>
    </row>
    <row r="47" spans="1:58" ht="39.75" customHeight="1" thickTop="1" thickBot="1">
      <c r="A47" s="38"/>
      <c r="B47" s="38"/>
      <c r="C47" s="38"/>
      <c r="D47" s="38"/>
      <c r="E47" s="38"/>
      <c r="F47" s="38"/>
      <c r="G47" s="990" t="s">
        <v>805</v>
      </c>
      <c r="H47" s="991"/>
      <c r="I47" s="991"/>
      <c r="J47" s="991"/>
      <c r="K47" s="997"/>
      <c r="L47" s="1010"/>
      <c r="M47" s="1000"/>
      <c r="N47" s="1000"/>
      <c r="O47" s="1000"/>
      <c r="P47" s="1000"/>
      <c r="Q47" s="1000"/>
      <c r="R47" s="1000"/>
      <c r="S47" s="1000"/>
      <c r="T47" s="1000"/>
      <c r="U47" s="1000"/>
      <c r="V47" s="1000"/>
      <c r="W47" s="1000"/>
      <c r="X47" s="1000"/>
      <c r="Y47" s="1000"/>
      <c r="Z47" s="1000"/>
      <c r="AA47" s="1000"/>
      <c r="AB47" s="1000"/>
      <c r="AC47" s="1000"/>
      <c r="AD47" s="1000"/>
      <c r="AE47" s="1000"/>
      <c r="AF47" s="1000"/>
      <c r="AG47" s="1000"/>
      <c r="AH47" s="1000"/>
      <c r="AI47" s="1000"/>
      <c r="AJ47" s="1000"/>
      <c r="AK47" s="1000"/>
      <c r="AL47" s="1000"/>
      <c r="AM47" s="1000"/>
      <c r="AN47" s="1000"/>
      <c r="AO47" s="1000"/>
      <c r="AP47" s="1000"/>
    </row>
    <row r="48" spans="1:58" ht="39.75" customHeight="1" thickTop="1" thickBot="1">
      <c r="A48" s="38"/>
      <c r="B48" s="38"/>
      <c r="C48" s="38"/>
      <c r="D48" s="38"/>
      <c r="E48" s="38"/>
      <c r="F48" s="38"/>
      <c r="G48" s="990" t="s">
        <v>720</v>
      </c>
      <c r="H48" s="991"/>
      <c r="I48" s="991"/>
      <c r="J48" s="991"/>
      <c r="K48" s="997"/>
      <c r="L48" s="1010"/>
      <c r="M48" s="1000"/>
      <c r="N48" s="1000"/>
      <c r="O48" s="1000"/>
      <c r="P48" s="1000"/>
      <c r="Q48" s="1000"/>
      <c r="R48" s="1000"/>
      <c r="S48" s="1000"/>
      <c r="T48" s="1000"/>
      <c r="U48" s="1000"/>
      <c r="V48" s="1000"/>
      <c r="W48" s="1000"/>
      <c r="X48" s="1000"/>
      <c r="Y48" s="1000"/>
      <c r="Z48" s="1000"/>
      <c r="AA48" s="1000"/>
      <c r="AB48" s="1000"/>
      <c r="AC48" s="1000"/>
      <c r="AD48" s="1000"/>
      <c r="AE48" s="1000"/>
      <c r="AF48" s="1000"/>
      <c r="AG48" s="1000"/>
      <c r="AH48" s="1000"/>
      <c r="AI48" s="1000"/>
      <c r="AJ48" s="1000"/>
      <c r="AK48" s="1000"/>
      <c r="AL48" s="1000"/>
      <c r="AM48" s="1000"/>
      <c r="AN48" s="1000"/>
      <c r="AO48" s="1000"/>
      <c r="AP48" s="1000"/>
    </row>
    <row r="49" spans="1:42" ht="39.75" customHeight="1" thickTop="1" thickBot="1">
      <c r="A49" s="38"/>
      <c r="B49" s="38"/>
      <c r="C49" s="38"/>
      <c r="D49" s="38"/>
      <c r="E49" s="38"/>
      <c r="F49" s="38"/>
      <c r="G49" s="990" t="s">
        <v>806</v>
      </c>
      <c r="H49" s="991"/>
      <c r="I49" s="991"/>
      <c r="J49" s="991"/>
      <c r="K49" s="997"/>
      <c r="L49" s="1010"/>
      <c r="M49" s="1000"/>
      <c r="N49" s="1000"/>
      <c r="O49" s="1000"/>
      <c r="P49" s="1000"/>
      <c r="Q49" s="1000"/>
      <c r="R49" s="1000"/>
      <c r="S49" s="1000"/>
      <c r="T49" s="1000"/>
      <c r="U49" s="1000"/>
      <c r="V49" s="1000"/>
      <c r="W49" s="1000"/>
      <c r="X49" s="1000"/>
      <c r="Y49" s="1000"/>
      <c r="Z49" s="1000"/>
      <c r="AA49" s="1000"/>
      <c r="AB49" s="1000"/>
      <c r="AC49" s="1000"/>
      <c r="AD49" s="1000"/>
      <c r="AE49" s="1000"/>
      <c r="AF49" s="1000"/>
      <c r="AG49" s="1000"/>
      <c r="AH49" s="1000"/>
      <c r="AI49" s="1000"/>
      <c r="AJ49" s="1000"/>
      <c r="AK49" s="1000"/>
      <c r="AL49" s="1000"/>
      <c r="AM49" s="1000"/>
      <c r="AN49" s="1000"/>
      <c r="AO49" s="1000"/>
      <c r="AP49" s="1000"/>
    </row>
    <row r="50" spans="1:42" ht="39.75" customHeight="1" thickTop="1" thickBot="1">
      <c r="A50" s="38"/>
      <c r="B50" s="38"/>
      <c r="C50" s="38"/>
      <c r="D50" s="38"/>
      <c r="E50" s="38"/>
      <c r="F50" s="38"/>
      <c r="G50" s="990" t="s">
        <v>807</v>
      </c>
      <c r="H50" s="991"/>
      <c r="I50" s="991"/>
      <c r="J50" s="1401" t="str">
        <f>'حساب التركة والوصايا'!$V$2</f>
        <v>تم مراجعة الحسابات</v>
      </c>
      <c r="K50" s="1402"/>
      <c r="L50" s="1011"/>
      <c r="M50" s="1012"/>
      <c r="N50" s="1012"/>
      <c r="O50" s="28"/>
      <c r="P50" s="28">
        <f>IF(P49=TRUE,2,1)</f>
        <v>1</v>
      </c>
      <c r="Q50" s="28"/>
      <c r="R50" s="28"/>
      <c r="S50" s="28"/>
      <c r="T50" s="478">
        <f>MOD(T49,1)</f>
        <v>0</v>
      </c>
      <c r="U50" s="28"/>
      <c r="V50" s="28"/>
      <c r="W50" s="28"/>
      <c r="X50" s="28"/>
      <c r="Y50" s="28"/>
      <c r="Z50" s="28">
        <f t="shared" si="31"/>
        <v>1</v>
      </c>
      <c r="AA50" s="28" t="e">
        <f t="shared" si="3"/>
        <v>#DIV/0!</v>
      </c>
      <c r="AB50" s="478" t="e">
        <f t="shared" si="4"/>
        <v>#DIV/0!</v>
      </c>
      <c r="AC50" s="28"/>
      <c r="AD50" s="28"/>
      <c r="AE50" s="28"/>
      <c r="AF50" s="28"/>
      <c r="AG50" s="28"/>
      <c r="AH50" s="28"/>
      <c r="AI50" s="28"/>
      <c r="AJ50" s="28"/>
      <c r="AK50" s="28"/>
      <c r="AL50" s="28"/>
      <c r="AM50" s="28"/>
      <c r="AN50" s="28"/>
      <c r="AO50" s="28"/>
      <c r="AP50" s="28"/>
    </row>
    <row r="51" spans="1:42" ht="39.75" customHeight="1" thickTop="1" thickBot="1">
      <c r="A51" s="38"/>
      <c r="B51" s="38"/>
      <c r="C51" s="38"/>
      <c r="D51" s="38"/>
      <c r="E51" s="38"/>
      <c r="F51" s="38"/>
      <c r="G51" s="1021" t="s">
        <v>837</v>
      </c>
      <c r="H51" s="1022"/>
      <c r="I51" s="1022"/>
      <c r="J51" s="1023"/>
      <c r="K51" s="1024"/>
      <c r="L51" s="1011"/>
      <c r="M51" s="1012"/>
      <c r="N51" s="1012"/>
      <c r="O51" s="28"/>
      <c r="P51" s="28"/>
      <c r="Q51" s="28"/>
      <c r="R51" s="28"/>
      <c r="S51" s="28"/>
      <c r="T51" s="478"/>
      <c r="U51" s="28"/>
      <c r="V51" s="28"/>
      <c r="W51" s="28"/>
      <c r="X51" s="28"/>
      <c r="Y51" s="28"/>
      <c r="Z51" s="28"/>
      <c r="AA51" s="28"/>
      <c r="AB51" s="478"/>
      <c r="AC51" s="28"/>
      <c r="AD51" s="28"/>
      <c r="AE51" s="28"/>
      <c r="AF51" s="28"/>
      <c r="AG51" s="28"/>
      <c r="AH51" s="28"/>
      <c r="AI51" s="28"/>
      <c r="AJ51" s="28"/>
      <c r="AK51" s="28"/>
      <c r="AL51" s="28"/>
      <c r="AM51" s="28"/>
      <c r="AN51" s="28"/>
      <c r="AO51" s="28"/>
      <c r="AP51" s="28"/>
    </row>
    <row r="52" spans="1:42" ht="39.75" customHeight="1" thickTop="1" thickBot="1">
      <c r="A52" s="38"/>
      <c r="B52" s="38"/>
      <c r="D52" s="38"/>
      <c r="E52" s="57">
        <v>1</v>
      </c>
      <c r="F52" s="57"/>
      <c r="G52" s="998" t="s">
        <v>836</v>
      </c>
      <c r="H52" s="1004"/>
      <c r="I52" s="1004"/>
      <c r="J52" s="1004"/>
      <c r="K52" s="1005"/>
      <c r="L52" s="1006"/>
      <c r="M52" s="39"/>
      <c r="N52" s="39"/>
      <c r="O52" s="39" t="e">
        <f>GCD(AH5:AH30)</f>
        <v>#DIV/0!</v>
      </c>
      <c r="P52" s="39"/>
      <c r="Q52" s="39"/>
      <c r="R52" s="39"/>
      <c r="S52" s="39"/>
      <c r="T52" s="39"/>
      <c r="U52" s="39"/>
      <c r="V52" s="39"/>
      <c r="W52" s="39"/>
      <c r="X52" s="39"/>
      <c r="Y52" s="39"/>
      <c r="Z52" s="39">
        <f>Z50+1</f>
        <v>2</v>
      </c>
      <c r="AA52" s="28" t="e">
        <f t="shared" si="3"/>
        <v>#DIV/0!</v>
      </c>
      <c r="AB52" s="478" t="e">
        <f t="shared" si="4"/>
        <v>#DIV/0!</v>
      </c>
      <c r="AC52" s="28"/>
      <c r="AD52" s="28"/>
      <c r="AE52" s="28"/>
      <c r="AF52" s="28"/>
      <c r="AG52" s="28"/>
      <c r="AH52" s="28"/>
      <c r="AI52" s="28"/>
      <c r="AJ52" s="28"/>
      <c r="AK52" s="28"/>
      <c r="AL52" s="28"/>
      <c r="AM52" s="28"/>
      <c r="AN52" s="28"/>
      <c r="AO52" s="28"/>
      <c r="AP52" s="28"/>
    </row>
    <row r="53" spans="1:42" ht="39.75" customHeight="1" thickTop="1">
      <c r="A53" s="38"/>
      <c r="B53" s="38"/>
      <c r="D53" s="986"/>
      <c r="E53" s="986"/>
      <c r="F53" s="1013"/>
      <c r="G53" s="987" t="s">
        <v>819</v>
      </c>
      <c r="L53" s="438"/>
      <c r="M53" s="438"/>
      <c r="N53" s="438"/>
      <c r="O53" s="438"/>
      <c r="P53" s="438"/>
      <c r="Q53" s="438"/>
      <c r="R53" s="438"/>
      <c r="S53" s="438"/>
      <c r="T53" s="438"/>
      <c r="U53" s="438"/>
      <c r="V53" s="438"/>
      <c r="W53" s="438"/>
      <c r="X53" s="438"/>
      <c r="Y53" s="438"/>
      <c r="Z53" s="438"/>
      <c r="AA53" s="438"/>
      <c r="AB53" s="438"/>
      <c r="AC53" s="438"/>
      <c r="AD53" s="438"/>
      <c r="AE53" s="438"/>
      <c r="AF53" s="438"/>
      <c r="AG53" s="438"/>
      <c r="AH53" s="438"/>
      <c r="AI53" s="438"/>
      <c r="AJ53" s="438"/>
      <c r="AK53" s="438"/>
      <c r="AL53" s="438"/>
      <c r="AM53" s="438"/>
      <c r="AN53" s="438"/>
      <c r="AO53" s="438"/>
      <c r="AP53" s="438"/>
    </row>
    <row r="54" spans="1:42" ht="49.5" customHeight="1">
      <c r="A54" s="38"/>
      <c r="B54" s="38"/>
      <c r="E54">
        <v>0</v>
      </c>
      <c r="G54" s="1400" t="s">
        <v>820</v>
      </c>
      <c r="H54" s="1400"/>
      <c r="I54" s="1400"/>
      <c r="J54" s="1400"/>
      <c r="K54" s="1400"/>
      <c r="L54" s="38"/>
      <c r="M54" s="38"/>
      <c r="N54" s="38"/>
      <c r="O54" s="38"/>
      <c r="P54" s="38"/>
      <c r="Q54" s="38"/>
      <c r="R54" s="38"/>
      <c r="S54" s="38"/>
      <c r="T54" s="38"/>
      <c r="U54" s="38"/>
      <c r="V54" s="38"/>
      <c r="W54" s="38"/>
      <c r="X54" s="38"/>
      <c r="Y54" s="38"/>
      <c r="Z54" s="38">
        <f t="shared" si="31"/>
        <v>1</v>
      </c>
      <c r="AA54" t="e">
        <f t="shared" si="3"/>
        <v>#DIV/0!</v>
      </c>
      <c r="AB54" s="1" t="e">
        <f t="shared" si="4"/>
        <v>#DIV/0!</v>
      </c>
    </row>
    <row r="55" spans="1:42" ht="33" customHeight="1">
      <c r="A55" s="38" t="s">
        <v>114</v>
      </c>
      <c r="B55" s="102"/>
      <c r="G55" s="1400" t="s">
        <v>821</v>
      </c>
      <c r="H55" s="1400"/>
      <c r="I55" s="1400"/>
      <c r="J55" s="1400"/>
      <c r="K55" s="1400"/>
      <c r="L55" s="38"/>
      <c r="M55" s="38"/>
      <c r="N55" s="40" t="s">
        <v>114</v>
      </c>
      <c r="O55" s="40" t="e">
        <f>LCM(AH5:AH30)</f>
        <v>#DIV/0!</v>
      </c>
      <c r="P55" s="40"/>
      <c r="Q55" s="38"/>
      <c r="R55" s="38"/>
      <c r="S55" s="38" t="s">
        <v>114</v>
      </c>
      <c r="T55" s="38">
        <f>GCD(T11:T36)</f>
        <v>0</v>
      </c>
      <c r="U55" s="38"/>
      <c r="V55" s="38"/>
      <c r="W55" s="38"/>
      <c r="X55" s="38"/>
      <c r="Y55" s="38"/>
      <c r="Z55" s="38">
        <f t="shared" si="31"/>
        <v>2</v>
      </c>
      <c r="AA55" t="e">
        <f t="shared" si="3"/>
        <v>#DIV/0!</v>
      </c>
      <c r="AB55" s="1" t="e">
        <f t="shared" si="4"/>
        <v>#DIV/0!</v>
      </c>
    </row>
    <row r="56" spans="1:42" ht="33" customHeight="1">
      <c r="A56" s="38"/>
      <c r="B56" s="102"/>
      <c r="G56" s="1400" t="s">
        <v>844</v>
      </c>
      <c r="H56" s="1400"/>
      <c r="I56" s="1400"/>
      <c r="J56" s="1400"/>
      <c r="K56" s="1400"/>
      <c r="L56" s="38"/>
      <c r="M56" s="38"/>
      <c r="N56" s="38" t="e">
        <f>GCD(AN7,Q7)</f>
        <v>#DIV/0!</v>
      </c>
      <c r="O56" s="38" t="e">
        <f>AND(O52=1,O55=0)</f>
        <v>#DIV/0!</v>
      </c>
      <c r="P56" s="118" t="e">
        <f>IF(O56=FALSE,S7,Q8)</f>
        <v>#DIV/0!</v>
      </c>
      <c r="Q56" s="38"/>
      <c r="R56" s="38"/>
      <c r="S56" s="38"/>
      <c r="T56" s="38" t="b">
        <f>ISNUMBER(T55)</f>
        <v>1</v>
      </c>
      <c r="U56" s="38"/>
      <c r="V56" s="38"/>
      <c r="W56" s="38"/>
      <c r="X56" s="38"/>
      <c r="Y56" s="38"/>
      <c r="Z56" s="38">
        <f t="shared" si="31"/>
        <v>3</v>
      </c>
      <c r="AA56" t="e">
        <f t="shared" si="3"/>
        <v>#DIV/0!</v>
      </c>
      <c r="AB56" s="1" t="e">
        <f t="shared" si="4"/>
        <v>#DIV/0!</v>
      </c>
    </row>
    <row r="57" spans="1:42" ht="33" customHeight="1">
      <c r="B57" s="102"/>
      <c r="G57" s="642"/>
      <c r="H57" t="s">
        <v>114</v>
      </c>
      <c r="K57" s="38"/>
      <c r="L57" s="38"/>
      <c r="M57" s="38"/>
      <c r="N57" s="38"/>
      <c r="O57" s="38"/>
      <c r="P57" s="38"/>
      <c r="Q57" s="38"/>
      <c r="R57" s="38"/>
      <c r="S57" s="38"/>
      <c r="T57" s="38">
        <f>IF(T56=TRUE,1,2)</f>
        <v>1</v>
      </c>
      <c r="U57" s="38"/>
      <c r="V57" s="38"/>
      <c r="W57" s="38"/>
      <c r="X57" s="38"/>
      <c r="Y57" s="38"/>
      <c r="Z57" s="38">
        <f t="shared" si="31"/>
        <v>4</v>
      </c>
      <c r="AA57" t="e">
        <f t="shared" si="3"/>
        <v>#DIV/0!</v>
      </c>
      <c r="AB57" s="1" t="e">
        <f t="shared" si="4"/>
        <v>#DIV/0!</v>
      </c>
    </row>
    <row r="58" spans="1:42" ht="33" customHeight="1">
      <c r="B58" s="102"/>
      <c r="K58" s="38"/>
      <c r="L58" s="38"/>
      <c r="M58" s="38"/>
      <c r="N58" s="38"/>
      <c r="O58" s="38"/>
      <c r="P58" s="38"/>
      <c r="Q58" s="38"/>
      <c r="R58" s="38"/>
      <c r="S58" s="38"/>
      <c r="T58" s="38"/>
      <c r="U58" s="38"/>
      <c r="V58" s="38"/>
      <c r="W58" s="38"/>
      <c r="X58" s="38"/>
      <c r="Y58" s="38"/>
      <c r="Z58" s="38">
        <f t="shared" si="31"/>
        <v>5</v>
      </c>
      <c r="AA58" t="e">
        <f t="shared" si="3"/>
        <v>#DIV/0!</v>
      </c>
      <c r="AB58" s="1" t="e">
        <f t="shared" si="4"/>
        <v>#DIV/0!</v>
      </c>
    </row>
    <row r="59" spans="1:42" ht="33" customHeight="1">
      <c r="B59" s="102"/>
      <c r="K59" s="38"/>
      <c r="L59" s="38"/>
      <c r="M59" s="38"/>
      <c r="N59" s="38"/>
      <c r="O59" s="38"/>
      <c r="P59" s="38"/>
      <c r="Q59" s="38"/>
      <c r="R59" s="38"/>
      <c r="S59" s="38"/>
      <c r="T59" s="38"/>
      <c r="U59" s="38"/>
      <c r="V59" s="38"/>
      <c r="W59" s="38"/>
      <c r="X59" s="38"/>
      <c r="Y59" s="38"/>
      <c r="Z59" s="38">
        <f t="shared" si="31"/>
        <v>6</v>
      </c>
      <c r="AA59" t="e">
        <f t="shared" si="3"/>
        <v>#DIV/0!</v>
      </c>
      <c r="AB59" s="1" t="e">
        <f t="shared" si="4"/>
        <v>#DIV/0!</v>
      </c>
    </row>
    <row r="60" spans="1:42" ht="33" customHeight="1">
      <c r="B60" s="102"/>
      <c r="K60" s="38"/>
      <c r="L60" s="38"/>
      <c r="M60" s="38"/>
      <c r="N60" s="38"/>
      <c r="O60" s="38"/>
      <c r="P60" s="38"/>
      <c r="Q60" s="38"/>
      <c r="R60" s="38"/>
      <c r="S60" s="38"/>
      <c r="T60" s="38"/>
      <c r="U60" s="38"/>
      <c r="V60" s="38"/>
      <c r="W60" s="38"/>
      <c r="X60" s="38"/>
      <c r="Y60" s="38"/>
      <c r="Z60" s="38">
        <f t="shared" si="31"/>
        <v>7</v>
      </c>
      <c r="AA60" t="e">
        <f t="shared" si="3"/>
        <v>#DIV/0!</v>
      </c>
      <c r="AB60" s="1" t="e">
        <f t="shared" si="4"/>
        <v>#DIV/0!</v>
      </c>
    </row>
    <row r="61" spans="1:42" ht="33" customHeight="1">
      <c r="B61" s="102"/>
      <c r="K61" s="38"/>
      <c r="L61" s="38"/>
      <c r="M61" s="38"/>
      <c r="N61" s="38"/>
      <c r="O61" s="38"/>
      <c r="P61" s="38"/>
      <c r="Q61" s="38"/>
      <c r="R61" s="38"/>
      <c r="S61" s="38"/>
      <c r="T61" s="38"/>
      <c r="U61" s="38"/>
      <c r="V61" s="38"/>
      <c r="W61" s="38"/>
      <c r="X61" s="38"/>
      <c r="Y61" s="38"/>
      <c r="Z61" s="38">
        <f t="shared" si="31"/>
        <v>8</v>
      </c>
      <c r="AA61" t="e">
        <f t="shared" si="3"/>
        <v>#DIV/0!</v>
      </c>
      <c r="AB61" s="1" t="e">
        <f t="shared" si="4"/>
        <v>#DIV/0!</v>
      </c>
    </row>
    <row r="62" spans="1:42" ht="33" customHeight="1">
      <c r="B62" s="102"/>
      <c r="K62" s="38"/>
      <c r="L62" s="38"/>
      <c r="M62" s="38"/>
      <c r="N62" s="38"/>
      <c r="O62" s="38"/>
      <c r="P62" s="38"/>
      <c r="Q62" s="38"/>
      <c r="R62" s="38"/>
      <c r="S62" s="38"/>
      <c r="T62" s="38"/>
      <c r="U62" s="38"/>
      <c r="V62" s="38"/>
      <c r="W62" s="38"/>
      <c r="X62" s="38"/>
      <c r="Y62" s="38"/>
      <c r="Z62" s="38">
        <f t="shared" si="31"/>
        <v>9</v>
      </c>
      <c r="AA62" t="e">
        <f t="shared" si="3"/>
        <v>#DIV/0!</v>
      </c>
      <c r="AB62" s="1" t="e">
        <f t="shared" si="4"/>
        <v>#DIV/0!</v>
      </c>
    </row>
    <row r="63" spans="1:42" ht="33" customHeight="1">
      <c r="B63" s="102"/>
      <c r="K63" s="38"/>
      <c r="L63" s="38"/>
      <c r="M63" s="38"/>
      <c r="N63" s="38"/>
      <c r="O63" s="38"/>
      <c r="P63" s="38"/>
      <c r="Q63" s="38"/>
      <c r="R63" s="38"/>
      <c r="S63" s="38"/>
      <c r="T63" s="38"/>
      <c r="U63" s="38"/>
      <c r="V63" s="38"/>
      <c r="W63" s="38"/>
      <c r="X63" s="38"/>
      <c r="Y63" s="38"/>
      <c r="Z63" s="38">
        <f t="shared" si="31"/>
        <v>10</v>
      </c>
      <c r="AA63" t="e">
        <f t="shared" si="3"/>
        <v>#DIV/0!</v>
      </c>
      <c r="AB63" s="1" t="e">
        <f t="shared" si="4"/>
        <v>#DIV/0!</v>
      </c>
    </row>
    <row r="64" spans="1:42" ht="33" customHeight="1">
      <c r="A64" s="38"/>
      <c r="B64" s="102"/>
      <c r="K64" s="38"/>
      <c r="L64" s="38"/>
      <c r="M64" s="38"/>
      <c r="N64" s="38"/>
      <c r="O64" s="38"/>
      <c r="P64" s="38"/>
      <c r="Q64" s="38"/>
      <c r="R64" s="38"/>
      <c r="S64" s="38"/>
      <c r="T64" s="38"/>
      <c r="U64" s="38"/>
      <c r="V64" s="38"/>
      <c r="W64" s="38"/>
      <c r="X64" s="38"/>
      <c r="Y64" s="38"/>
      <c r="Z64" s="38">
        <f t="shared" si="31"/>
        <v>11</v>
      </c>
      <c r="AA64" t="e">
        <f t="shared" si="3"/>
        <v>#DIV/0!</v>
      </c>
      <c r="AB64" s="1" t="e">
        <f t="shared" si="4"/>
        <v>#DIV/0!</v>
      </c>
    </row>
    <row r="65" spans="1:28" ht="33" customHeight="1">
      <c r="A65" s="38"/>
      <c r="B65" s="102"/>
      <c r="K65" s="38"/>
      <c r="L65" s="38"/>
      <c r="M65" s="38"/>
      <c r="N65" s="38"/>
      <c r="O65" s="38"/>
      <c r="P65" s="38"/>
      <c r="Q65" s="38"/>
      <c r="R65" s="38"/>
      <c r="S65" s="38"/>
      <c r="T65" s="38"/>
      <c r="U65" s="38"/>
      <c r="V65" s="38"/>
      <c r="W65" s="38"/>
      <c r="X65" s="38"/>
      <c r="Y65" s="38"/>
      <c r="Z65" s="38">
        <f t="shared" si="31"/>
        <v>12</v>
      </c>
      <c r="AA65" t="e">
        <f t="shared" si="3"/>
        <v>#DIV/0!</v>
      </c>
      <c r="AB65" s="1" t="e">
        <f t="shared" si="4"/>
        <v>#DIV/0!</v>
      </c>
    </row>
    <row r="66" spans="1:28" ht="33" customHeight="1">
      <c r="A66" s="38"/>
      <c r="B66" s="102"/>
      <c r="K66" s="38"/>
      <c r="L66" s="38"/>
      <c r="M66" s="38"/>
      <c r="N66" s="38"/>
      <c r="O66" s="38"/>
      <c r="P66" s="38"/>
      <c r="Q66" s="38"/>
      <c r="R66" s="38"/>
      <c r="S66" s="38"/>
      <c r="T66" s="38"/>
      <c r="U66" s="38"/>
      <c r="V66" s="38"/>
      <c r="W66" s="38"/>
      <c r="X66" s="38"/>
      <c r="Y66" s="38"/>
      <c r="Z66" s="38">
        <f t="shared" si="31"/>
        <v>13</v>
      </c>
      <c r="AA66" t="e">
        <f t="shared" si="3"/>
        <v>#DIV/0!</v>
      </c>
      <c r="AB66" s="1" t="e">
        <f t="shared" si="4"/>
        <v>#DIV/0!</v>
      </c>
    </row>
    <row r="67" spans="1:28" ht="33" customHeight="1">
      <c r="A67" s="38"/>
      <c r="B67" s="102"/>
      <c r="K67" s="38"/>
      <c r="L67" s="38"/>
      <c r="M67" s="38"/>
      <c r="N67" s="38"/>
      <c r="O67" s="38"/>
      <c r="P67" s="38"/>
      <c r="Q67" s="38"/>
      <c r="R67" s="38"/>
      <c r="S67" s="38"/>
      <c r="T67" s="38"/>
      <c r="U67" s="38"/>
      <c r="V67" s="38"/>
      <c r="W67" s="38"/>
      <c r="X67" s="38"/>
      <c r="Y67" s="38"/>
      <c r="Z67" s="38">
        <f t="shared" si="31"/>
        <v>14</v>
      </c>
      <c r="AA67" t="e">
        <f t="shared" si="3"/>
        <v>#DIV/0!</v>
      </c>
      <c r="AB67" s="1" t="e">
        <f t="shared" si="4"/>
        <v>#DIV/0!</v>
      </c>
    </row>
    <row r="68" spans="1:28" ht="33" customHeight="1">
      <c r="A68" s="38"/>
      <c r="B68" s="102"/>
      <c r="K68" s="38"/>
      <c r="L68" s="38"/>
      <c r="M68" s="38"/>
      <c r="N68" s="38"/>
      <c r="O68" s="38"/>
      <c r="P68" s="38"/>
      <c r="Q68" s="38"/>
      <c r="R68" s="38"/>
      <c r="S68" s="38"/>
      <c r="T68" s="38"/>
      <c r="U68" s="38"/>
      <c r="V68" s="38"/>
      <c r="W68" s="38"/>
      <c r="X68" s="38"/>
      <c r="Y68" s="38"/>
      <c r="Z68" s="38">
        <f t="shared" si="31"/>
        <v>15</v>
      </c>
      <c r="AA68" t="e">
        <f t="shared" si="3"/>
        <v>#DIV/0!</v>
      </c>
      <c r="AB68" s="1" t="e">
        <f t="shared" si="4"/>
        <v>#DIV/0!</v>
      </c>
    </row>
    <row r="69" spans="1:28" ht="33" customHeight="1">
      <c r="A69" s="38"/>
      <c r="B69" s="102"/>
      <c r="K69" s="38"/>
      <c r="L69" s="38"/>
      <c r="M69" s="38"/>
      <c r="N69" s="38"/>
      <c r="O69" s="38"/>
      <c r="P69" s="38"/>
      <c r="Q69" s="38"/>
      <c r="R69" s="38"/>
      <c r="S69" s="38"/>
      <c r="T69" s="38"/>
      <c r="U69" s="38"/>
      <c r="V69" s="38"/>
      <c r="W69" s="38"/>
      <c r="X69" s="38"/>
      <c r="Y69" s="38"/>
      <c r="Z69" s="38">
        <f t="shared" si="31"/>
        <v>16</v>
      </c>
      <c r="AA69" t="e">
        <f t="shared" si="3"/>
        <v>#DIV/0!</v>
      </c>
      <c r="AB69" s="1" t="e">
        <f t="shared" si="4"/>
        <v>#DIV/0!</v>
      </c>
    </row>
    <row r="70" spans="1:28" ht="33" customHeight="1">
      <c r="B70" s="102"/>
      <c r="K70" s="38"/>
      <c r="L70" s="38"/>
      <c r="M70" s="38"/>
      <c r="N70" s="38"/>
      <c r="O70" s="38"/>
      <c r="P70" s="38"/>
      <c r="Q70" s="38"/>
      <c r="R70" s="38"/>
      <c r="S70" s="38"/>
      <c r="T70" s="38"/>
      <c r="U70" s="38"/>
      <c r="V70" s="38"/>
      <c r="W70" s="38"/>
      <c r="X70" s="38"/>
      <c r="Y70" s="38"/>
      <c r="Z70" s="38">
        <f t="shared" si="31"/>
        <v>17</v>
      </c>
      <c r="AA70" t="e">
        <f t="shared" si="3"/>
        <v>#DIV/0!</v>
      </c>
      <c r="AB70" s="1" t="e">
        <f t="shared" si="4"/>
        <v>#DIV/0!</v>
      </c>
    </row>
    <row r="71" spans="1:28" ht="33" customHeight="1">
      <c r="B71" s="102"/>
      <c r="K71" s="38"/>
      <c r="L71" s="38"/>
      <c r="M71" s="38"/>
      <c r="N71" s="38"/>
      <c r="O71" s="38"/>
      <c r="P71" s="38"/>
      <c r="Q71" s="38"/>
      <c r="R71" s="38"/>
      <c r="S71" s="38"/>
      <c r="T71" s="38"/>
      <c r="U71" s="38"/>
      <c r="V71" s="38"/>
      <c r="W71" s="38"/>
      <c r="X71" s="38"/>
      <c r="Y71" s="38"/>
      <c r="Z71" s="38">
        <f t="shared" si="31"/>
        <v>18</v>
      </c>
      <c r="AA71" t="e">
        <f t="shared" si="3"/>
        <v>#DIV/0!</v>
      </c>
      <c r="AB71" s="1" t="e">
        <f t="shared" si="4"/>
        <v>#DIV/0!</v>
      </c>
    </row>
    <row r="72" spans="1:28" ht="33" customHeight="1">
      <c r="B72" s="102"/>
      <c r="K72" s="38"/>
      <c r="L72" s="38"/>
      <c r="M72" s="38"/>
      <c r="N72" s="38"/>
      <c r="O72" s="38"/>
      <c r="P72" s="38"/>
      <c r="Q72" s="38"/>
      <c r="R72" s="38"/>
      <c r="S72" s="38"/>
      <c r="T72" s="38"/>
      <c r="U72" s="38"/>
      <c r="V72" s="38"/>
      <c r="W72" s="38"/>
      <c r="X72" s="38"/>
      <c r="Y72" s="38"/>
      <c r="Z72" s="38">
        <f t="shared" si="31"/>
        <v>19</v>
      </c>
      <c r="AA72" t="e">
        <f t="shared" si="3"/>
        <v>#DIV/0!</v>
      </c>
      <c r="AB72" s="1" t="e">
        <f t="shared" si="4"/>
        <v>#DIV/0!</v>
      </c>
    </row>
    <row r="73" spans="1:28" ht="33" customHeight="1">
      <c r="B73" s="102"/>
      <c r="K73" s="38"/>
      <c r="L73" s="38"/>
      <c r="M73" s="38"/>
      <c r="N73" s="38"/>
      <c r="O73" s="38"/>
      <c r="P73" s="38"/>
      <c r="Q73" s="38"/>
      <c r="R73" s="38"/>
      <c r="S73" s="38"/>
      <c r="T73" s="38"/>
      <c r="U73" s="38"/>
      <c r="V73" s="38"/>
      <c r="W73" s="38"/>
      <c r="X73" s="38"/>
      <c r="Y73" s="38"/>
      <c r="Z73" s="38">
        <f t="shared" si="31"/>
        <v>20</v>
      </c>
      <c r="AA73" t="e">
        <f t="shared" si="3"/>
        <v>#DIV/0!</v>
      </c>
      <c r="AB73" s="1" t="e">
        <f t="shared" si="4"/>
        <v>#DIV/0!</v>
      </c>
    </row>
    <row r="74" spans="1:28" ht="33" customHeight="1">
      <c r="B74" s="102"/>
      <c r="K74" s="38"/>
      <c r="L74" s="38"/>
      <c r="M74" s="38"/>
      <c r="N74" s="38"/>
      <c r="O74" s="38"/>
      <c r="P74" s="38"/>
      <c r="Q74" s="38"/>
      <c r="R74" s="38"/>
      <c r="S74" s="38"/>
      <c r="T74" s="38"/>
      <c r="U74" s="38"/>
      <c r="V74" s="38"/>
      <c r="W74" s="38"/>
      <c r="X74" s="38"/>
      <c r="Y74" s="38"/>
      <c r="Z74" s="38">
        <f t="shared" si="31"/>
        <v>21</v>
      </c>
      <c r="AA74" t="e">
        <f t="shared" si="3"/>
        <v>#DIV/0!</v>
      </c>
      <c r="AB74" s="1" t="e">
        <f t="shared" si="4"/>
        <v>#DIV/0!</v>
      </c>
    </row>
    <row r="75" spans="1:28" ht="33" customHeight="1">
      <c r="B75" s="102"/>
      <c r="K75" s="38"/>
      <c r="L75" s="38"/>
      <c r="M75" s="38"/>
      <c r="N75" s="38"/>
      <c r="O75" s="38"/>
      <c r="P75" s="38"/>
      <c r="Q75" s="38"/>
      <c r="R75" s="38"/>
      <c r="S75" s="38"/>
      <c r="T75" s="38"/>
      <c r="U75" s="38"/>
      <c r="V75" s="38"/>
      <c r="W75" s="38"/>
      <c r="X75" s="38"/>
      <c r="Y75" s="38"/>
      <c r="Z75" s="38">
        <f t="shared" si="31"/>
        <v>22</v>
      </c>
      <c r="AA75" t="e">
        <f t="shared" ref="AA75:AA138" si="37">IF(AB75=Z75,1,0)</f>
        <v>#DIV/0!</v>
      </c>
      <c r="AB75" s="1" t="e">
        <f t="shared" ref="AB75:AB138" si="38">$AB$8</f>
        <v>#DIV/0!</v>
      </c>
    </row>
    <row r="76" spans="1:28" ht="33" customHeight="1">
      <c r="B76" s="102"/>
      <c r="K76" s="38"/>
      <c r="L76" s="38"/>
      <c r="M76" s="38"/>
      <c r="N76" s="38"/>
      <c r="O76" s="38"/>
      <c r="P76" s="38"/>
      <c r="Q76" s="38"/>
      <c r="R76" s="38"/>
      <c r="S76" s="38"/>
      <c r="T76" s="38"/>
      <c r="U76" s="38"/>
      <c r="V76" s="38"/>
      <c r="W76" s="38"/>
      <c r="X76" s="38"/>
      <c r="Y76" s="38"/>
      <c r="Z76" s="38">
        <f t="shared" ref="Z76:Z139" si="39">Z75+1</f>
        <v>23</v>
      </c>
      <c r="AA76" t="e">
        <f t="shared" si="37"/>
        <v>#DIV/0!</v>
      </c>
      <c r="AB76" s="1" t="e">
        <f t="shared" si="38"/>
        <v>#DIV/0!</v>
      </c>
    </row>
    <row r="77" spans="1:28" ht="33" customHeight="1">
      <c r="B77" s="102"/>
      <c r="K77" s="38"/>
      <c r="L77" s="38"/>
      <c r="M77" s="38"/>
      <c r="N77" s="38"/>
      <c r="O77" s="38"/>
      <c r="P77" s="38"/>
      <c r="Q77" s="38"/>
      <c r="R77" s="38"/>
      <c r="S77" s="38"/>
      <c r="T77" s="38"/>
      <c r="U77" s="38"/>
      <c r="V77" s="38"/>
      <c r="W77" s="38"/>
      <c r="X77" s="38"/>
      <c r="Y77" s="38"/>
      <c r="Z77" s="38">
        <f t="shared" si="39"/>
        <v>24</v>
      </c>
      <c r="AA77" t="e">
        <f t="shared" si="37"/>
        <v>#DIV/0!</v>
      </c>
      <c r="AB77" s="1" t="e">
        <f t="shared" si="38"/>
        <v>#DIV/0!</v>
      </c>
    </row>
    <row r="78" spans="1:28" ht="33" customHeight="1">
      <c r="B78" s="102"/>
      <c r="K78" s="38"/>
      <c r="L78" s="38"/>
      <c r="M78" s="38"/>
      <c r="N78" s="38"/>
      <c r="O78" s="38"/>
      <c r="P78" s="38"/>
      <c r="Q78" s="38"/>
      <c r="R78" s="38"/>
      <c r="S78" s="38"/>
      <c r="T78" s="38"/>
      <c r="U78" s="38"/>
      <c r="V78" s="38"/>
      <c r="W78" s="38"/>
      <c r="X78" s="38"/>
      <c r="Y78" s="38"/>
      <c r="Z78" s="38">
        <f t="shared" si="39"/>
        <v>25</v>
      </c>
      <c r="AA78" t="e">
        <f t="shared" si="37"/>
        <v>#DIV/0!</v>
      </c>
      <c r="AB78" s="1" t="e">
        <f t="shared" si="38"/>
        <v>#DIV/0!</v>
      </c>
    </row>
    <row r="79" spans="1:28" ht="33" customHeight="1">
      <c r="B79" s="102"/>
      <c r="K79" s="38"/>
      <c r="L79" s="38"/>
      <c r="M79" s="38"/>
      <c r="N79" s="38"/>
      <c r="O79" s="38"/>
      <c r="P79" s="38"/>
      <c r="Q79" s="38"/>
      <c r="R79" s="38"/>
      <c r="S79" s="38"/>
      <c r="T79" s="38"/>
      <c r="U79" s="38"/>
      <c r="V79" s="38"/>
      <c r="W79" s="38"/>
      <c r="X79" s="38"/>
      <c r="Y79" s="38"/>
      <c r="Z79" s="38">
        <f t="shared" si="39"/>
        <v>26</v>
      </c>
      <c r="AA79" t="e">
        <f t="shared" si="37"/>
        <v>#DIV/0!</v>
      </c>
      <c r="AB79" s="1" t="e">
        <f t="shared" si="38"/>
        <v>#DIV/0!</v>
      </c>
    </row>
    <row r="80" spans="1:28" ht="33" customHeight="1">
      <c r="B80" s="102"/>
      <c r="K80" s="38"/>
      <c r="L80" s="38"/>
      <c r="M80" s="38"/>
      <c r="N80" s="38"/>
      <c r="O80" s="38"/>
      <c r="P80" s="38"/>
      <c r="Q80" s="38"/>
      <c r="R80" s="38"/>
      <c r="S80" s="38"/>
      <c r="T80" s="38"/>
      <c r="U80" s="38"/>
      <c r="V80" s="38"/>
      <c r="W80" s="38"/>
      <c r="X80" s="38"/>
      <c r="Y80" s="38"/>
      <c r="Z80" s="38">
        <f t="shared" si="39"/>
        <v>27</v>
      </c>
      <c r="AA80" t="e">
        <f t="shared" si="37"/>
        <v>#DIV/0!</v>
      </c>
      <c r="AB80" s="1" t="e">
        <f t="shared" si="38"/>
        <v>#DIV/0!</v>
      </c>
    </row>
    <row r="81" spans="3:28" ht="33" customHeight="1">
      <c r="C81" s="28"/>
      <c r="D81" s="28"/>
      <c r="E81" s="28"/>
      <c r="F81" s="28"/>
      <c r="G81" s="28"/>
      <c r="H81" s="28"/>
      <c r="I81" s="28"/>
      <c r="J81" s="28"/>
      <c r="K81" s="38"/>
      <c r="L81" s="38"/>
      <c r="M81" s="38"/>
      <c r="N81" s="38"/>
      <c r="O81" s="38"/>
      <c r="P81" s="38"/>
      <c r="Q81" s="38"/>
      <c r="R81" s="38"/>
      <c r="S81" s="38"/>
      <c r="T81" s="38"/>
      <c r="U81" s="38"/>
      <c r="V81" s="38"/>
      <c r="W81" s="38"/>
      <c r="X81" s="38"/>
      <c r="Y81" s="38"/>
      <c r="Z81" s="38">
        <f t="shared" si="39"/>
        <v>28</v>
      </c>
      <c r="AA81" t="e">
        <f t="shared" si="37"/>
        <v>#DIV/0!</v>
      </c>
      <c r="AB81" s="1" t="e">
        <f t="shared" si="38"/>
        <v>#DIV/0!</v>
      </c>
    </row>
    <row r="82" spans="3:28" ht="33" customHeight="1">
      <c r="K82" s="38"/>
      <c r="L82" s="38"/>
      <c r="M82" s="38"/>
      <c r="N82" s="38"/>
      <c r="O82" s="38"/>
      <c r="P82" s="38"/>
      <c r="Q82" s="38"/>
      <c r="R82" s="38"/>
      <c r="S82" s="38"/>
      <c r="T82" s="38"/>
      <c r="U82" s="38"/>
      <c r="V82" s="38"/>
      <c r="W82" s="38"/>
      <c r="X82" s="38"/>
      <c r="Y82" s="38"/>
      <c r="Z82" s="38">
        <f t="shared" si="39"/>
        <v>29</v>
      </c>
      <c r="AA82" t="e">
        <f t="shared" si="37"/>
        <v>#DIV/0!</v>
      </c>
      <c r="AB82" s="1" t="e">
        <f t="shared" si="38"/>
        <v>#DIV/0!</v>
      </c>
    </row>
    <row r="83" spans="3:28" ht="33" customHeight="1">
      <c r="K83" s="38"/>
      <c r="L83" s="38"/>
      <c r="M83" s="38"/>
      <c r="N83" s="38"/>
      <c r="O83" s="38"/>
      <c r="P83" s="38"/>
      <c r="Q83" s="38"/>
      <c r="R83" s="38"/>
      <c r="S83" s="38"/>
      <c r="T83" s="38"/>
      <c r="U83" s="38"/>
      <c r="V83" s="38"/>
      <c r="W83" s="38"/>
      <c r="X83" s="38"/>
      <c r="Y83" s="38"/>
      <c r="Z83" s="38">
        <f t="shared" si="39"/>
        <v>30</v>
      </c>
      <c r="AA83" t="e">
        <f t="shared" si="37"/>
        <v>#DIV/0!</v>
      </c>
      <c r="AB83" s="1" t="e">
        <f t="shared" si="38"/>
        <v>#DIV/0!</v>
      </c>
    </row>
    <row r="84" spans="3:28" ht="33" customHeight="1">
      <c r="K84" s="38"/>
      <c r="L84" s="38"/>
      <c r="M84" s="38"/>
      <c r="N84" s="38"/>
      <c r="O84" s="38"/>
      <c r="P84" s="38"/>
      <c r="Q84" s="38"/>
      <c r="R84" s="38"/>
      <c r="S84" s="38"/>
      <c r="T84" s="38"/>
      <c r="U84" s="38"/>
      <c r="V84" s="38"/>
      <c r="W84" s="38"/>
      <c r="X84" s="38"/>
      <c r="Y84" s="38"/>
      <c r="Z84" s="38">
        <f t="shared" si="39"/>
        <v>31</v>
      </c>
      <c r="AA84" t="e">
        <f t="shared" si="37"/>
        <v>#DIV/0!</v>
      </c>
      <c r="AB84" s="1" t="e">
        <f t="shared" si="38"/>
        <v>#DIV/0!</v>
      </c>
    </row>
    <row r="85" spans="3:28" ht="33" customHeight="1">
      <c r="K85" s="38"/>
      <c r="L85" s="38"/>
      <c r="M85" s="38"/>
      <c r="N85" s="38"/>
      <c r="O85" s="38"/>
      <c r="P85" s="38"/>
      <c r="Q85" s="38"/>
      <c r="R85" s="38"/>
      <c r="S85" s="38"/>
      <c r="T85" s="38"/>
      <c r="U85" s="38"/>
      <c r="V85" s="38"/>
      <c r="W85" s="38"/>
      <c r="X85" s="38"/>
      <c r="Y85" s="38"/>
      <c r="Z85" s="38">
        <f t="shared" si="39"/>
        <v>32</v>
      </c>
      <c r="AA85" t="e">
        <f t="shared" si="37"/>
        <v>#DIV/0!</v>
      </c>
      <c r="AB85" s="1" t="e">
        <f t="shared" si="38"/>
        <v>#DIV/0!</v>
      </c>
    </row>
    <row r="86" spans="3:28" ht="33" customHeight="1">
      <c r="K86" s="38"/>
      <c r="L86" s="38"/>
      <c r="M86" s="38"/>
      <c r="N86" s="38"/>
      <c r="O86" s="38"/>
      <c r="P86" s="38"/>
      <c r="Q86" s="38"/>
      <c r="R86" s="38"/>
      <c r="S86" s="38"/>
      <c r="T86" s="38"/>
      <c r="U86" s="38"/>
      <c r="V86" s="38"/>
      <c r="W86" s="38"/>
      <c r="X86" s="38"/>
      <c r="Y86" s="38"/>
      <c r="Z86" s="38">
        <f t="shared" si="39"/>
        <v>33</v>
      </c>
      <c r="AA86" t="e">
        <f t="shared" si="37"/>
        <v>#DIV/0!</v>
      </c>
      <c r="AB86" s="1" t="e">
        <f t="shared" si="38"/>
        <v>#DIV/0!</v>
      </c>
    </row>
    <row r="87" spans="3:28" ht="33" customHeight="1">
      <c r="K87" s="38"/>
      <c r="L87" s="38"/>
      <c r="M87" s="38"/>
      <c r="N87" s="38"/>
      <c r="O87" s="38"/>
      <c r="P87" s="38"/>
      <c r="Q87" s="38"/>
      <c r="R87" s="38"/>
      <c r="S87" s="38"/>
      <c r="T87" s="38"/>
      <c r="U87" s="38"/>
      <c r="V87" s="38"/>
      <c r="W87" s="38"/>
      <c r="X87" s="38"/>
      <c r="Y87" s="38"/>
      <c r="Z87" s="38">
        <f t="shared" si="39"/>
        <v>34</v>
      </c>
      <c r="AA87" t="e">
        <f t="shared" si="37"/>
        <v>#DIV/0!</v>
      </c>
      <c r="AB87" s="1" t="e">
        <f t="shared" si="38"/>
        <v>#DIV/0!</v>
      </c>
    </row>
    <row r="88" spans="3:28" ht="33" customHeight="1">
      <c r="K88" s="38"/>
      <c r="L88" s="38"/>
      <c r="M88" s="38"/>
      <c r="N88" s="38"/>
      <c r="O88" s="38"/>
      <c r="P88" s="38"/>
      <c r="Q88" s="38"/>
      <c r="R88" s="38"/>
      <c r="S88" s="38"/>
      <c r="T88" s="38"/>
      <c r="U88" s="38"/>
      <c r="V88" s="38"/>
      <c r="W88" s="38"/>
      <c r="X88" s="38"/>
      <c r="Y88" s="38"/>
      <c r="Z88" s="38">
        <f t="shared" si="39"/>
        <v>35</v>
      </c>
      <c r="AA88" t="e">
        <f t="shared" si="37"/>
        <v>#DIV/0!</v>
      </c>
      <c r="AB88" s="1" t="e">
        <f t="shared" si="38"/>
        <v>#DIV/0!</v>
      </c>
    </row>
    <row r="89" spans="3:28" ht="33" customHeight="1">
      <c r="K89" s="38"/>
      <c r="L89" s="38"/>
      <c r="M89" s="38"/>
      <c r="N89" s="38"/>
      <c r="O89" s="38"/>
      <c r="P89" s="38"/>
      <c r="Q89" s="38"/>
      <c r="R89" s="38"/>
      <c r="S89" s="38"/>
      <c r="T89" s="38"/>
      <c r="U89" s="38"/>
      <c r="V89" s="38"/>
      <c r="W89" s="38"/>
      <c r="X89" s="38"/>
      <c r="Y89" s="38"/>
      <c r="Z89" s="38">
        <f t="shared" si="39"/>
        <v>36</v>
      </c>
      <c r="AA89" t="e">
        <f t="shared" si="37"/>
        <v>#DIV/0!</v>
      </c>
      <c r="AB89" s="1" t="e">
        <f t="shared" si="38"/>
        <v>#DIV/0!</v>
      </c>
    </row>
    <row r="90" spans="3:28" ht="33" customHeight="1">
      <c r="K90" s="38"/>
      <c r="L90" s="38"/>
      <c r="M90" s="38"/>
      <c r="N90" s="38"/>
      <c r="O90" s="38"/>
      <c r="P90" s="38"/>
      <c r="Q90" s="38"/>
      <c r="R90" s="38"/>
      <c r="S90" s="38"/>
      <c r="T90" s="38"/>
      <c r="U90" s="38"/>
      <c r="V90" s="38"/>
      <c r="W90" s="38"/>
      <c r="X90" s="38"/>
      <c r="Y90" s="38"/>
      <c r="Z90" s="38">
        <f t="shared" si="39"/>
        <v>37</v>
      </c>
      <c r="AA90" t="e">
        <f t="shared" si="37"/>
        <v>#DIV/0!</v>
      </c>
      <c r="AB90" s="1" t="e">
        <f t="shared" si="38"/>
        <v>#DIV/0!</v>
      </c>
    </row>
    <row r="91" spans="3:28" ht="33" customHeight="1">
      <c r="K91" s="38"/>
      <c r="L91" s="38"/>
      <c r="M91" s="38"/>
      <c r="N91" s="38"/>
      <c r="O91" s="38"/>
      <c r="P91" s="38"/>
      <c r="Q91" s="38"/>
      <c r="R91" s="38"/>
      <c r="S91" s="38"/>
      <c r="T91" s="38"/>
      <c r="U91" s="38"/>
      <c r="V91" s="38"/>
      <c r="W91" s="38"/>
      <c r="X91" s="38"/>
      <c r="Y91" s="38"/>
      <c r="Z91" s="38">
        <f t="shared" si="39"/>
        <v>38</v>
      </c>
      <c r="AA91" t="e">
        <f t="shared" si="37"/>
        <v>#DIV/0!</v>
      </c>
      <c r="AB91" s="1" t="e">
        <f t="shared" si="38"/>
        <v>#DIV/0!</v>
      </c>
    </row>
    <row r="92" spans="3:28" ht="33" customHeight="1">
      <c r="K92" s="38"/>
      <c r="L92" s="38"/>
      <c r="M92" s="38"/>
      <c r="N92" s="38"/>
      <c r="O92" s="38"/>
      <c r="P92" s="38"/>
      <c r="Q92" s="38"/>
      <c r="R92" s="38"/>
      <c r="S92" s="38"/>
      <c r="T92" s="38"/>
      <c r="U92" s="38"/>
      <c r="V92" s="38"/>
      <c r="W92" s="38"/>
      <c r="X92" s="38"/>
      <c r="Y92" s="38"/>
      <c r="Z92" s="38">
        <f t="shared" si="39"/>
        <v>39</v>
      </c>
      <c r="AA92" t="e">
        <f t="shared" si="37"/>
        <v>#DIV/0!</v>
      </c>
      <c r="AB92" s="1" t="e">
        <f t="shared" si="38"/>
        <v>#DIV/0!</v>
      </c>
    </row>
    <row r="93" spans="3:28" ht="33" customHeight="1">
      <c r="K93" s="38"/>
      <c r="L93" s="38"/>
      <c r="M93" s="38"/>
      <c r="N93" s="38"/>
      <c r="O93" s="38"/>
      <c r="P93" s="38"/>
      <c r="Q93" s="38"/>
      <c r="R93" s="38"/>
      <c r="S93" s="38"/>
      <c r="T93" s="38"/>
      <c r="U93" s="38"/>
      <c r="V93" s="38"/>
      <c r="W93" s="38"/>
      <c r="X93" s="38"/>
      <c r="Y93" s="38"/>
      <c r="Z93" s="38">
        <f t="shared" si="39"/>
        <v>40</v>
      </c>
      <c r="AA93" t="e">
        <f t="shared" si="37"/>
        <v>#DIV/0!</v>
      </c>
      <c r="AB93" s="1" t="e">
        <f t="shared" si="38"/>
        <v>#DIV/0!</v>
      </c>
    </row>
    <row r="94" spans="3:28" ht="33" customHeight="1">
      <c r="K94" s="38"/>
      <c r="L94" s="38"/>
      <c r="M94" s="38"/>
      <c r="N94" s="38"/>
      <c r="O94" s="38"/>
      <c r="P94" s="38"/>
      <c r="Q94" s="38"/>
      <c r="R94" s="38"/>
      <c r="S94" s="38"/>
      <c r="T94" s="38"/>
      <c r="U94" s="38"/>
      <c r="V94" s="38"/>
      <c r="W94" s="38"/>
      <c r="X94" s="38"/>
      <c r="Y94" s="38"/>
      <c r="Z94" s="38">
        <f t="shared" si="39"/>
        <v>41</v>
      </c>
      <c r="AA94" t="e">
        <f t="shared" si="37"/>
        <v>#DIV/0!</v>
      </c>
      <c r="AB94" s="1" t="e">
        <f t="shared" si="38"/>
        <v>#DIV/0!</v>
      </c>
    </row>
    <row r="95" spans="3:28" ht="33" customHeight="1">
      <c r="K95" s="38"/>
      <c r="L95" s="38"/>
      <c r="M95" s="38"/>
      <c r="N95" s="38"/>
      <c r="O95" s="38"/>
      <c r="P95" s="38"/>
      <c r="Q95" s="38"/>
      <c r="R95" s="38"/>
      <c r="S95" s="38"/>
      <c r="T95" s="38"/>
      <c r="U95" s="38"/>
      <c r="V95" s="38"/>
      <c r="W95" s="38"/>
      <c r="X95" s="38"/>
      <c r="Y95" s="38"/>
      <c r="Z95" s="38">
        <f t="shared" si="39"/>
        <v>42</v>
      </c>
      <c r="AA95" t="e">
        <f t="shared" si="37"/>
        <v>#DIV/0!</v>
      </c>
      <c r="AB95" s="1" t="e">
        <f t="shared" si="38"/>
        <v>#DIV/0!</v>
      </c>
    </row>
    <row r="96" spans="3:28" ht="33" customHeight="1">
      <c r="K96" s="38"/>
      <c r="L96" s="38"/>
      <c r="M96" s="38"/>
      <c r="N96" s="38"/>
      <c r="O96" s="38"/>
      <c r="P96" s="38"/>
      <c r="Q96" s="38"/>
      <c r="R96" s="38"/>
      <c r="S96" s="38"/>
      <c r="T96" s="38"/>
      <c r="U96" s="38"/>
      <c r="V96" s="38"/>
      <c r="W96" s="38"/>
      <c r="X96" s="38"/>
      <c r="Y96" s="38"/>
      <c r="Z96" s="38">
        <f t="shared" si="39"/>
        <v>43</v>
      </c>
      <c r="AA96" t="e">
        <f t="shared" si="37"/>
        <v>#DIV/0!</v>
      </c>
      <c r="AB96" s="1" t="e">
        <f t="shared" si="38"/>
        <v>#DIV/0!</v>
      </c>
    </row>
    <row r="97" spans="11:28" ht="33" customHeight="1">
      <c r="K97" s="38"/>
      <c r="L97" s="38"/>
      <c r="M97" s="38"/>
      <c r="N97" s="38"/>
      <c r="O97" s="38"/>
      <c r="P97" s="38"/>
      <c r="Q97" s="38"/>
      <c r="R97" s="38"/>
      <c r="S97" s="38"/>
      <c r="T97" s="38"/>
      <c r="U97" s="38"/>
      <c r="V97" s="38"/>
      <c r="W97" s="38"/>
      <c r="X97" s="38"/>
      <c r="Y97" s="38"/>
      <c r="Z97" s="38">
        <f t="shared" si="39"/>
        <v>44</v>
      </c>
      <c r="AA97" t="e">
        <f t="shared" si="37"/>
        <v>#DIV/0!</v>
      </c>
      <c r="AB97" s="1" t="e">
        <f t="shared" si="38"/>
        <v>#DIV/0!</v>
      </c>
    </row>
    <row r="98" spans="11:28" ht="33" customHeight="1">
      <c r="K98" s="38"/>
      <c r="L98" s="38"/>
      <c r="M98" s="38"/>
      <c r="N98" s="38"/>
      <c r="O98" s="38"/>
      <c r="P98" s="38"/>
      <c r="Q98" s="38"/>
      <c r="R98" s="38"/>
      <c r="S98" s="38"/>
      <c r="T98" s="38"/>
      <c r="U98" s="38"/>
      <c r="V98" s="38"/>
      <c r="W98" s="38"/>
      <c r="X98" s="38"/>
      <c r="Y98" s="38"/>
      <c r="Z98" s="38">
        <f t="shared" si="39"/>
        <v>45</v>
      </c>
      <c r="AA98" t="e">
        <f t="shared" si="37"/>
        <v>#DIV/0!</v>
      </c>
      <c r="AB98" s="1" t="e">
        <f t="shared" si="38"/>
        <v>#DIV/0!</v>
      </c>
    </row>
    <row r="99" spans="11:28" ht="33" customHeight="1">
      <c r="K99" s="38"/>
      <c r="L99" s="38"/>
      <c r="M99" s="38"/>
      <c r="N99" s="38"/>
      <c r="O99" s="38"/>
      <c r="P99" s="38"/>
      <c r="Q99" s="38"/>
      <c r="R99" s="38"/>
      <c r="S99" s="38"/>
      <c r="T99" s="38"/>
      <c r="U99" s="38"/>
      <c r="V99" s="38"/>
      <c r="W99" s="38"/>
      <c r="X99" s="38"/>
      <c r="Y99" s="38"/>
      <c r="Z99" s="38">
        <f t="shared" si="39"/>
        <v>46</v>
      </c>
      <c r="AA99" t="e">
        <f t="shared" si="37"/>
        <v>#DIV/0!</v>
      </c>
      <c r="AB99" s="1" t="e">
        <f t="shared" si="38"/>
        <v>#DIV/0!</v>
      </c>
    </row>
    <row r="100" spans="11:28" ht="33" customHeight="1">
      <c r="K100" s="38"/>
      <c r="L100" s="38"/>
      <c r="M100" s="38"/>
      <c r="N100" s="38"/>
      <c r="O100" s="38"/>
      <c r="P100" s="38"/>
      <c r="Q100" s="38"/>
      <c r="R100" s="38"/>
      <c r="S100" s="38"/>
      <c r="T100" s="38"/>
      <c r="U100" s="38"/>
      <c r="V100" s="38"/>
      <c r="W100" s="38"/>
      <c r="X100" s="38"/>
      <c r="Y100" s="38"/>
      <c r="Z100" s="38">
        <f t="shared" si="39"/>
        <v>47</v>
      </c>
      <c r="AA100" t="e">
        <f t="shared" si="37"/>
        <v>#DIV/0!</v>
      </c>
      <c r="AB100" s="1" t="e">
        <f t="shared" si="38"/>
        <v>#DIV/0!</v>
      </c>
    </row>
    <row r="101" spans="11:28" ht="33" customHeight="1">
      <c r="K101" s="38"/>
      <c r="L101" s="38"/>
      <c r="M101" s="38"/>
      <c r="N101" s="38"/>
      <c r="O101" s="38"/>
      <c r="P101" s="38"/>
      <c r="Q101" s="38"/>
      <c r="R101" s="38"/>
      <c r="S101" s="38"/>
      <c r="T101" s="38"/>
      <c r="U101" s="38"/>
      <c r="V101" s="38"/>
      <c r="W101" s="38"/>
      <c r="X101" s="38"/>
      <c r="Y101" s="38"/>
      <c r="Z101" s="38">
        <f t="shared" si="39"/>
        <v>48</v>
      </c>
      <c r="AA101" t="e">
        <f t="shared" si="37"/>
        <v>#DIV/0!</v>
      </c>
      <c r="AB101" s="1" t="e">
        <f t="shared" si="38"/>
        <v>#DIV/0!</v>
      </c>
    </row>
    <row r="102" spans="11:28" ht="33" customHeight="1">
      <c r="K102" s="38"/>
      <c r="L102" s="38"/>
      <c r="M102" s="38"/>
      <c r="N102" s="38"/>
      <c r="O102" s="38"/>
      <c r="P102" s="38"/>
      <c r="Q102" s="38"/>
      <c r="R102" s="38"/>
      <c r="S102" s="38"/>
      <c r="T102" s="38"/>
      <c r="U102" s="38"/>
      <c r="V102" s="38"/>
      <c r="W102" s="38"/>
      <c r="X102" s="38"/>
      <c r="Y102" s="38"/>
      <c r="Z102" s="38">
        <f t="shared" si="39"/>
        <v>49</v>
      </c>
      <c r="AA102" t="e">
        <f t="shared" si="37"/>
        <v>#DIV/0!</v>
      </c>
      <c r="AB102" s="1" t="e">
        <f t="shared" si="38"/>
        <v>#DIV/0!</v>
      </c>
    </row>
    <row r="103" spans="11:28" ht="33" customHeight="1">
      <c r="K103" s="38"/>
      <c r="L103" s="38"/>
      <c r="M103" s="38"/>
      <c r="N103" s="38"/>
      <c r="O103" s="38"/>
      <c r="P103" s="38"/>
      <c r="Q103" s="38"/>
      <c r="R103" s="38"/>
      <c r="S103" s="38"/>
      <c r="T103" s="38"/>
      <c r="U103" s="38"/>
      <c r="V103" s="38"/>
      <c r="W103" s="38"/>
      <c r="X103" s="38"/>
      <c r="Y103" s="38"/>
      <c r="Z103" s="38">
        <f t="shared" si="39"/>
        <v>50</v>
      </c>
      <c r="AA103" t="e">
        <f t="shared" si="37"/>
        <v>#DIV/0!</v>
      </c>
      <c r="AB103" s="1" t="e">
        <f t="shared" si="38"/>
        <v>#DIV/0!</v>
      </c>
    </row>
    <row r="104" spans="11:28" ht="33" customHeight="1">
      <c r="K104" s="38"/>
      <c r="L104" s="38"/>
      <c r="M104" s="38"/>
      <c r="N104" s="38"/>
      <c r="O104" s="38"/>
      <c r="P104" s="38"/>
      <c r="Q104" s="38"/>
      <c r="R104" s="38"/>
      <c r="S104" s="38"/>
      <c r="T104" s="38"/>
      <c r="U104" s="38"/>
      <c r="V104" s="38"/>
      <c r="W104" s="38"/>
      <c r="X104" s="38"/>
      <c r="Y104" s="38"/>
      <c r="Z104" s="38">
        <f t="shared" si="39"/>
        <v>51</v>
      </c>
      <c r="AA104" t="e">
        <f t="shared" si="37"/>
        <v>#DIV/0!</v>
      </c>
      <c r="AB104" s="1" t="e">
        <f t="shared" si="38"/>
        <v>#DIV/0!</v>
      </c>
    </row>
    <row r="105" spans="11:28" ht="33" customHeight="1">
      <c r="K105" s="38"/>
      <c r="L105" s="38"/>
      <c r="M105" s="38"/>
      <c r="N105" s="38"/>
      <c r="O105" s="38"/>
      <c r="P105" s="38"/>
      <c r="Q105" s="38"/>
      <c r="R105" s="38"/>
      <c r="S105" s="38"/>
      <c r="T105" s="38"/>
      <c r="U105" s="38"/>
      <c r="V105" s="38"/>
      <c r="W105" s="38"/>
      <c r="X105" s="38"/>
      <c r="Y105" s="38"/>
      <c r="Z105" s="38">
        <f t="shared" si="39"/>
        <v>52</v>
      </c>
      <c r="AA105" t="e">
        <f t="shared" si="37"/>
        <v>#DIV/0!</v>
      </c>
      <c r="AB105" s="1" t="e">
        <f t="shared" si="38"/>
        <v>#DIV/0!</v>
      </c>
    </row>
    <row r="106" spans="11:28" ht="33" customHeight="1">
      <c r="K106" s="38"/>
      <c r="L106" s="38"/>
      <c r="M106" s="38"/>
      <c r="N106" s="38"/>
      <c r="O106" s="38"/>
      <c r="P106" s="38"/>
      <c r="Q106" s="38"/>
      <c r="R106" s="38"/>
      <c r="S106" s="38"/>
      <c r="T106" s="38"/>
      <c r="U106" s="38"/>
      <c r="V106" s="38"/>
      <c r="W106" s="38"/>
      <c r="X106" s="38"/>
      <c r="Y106" s="38"/>
      <c r="Z106" s="38">
        <f t="shared" si="39"/>
        <v>53</v>
      </c>
      <c r="AA106" t="e">
        <f t="shared" si="37"/>
        <v>#DIV/0!</v>
      </c>
      <c r="AB106" s="1" t="e">
        <f t="shared" si="38"/>
        <v>#DIV/0!</v>
      </c>
    </row>
    <row r="107" spans="11:28" ht="33" customHeight="1">
      <c r="K107" s="38"/>
      <c r="L107" s="38"/>
      <c r="M107" s="38"/>
      <c r="N107" s="38"/>
      <c r="O107" s="38"/>
      <c r="P107" s="38"/>
      <c r="Q107" s="38"/>
      <c r="R107" s="38"/>
      <c r="S107" s="38"/>
      <c r="T107" s="38"/>
      <c r="U107" s="38"/>
      <c r="V107" s="38"/>
      <c r="W107" s="38"/>
      <c r="X107" s="38"/>
      <c r="Y107" s="38"/>
      <c r="Z107" s="38">
        <f t="shared" si="39"/>
        <v>54</v>
      </c>
      <c r="AA107" t="e">
        <f t="shared" si="37"/>
        <v>#DIV/0!</v>
      </c>
      <c r="AB107" s="1" t="e">
        <f t="shared" si="38"/>
        <v>#DIV/0!</v>
      </c>
    </row>
    <row r="108" spans="11:28" ht="33" customHeight="1">
      <c r="K108" s="38"/>
      <c r="L108" s="38"/>
      <c r="M108" s="38"/>
      <c r="N108" s="38"/>
      <c r="O108" s="38"/>
      <c r="P108" s="38"/>
      <c r="Q108" s="38"/>
      <c r="R108" s="38"/>
      <c r="S108" s="38"/>
      <c r="T108" s="38"/>
      <c r="U108" s="38"/>
      <c r="V108" s="38"/>
      <c r="W108" s="38"/>
      <c r="X108" s="38"/>
      <c r="Y108" s="38"/>
      <c r="Z108" s="38">
        <f t="shared" si="39"/>
        <v>55</v>
      </c>
      <c r="AA108" t="e">
        <f t="shared" si="37"/>
        <v>#DIV/0!</v>
      </c>
      <c r="AB108" s="1" t="e">
        <f t="shared" si="38"/>
        <v>#DIV/0!</v>
      </c>
    </row>
    <row r="109" spans="11:28" ht="33" customHeight="1">
      <c r="K109" s="38"/>
      <c r="L109" s="38"/>
      <c r="M109" s="38"/>
      <c r="N109" s="38"/>
      <c r="O109" s="38"/>
      <c r="P109" s="38"/>
      <c r="Q109" s="38"/>
      <c r="R109" s="38"/>
      <c r="S109" s="38"/>
      <c r="T109" s="38"/>
      <c r="U109" s="38"/>
      <c r="V109" s="38"/>
      <c r="W109" s="38"/>
      <c r="X109" s="38"/>
      <c r="Y109" s="38"/>
      <c r="Z109" s="38">
        <f t="shared" si="39"/>
        <v>56</v>
      </c>
      <c r="AA109" t="e">
        <f t="shared" si="37"/>
        <v>#DIV/0!</v>
      </c>
      <c r="AB109" s="1" t="e">
        <f t="shared" si="38"/>
        <v>#DIV/0!</v>
      </c>
    </row>
    <row r="110" spans="11:28" ht="33" customHeight="1">
      <c r="K110" s="38"/>
      <c r="L110" s="38"/>
      <c r="M110" s="38"/>
      <c r="N110" s="38"/>
      <c r="O110" s="38"/>
      <c r="P110" s="38"/>
      <c r="Q110" s="38"/>
      <c r="R110" s="38"/>
      <c r="S110" s="38"/>
      <c r="T110" s="38"/>
      <c r="U110" s="38"/>
      <c r="V110" s="38"/>
      <c r="W110" s="38"/>
      <c r="X110" s="38"/>
      <c r="Y110" s="38"/>
      <c r="Z110" s="38">
        <f t="shared" si="39"/>
        <v>57</v>
      </c>
      <c r="AA110" t="e">
        <f t="shared" si="37"/>
        <v>#DIV/0!</v>
      </c>
      <c r="AB110" s="1" t="e">
        <f t="shared" si="38"/>
        <v>#DIV/0!</v>
      </c>
    </row>
    <row r="111" spans="11:28" ht="33" customHeight="1">
      <c r="K111" s="38"/>
      <c r="L111" s="38"/>
      <c r="M111" s="38"/>
      <c r="N111" s="38"/>
      <c r="O111" s="38"/>
      <c r="P111" s="38"/>
      <c r="Q111" s="38"/>
      <c r="R111" s="38"/>
      <c r="S111" s="38"/>
      <c r="T111" s="38"/>
      <c r="U111" s="38"/>
      <c r="V111" s="38"/>
      <c r="W111" s="38"/>
      <c r="X111" s="38"/>
      <c r="Y111" s="38"/>
      <c r="Z111" s="38">
        <f t="shared" si="39"/>
        <v>58</v>
      </c>
      <c r="AA111" t="e">
        <f t="shared" si="37"/>
        <v>#DIV/0!</v>
      </c>
      <c r="AB111" s="1" t="e">
        <f t="shared" si="38"/>
        <v>#DIV/0!</v>
      </c>
    </row>
    <row r="112" spans="11:28" ht="33" customHeight="1">
      <c r="K112" s="38"/>
      <c r="L112" s="38"/>
      <c r="M112" s="38"/>
      <c r="N112" s="38"/>
      <c r="O112" s="38"/>
      <c r="P112" s="38"/>
      <c r="Q112" s="38"/>
      <c r="R112" s="38"/>
      <c r="S112" s="38"/>
      <c r="T112" s="38"/>
      <c r="U112" s="38"/>
      <c r="V112" s="38"/>
      <c r="W112" s="38"/>
      <c r="X112" s="38"/>
      <c r="Y112" s="38"/>
      <c r="Z112" s="38">
        <f t="shared" si="39"/>
        <v>59</v>
      </c>
      <c r="AA112" t="e">
        <f t="shared" si="37"/>
        <v>#DIV/0!</v>
      </c>
      <c r="AB112" s="1" t="e">
        <f t="shared" si="38"/>
        <v>#DIV/0!</v>
      </c>
    </row>
    <row r="113" spans="11:28" ht="33" customHeight="1">
      <c r="K113" s="38"/>
      <c r="L113" s="38"/>
      <c r="M113" s="38"/>
      <c r="N113" s="38"/>
      <c r="O113" s="38"/>
      <c r="P113" s="38"/>
      <c r="Q113" s="38"/>
      <c r="R113" s="38"/>
      <c r="S113" s="38"/>
      <c r="T113" s="38"/>
      <c r="U113" s="38"/>
      <c r="V113" s="38"/>
      <c r="W113" s="38"/>
      <c r="X113" s="38"/>
      <c r="Y113" s="38"/>
      <c r="Z113" s="38">
        <f t="shared" si="39"/>
        <v>60</v>
      </c>
      <c r="AA113" t="e">
        <f t="shared" si="37"/>
        <v>#DIV/0!</v>
      </c>
      <c r="AB113" s="1" t="e">
        <f t="shared" si="38"/>
        <v>#DIV/0!</v>
      </c>
    </row>
    <row r="114" spans="11:28" ht="33" customHeight="1">
      <c r="K114" s="38"/>
      <c r="L114" s="38"/>
      <c r="M114" s="38"/>
      <c r="N114" s="38"/>
      <c r="O114" s="38"/>
      <c r="P114" s="38"/>
      <c r="Q114" s="38"/>
      <c r="R114" s="38"/>
      <c r="S114" s="38"/>
      <c r="T114" s="38"/>
      <c r="U114" s="38"/>
      <c r="V114" s="38"/>
      <c r="W114" s="38"/>
      <c r="X114" s="38"/>
      <c r="Y114" s="38"/>
      <c r="Z114" s="38">
        <f t="shared" si="39"/>
        <v>61</v>
      </c>
      <c r="AA114" t="e">
        <f t="shared" si="37"/>
        <v>#DIV/0!</v>
      </c>
      <c r="AB114" s="1" t="e">
        <f t="shared" si="38"/>
        <v>#DIV/0!</v>
      </c>
    </row>
    <row r="115" spans="11:28" ht="33" customHeight="1">
      <c r="K115" s="38"/>
      <c r="L115" s="38"/>
      <c r="M115" s="38"/>
      <c r="N115" s="38"/>
      <c r="O115" s="38"/>
      <c r="P115" s="38"/>
      <c r="Q115" s="38"/>
      <c r="R115" s="38"/>
      <c r="S115" s="38"/>
      <c r="T115" s="38"/>
      <c r="U115" s="38"/>
      <c r="V115" s="38"/>
      <c r="W115" s="38"/>
      <c r="X115" s="38"/>
      <c r="Y115" s="38"/>
      <c r="Z115" s="38">
        <f t="shared" si="39"/>
        <v>62</v>
      </c>
      <c r="AA115" t="e">
        <f t="shared" si="37"/>
        <v>#DIV/0!</v>
      </c>
      <c r="AB115" s="1" t="e">
        <f t="shared" si="38"/>
        <v>#DIV/0!</v>
      </c>
    </row>
    <row r="116" spans="11:28" ht="33" customHeight="1">
      <c r="K116" s="38"/>
      <c r="L116" s="38"/>
      <c r="M116" s="38"/>
      <c r="N116" s="38"/>
      <c r="O116" s="38"/>
      <c r="P116" s="38"/>
      <c r="Q116" s="38"/>
      <c r="R116" s="38"/>
      <c r="S116" s="38"/>
      <c r="T116" s="38"/>
      <c r="U116" s="38"/>
      <c r="V116" s="38"/>
      <c r="W116" s="38"/>
      <c r="X116" s="38"/>
      <c r="Y116" s="38"/>
      <c r="Z116" s="38">
        <f t="shared" si="39"/>
        <v>63</v>
      </c>
      <c r="AA116" t="e">
        <f t="shared" si="37"/>
        <v>#DIV/0!</v>
      </c>
      <c r="AB116" s="1" t="e">
        <f t="shared" si="38"/>
        <v>#DIV/0!</v>
      </c>
    </row>
    <row r="117" spans="11:28" ht="33" customHeight="1">
      <c r="K117" s="38"/>
      <c r="L117" s="38"/>
      <c r="M117" s="38"/>
      <c r="N117" s="38"/>
      <c r="O117" s="38"/>
      <c r="P117" s="38"/>
      <c r="Q117" s="38"/>
      <c r="R117" s="38"/>
      <c r="S117" s="38"/>
      <c r="T117" s="38"/>
      <c r="U117" s="38"/>
      <c r="V117" s="38"/>
      <c r="W117" s="38"/>
      <c r="X117" s="38"/>
      <c r="Y117" s="38"/>
      <c r="Z117" s="38">
        <f t="shared" si="39"/>
        <v>64</v>
      </c>
      <c r="AA117" t="e">
        <f t="shared" si="37"/>
        <v>#DIV/0!</v>
      </c>
      <c r="AB117" s="1" t="e">
        <f t="shared" si="38"/>
        <v>#DIV/0!</v>
      </c>
    </row>
    <row r="118" spans="11:28" ht="33" customHeight="1">
      <c r="K118" s="38"/>
      <c r="L118" s="38"/>
      <c r="M118" s="38"/>
      <c r="N118" s="38"/>
      <c r="O118" s="38"/>
      <c r="P118" s="38"/>
      <c r="Q118" s="38"/>
      <c r="R118" s="38"/>
      <c r="S118" s="38"/>
      <c r="T118" s="38"/>
      <c r="U118" s="38"/>
      <c r="V118" s="38"/>
      <c r="W118" s="38"/>
      <c r="X118" s="38"/>
      <c r="Y118" s="38"/>
      <c r="Z118" s="38">
        <f t="shared" si="39"/>
        <v>65</v>
      </c>
      <c r="AA118" t="e">
        <f t="shared" si="37"/>
        <v>#DIV/0!</v>
      </c>
      <c r="AB118" s="1" t="e">
        <f t="shared" si="38"/>
        <v>#DIV/0!</v>
      </c>
    </row>
    <row r="119" spans="11:28" ht="33" customHeight="1">
      <c r="K119" s="38"/>
      <c r="L119" s="38"/>
      <c r="M119" s="38"/>
      <c r="N119" s="38"/>
      <c r="O119" s="38"/>
      <c r="P119" s="38"/>
      <c r="Q119" s="38"/>
      <c r="R119" s="38"/>
      <c r="S119" s="38"/>
      <c r="T119" s="38"/>
      <c r="U119" s="38"/>
      <c r="V119" s="38"/>
      <c r="W119" s="38"/>
      <c r="X119" s="38"/>
      <c r="Y119" s="38"/>
      <c r="Z119" s="38">
        <f t="shared" si="39"/>
        <v>66</v>
      </c>
      <c r="AA119" t="e">
        <f t="shared" si="37"/>
        <v>#DIV/0!</v>
      </c>
      <c r="AB119" s="1" t="e">
        <f t="shared" si="38"/>
        <v>#DIV/0!</v>
      </c>
    </row>
    <row r="120" spans="11:28" ht="33" customHeight="1">
      <c r="K120" s="38"/>
      <c r="L120" s="38"/>
      <c r="M120" s="38"/>
      <c r="N120" s="38"/>
      <c r="O120" s="38"/>
      <c r="P120" s="38"/>
      <c r="Q120" s="38"/>
      <c r="R120" s="38"/>
      <c r="S120" s="38"/>
      <c r="T120" s="38"/>
      <c r="U120" s="38"/>
      <c r="V120" s="38"/>
      <c r="W120" s="38"/>
      <c r="X120" s="38"/>
      <c r="Y120" s="38"/>
      <c r="Z120" s="38">
        <f t="shared" si="39"/>
        <v>67</v>
      </c>
      <c r="AA120" t="e">
        <f t="shared" si="37"/>
        <v>#DIV/0!</v>
      </c>
      <c r="AB120" s="1" t="e">
        <f t="shared" si="38"/>
        <v>#DIV/0!</v>
      </c>
    </row>
    <row r="121" spans="11:28" ht="33" customHeight="1">
      <c r="K121" s="38"/>
      <c r="L121" s="38"/>
      <c r="M121" s="38"/>
      <c r="N121" s="38"/>
      <c r="O121" s="38"/>
      <c r="P121" s="38"/>
      <c r="Q121" s="38"/>
      <c r="R121" s="38"/>
      <c r="S121" s="38"/>
      <c r="T121" s="38"/>
      <c r="U121" s="38"/>
      <c r="V121" s="38"/>
      <c r="W121" s="38"/>
      <c r="X121" s="38"/>
      <c r="Y121" s="38"/>
      <c r="Z121" s="38">
        <f t="shared" si="39"/>
        <v>68</v>
      </c>
      <c r="AA121" t="e">
        <f t="shared" si="37"/>
        <v>#DIV/0!</v>
      </c>
      <c r="AB121" s="1" t="e">
        <f t="shared" si="38"/>
        <v>#DIV/0!</v>
      </c>
    </row>
    <row r="122" spans="11:28" ht="33" customHeight="1">
      <c r="K122" s="38"/>
      <c r="L122" s="38"/>
      <c r="M122" s="38"/>
      <c r="N122" s="38"/>
      <c r="O122" s="38"/>
      <c r="P122" s="38"/>
      <c r="Q122" s="38"/>
      <c r="R122" s="38"/>
      <c r="S122" s="38"/>
      <c r="T122" s="38"/>
      <c r="U122" s="38"/>
      <c r="V122" s="38"/>
      <c r="W122" s="38"/>
      <c r="X122" s="38"/>
      <c r="Y122" s="38"/>
      <c r="Z122" s="38">
        <f t="shared" si="39"/>
        <v>69</v>
      </c>
      <c r="AA122" t="e">
        <f t="shared" si="37"/>
        <v>#DIV/0!</v>
      </c>
      <c r="AB122" s="1" t="e">
        <f t="shared" si="38"/>
        <v>#DIV/0!</v>
      </c>
    </row>
    <row r="123" spans="11:28" ht="33" customHeight="1">
      <c r="K123" s="38"/>
      <c r="L123" s="38"/>
      <c r="M123" s="38"/>
      <c r="N123" s="38"/>
      <c r="O123" s="38"/>
      <c r="P123" s="38"/>
      <c r="Q123" s="38"/>
      <c r="R123" s="38"/>
      <c r="S123" s="38"/>
      <c r="T123" s="38"/>
      <c r="U123" s="38"/>
      <c r="V123" s="38"/>
      <c r="W123" s="38"/>
      <c r="X123" s="38"/>
      <c r="Y123" s="38"/>
      <c r="Z123" s="38">
        <f t="shared" si="39"/>
        <v>70</v>
      </c>
      <c r="AA123" t="e">
        <f t="shared" si="37"/>
        <v>#DIV/0!</v>
      </c>
      <c r="AB123" s="1" t="e">
        <f t="shared" si="38"/>
        <v>#DIV/0!</v>
      </c>
    </row>
    <row r="124" spans="11:28" ht="33" customHeight="1">
      <c r="K124" s="38"/>
      <c r="L124" s="38"/>
      <c r="M124" s="38"/>
      <c r="N124" s="38"/>
      <c r="O124" s="38"/>
      <c r="P124" s="38"/>
      <c r="Q124" s="38"/>
      <c r="R124" s="38"/>
      <c r="S124" s="38"/>
      <c r="T124" s="38"/>
      <c r="U124" s="38"/>
      <c r="V124" s="38"/>
      <c r="W124" s="38"/>
      <c r="X124" s="38"/>
      <c r="Y124" s="38"/>
      <c r="Z124" s="38">
        <f t="shared" si="39"/>
        <v>71</v>
      </c>
      <c r="AA124" t="e">
        <f t="shared" si="37"/>
        <v>#DIV/0!</v>
      </c>
      <c r="AB124" s="1" t="e">
        <f t="shared" si="38"/>
        <v>#DIV/0!</v>
      </c>
    </row>
    <row r="125" spans="11:28" ht="33" customHeight="1">
      <c r="K125" s="38"/>
      <c r="L125" s="38"/>
      <c r="M125" s="38"/>
      <c r="N125" s="38"/>
      <c r="O125" s="38"/>
      <c r="P125" s="38"/>
      <c r="Q125" s="38"/>
      <c r="R125" s="38"/>
      <c r="S125" s="38"/>
      <c r="T125" s="38"/>
      <c r="U125" s="38"/>
      <c r="V125" s="38"/>
      <c r="W125" s="38"/>
      <c r="X125" s="38"/>
      <c r="Y125" s="38"/>
      <c r="Z125" s="38">
        <f t="shared" si="39"/>
        <v>72</v>
      </c>
      <c r="AA125" t="e">
        <f t="shared" si="37"/>
        <v>#DIV/0!</v>
      </c>
      <c r="AB125" s="1" t="e">
        <f t="shared" si="38"/>
        <v>#DIV/0!</v>
      </c>
    </row>
    <row r="126" spans="11:28" ht="33" customHeight="1">
      <c r="K126" s="38"/>
      <c r="L126" s="38"/>
      <c r="M126" s="38"/>
      <c r="N126" s="38"/>
      <c r="O126" s="38"/>
      <c r="P126" s="38"/>
      <c r="Q126" s="38"/>
      <c r="R126" s="38"/>
      <c r="S126" s="38"/>
      <c r="T126" s="38"/>
      <c r="U126" s="38"/>
      <c r="V126" s="38"/>
      <c r="W126" s="38"/>
      <c r="X126" s="38"/>
      <c r="Y126" s="38"/>
      <c r="Z126" s="38">
        <f t="shared" si="39"/>
        <v>73</v>
      </c>
      <c r="AA126" t="e">
        <f t="shared" si="37"/>
        <v>#DIV/0!</v>
      </c>
      <c r="AB126" s="1" t="e">
        <f t="shared" si="38"/>
        <v>#DIV/0!</v>
      </c>
    </row>
    <row r="127" spans="11:28" ht="33" customHeight="1">
      <c r="K127" s="38"/>
      <c r="L127" s="38"/>
      <c r="M127" s="38"/>
      <c r="N127" s="38"/>
      <c r="O127" s="38"/>
      <c r="P127" s="38"/>
      <c r="Q127" s="38"/>
      <c r="R127" s="38"/>
      <c r="S127" s="38"/>
      <c r="T127" s="38"/>
      <c r="U127" s="38"/>
      <c r="V127" s="38"/>
      <c r="W127" s="38"/>
      <c r="X127" s="38"/>
      <c r="Y127" s="38"/>
      <c r="Z127" s="38">
        <f t="shared" si="39"/>
        <v>74</v>
      </c>
      <c r="AA127" t="e">
        <f t="shared" si="37"/>
        <v>#DIV/0!</v>
      </c>
      <c r="AB127" s="1" t="e">
        <f t="shared" si="38"/>
        <v>#DIV/0!</v>
      </c>
    </row>
    <row r="128" spans="11:28" ht="33" customHeight="1">
      <c r="K128" s="38"/>
      <c r="L128" s="38"/>
      <c r="M128" s="38"/>
      <c r="N128" s="38"/>
      <c r="O128" s="38"/>
      <c r="P128" s="38"/>
      <c r="Q128" s="38"/>
      <c r="R128" s="38"/>
      <c r="S128" s="38"/>
      <c r="T128" s="38"/>
      <c r="U128" s="38"/>
      <c r="V128" s="38"/>
      <c r="W128" s="38"/>
      <c r="X128" s="38"/>
      <c r="Y128" s="38"/>
      <c r="Z128" s="38">
        <f t="shared" si="39"/>
        <v>75</v>
      </c>
      <c r="AA128" t="e">
        <f t="shared" si="37"/>
        <v>#DIV/0!</v>
      </c>
      <c r="AB128" s="1" t="e">
        <f t="shared" si="38"/>
        <v>#DIV/0!</v>
      </c>
    </row>
    <row r="129" spans="11:28" ht="33" customHeight="1">
      <c r="K129" s="38"/>
      <c r="L129" s="38"/>
      <c r="M129" s="38"/>
      <c r="N129" s="38"/>
      <c r="O129" s="38"/>
      <c r="P129" s="38"/>
      <c r="Q129" s="38"/>
      <c r="R129" s="38"/>
      <c r="S129" s="38"/>
      <c r="T129" s="38"/>
      <c r="U129" s="38"/>
      <c r="V129" s="38"/>
      <c r="W129" s="38"/>
      <c r="X129" s="38"/>
      <c r="Y129" s="38"/>
      <c r="Z129" s="38">
        <f t="shared" si="39"/>
        <v>76</v>
      </c>
      <c r="AA129" t="e">
        <f t="shared" si="37"/>
        <v>#DIV/0!</v>
      </c>
      <c r="AB129" s="1" t="e">
        <f t="shared" si="38"/>
        <v>#DIV/0!</v>
      </c>
    </row>
    <row r="130" spans="11:28" ht="33" customHeight="1">
      <c r="K130" s="38"/>
      <c r="L130" s="38"/>
      <c r="M130" s="38"/>
      <c r="N130" s="38"/>
      <c r="O130" s="38"/>
      <c r="P130" s="38"/>
      <c r="Q130" s="38"/>
      <c r="R130" s="38"/>
      <c r="S130" s="38"/>
      <c r="T130" s="38"/>
      <c r="U130" s="38"/>
      <c r="V130" s="38"/>
      <c r="W130" s="38"/>
      <c r="X130" s="38"/>
      <c r="Y130" s="38"/>
      <c r="Z130" s="38">
        <f t="shared" si="39"/>
        <v>77</v>
      </c>
      <c r="AA130" t="e">
        <f t="shared" si="37"/>
        <v>#DIV/0!</v>
      </c>
      <c r="AB130" s="1" t="e">
        <f t="shared" si="38"/>
        <v>#DIV/0!</v>
      </c>
    </row>
    <row r="131" spans="11:28" ht="33" customHeight="1">
      <c r="K131" s="38"/>
      <c r="L131" s="38"/>
      <c r="M131" s="38"/>
      <c r="N131" s="38"/>
      <c r="O131" s="38"/>
      <c r="P131" s="38"/>
      <c r="Q131" s="38"/>
      <c r="R131" s="38"/>
      <c r="S131" s="38"/>
      <c r="T131" s="38"/>
      <c r="U131" s="38"/>
      <c r="V131" s="38"/>
      <c r="W131" s="38"/>
      <c r="X131" s="38"/>
      <c r="Y131" s="38"/>
      <c r="Z131" s="38">
        <f t="shared" si="39"/>
        <v>78</v>
      </c>
      <c r="AA131" t="e">
        <f t="shared" si="37"/>
        <v>#DIV/0!</v>
      </c>
      <c r="AB131" s="1" t="e">
        <f t="shared" si="38"/>
        <v>#DIV/0!</v>
      </c>
    </row>
    <row r="132" spans="11:28" ht="33" customHeight="1">
      <c r="K132" s="38"/>
      <c r="L132" s="38"/>
      <c r="M132" s="38"/>
      <c r="N132" s="38"/>
      <c r="O132" s="38"/>
      <c r="P132" s="38"/>
      <c r="Q132" s="38"/>
      <c r="R132" s="38"/>
      <c r="S132" s="38"/>
      <c r="T132" s="38"/>
      <c r="U132" s="38"/>
      <c r="V132" s="38"/>
      <c r="W132" s="38"/>
      <c r="X132" s="38"/>
      <c r="Y132" s="38"/>
      <c r="Z132" s="38">
        <f t="shared" si="39"/>
        <v>79</v>
      </c>
      <c r="AA132" t="e">
        <f t="shared" si="37"/>
        <v>#DIV/0!</v>
      </c>
      <c r="AB132" s="1" t="e">
        <f t="shared" si="38"/>
        <v>#DIV/0!</v>
      </c>
    </row>
    <row r="133" spans="11:28" ht="33" customHeight="1">
      <c r="K133" s="38"/>
      <c r="L133" s="38"/>
      <c r="M133" s="38"/>
      <c r="N133" s="38"/>
      <c r="O133" s="38"/>
      <c r="P133" s="38"/>
      <c r="Q133" s="38"/>
      <c r="R133" s="38"/>
      <c r="S133" s="38"/>
      <c r="T133" s="38"/>
      <c r="U133" s="38"/>
      <c r="V133" s="38"/>
      <c r="W133" s="38"/>
      <c r="X133" s="38"/>
      <c r="Y133" s="38"/>
      <c r="Z133" s="38">
        <f t="shared" si="39"/>
        <v>80</v>
      </c>
      <c r="AA133" t="e">
        <f t="shared" si="37"/>
        <v>#DIV/0!</v>
      </c>
      <c r="AB133" s="1" t="e">
        <f t="shared" si="38"/>
        <v>#DIV/0!</v>
      </c>
    </row>
    <row r="134" spans="11:28" ht="33" customHeight="1">
      <c r="K134" s="38"/>
      <c r="L134" s="38"/>
      <c r="M134" s="38"/>
      <c r="N134" s="38"/>
      <c r="O134" s="38"/>
      <c r="P134" s="38"/>
      <c r="Q134" s="38"/>
      <c r="R134" s="38"/>
      <c r="S134" s="38"/>
      <c r="T134" s="38"/>
      <c r="U134" s="38"/>
      <c r="V134" s="38"/>
      <c r="W134" s="38"/>
      <c r="X134" s="38"/>
      <c r="Y134" s="38"/>
      <c r="Z134" s="38">
        <f t="shared" si="39"/>
        <v>81</v>
      </c>
      <c r="AA134" t="e">
        <f t="shared" si="37"/>
        <v>#DIV/0!</v>
      </c>
      <c r="AB134" s="1" t="e">
        <f t="shared" si="38"/>
        <v>#DIV/0!</v>
      </c>
    </row>
    <row r="135" spans="11:28" ht="33" customHeight="1">
      <c r="K135" s="38"/>
      <c r="L135" s="38"/>
      <c r="M135" s="38"/>
      <c r="N135" s="38"/>
      <c r="O135" s="38"/>
      <c r="P135" s="38"/>
      <c r="Q135" s="38"/>
      <c r="R135" s="38"/>
      <c r="S135" s="38"/>
      <c r="T135" s="38"/>
      <c r="U135" s="38"/>
      <c r="V135" s="38"/>
      <c r="W135" s="38"/>
      <c r="X135" s="38"/>
      <c r="Y135" s="38"/>
      <c r="Z135" s="38">
        <f t="shared" si="39"/>
        <v>82</v>
      </c>
      <c r="AA135" t="e">
        <f t="shared" si="37"/>
        <v>#DIV/0!</v>
      </c>
      <c r="AB135" s="1" t="e">
        <f t="shared" si="38"/>
        <v>#DIV/0!</v>
      </c>
    </row>
    <row r="136" spans="11:28" ht="33" customHeight="1">
      <c r="K136" s="38"/>
      <c r="L136" s="38"/>
      <c r="M136" s="38"/>
      <c r="N136" s="38"/>
      <c r="O136" s="38"/>
      <c r="P136" s="38"/>
      <c r="Q136" s="38"/>
      <c r="R136" s="38"/>
      <c r="S136" s="38"/>
      <c r="T136" s="38"/>
      <c r="U136" s="38"/>
      <c r="V136" s="38"/>
      <c r="W136" s="38"/>
      <c r="X136" s="38"/>
      <c r="Y136" s="38"/>
      <c r="Z136" s="38">
        <f t="shared" si="39"/>
        <v>83</v>
      </c>
      <c r="AA136" t="e">
        <f t="shared" si="37"/>
        <v>#DIV/0!</v>
      </c>
      <c r="AB136" s="1" t="e">
        <f t="shared" si="38"/>
        <v>#DIV/0!</v>
      </c>
    </row>
    <row r="137" spans="11:28" ht="33" customHeight="1">
      <c r="K137" s="38"/>
      <c r="L137" s="38"/>
      <c r="M137" s="38"/>
      <c r="N137" s="38"/>
      <c r="O137" s="38"/>
      <c r="P137" s="38"/>
      <c r="Q137" s="38"/>
      <c r="R137" s="38"/>
      <c r="S137" s="38"/>
      <c r="T137" s="38"/>
      <c r="U137" s="38"/>
      <c r="V137" s="38"/>
      <c r="W137" s="38"/>
      <c r="X137" s="38"/>
      <c r="Y137" s="38"/>
      <c r="Z137" s="38">
        <f t="shared" si="39"/>
        <v>84</v>
      </c>
      <c r="AA137" t="e">
        <f t="shared" si="37"/>
        <v>#DIV/0!</v>
      </c>
      <c r="AB137" s="1" t="e">
        <f t="shared" si="38"/>
        <v>#DIV/0!</v>
      </c>
    </row>
    <row r="138" spans="11:28" ht="33" customHeight="1">
      <c r="K138" s="38"/>
      <c r="L138" s="38"/>
      <c r="M138" s="38"/>
      <c r="N138" s="38"/>
      <c r="O138" s="38"/>
      <c r="P138" s="38"/>
      <c r="Q138" s="38"/>
      <c r="R138" s="38"/>
      <c r="S138" s="38"/>
      <c r="T138" s="38"/>
      <c r="U138" s="38"/>
      <c r="V138" s="38"/>
      <c r="W138" s="38"/>
      <c r="X138" s="38"/>
      <c r="Y138" s="38"/>
      <c r="Z138" s="38">
        <f t="shared" si="39"/>
        <v>85</v>
      </c>
      <c r="AA138" t="e">
        <f t="shared" si="37"/>
        <v>#DIV/0!</v>
      </c>
      <c r="AB138" s="1" t="e">
        <f t="shared" si="38"/>
        <v>#DIV/0!</v>
      </c>
    </row>
    <row r="139" spans="11:28" ht="33" customHeight="1">
      <c r="K139" s="38"/>
      <c r="L139" s="38"/>
      <c r="M139" s="38"/>
      <c r="N139" s="38"/>
      <c r="O139" s="38"/>
      <c r="P139" s="38"/>
      <c r="Q139" s="38"/>
      <c r="R139" s="38"/>
      <c r="S139" s="38"/>
      <c r="T139" s="38"/>
      <c r="U139" s="38"/>
      <c r="V139" s="38"/>
      <c r="W139" s="38"/>
      <c r="X139" s="38"/>
      <c r="Y139" s="38"/>
      <c r="Z139" s="38">
        <f t="shared" si="39"/>
        <v>86</v>
      </c>
      <c r="AA139" t="e">
        <f t="shared" ref="AA139:AA202" si="40">IF(AB139=Z139,1,0)</f>
        <v>#DIV/0!</v>
      </c>
      <c r="AB139" s="1" t="e">
        <f t="shared" ref="AB139:AB202" si="41">$AB$8</f>
        <v>#DIV/0!</v>
      </c>
    </row>
    <row r="140" spans="11:28" ht="33" customHeight="1">
      <c r="K140" s="38"/>
      <c r="L140" s="38"/>
      <c r="M140" s="38"/>
      <c r="N140" s="38"/>
      <c r="O140" s="38"/>
      <c r="P140" s="38"/>
      <c r="Q140" s="38"/>
      <c r="R140" s="38"/>
      <c r="S140" s="38"/>
      <c r="T140" s="38"/>
      <c r="U140" s="38"/>
      <c r="V140" s="38"/>
      <c r="W140" s="38"/>
      <c r="X140" s="38"/>
      <c r="Y140" s="38"/>
      <c r="Z140" s="38">
        <f t="shared" ref="Z140:Z203" si="42">Z139+1</f>
        <v>87</v>
      </c>
      <c r="AA140" t="e">
        <f t="shared" si="40"/>
        <v>#DIV/0!</v>
      </c>
      <c r="AB140" s="1" t="e">
        <f t="shared" si="41"/>
        <v>#DIV/0!</v>
      </c>
    </row>
    <row r="141" spans="11:28" ht="33" customHeight="1">
      <c r="K141" s="38"/>
      <c r="L141" s="38"/>
      <c r="M141" s="38"/>
      <c r="N141" s="38"/>
      <c r="O141" s="38"/>
      <c r="P141" s="38"/>
      <c r="Q141" s="38"/>
      <c r="R141" s="38"/>
      <c r="S141" s="38"/>
      <c r="T141" s="38"/>
      <c r="U141" s="38"/>
      <c r="V141" s="38"/>
      <c r="W141" s="38"/>
      <c r="X141" s="38"/>
      <c r="Y141" s="38"/>
      <c r="Z141" s="38">
        <f t="shared" si="42"/>
        <v>88</v>
      </c>
      <c r="AA141" t="e">
        <f t="shared" si="40"/>
        <v>#DIV/0!</v>
      </c>
      <c r="AB141" s="1" t="e">
        <f t="shared" si="41"/>
        <v>#DIV/0!</v>
      </c>
    </row>
    <row r="142" spans="11:28" ht="33" customHeight="1">
      <c r="K142" s="38"/>
      <c r="L142" s="38"/>
      <c r="M142" s="38"/>
      <c r="N142" s="38"/>
      <c r="O142" s="38"/>
      <c r="P142" s="38"/>
      <c r="Q142" s="38"/>
      <c r="R142" s="38"/>
      <c r="S142" s="38"/>
      <c r="T142" s="38"/>
      <c r="U142" s="38"/>
      <c r="V142" s="38"/>
      <c r="W142" s="38"/>
      <c r="X142" s="38"/>
      <c r="Y142" s="38"/>
      <c r="Z142" s="38">
        <f t="shared" si="42"/>
        <v>89</v>
      </c>
      <c r="AA142" t="e">
        <f t="shared" si="40"/>
        <v>#DIV/0!</v>
      </c>
      <c r="AB142" s="1" t="e">
        <f t="shared" si="41"/>
        <v>#DIV/0!</v>
      </c>
    </row>
    <row r="143" spans="11:28" ht="33" customHeight="1">
      <c r="K143" s="38"/>
      <c r="L143" s="38"/>
      <c r="M143" s="38"/>
      <c r="N143" s="38"/>
      <c r="O143" s="38"/>
      <c r="P143" s="38"/>
      <c r="Q143" s="38"/>
      <c r="R143" s="38"/>
      <c r="S143" s="38"/>
      <c r="T143" s="38"/>
      <c r="U143" s="38"/>
      <c r="V143" s="38"/>
      <c r="W143" s="38"/>
      <c r="X143" s="38"/>
      <c r="Y143" s="38"/>
      <c r="Z143" s="38">
        <f t="shared" si="42"/>
        <v>90</v>
      </c>
      <c r="AA143" t="e">
        <f t="shared" si="40"/>
        <v>#DIV/0!</v>
      </c>
      <c r="AB143" s="1" t="e">
        <f t="shared" si="41"/>
        <v>#DIV/0!</v>
      </c>
    </row>
    <row r="144" spans="11:28" ht="33" customHeight="1">
      <c r="K144" s="38"/>
      <c r="L144" s="38"/>
      <c r="M144" s="38"/>
      <c r="N144" s="38"/>
      <c r="O144" s="38"/>
      <c r="P144" s="38"/>
      <c r="Q144" s="38"/>
      <c r="R144" s="38"/>
      <c r="S144" s="38"/>
      <c r="T144" s="38"/>
      <c r="U144" s="38"/>
      <c r="V144" s="38"/>
      <c r="W144" s="38"/>
      <c r="X144" s="38"/>
      <c r="Y144" s="38"/>
      <c r="Z144" s="38">
        <f t="shared" si="42"/>
        <v>91</v>
      </c>
      <c r="AA144" t="e">
        <f t="shared" si="40"/>
        <v>#DIV/0!</v>
      </c>
      <c r="AB144" s="1" t="e">
        <f t="shared" si="41"/>
        <v>#DIV/0!</v>
      </c>
    </row>
    <row r="145" spans="11:28" ht="33" customHeight="1">
      <c r="K145" s="38"/>
      <c r="L145" s="38"/>
      <c r="M145" s="38"/>
      <c r="N145" s="38"/>
      <c r="O145" s="38"/>
      <c r="P145" s="38"/>
      <c r="Q145" s="38"/>
      <c r="R145" s="38"/>
      <c r="S145" s="38"/>
      <c r="T145" s="38"/>
      <c r="U145" s="38"/>
      <c r="V145" s="38"/>
      <c r="W145" s="38"/>
      <c r="X145" s="38"/>
      <c r="Y145" s="38"/>
      <c r="Z145" s="38">
        <f t="shared" si="42"/>
        <v>92</v>
      </c>
      <c r="AA145" t="e">
        <f t="shared" si="40"/>
        <v>#DIV/0!</v>
      </c>
      <c r="AB145" s="1" t="e">
        <f t="shared" si="41"/>
        <v>#DIV/0!</v>
      </c>
    </row>
    <row r="146" spans="11:28" ht="33" customHeight="1">
      <c r="K146" s="38"/>
      <c r="L146" s="38"/>
      <c r="M146" s="38"/>
      <c r="N146" s="38"/>
      <c r="O146" s="38"/>
      <c r="P146" s="38"/>
      <c r="Q146" s="38"/>
      <c r="R146" s="38"/>
      <c r="S146" s="38"/>
      <c r="T146" s="38"/>
      <c r="U146" s="38"/>
      <c r="V146" s="38"/>
      <c r="W146" s="38"/>
      <c r="X146" s="38"/>
      <c r="Y146" s="38"/>
      <c r="Z146" s="38">
        <f t="shared" si="42"/>
        <v>93</v>
      </c>
      <c r="AA146" t="e">
        <f t="shared" si="40"/>
        <v>#DIV/0!</v>
      </c>
      <c r="AB146" s="1" t="e">
        <f t="shared" si="41"/>
        <v>#DIV/0!</v>
      </c>
    </row>
    <row r="147" spans="11:28" ht="33" customHeight="1">
      <c r="K147" s="38"/>
      <c r="L147" s="38"/>
      <c r="M147" s="38"/>
      <c r="N147" s="38"/>
      <c r="O147" s="38"/>
      <c r="P147" s="38"/>
      <c r="Q147" s="38"/>
      <c r="R147" s="38"/>
      <c r="S147" s="38"/>
      <c r="T147" s="38"/>
      <c r="U147" s="38"/>
      <c r="V147" s="38"/>
      <c r="W147" s="38"/>
      <c r="X147" s="38"/>
      <c r="Y147" s="38"/>
      <c r="Z147" s="38">
        <f t="shared" si="42"/>
        <v>94</v>
      </c>
      <c r="AA147" t="e">
        <f t="shared" si="40"/>
        <v>#DIV/0!</v>
      </c>
      <c r="AB147" s="1" t="e">
        <f t="shared" si="41"/>
        <v>#DIV/0!</v>
      </c>
    </row>
    <row r="148" spans="11:28" ht="33" customHeight="1">
      <c r="K148" s="38"/>
      <c r="L148" s="38"/>
      <c r="M148" s="38"/>
      <c r="N148" s="38"/>
      <c r="O148" s="38"/>
      <c r="P148" s="38"/>
      <c r="Q148" s="38"/>
      <c r="R148" s="38"/>
      <c r="S148" s="38"/>
      <c r="T148" s="38"/>
      <c r="U148" s="38"/>
      <c r="V148" s="38"/>
      <c r="W148" s="38"/>
      <c r="X148" s="38"/>
      <c r="Y148" s="38"/>
      <c r="Z148" s="38">
        <f t="shared" si="42"/>
        <v>95</v>
      </c>
      <c r="AA148" t="e">
        <f t="shared" si="40"/>
        <v>#DIV/0!</v>
      </c>
      <c r="AB148" s="1" t="e">
        <f t="shared" si="41"/>
        <v>#DIV/0!</v>
      </c>
    </row>
    <row r="149" spans="11:28" ht="33" customHeight="1">
      <c r="K149" s="38"/>
      <c r="L149" s="38"/>
      <c r="M149" s="38"/>
      <c r="N149" s="38"/>
      <c r="O149" s="38"/>
      <c r="P149" s="38"/>
      <c r="Q149" s="38"/>
      <c r="R149" s="38"/>
      <c r="S149" s="38"/>
      <c r="T149" s="38"/>
      <c r="U149" s="38"/>
      <c r="V149" s="38"/>
      <c r="W149" s="38"/>
      <c r="X149" s="38"/>
      <c r="Y149" s="38"/>
      <c r="Z149" s="38">
        <f t="shared" si="42"/>
        <v>96</v>
      </c>
      <c r="AA149" t="e">
        <f t="shared" si="40"/>
        <v>#DIV/0!</v>
      </c>
      <c r="AB149" s="1" t="e">
        <f t="shared" si="41"/>
        <v>#DIV/0!</v>
      </c>
    </row>
    <row r="150" spans="11:28" ht="33" customHeight="1">
      <c r="K150" s="38"/>
      <c r="L150" s="38"/>
      <c r="M150" s="38"/>
      <c r="N150" s="38"/>
      <c r="O150" s="38"/>
      <c r="P150" s="38"/>
      <c r="Q150" s="38"/>
      <c r="R150" s="38"/>
      <c r="S150" s="38"/>
      <c r="T150" s="38"/>
      <c r="U150" s="38"/>
      <c r="V150" s="38"/>
      <c r="W150" s="38"/>
      <c r="X150" s="38"/>
      <c r="Y150" s="38"/>
      <c r="Z150" s="38">
        <f t="shared" si="42"/>
        <v>97</v>
      </c>
      <c r="AA150" t="e">
        <f t="shared" si="40"/>
        <v>#DIV/0!</v>
      </c>
      <c r="AB150" s="1" t="e">
        <f t="shared" si="41"/>
        <v>#DIV/0!</v>
      </c>
    </row>
    <row r="151" spans="11:28" ht="33" customHeight="1">
      <c r="K151" s="38"/>
      <c r="L151" s="38"/>
      <c r="M151" s="38"/>
      <c r="N151" s="38"/>
      <c r="O151" s="38"/>
      <c r="P151" s="38"/>
      <c r="Q151" s="38"/>
      <c r="R151" s="38"/>
      <c r="S151" s="38"/>
      <c r="T151" s="38"/>
      <c r="U151" s="38"/>
      <c r="V151" s="38"/>
      <c r="W151" s="38"/>
      <c r="X151" s="38"/>
      <c r="Y151" s="38"/>
      <c r="Z151" s="38">
        <f t="shared" si="42"/>
        <v>98</v>
      </c>
      <c r="AA151" t="e">
        <f t="shared" si="40"/>
        <v>#DIV/0!</v>
      </c>
      <c r="AB151" s="1" t="e">
        <f t="shared" si="41"/>
        <v>#DIV/0!</v>
      </c>
    </row>
    <row r="152" spans="11:28" ht="33" customHeight="1">
      <c r="K152" s="38"/>
      <c r="L152" s="38"/>
      <c r="M152" s="38"/>
      <c r="N152" s="38"/>
      <c r="O152" s="38"/>
      <c r="P152" s="38"/>
      <c r="Q152" s="38"/>
      <c r="R152" s="38"/>
      <c r="S152" s="38"/>
      <c r="T152" s="38"/>
      <c r="U152" s="38"/>
      <c r="V152" s="38"/>
      <c r="W152" s="38"/>
      <c r="X152" s="38"/>
      <c r="Y152" s="38"/>
      <c r="Z152" s="38">
        <f t="shared" si="42"/>
        <v>99</v>
      </c>
      <c r="AA152" t="e">
        <f t="shared" si="40"/>
        <v>#DIV/0!</v>
      </c>
      <c r="AB152" s="1" t="e">
        <f t="shared" si="41"/>
        <v>#DIV/0!</v>
      </c>
    </row>
    <row r="153" spans="11:28" ht="33" customHeight="1">
      <c r="K153" s="38"/>
      <c r="L153" s="38"/>
      <c r="M153" s="38"/>
      <c r="N153" s="38"/>
      <c r="O153" s="38"/>
      <c r="P153" s="38"/>
      <c r="Q153" s="38"/>
      <c r="R153" s="38"/>
      <c r="S153" s="38"/>
      <c r="T153" s="38"/>
      <c r="U153" s="38"/>
      <c r="V153" s="38"/>
      <c r="W153" s="38"/>
      <c r="X153" s="38"/>
      <c r="Y153" s="38"/>
      <c r="Z153" s="38">
        <f t="shared" si="42"/>
        <v>100</v>
      </c>
      <c r="AA153" t="e">
        <f t="shared" si="40"/>
        <v>#DIV/0!</v>
      </c>
      <c r="AB153" s="1" t="e">
        <f t="shared" si="41"/>
        <v>#DIV/0!</v>
      </c>
    </row>
    <row r="154" spans="11:28" ht="33" customHeight="1">
      <c r="K154" s="38"/>
      <c r="L154" s="38"/>
      <c r="M154" s="38"/>
      <c r="N154" s="38"/>
      <c r="O154" s="38"/>
      <c r="P154" s="38"/>
      <c r="Q154" s="38"/>
      <c r="R154" s="38"/>
      <c r="S154" s="38"/>
      <c r="T154" s="38"/>
      <c r="U154" s="38"/>
      <c r="V154" s="38"/>
      <c r="W154" s="38"/>
      <c r="X154" s="38"/>
      <c r="Y154" s="38"/>
      <c r="Z154" s="38">
        <f t="shared" si="42"/>
        <v>101</v>
      </c>
      <c r="AA154" t="e">
        <f t="shared" si="40"/>
        <v>#DIV/0!</v>
      </c>
      <c r="AB154" s="1" t="e">
        <f t="shared" si="41"/>
        <v>#DIV/0!</v>
      </c>
    </row>
    <row r="155" spans="11:28" ht="33" customHeight="1">
      <c r="K155" s="38"/>
      <c r="L155" s="38"/>
      <c r="M155" s="38"/>
      <c r="N155" s="38"/>
      <c r="O155" s="38"/>
      <c r="P155" s="38"/>
      <c r="Q155" s="38"/>
      <c r="R155" s="38"/>
      <c r="S155" s="38"/>
      <c r="T155" s="38"/>
      <c r="U155" s="38"/>
      <c r="V155" s="38"/>
      <c r="W155" s="38"/>
      <c r="X155" s="38"/>
      <c r="Y155" s="38"/>
      <c r="Z155" s="38">
        <f t="shared" si="42"/>
        <v>102</v>
      </c>
      <c r="AA155" t="e">
        <f t="shared" si="40"/>
        <v>#DIV/0!</v>
      </c>
      <c r="AB155" s="1" t="e">
        <f t="shared" si="41"/>
        <v>#DIV/0!</v>
      </c>
    </row>
    <row r="156" spans="11:28" ht="33" customHeight="1">
      <c r="K156" s="38"/>
      <c r="L156" s="38"/>
      <c r="M156" s="38"/>
      <c r="N156" s="38"/>
      <c r="O156" s="38"/>
      <c r="P156" s="38"/>
      <c r="Q156" s="38"/>
      <c r="R156" s="38"/>
      <c r="S156" s="38"/>
      <c r="T156" s="38"/>
      <c r="U156" s="38"/>
      <c r="V156" s="38"/>
      <c r="W156" s="38"/>
      <c r="X156" s="38"/>
      <c r="Y156" s="38"/>
      <c r="Z156" s="38">
        <f t="shared" si="42"/>
        <v>103</v>
      </c>
      <c r="AA156" t="e">
        <f t="shared" si="40"/>
        <v>#DIV/0!</v>
      </c>
      <c r="AB156" s="1" t="e">
        <f t="shared" si="41"/>
        <v>#DIV/0!</v>
      </c>
    </row>
    <row r="157" spans="11:28" ht="33" customHeight="1">
      <c r="K157" s="38"/>
      <c r="L157" s="38"/>
      <c r="M157" s="38"/>
      <c r="N157" s="38"/>
      <c r="O157" s="38"/>
      <c r="P157" s="38"/>
      <c r="Q157" s="38"/>
      <c r="R157" s="38"/>
      <c r="S157" s="38"/>
      <c r="T157" s="38"/>
      <c r="U157" s="38"/>
      <c r="V157" s="38"/>
      <c r="W157" s="38"/>
      <c r="X157" s="38"/>
      <c r="Y157" s="38"/>
      <c r="Z157" s="38">
        <f t="shared" si="42"/>
        <v>104</v>
      </c>
      <c r="AA157" t="e">
        <f t="shared" si="40"/>
        <v>#DIV/0!</v>
      </c>
      <c r="AB157" s="1" t="e">
        <f t="shared" si="41"/>
        <v>#DIV/0!</v>
      </c>
    </row>
    <row r="158" spans="11:28" ht="33" customHeight="1">
      <c r="K158" s="38"/>
      <c r="L158" s="38"/>
      <c r="M158" s="38"/>
      <c r="N158" s="38"/>
      <c r="O158" s="38"/>
      <c r="P158" s="38"/>
      <c r="Q158" s="38"/>
      <c r="R158" s="38"/>
      <c r="S158" s="38"/>
      <c r="T158" s="38"/>
      <c r="U158" s="38"/>
      <c r="V158" s="38"/>
      <c r="W158" s="38"/>
      <c r="X158" s="38"/>
      <c r="Y158" s="38"/>
      <c r="Z158" s="38">
        <f t="shared" si="42"/>
        <v>105</v>
      </c>
      <c r="AA158" t="e">
        <f t="shared" si="40"/>
        <v>#DIV/0!</v>
      </c>
      <c r="AB158" s="1" t="e">
        <f t="shared" si="41"/>
        <v>#DIV/0!</v>
      </c>
    </row>
    <row r="159" spans="11:28" ht="33" customHeight="1">
      <c r="K159" s="38"/>
      <c r="L159" s="38"/>
      <c r="M159" s="38"/>
      <c r="N159" s="38"/>
      <c r="O159" s="38"/>
      <c r="P159" s="38"/>
      <c r="Q159" s="38"/>
      <c r="R159" s="38"/>
      <c r="S159" s="38"/>
      <c r="T159" s="38"/>
      <c r="U159" s="38"/>
      <c r="V159" s="38"/>
      <c r="W159" s="38"/>
      <c r="X159" s="38"/>
      <c r="Y159" s="38"/>
      <c r="Z159" s="38">
        <f t="shared" si="42"/>
        <v>106</v>
      </c>
      <c r="AA159" t="e">
        <f t="shared" si="40"/>
        <v>#DIV/0!</v>
      </c>
      <c r="AB159" s="1" t="e">
        <f t="shared" si="41"/>
        <v>#DIV/0!</v>
      </c>
    </row>
    <row r="160" spans="11:28" ht="33" customHeight="1">
      <c r="K160" s="38"/>
      <c r="L160" s="38"/>
      <c r="M160" s="38"/>
      <c r="N160" s="38"/>
      <c r="O160" s="38"/>
      <c r="P160" s="38"/>
      <c r="Q160" s="38"/>
      <c r="R160" s="38"/>
      <c r="S160" s="38"/>
      <c r="T160" s="38"/>
      <c r="U160" s="38"/>
      <c r="V160" s="38"/>
      <c r="W160" s="38"/>
      <c r="X160" s="38"/>
      <c r="Y160" s="38"/>
      <c r="Z160" s="38">
        <f t="shared" si="42"/>
        <v>107</v>
      </c>
      <c r="AA160" t="e">
        <f t="shared" si="40"/>
        <v>#DIV/0!</v>
      </c>
      <c r="AB160" s="1" t="e">
        <f t="shared" si="41"/>
        <v>#DIV/0!</v>
      </c>
    </row>
    <row r="161" spans="11:28" ht="33" customHeight="1">
      <c r="K161" s="38"/>
      <c r="L161" s="38"/>
      <c r="M161" s="38"/>
      <c r="N161" s="38"/>
      <c r="O161" s="38"/>
      <c r="P161" s="38"/>
      <c r="Q161" s="38"/>
      <c r="R161" s="38"/>
      <c r="S161" s="38"/>
      <c r="T161" s="38"/>
      <c r="U161" s="38"/>
      <c r="V161" s="38"/>
      <c r="W161" s="38"/>
      <c r="X161" s="38"/>
      <c r="Y161" s="38"/>
      <c r="Z161" s="38">
        <f t="shared" si="42"/>
        <v>108</v>
      </c>
      <c r="AA161" t="e">
        <f t="shared" si="40"/>
        <v>#DIV/0!</v>
      </c>
      <c r="AB161" s="1" t="e">
        <f t="shared" si="41"/>
        <v>#DIV/0!</v>
      </c>
    </row>
    <row r="162" spans="11:28" ht="33" customHeight="1">
      <c r="K162" s="38"/>
      <c r="L162" s="38"/>
      <c r="M162" s="38"/>
      <c r="N162" s="38"/>
      <c r="O162" s="38"/>
      <c r="P162" s="38"/>
      <c r="Q162" s="38"/>
      <c r="R162" s="38"/>
      <c r="S162" s="38"/>
      <c r="T162" s="38"/>
      <c r="U162" s="38"/>
      <c r="V162" s="38"/>
      <c r="W162" s="38"/>
      <c r="X162" s="38"/>
      <c r="Y162" s="38"/>
      <c r="Z162" s="38">
        <f t="shared" si="42"/>
        <v>109</v>
      </c>
      <c r="AA162" t="e">
        <f t="shared" si="40"/>
        <v>#DIV/0!</v>
      </c>
      <c r="AB162" s="1" t="e">
        <f t="shared" si="41"/>
        <v>#DIV/0!</v>
      </c>
    </row>
    <row r="163" spans="11:28" ht="33" customHeight="1">
      <c r="K163" s="38"/>
      <c r="L163" s="38"/>
      <c r="M163" s="38"/>
      <c r="N163" s="38"/>
      <c r="O163" s="38"/>
      <c r="P163" s="38"/>
      <c r="Q163" s="38"/>
      <c r="R163" s="38"/>
      <c r="S163" s="38"/>
      <c r="T163" s="38"/>
      <c r="U163" s="38"/>
      <c r="V163" s="38"/>
      <c r="W163" s="38"/>
      <c r="X163" s="38"/>
      <c r="Y163" s="38"/>
      <c r="Z163" s="38">
        <f t="shared" si="42"/>
        <v>110</v>
      </c>
      <c r="AA163" t="e">
        <f t="shared" si="40"/>
        <v>#DIV/0!</v>
      </c>
      <c r="AB163" s="1" t="e">
        <f t="shared" si="41"/>
        <v>#DIV/0!</v>
      </c>
    </row>
    <row r="164" spans="11:28" ht="33" customHeight="1">
      <c r="K164" s="38"/>
      <c r="L164" s="38"/>
      <c r="M164" s="38"/>
      <c r="N164" s="38"/>
      <c r="O164" s="38"/>
      <c r="P164" s="38"/>
      <c r="Q164" s="38"/>
      <c r="R164" s="38"/>
      <c r="S164" s="38"/>
      <c r="T164" s="38"/>
      <c r="U164" s="38"/>
      <c r="V164" s="38"/>
      <c r="W164" s="38"/>
      <c r="X164" s="38"/>
      <c r="Y164" s="38"/>
      <c r="Z164" s="38">
        <f t="shared" si="42"/>
        <v>111</v>
      </c>
      <c r="AA164" t="e">
        <f t="shared" si="40"/>
        <v>#DIV/0!</v>
      </c>
      <c r="AB164" s="1" t="e">
        <f t="shared" si="41"/>
        <v>#DIV/0!</v>
      </c>
    </row>
    <row r="165" spans="11:28" ht="33" customHeight="1">
      <c r="K165" s="38"/>
      <c r="L165" s="38"/>
      <c r="M165" s="38"/>
      <c r="N165" s="38"/>
      <c r="O165" s="38"/>
      <c r="P165" s="38"/>
      <c r="Q165" s="38"/>
      <c r="R165" s="38"/>
      <c r="S165" s="38"/>
      <c r="T165" s="38"/>
      <c r="U165" s="38"/>
      <c r="V165" s="38"/>
      <c r="W165" s="38"/>
      <c r="X165" s="38"/>
      <c r="Y165" s="38"/>
      <c r="Z165" s="38">
        <f t="shared" si="42"/>
        <v>112</v>
      </c>
      <c r="AA165" t="e">
        <f t="shared" si="40"/>
        <v>#DIV/0!</v>
      </c>
      <c r="AB165" s="1" t="e">
        <f t="shared" si="41"/>
        <v>#DIV/0!</v>
      </c>
    </row>
    <row r="166" spans="11:28" ht="33" customHeight="1">
      <c r="K166" s="38"/>
      <c r="L166" s="38"/>
      <c r="M166" s="38"/>
      <c r="N166" s="38"/>
      <c r="O166" s="38"/>
      <c r="P166" s="38"/>
      <c r="Q166" s="38"/>
      <c r="R166" s="38"/>
      <c r="S166" s="38"/>
      <c r="T166" s="38"/>
      <c r="U166" s="38"/>
      <c r="V166" s="38"/>
      <c r="W166" s="38"/>
      <c r="X166" s="38"/>
      <c r="Y166" s="38"/>
      <c r="Z166" s="38">
        <f t="shared" si="42"/>
        <v>113</v>
      </c>
      <c r="AA166" t="e">
        <f t="shared" si="40"/>
        <v>#DIV/0!</v>
      </c>
      <c r="AB166" s="1" t="e">
        <f t="shared" si="41"/>
        <v>#DIV/0!</v>
      </c>
    </row>
    <row r="167" spans="11:28" ht="33" customHeight="1">
      <c r="K167" s="38"/>
      <c r="L167" s="38"/>
      <c r="M167" s="38"/>
      <c r="N167" s="38"/>
      <c r="O167" s="38"/>
      <c r="P167" s="38"/>
      <c r="Q167" s="38"/>
      <c r="R167" s="38"/>
      <c r="S167" s="38"/>
      <c r="T167" s="38"/>
      <c r="U167" s="38"/>
      <c r="V167" s="38"/>
      <c r="W167" s="38"/>
      <c r="X167" s="38"/>
      <c r="Y167" s="38"/>
      <c r="Z167" s="38">
        <f t="shared" si="42"/>
        <v>114</v>
      </c>
      <c r="AA167" t="e">
        <f t="shared" si="40"/>
        <v>#DIV/0!</v>
      </c>
      <c r="AB167" s="1" t="e">
        <f t="shared" si="41"/>
        <v>#DIV/0!</v>
      </c>
    </row>
    <row r="168" spans="11:28" ht="33" customHeight="1">
      <c r="K168" s="38"/>
      <c r="L168" s="38"/>
      <c r="M168" s="38"/>
      <c r="N168" s="38"/>
      <c r="O168" s="38"/>
      <c r="P168" s="38"/>
      <c r="Q168" s="38"/>
      <c r="R168" s="38"/>
      <c r="S168" s="38"/>
      <c r="T168" s="38"/>
      <c r="U168" s="38"/>
      <c r="V168" s="38"/>
      <c r="W168" s="38"/>
      <c r="X168" s="38"/>
      <c r="Y168" s="38"/>
      <c r="Z168" s="38">
        <f t="shared" si="42"/>
        <v>115</v>
      </c>
      <c r="AA168" t="e">
        <f t="shared" si="40"/>
        <v>#DIV/0!</v>
      </c>
      <c r="AB168" s="1" t="e">
        <f t="shared" si="41"/>
        <v>#DIV/0!</v>
      </c>
    </row>
    <row r="169" spans="11:28" ht="33" customHeight="1">
      <c r="K169" s="38"/>
      <c r="L169" s="38"/>
      <c r="M169" s="38"/>
      <c r="N169" s="38"/>
      <c r="O169" s="38"/>
      <c r="P169" s="38"/>
      <c r="Q169" s="38"/>
      <c r="R169" s="38"/>
      <c r="S169" s="38"/>
      <c r="T169" s="38"/>
      <c r="U169" s="38"/>
      <c r="V169" s="38"/>
      <c r="W169" s="38"/>
      <c r="X169" s="38"/>
      <c r="Y169" s="38"/>
      <c r="Z169" s="38">
        <f t="shared" si="42"/>
        <v>116</v>
      </c>
      <c r="AA169" t="e">
        <f t="shared" si="40"/>
        <v>#DIV/0!</v>
      </c>
      <c r="AB169" s="1" t="e">
        <f t="shared" si="41"/>
        <v>#DIV/0!</v>
      </c>
    </row>
    <row r="170" spans="11:28" ht="33" customHeight="1">
      <c r="K170" s="38"/>
      <c r="L170" s="38"/>
      <c r="M170" s="38"/>
      <c r="N170" s="38"/>
      <c r="O170" s="38"/>
      <c r="P170" s="38"/>
      <c r="Q170" s="38"/>
      <c r="R170" s="38"/>
      <c r="S170" s="38"/>
      <c r="T170" s="38"/>
      <c r="U170" s="38"/>
      <c r="V170" s="38"/>
      <c r="W170" s="38"/>
      <c r="X170" s="38"/>
      <c r="Y170" s="38"/>
      <c r="Z170" s="38">
        <f t="shared" si="42"/>
        <v>117</v>
      </c>
      <c r="AA170" t="e">
        <f t="shared" si="40"/>
        <v>#DIV/0!</v>
      </c>
      <c r="AB170" s="1" t="e">
        <f t="shared" si="41"/>
        <v>#DIV/0!</v>
      </c>
    </row>
    <row r="171" spans="11:28" ht="33" customHeight="1">
      <c r="K171" s="38"/>
      <c r="L171" s="38"/>
      <c r="M171" s="38"/>
      <c r="N171" s="38"/>
      <c r="O171" s="38"/>
      <c r="P171" s="38"/>
      <c r="Q171" s="38"/>
      <c r="R171" s="38"/>
      <c r="S171" s="38"/>
      <c r="T171" s="38"/>
      <c r="U171" s="38"/>
      <c r="V171" s="38"/>
      <c r="W171" s="38"/>
      <c r="X171" s="38"/>
      <c r="Y171" s="38"/>
      <c r="Z171" s="38">
        <f t="shared" si="42"/>
        <v>118</v>
      </c>
      <c r="AA171" t="e">
        <f t="shared" si="40"/>
        <v>#DIV/0!</v>
      </c>
      <c r="AB171" s="1" t="e">
        <f t="shared" si="41"/>
        <v>#DIV/0!</v>
      </c>
    </row>
    <row r="172" spans="11:28" ht="33" customHeight="1">
      <c r="K172" s="38"/>
      <c r="L172" s="38"/>
      <c r="M172" s="38"/>
      <c r="N172" s="38"/>
      <c r="O172" s="38"/>
      <c r="P172" s="38"/>
      <c r="Q172" s="38"/>
      <c r="R172" s="38"/>
      <c r="S172" s="38"/>
      <c r="T172" s="38"/>
      <c r="U172" s="38"/>
      <c r="V172" s="38"/>
      <c r="W172" s="38"/>
      <c r="X172" s="38"/>
      <c r="Y172" s="38"/>
      <c r="Z172" s="38">
        <f t="shared" si="42"/>
        <v>119</v>
      </c>
      <c r="AA172" t="e">
        <f t="shared" si="40"/>
        <v>#DIV/0!</v>
      </c>
      <c r="AB172" s="1" t="e">
        <f t="shared" si="41"/>
        <v>#DIV/0!</v>
      </c>
    </row>
    <row r="173" spans="11:28" ht="33" customHeight="1">
      <c r="K173" s="38"/>
      <c r="L173" s="38"/>
      <c r="M173" s="38"/>
      <c r="N173" s="38"/>
      <c r="O173" s="38"/>
      <c r="P173" s="38"/>
      <c r="Q173" s="38"/>
      <c r="R173" s="38"/>
      <c r="S173" s="38"/>
      <c r="T173" s="38"/>
      <c r="U173" s="38"/>
      <c r="V173" s="38"/>
      <c r="W173" s="38"/>
      <c r="X173" s="38"/>
      <c r="Y173" s="38"/>
      <c r="Z173" s="38">
        <f t="shared" si="42"/>
        <v>120</v>
      </c>
      <c r="AA173" t="e">
        <f t="shared" si="40"/>
        <v>#DIV/0!</v>
      </c>
      <c r="AB173" s="1" t="e">
        <f t="shared" si="41"/>
        <v>#DIV/0!</v>
      </c>
    </row>
    <row r="174" spans="11:28" ht="33" customHeight="1">
      <c r="K174" s="38"/>
      <c r="L174" s="38"/>
      <c r="M174" s="38"/>
      <c r="N174" s="38"/>
      <c r="O174" s="38"/>
      <c r="P174" s="38"/>
      <c r="Q174" s="38"/>
      <c r="R174" s="38"/>
      <c r="S174" s="38"/>
      <c r="T174" s="38"/>
      <c r="U174" s="38"/>
      <c r="V174" s="38"/>
      <c r="W174" s="38"/>
      <c r="X174" s="38"/>
      <c r="Y174" s="38"/>
      <c r="Z174" s="38">
        <f t="shared" si="42"/>
        <v>121</v>
      </c>
      <c r="AA174" t="e">
        <f t="shared" si="40"/>
        <v>#DIV/0!</v>
      </c>
      <c r="AB174" s="1" t="e">
        <f t="shared" si="41"/>
        <v>#DIV/0!</v>
      </c>
    </row>
    <row r="175" spans="11:28" ht="33" customHeight="1">
      <c r="K175" s="38"/>
      <c r="L175" s="38"/>
      <c r="M175" s="38"/>
      <c r="N175" s="38"/>
      <c r="O175" s="38"/>
      <c r="P175" s="38"/>
      <c r="Q175" s="38"/>
      <c r="R175" s="38"/>
      <c r="S175" s="38"/>
      <c r="T175" s="38"/>
      <c r="U175" s="38"/>
      <c r="V175" s="38"/>
      <c r="W175" s="38"/>
      <c r="X175" s="38"/>
      <c r="Y175" s="38"/>
      <c r="Z175" s="38">
        <f t="shared" si="42"/>
        <v>122</v>
      </c>
      <c r="AA175" t="e">
        <f t="shared" si="40"/>
        <v>#DIV/0!</v>
      </c>
      <c r="AB175" s="1" t="e">
        <f t="shared" si="41"/>
        <v>#DIV/0!</v>
      </c>
    </row>
    <row r="176" spans="11:28" ht="33" customHeight="1">
      <c r="K176" s="38"/>
      <c r="L176" s="38"/>
      <c r="M176" s="38"/>
      <c r="N176" s="38"/>
      <c r="O176" s="38"/>
      <c r="P176" s="38"/>
      <c r="Q176" s="38"/>
      <c r="R176" s="38"/>
      <c r="S176" s="38"/>
      <c r="T176" s="38"/>
      <c r="U176" s="38"/>
      <c r="V176" s="38"/>
      <c r="W176" s="38"/>
      <c r="X176" s="38"/>
      <c r="Y176" s="38"/>
      <c r="Z176" s="38">
        <f t="shared" si="42"/>
        <v>123</v>
      </c>
      <c r="AA176" t="e">
        <f t="shared" si="40"/>
        <v>#DIV/0!</v>
      </c>
      <c r="AB176" s="1" t="e">
        <f t="shared" si="41"/>
        <v>#DIV/0!</v>
      </c>
    </row>
    <row r="177" spans="11:28" ht="33" customHeight="1">
      <c r="K177" s="38"/>
      <c r="L177" s="38"/>
      <c r="M177" s="38"/>
      <c r="N177" s="38"/>
      <c r="O177" s="38"/>
      <c r="P177" s="38"/>
      <c r="Q177" s="38"/>
      <c r="R177" s="38"/>
      <c r="S177" s="38"/>
      <c r="T177" s="38"/>
      <c r="U177" s="38"/>
      <c r="V177" s="38"/>
      <c r="W177" s="38"/>
      <c r="X177" s="38"/>
      <c r="Y177" s="38"/>
      <c r="Z177" s="38">
        <f t="shared" si="42"/>
        <v>124</v>
      </c>
      <c r="AA177" t="e">
        <f t="shared" si="40"/>
        <v>#DIV/0!</v>
      </c>
      <c r="AB177" s="1" t="e">
        <f t="shared" si="41"/>
        <v>#DIV/0!</v>
      </c>
    </row>
    <row r="178" spans="11:28" ht="33" customHeight="1">
      <c r="K178" s="38"/>
      <c r="L178" s="38"/>
      <c r="M178" s="38"/>
      <c r="N178" s="38"/>
      <c r="O178" s="38"/>
      <c r="P178" s="38"/>
      <c r="Q178" s="38"/>
      <c r="R178" s="38"/>
      <c r="S178" s="38"/>
      <c r="T178" s="38"/>
      <c r="U178" s="38"/>
      <c r="V178" s="38"/>
      <c r="W178" s="38"/>
      <c r="X178" s="38"/>
      <c r="Y178" s="38"/>
      <c r="Z178" s="38">
        <f t="shared" si="42"/>
        <v>125</v>
      </c>
      <c r="AA178" t="e">
        <f t="shared" si="40"/>
        <v>#DIV/0!</v>
      </c>
      <c r="AB178" s="1" t="e">
        <f t="shared" si="41"/>
        <v>#DIV/0!</v>
      </c>
    </row>
    <row r="179" spans="11:28" ht="33" customHeight="1">
      <c r="K179" s="38"/>
      <c r="L179" s="38"/>
      <c r="M179" s="38"/>
      <c r="N179" s="38"/>
      <c r="O179" s="38"/>
      <c r="P179" s="38"/>
      <c r="Q179" s="38"/>
      <c r="R179" s="38"/>
      <c r="S179" s="38"/>
      <c r="T179" s="38"/>
      <c r="U179" s="38"/>
      <c r="V179" s="38"/>
      <c r="W179" s="38"/>
      <c r="X179" s="38"/>
      <c r="Y179" s="38"/>
      <c r="Z179" s="38">
        <f t="shared" si="42"/>
        <v>126</v>
      </c>
      <c r="AA179" t="e">
        <f t="shared" si="40"/>
        <v>#DIV/0!</v>
      </c>
      <c r="AB179" s="1" t="e">
        <f t="shared" si="41"/>
        <v>#DIV/0!</v>
      </c>
    </row>
    <row r="180" spans="11:28" ht="33" customHeight="1">
      <c r="K180" s="38"/>
      <c r="L180" s="38"/>
      <c r="M180" s="38"/>
      <c r="N180" s="38"/>
      <c r="O180" s="38"/>
      <c r="P180" s="38"/>
      <c r="Q180" s="38"/>
      <c r="R180" s="38"/>
      <c r="S180" s="38"/>
      <c r="T180" s="38"/>
      <c r="U180" s="38"/>
      <c r="V180" s="38"/>
      <c r="W180" s="38"/>
      <c r="X180" s="38"/>
      <c r="Y180" s="38"/>
      <c r="Z180" s="38">
        <f t="shared" si="42"/>
        <v>127</v>
      </c>
      <c r="AA180" t="e">
        <f t="shared" si="40"/>
        <v>#DIV/0!</v>
      </c>
      <c r="AB180" s="1" t="e">
        <f t="shared" si="41"/>
        <v>#DIV/0!</v>
      </c>
    </row>
    <row r="181" spans="11:28" ht="33" customHeight="1">
      <c r="K181" s="38"/>
      <c r="L181" s="38"/>
      <c r="M181" s="38"/>
      <c r="N181" s="38"/>
      <c r="O181" s="38"/>
      <c r="P181" s="38"/>
      <c r="Q181" s="38"/>
      <c r="R181" s="38"/>
      <c r="S181" s="38"/>
      <c r="T181" s="38"/>
      <c r="U181" s="38"/>
      <c r="V181" s="38"/>
      <c r="W181" s="38"/>
      <c r="X181" s="38"/>
      <c r="Y181" s="38"/>
      <c r="Z181" s="38">
        <f t="shared" si="42"/>
        <v>128</v>
      </c>
      <c r="AA181" t="e">
        <f t="shared" si="40"/>
        <v>#DIV/0!</v>
      </c>
      <c r="AB181" s="1" t="e">
        <f t="shared" si="41"/>
        <v>#DIV/0!</v>
      </c>
    </row>
    <row r="182" spans="11:28" ht="33" customHeight="1">
      <c r="K182" s="38"/>
      <c r="L182" s="38"/>
      <c r="M182" s="38"/>
      <c r="N182" s="38"/>
      <c r="O182" s="38"/>
      <c r="P182" s="38"/>
      <c r="Q182" s="38"/>
      <c r="R182" s="38"/>
      <c r="S182" s="38"/>
      <c r="T182" s="38"/>
      <c r="U182" s="38"/>
      <c r="V182" s="38"/>
      <c r="W182" s="38"/>
      <c r="X182" s="38"/>
      <c r="Y182" s="38"/>
      <c r="Z182" s="38">
        <f t="shared" si="42"/>
        <v>129</v>
      </c>
      <c r="AA182" t="e">
        <f t="shared" si="40"/>
        <v>#DIV/0!</v>
      </c>
      <c r="AB182" s="1" t="e">
        <f t="shared" si="41"/>
        <v>#DIV/0!</v>
      </c>
    </row>
    <row r="183" spans="11:28" ht="33" customHeight="1">
      <c r="K183" s="38"/>
      <c r="L183" s="38"/>
      <c r="M183" s="38"/>
      <c r="N183" s="38"/>
      <c r="O183" s="38"/>
      <c r="P183" s="38"/>
      <c r="Q183" s="38"/>
      <c r="R183" s="38"/>
      <c r="S183" s="38"/>
      <c r="T183" s="38"/>
      <c r="U183" s="38"/>
      <c r="V183" s="38"/>
      <c r="W183" s="38"/>
      <c r="X183" s="38"/>
      <c r="Y183" s="38"/>
      <c r="Z183" s="38">
        <f t="shared" si="42"/>
        <v>130</v>
      </c>
      <c r="AA183" t="e">
        <f t="shared" si="40"/>
        <v>#DIV/0!</v>
      </c>
      <c r="AB183" s="1" t="e">
        <f t="shared" si="41"/>
        <v>#DIV/0!</v>
      </c>
    </row>
    <row r="184" spans="11:28" ht="33" customHeight="1">
      <c r="K184" s="38"/>
      <c r="L184" s="38"/>
      <c r="M184" s="38"/>
      <c r="N184" s="38"/>
      <c r="O184" s="38"/>
      <c r="P184" s="38"/>
      <c r="Q184" s="38"/>
      <c r="R184" s="38"/>
      <c r="S184" s="38"/>
      <c r="T184" s="38"/>
      <c r="U184" s="38"/>
      <c r="V184" s="38"/>
      <c r="W184" s="38"/>
      <c r="X184" s="38"/>
      <c r="Y184" s="38"/>
      <c r="Z184" s="38">
        <f t="shared" si="42"/>
        <v>131</v>
      </c>
      <c r="AA184" t="e">
        <f t="shared" si="40"/>
        <v>#DIV/0!</v>
      </c>
      <c r="AB184" s="1" t="e">
        <f t="shared" si="41"/>
        <v>#DIV/0!</v>
      </c>
    </row>
    <row r="185" spans="11:28" ht="33" customHeight="1">
      <c r="K185" s="38"/>
      <c r="L185" s="38"/>
      <c r="M185" s="38"/>
      <c r="N185" s="38"/>
      <c r="O185" s="38"/>
      <c r="P185" s="38"/>
      <c r="Q185" s="38"/>
      <c r="R185" s="38"/>
      <c r="S185" s="38"/>
      <c r="T185" s="38"/>
      <c r="U185" s="38"/>
      <c r="V185" s="38"/>
      <c r="W185" s="38"/>
      <c r="X185" s="38"/>
      <c r="Y185" s="38"/>
      <c r="Z185" s="38">
        <f t="shared" si="42"/>
        <v>132</v>
      </c>
      <c r="AA185" t="e">
        <f t="shared" si="40"/>
        <v>#DIV/0!</v>
      </c>
      <c r="AB185" s="1" t="e">
        <f t="shared" si="41"/>
        <v>#DIV/0!</v>
      </c>
    </row>
    <row r="186" spans="11:28" ht="33" customHeight="1">
      <c r="K186" s="38"/>
      <c r="L186" s="38"/>
      <c r="M186" s="38"/>
      <c r="N186" s="38"/>
      <c r="O186" s="38"/>
      <c r="P186" s="38"/>
      <c r="Q186" s="38"/>
      <c r="R186" s="38"/>
      <c r="S186" s="38"/>
      <c r="T186" s="38"/>
      <c r="U186" s="38"/>
      <c r="V186" s="38"/>
      <c r="W186" s="38"/>
      <c r="X186" s="38"/>
      <c r="Y186" s="38"/>
      <c r="Z186" s="38">
        <f t="shared" si="42"/>
        <v>133</v>
      </c>
      <c r="AA186" t="e">
        <f t="shared" si="40"/>
        <v>#DIV/0!</v>
      </c>
      <c r="AB186" s="1" t="e">
        <f t="shared" si="41"/>
        <v>#DIV/0!</v>
      </c>
    </row>
    <row r="187" spans="11:28" ht="33" customHeight="1">
      <c r="K187" s="38"/>
      <c r="L187" s="38"/>
      <c r="M187" s="38"/>
      <c r="N187" s="38"/>
      <c r="O187" s="38"/>
      <c r="P187" s="38"/>
      <c r="Q187" s="38"/>
      <c r="R187" s="38"/>
      <c r="S187" s="38"/>
      <c r="T187" s="38"/>
      <c r="U187" s="38"/>
      <c r="V187" s="38"/>
      <c r="W187" s="38"/>
      <c r="X187" s="38"/>
      <c r="Y187" s="38"/>
      <c r="Z187" s="38">
        <f t="shared" si="42"/>
        <v>134</v>
      </c>
      <c r="AA187" t="e">
        <f t="shared" si="40"/>
        <v>#DIV/0!</v>
      </c>
      <c r="AB187" s="1" t="e">
        <f t="shared" si="41"/>
        <v>#DIV/0!</v>
      </c>
    </row>
    <row r="188" spans="11:28" ht="33" customHeight="1">
      <c r="K188" s="38"/>
      <c r="L188" s="38"/>
      <c r="M188" s="38"/>
      <c r="N188" s="38"/>
      <c r="O188" s="38"/>
      <c r="P188" s="38"/>
      <c r="Q188" s="38"/>
      <c r="R188" s="38"/>
      <c r="S188" s="38"/>
      <c r="T188" s="38"/>
      <c r="U188" s="38"/>
      <c r="V188" s="38"/>
      <c r="W188" s="38"/>
      <c r="X188" s="38"/>
      <c r="Y188" s="38"/>
      <c r="Z188" s="38">
        <f t="shared" si="42"/>
        <v>135</v>
      </c>
      <c r="AA188" t="e">
        <f t="shared" si="40"/>
        <v>#DIV/0!</v>
      </c>
      <c r="AB188" s="1" t="e">
        <f t="shared" si="41"/>
        <v>#DIV/0!</v>
      </c>
    </row>
    <row r="189" spans="11:28" ht="33" customHeight="1">
      <c r="K189" s="38"/>
      <c r="L189" s="38"/>
      <c r="M189" s="38"/>
      <c r="N189" s="38"/>
      <c r="O189" s="38"/>
      <c r="P189" s="38"/>
      <c r="Q189" s="38"/>
      <c r="R189" s="38"/>
      <c r="S189" s="38"/>
      <c r="T189" s="38"/>
      <c r="U189" s="38"/>
      <c r="V189" s="38"/>
      <c r="W189" s="38"/>
      <c r="X189" s="38"/>
      <c r="Y189" s="38"/>
      <c r="Z189" s="38">
        <f t="shared" si="42"/>
        <v>136</v>
      </c>
      <c r="AA189" t="e">
        <f t="shared" si="40"/>
        <v>#DIV/0!</v>
      </c>
      <c r="AB189" s="1" t="e">
        <f t="shared" si="41"/>
        <v>#DIV/0!</v>
      </c>
    </row>
    <row r="190" spans="11:28" ht="33" customHeight="1">
      <c r="K190" s="38"/>
      <c r="L190" s="38"/>
      <c r="M190" s="38"/>
      <c r="N190" s="38"/>
      <c r="O190" s="38"/>
      <c r="P190" s="38"/>
      <c r="Q190" s="38"/>
      <c r="R190" s="38"/>
      <c r="S190" s="38"/>
      <c r="T190" s="38"/>
      <c r="U190" s="38"/>
      <c r="V190" s="38"/>
      <c r="W190" s="38"/>
      <c r="X190" s="38"/>
      <c r="Y190" s="38"/>
      <c r="Z190" s="38">
        <f t="shared" si="42"/>
        <v>137</v>
      </c>
      <c r="AA190" t="e">
        <f t="shared" si="40"/>
        <v>#DIV/0!</v>
      </c>
      <c r="AB190" s="1" t="e">
        <f t="shared" si="41"/>
        <v>#DIV/0!</v>
      </c>
    </row>
    <row r="191" spans="11:28" ht="33" customHeight="1">
      <c r="K191" s="38"/>
      <c r="L191" s="38"/>
      <c r="M191" s="38"/>
      <c r="N191" s="38"/>
      <c r="O191" s="38"/>
      <c r="P191" s="38"/>
      <c r="Q191" s="38"/>
      <c r="R191" s="38"/>
      <c r="S191" s="38"/>
      <c r="T191" s="38"/>
      <c r="U191" s="38"/>
      <c r="V191" s="38"/>
      <c r="W191" s="38"/>
      <c r="X191" s="38"/>
      <c r="Y191" s="38"/>
      <c r="Z191" s="38">
        <f t="shared" si="42"/>
        <v>138</v>
      </c>
      <c r="AA191" t="e">
        <f t="shared" si="40"/>
        <v>#DIV/0!</v>
      </c>
      <c r="AB191" s="1" t="e">
        <f t="shared" si="41"/>
        <v>#DIV/0!</v>
      </c>
    </row>
    <row r="192" spans="11:28" ht="33" customHeight="1">
      <c r="K192" s="38"/>
      <c r="L192" s="38"/>
      <c r="M192" s="38"/>
      <c r="N192" s="38"/>
      <c r="O192" s="38"/>
      <c r="P192" s="38"/>
      <c r="Q192" s="38"/>
      <c r="R192" s="38"/>
      <c r="S192" s="38"/>
      <c r="T192" s="38"/>
      <c r="U192" s="38"/>
      <c r="V192" s="38"/>
      <c r="W192" s="38"/>
      <c r="X192" s="38"/>
      <c r="Y192" s="38"/>
      <c r="Z192" s="38">
        <f t="shared" si="42"/>
        <v>139</v>
      </c>
      <c r="AA192" t="e">
        <f t="shared" si="40"/>
        <v>#DIV/0!</v>
      </c>
      <c r="AB192" s="1" t="e">
        <f t="shared" si="41"/>
        <v>#DIV/0!</v>
      </c>
    </row>
    <row r="193" spans="11:28" ht="33" customHeight="1">
      <c r="K193" s="38"/>
      <c r="L193" s="38"/>
      <c r="M193" s="38"/>
      <c r="N193" s="38"/>
      <c r="O193" s="38"/>
      <c r="P193" s="38"/>
      <c r="Q193" s="38"/>
      <c r="R193" s="38"/>
      <c r="S193" s="38"/>
      <c r="T193" s="38"/>
      <c r="U193" s="38"/>
      <c r="V193" s="38"/>
      <c r="W193" s="38"/>
      <c r="X193" s="38"/>
      <c r="Y193" s="38"/>
      <c r="Z193" s="38">
        <f t="shared" si="42"/>
        <v>140</v>
      </c>
      <c r="AA193" t="e">
        <f t="shared" si="40"/>
        <v>#DIV/0!</v>
      </c>
      <c r="AB193" s="1" t="e">
        <f t="shared" si="41"/>
        <v>#DIV/0!</v>
      </c>
    </row>
    <row r="194" spans="11:28" ht="33" customHeight="1">
      <c r="K194" s="38"/>
      <c r="L194" s="38"/>
      <c r="M194" s="38"/>
      <c r="N194" s="38"/>
      <c r="O194" s="38"/>
      <c r="P194" s="38"/>
      <c r="Q194" s="38"/>
      <c r="R194" s="38"/>
      <c r="S194" s="38"/>
      <c r="T194" s="38"/>
      <c r="U194" s="38"/>
      <c r="V194" s="38"/>
      <c r="W194" s="38"/>
      <c r="X194" s="38"/>
      <c r="Y194" s="38"/>
      <c r="Z194" s="38">
        <f t="shared" si="42"/>
        <v>141</v>
      </c>
      <c r="AA194" t="e">
        <f t="shared" si="40"/>
        <v>#DIV/0!</v>
      </c>
      <c r="AB194" s="1" t="e">
        <f t="shared" si="41"/>
        <v>#DIV/0!</v>
      </c>
    </row>
    <row r="195" spans="11:28" ht="33" customHeight="1">
      <c r="K195" s="38"/>
      <c r="L195" s="38"/>
      <c r="M195" s="38"/>
      <c r="N195" s="38"/>
      <c r="O195" s="38"/>
      <c r="P195" s="38"/>
      <c r="Q195" s="38"/>
      <c r="R195" s="38"/>
      <c r="S195" s="38"/>
      <c r="T195" s="38"/>
      <c r="U195" s="38"/>
      <c r="V195" s="38"/>
      <c r="W195" s="38"/>
      <c r="X195" s="38"/>
      <c r="Y195" s="38"/>
      <c r="Z195" s="38">
        <f t="shared" si="42"/>
        <v>142</v>
      </c>
      <c r="AA195" t="e">
        <f t="shared" si="40"/>
        <v>#DIV/0!</v>
      </c>
      <c r="AB195" s="1" t="e">
        <f t="shared" si="41"/>
        <v>#DIV/0!</v>
      </c>
    </row>
    <row r="196" spans="11:28" ht="33" customHeight="1">
      <c r="K196" s="38"/>
      <c r="L196" s="38"/>
      <c r="M196" s="38"/>
      <c r="N196" s="38"/>
      <c r="O196" s="38"/>
      <c r="P196" s="38"/>
      <c r="Q196" s="38"/>
      <c r="R196" s="38"/>
      <c r="S196" s="38"/>
      <c r="T196" s="38"/>
      <c r="U196" s="38"/>
      <c r="V196" s="38"/>
      <c r="W196" s="38"/>
      <c r="X196" s="38"/>
      <c r="Y196" s="38"/>
      <c r="Z196" s="38">
        <f t="shared" si="42"/>
        <v>143</v>
      </c>
      <c r="AA196" t="e">
        <f t="shared" si="40"/>
        <v>#DIV/0!</v>
      </c>
      <c r="AB196" s="1" t="e">
        <f t="shared" si="41"/>
        <v>#DIV/0!</v>
      </c>
    </row>
    <row r="197" spans="11:28" ht="33" customHeight="1">
      <c r="K197" s="38"/>
      <c r="L197" s="38"/>
      <c r="M197" s="38"/>
      <c r="N197" s="38"/>
      <c r="O197" s="38"/>
      <c r="P197" s="38"/>
      <c r="Q197" s="38"/>
      <c r="R197" s="38"/>
      <c r="S197" s="38"/>
      <c r="T197" s="38"/>
      <c r="U197" s="38"/>
      <c r="V197" s="38"/>
      <c r="W197" s="38"/>
      <c r="X197" s="38"/>
      <c r="Y197" s="38"/>
      <c r="Z197" s="38">
        <f t="shared" si="42"/>
        <v>144</v>
      </c>
      <c r="AA197" t="e">
        <f t="shared" si="40"/>
        <v>#DIV/0!</v>
      </c>
      <c r="AB197" s="1" t="e">
        <f t="shared" si="41"/>
        <v>#DIV/0!</v>
      </c>
    </row>
    <row r="198" spans="11:28" ht="33" customHeight="1">
      <c r="K198" s="38"/>
      <c r="L198" s="38"/>
      <c r="M198" s="38"/>
      <c r="N198" s="38"/>
      <c r="O198" s="38"/>
      <c r="P198" s="38"/>
      <c r="Q198" s="38"/>
      <c r="R198" s="38"/>
      <c r="S198" s="38"/>
      <c r="T198" s="38"/>
      <c r="U198" s="38"/>
      <c r="V198" s="38"/>
      <c r="W198" s="38"/>
      <c r="X198" s="38"/>
      <c r="Y198" s="38"/>
      <c r="Z198" s="38">
        <f t="shared" si="42"/>
        <v>145</v>
      </c>
      <c r="AA198" t="e">
        <f t="shared" si="40"/>
        <v>#DIV/0!</v>
      </c>
      <c r="AB198" s="1" t="e">
        <f t="shared" si="41"/>
        <v>#DIV/0!</v>
      </c>
    </row>
    <row r="199" spans="11:28" ht="33" customHeight="1">
      <c r="K199" s="38"/>
      <c r="L199" s="38"/>
      <c r="M199" s="38"/>
      <c r="N199" s="38"/>
      <c r="O199" s="38"/>
      <c r="P199" s="38"/>
      <c r="Q199" s="38"/>
      <c r="R199" s="38"/>
      <c r="S199" s="38"/>
      <c r="T199" s="38"/>
      <c r="U199" s="38"/>
      <c r="V199" s="38"/>
      <c r="W199" s="38"/>
      <c r="X199" s="38"/>
      <c r="Y199" s="38"/>
      <c r="Z199" s="38">
        <f t="shared" si="42"/>
        <v>146</v>
      </c>
      <c r="AA199" t="e">
        <f t="shared" si="40"/>
        <v>#DIV/0!</v>
      </c>
      <c r="AB199" s="1" t="e">
        <f t="shared" si="41"/>
        <v>#DIV/0!</v>
      </c>
    </row>
    <row r="200" spans="11:28" ht="33" customHeight="1">
      <c r="K200" s="38"/>
      <c r="L200" s="38"/>
      <c r="M200" s="38"/>
      <c r="N200" s="38"/>
      <c r="O200" s="38"/>
      <c r="P200" s="38"/>
      <c r="Q200" s="38"/>
      <c r="R200" s="38"/>
      <c r="S200" s="38"/>
      <c r="T200" s="38"/>
      <c r="U200" s="38"/>
      <c r="V200" s="38"/>
      <c r="W200" s="38"/>
      <c r="X200" s="38"/>
      <c r="Y200" s="38"/>
      <c r="Z200" s="38">
        <f t="shared" si="42"/>
        <v>147</v>
      </c>
      <c r="AA200" t="e">
        <f t="shared" si="40"/>
        <v>#DIV/0!</v>
      </c>
      <c r="AB200" s="1" t="e">
        <f t="shared" si="41"/>
        <v>#DIV/0!</v>
      </c>
    </row>
    <row r="201" spans="11:28" ht="33" customHeight="1">
      <c r="K201" s="38"/>
      <c r="L201" s="38"/>
      <c r="M201" s="38"/>
      <c r="N201" s="38"/>
      <c r="O201" s="38"/>
      <c r="P201" s="38"/>
      <c r="Q201" s="38"/>
      <c r="R201" s="38"/>
      <c r="S201" s="38"/>
      <c r="T201" s="38"/>
      <c r="U201" s="38"/>
      <c r="V201" s="38"/>
      <c r="W201" s="38"/>
      <c r="X201" s="38"/>
      <c r="Y201" s="38"/>
      <c r="Z201" s="38">
        <f t="shared" si="42"/>
        <v>148</v>
      </c>
      <c r="AA201" t="e">
        <f t="shared" si="40"/>
        <v>#DIV/0!</v>
      </c>
      <c r="AB201" s="1" t="e">
        <f t="shared" si="41"/>
        <v>#DIV/0!</v>
      </c>
    </row>
    <row r="202" spans="11:28" ht="33" customHeight="1">
      <c r="K202" s="38"/>
      <c r="L202" s="38"/>
      <c r="M202" s="38"/>
      <c r="N202" s="38"/>
      <c r="O202" s="38"/>
      <c r="P202" s="38"/>
      <c r="Q202" s="38"/>
      <c r="R202" s="38"/>
      <c r="S202" s="38"/>
      <c r="T202" s="38"/>
      <c r="U202" s="38"/>
      <c r="V202" s="38"/>
      <c r="W202" s="38"/>
      <c r="X202" s="38"/>
      <c r="Y202" s="38"/>
      <c r="Z202" s="38">
        <f t="shared" si="42"/>
        <v>149</v>
      </c>
      <c r="AA202" t="e">
        <f t="shared" si="40"/>
        <v>#DIV/0!</v>
      </c>
      <c r="AB202" s="1" t="e">
        <f t="shared" si="41"/>
        <v>#DIV/0!</v>
      </c>
    </row>
    <row r="203" spans="11:28" ht="33" customHeight="1">
      <c r="K203" s="38"/>
      <c r="L203" s="38"/>
      <c r="M203" s="38"/>
      <c r="N203" s="38"/>
      <c r="O203" s="38"/>
      <c r="P203" s="38"/>
      <c r="Q203" s="38"/>
      <c r="R203" s="38"/>
      <c r="S203" s="38"/>
      <c r="T203" s="38"/>
      <c r="U203" s="38"/>
      <c r="V203" s="38"/>
      <c r="W203" s="38"/>
      <c r="X203" s="38"/>
      <c r="Y203" s="38"/>
      <c r="Z203" s="38">
        <f t="shared" si="42"/>
        <v>150</v>
      </c>
      <c r="AA203" t="e">
        <f t="shared" ref="AA203:AA266" si="43">IF(AB203=Z203,1,0)</f>
        <v>#DIV/0!</v>
      </c>
      <c r="AB203" s="1" t="e">
        <f t="shared" ref="AB203:AB266" si="44">$AB$8</f>
        <v>#DIV/0!</v>
      </c>
    </row>
    <row r="204" spans="11:28" ht="33" customHeight="1">
      <c r="K204" s="38"/>
      <c r="L204" s="38"/>
      <c r="M204" s="38"/>
      <c r="N204" s="38"/>
      <c r="O204" s="38"/>
      <c r="P204" s="38"/>
      <c r="Q204" s="38"/>
      <c r="R204" s="38"/>
      <c r="S204" s="38"/>
      <c r="T204" s="38"/>
      <c r="U204" s="38"/>
      <c r="V204" s="38"/>
      <c r="W204" s="38"/>
      <c r="X204" s="38"/>
      <c r="Y204" s="38"/>
      <c r="Z204" s="38">
        <f t="shared" ref="Z204:Z267" si="45">Z203+1</f>
        <v>151</v>
      </c>
      <c r="AA204" t="e">
        <f t="shared" si="43"/>
        <v>#DIV/0!</v>
      </c>
      <c r="AB204" s="1" t="e">
        <f t="shared" si="44"/>
        <v>#DIV/0!</v>
      </c>
    </row>
    <row r="205" spans="11:28" ht="33" customHeight="1">
      <c r="K205" s="38"/>
      <c r="L205" s="38"/>
      <c r="M205" s="38"/>
      <c r="N205" s="38"/>
      <c r="O205" s="38"/>
      <c r="P205" s="38"/>
      <c r="Q205" s="38"/>
      <c r="R205" s="38"/>
      <c r="S205" s="38"/>
      <c r="T205" s="38"/>
      <c r="U205" s="38"/>
      <c r="V205" s="38"/>
      <c r="W205" s="38"/>
      <c r="X205" s="38"/>
      <c r="Y205" s="38"/>
      <c r="Z205" s="38">
        <f t="shared" si="45"/>
        <v>152</v>
      </c>
      <c r="AA205" t="e">
        <f t="shared" si="43"/>
        <v>#DIV/0!</v>
      </c>
      <c r="AB205" s="1" t="e">
        <f t="shared" si="44"/>
        <v>#DIV/0!</v>
      </c>
    </row>
    <row r="206" spans="11:28" ht="33" customHeight="1">
      <c r="K206" s="38"/>
      <c r="L206" s="38"/>
      <c r="M206" s="38"/>
      <c r="N206" s="38"/>
      <c r="O206" s="38"/>
      <c r="P206" s="38"/>
      <c r="Q206" s="38"/>
      <c r="R206" s="38"/>
      <c r="S206" s="38"/>
      <c r="T206" s="38"/>
      <c r="U206" s="38"/>
      <c r="V206" s="38"/>
      <c r="W206" s="38"/>
      <c r="X206" s="38"/>
      <c r="Y206" s="38"/>
      <c r="Z206" s="38">
        <f t="shared" si="45"/>
        <v>153</v>
      </c>
      <c r="AA206" t="e">
        <f t="shared" si="43"/>
        <v>#DIV/0!</v>
      </c>
      <c r="AB206" s="1" t="e">
        <f t="shared" si="44"/>
        <v>#DIV/0!</v>
      </c>
    </row>
    <row r="207" spans="11:28" ht="33" customHeight="1">
      <c r="K207" s="38"/>
      <c r="L207" s="38"/>
      <c r="M207" s="38"/>
      <c r="N207" s="38"/>
      <c r="O207" s="38"/>
      <c r="P207" s="38"/>
      <c r="Q207" s="38"/>
      <c r="R207" s="38"/>
      <c r="S207" s="38"/>
      <c r="T207" s="38"/>
      <c r="U207" s="38"/>
      <c r="V207" s="38"/>
      <c r="W207" s="38"/>
      <c r="X207" s="38"/>
      <c r="Y207" s="38"/>
      <c r="Z207" s="38">
        <f t="shared" si="45"/>
        <v>154</v>
      </c>
      <c r="AA207" t="e">
        <f t="shared" si="43"/>
        <v>#DIV/0!</v>
      </c>
      <c r="AB207" s="1" t="e">
        <f t="shared" si="44"/>
        <v>#DIV/0!</v>
      </c>
    </row>
    <row r="208" spans="11:28" ht="33" customHeight="1">
      <c r="K208" s="38"/>
      <c r="L208" s="38"/>
      <c r="M208" s="38"/>
      <c r="N208" s="38"/>
      <c r="O208" s="38"/>
      <c r="P208" s="38"/>
      <c r="Q208" s="38"/>
      <c r="R208" s="38"/>
      <c r="S208" s="38"/>
      <c r="T208" s="38"/>
      <c r="U208" s="38"/>
      <c r="V208" s="38"/>
      <c r="W208" s="38"/>
      <c r="X208" s="38"/>
      <c r="Y208" s="38"/>
      <c r="Z208" s="38">
        <f t="shared" si="45"/>
        <v>155</v>
      </c>
      <c r="AA208" t="e">
        <f t="shared" si="43"/>
        <v>#DIV/0!</v>
      </c>
      <c r="AB208" s="1" t="e">
        <f t="shared" si="44"/>
        <v>#DIV/0!</v>
      </c>
    </row>
    <row r="209" spans="11:28" ht="33" customHeight="1">
      <c r="K209" s="38"/>
      <c r="L209" s="38"/>
      <c r="M209" s="38"/>
      <c r="N209" s="38"/>
      <c r="O209" s="38"/>
      <c r="P209" s="38"/>
      <c r="Q209" s="38"/>
      <c r="R209" s="38"/>
      <c r="S209" s="38"/>
      <c r="T209" s="38"/>
      <c r="U209" s="38"/>
      <c r="V209" s="38"/>
      <c r="W209" s="38"/>
      <c r="X209" s="38"/>
      <c r="Y209" s="38"/>
      <c r="Z209" s="38">
        <f t="shared" si="45"/>
        <v>156</v>
      </c>
      <c r="AA209" t="e">
        <f t="shared" si="43"/>
        <v>#DIV/0!</v>
      </c>
      <c r="AB209" s="1" t="e">
        <f t="shared" si="44"/>
        <v>#DIV/0!</v>
      </c>
    </row>
    <row r="210" spans="11:28" ht="33" customHeight="1">
      <c r="K210" s="38"/>
      <c r="L210" s="38"/>
      <c r="M210" s="38"/>
      <c r="N210" s="38"/>
      <c r="O210" s="38"/>
      <c r="P210" s="38"/>
      <c r="Q210" s="38"/>
      <c r="R210" s="38"/>
      <c r="S210" s="38"/>
      <c r="T210" s="38"/>
      <c r="U210" s="38"/>
      <c r="V210" s="38"/>
      <c r="W210" s="38"/>
      <c r="X210" s="38"/>
      <c r="Y210" s="38"/>
      <c r="Z210" s="38">
        <f t="shared" si="45"/>
        <v>157</v>
      </c>
      <c r="AA210" t="e">
        <f t="shared" si="43"/>
        <v>#DIV/0!</v>
      </c>
      <c r="AB210" s="1" t="e">
        <f t="shared" si="44"/>
        <v>#DIV/0!</v>
      </c>
    </row>
    <row r="211" spans="11:28" ht="33" customHeight="1">
      <c r="K211" s="38"/>
      <c r="L211" s="38"/>
      <c r="M211" s="38"/>
      <c r="N211" s="38"/>
      <c r="O211" s="38"/>
      <c r="P211" s="38"/>
      <c r="Q211" s="38"/>
      <c r="R211" s="38"/>
      <c r="S211" s="38"/>
      <c r="T211" s="38"/>
      <c r="U211" s="38"/>
      <c r="V211" s="38"/>
      <c r="W211" s="38"/>
      <c r="X211" s="38"/>
      <c r="Y211" s="38"/>
      <c r="Z211" s="38">
        <f t="shared" si="45"/>
        <v>158</v>
      </c>
      <c r="AA211" t="e">
        <f t="shared" si="43"/>
        <v>#DIV/0!</v>
      </c>
      <c r="AB211" s="1" t="e">
        <f t="shared" si="44"/>
        <v>#DIV/0!</v>
      </c>
    </row>
    <row r="212" spans="11:28" ht="33" customHeight="1">
      <c r="K212" s="38"/>
      <c r="L212" s="38"/>
      <c r="M212" s="38"/>
      <c r="N212" s="38"/>
      <c r="O212" s="38"/>
      <c r="P212" s="38"/>
      <c r="Q212" s="38"/>
      <c r="R212" s="38"/>
      <c r="S212" s="38"/>
      <c r="T212" s="38"/>
      <c r="U212" s="38"/>
      <c r="V212" s="38"/>
      <c r="W212" s="38"/>
      <c r="X212" s="38"/>
      <c r="Y212" s="38"/>
      <c r="Z212" s="38">
        <f t="shared" si="45"/>
        <v>159</v>
      </c>
      <c r="AA212" t="e">
        <f t="shared" si="43"/>
        <v>#DIV/0!</v>
      </c>
      <c r="AB212" s="1" t="e">
        <f t="shared" si="44"/>
        <v>#DIV/0!</v>
      </c>
    </row>
    <row r="213" spans="11:28" ht="33" customHeight="1">
      <c r="K213" s="38"/>
      <c r="L213" s="38"/>
      <c r="M213" s="38"/>
      <c r="N213" s="38"/>
      <c r="O213" s="38"/>
      <c r="P213" s="38"/>
      <c r="Q213" s="38"/>
      <c r="R213" s="38"/>
      <c r="S213" s="38"/>
      <c r="T213" s="38"/>
      <c r="U213" s="38"/>
      <c r="V213" s="38"/>
      <c r="W213" s="38"/>
      <c r="X213" s="38"/>
      <c r="Y213" s="38"/>
      <c r="Z213" s="38">
        <f t="shared" si="45"/>
        <v>160</v>
      </c>
      <c r="AA213" t="e">
        <f t="shared" si="43"/>
        <v>#DIV/0!</v>
      </c>
      <c r="AB213" s="1" t="e">
        <f t="shared" si="44"/>
        <v>#DIV/0!</v>
      </c>
    </row>
    <row r="214" spans="11:28" ht="33" customHeight="1">
      <c r="K214" s="38"/>
      <c r="L214" s="38"/>
      <c r="M214" s="38"/>
      <c r="N214" s="38"/>
      <c r="O214" s="38"/>
      <c r="P214" s="38"/>
      <c r="Q214" s="38"/>
      <c r="R214" s="38"/>
      <c r="S214" s="38"/>
      <c r="T214" s="38"/>
      <c r="U214" s="38"/>
      <c r="V214" s="38"/>
      <c r="W214" s="38"/>
      <c r="X214" s="38"/>
      <c r="Y214" s="38"/>
      <c r="Z214" s="38">
        <f t="shared" si="45"/>
        <v>161</v>
      </c>
      <c r="AA214" t="e">
        <f t="shared" si="43"/>
        <v>#DIV/0!</v>
      </c>
      <c r="AB214" s="1" t="e">
        <f t="shared" si="44"/>
        <v>#DIV/0!</v>
      </c>
    </row>
    <row r="215" spans="11:28" ht="33" customHeight="1">
      <c r="K215" s="38"/>
      <c r="L215" s="38"/>
      <c r="M215" s="38"/>
      <c r="N215" s="38"/>
      <c r="O215" s="38"/>
      <c r="P215" s="38"/>
      <c r="Q215" s="38"/>
      <c r="R215" s="38"/>
      <c r="S215" s="38"/>
      <c r="T215" s="38"/>
      <c r="U215" s="38"/>
      <c r="V215" s="38"/>
      <c r="W215" s="38"/>
      <c r="X215" s="38"/>
      <c r="Y215" s="38"/>
      <c r="Z215" s="38">
        <f t="shared" si="45"/>
        <v>162</v>
      </c>
      <c r="AA215" t="e">
        <f t="shared" si="43"/>
        <v>#DIV/0!</v>
      </c>
      <c r="AB215" s="1" t="e">
        <f t="shared" si="44"/>
        <v>#DIV/0!</v>
      </c>
    </row>
    <row r="216" spans="11:28" ht="33" customHeight="1">
      <c r="K216" s="38"/>
      <c r="L216" s="38"/>
      <c r="M216" s="38"/>
      <c r="N216" s="38"/>
      <c r="O216" s="38"/>
      <c r="P216" s="38"/>
      <c r="Q216" s="38"/>
      <c r="R216" s="38"/>
      <c r="S216" s="38"/>
      <c r="T216" s="38"/>
      <c r="U216" s="38"/>
      <c r="V216" s="38"/>
      <c r="W216" s="38"/>
      <c r="X216" s="38"/>
      <c r="Y216" s="38"/>
      <c r="Z216" s="38">
        <f t="shared" si="45"/>
        <v>163</v>
      </c>
      <c r="AA216" t="e">
        <f t="shared" si="43"/>
        <v>#DIV/0!</v>
      </c>
      <c r="AB216" s="1" t="e">
        <f t="shared" si="44"/>
        <v>#DIV/0!</v>
      </c>
    </row>
    <row r="217" spans="11:28" ht="33" customHeight="1">
      <c r="K217" s="38"/>
      <c r="L217" s="38"/>
      <c r="M217" s="38"/>
      <c r="N217" s="38"/>
      <c r="O217" s="38"/>
      <c r="P217" s="38"/>
      <c r="Q217" s="38"/>
      <c r="R217" s="38"/>
      <c r="S217" s="38"/>
      <c r="T217" s="38"/>
      <c r="U217" s="38"/>
      <c r="V217" s="38"/>
      <c r="W217" s="38"/>
      <c r="X217" s="38"/>
      <c r="Y217" s="38"/>
      <c r="Z217" s="38">
        <f t="shared" si="45"/>
        <v>164</v>
      </c>
      <c r="AA217" t="e">
        <f t="shared" si="43"/>
        <v>#DIV/0!</v>
      </c>
      <c r="AB217" s="1" t="e">
        <f t="shared" si="44"/>
        <v>#DIV/0!</v>
      </c>
    </row>
    <row r="218" spans="11:28" ht="33" customHeight="1">
      <c r="K218" s="38"/>
      <c r="L218" s="38"/>
      <c r="M218" s="38"/>
      <c r="N218" s="38"/>
      <c r="O218" s="38"/>
      <c r="P218" s="38"/>
      <c r="Q218" s="38"/>
      <c r="R218" s="38"/>
      <c r="S218" s="38"/>
      <c r="T218" s="38"/>
      <c r="U218" s="38"/>
      <c r="V218" s="38"/>
      <c r="W218" s="38"/>
      <c r="X218" s="38"/>
      <c r="Y218" s="38"/>
      <c r="Z218" s="38">
        <f t="shared" si="45"/>
        <v>165</v>
      </c>
      <c r="AA218" t="e">
        <f t="shared" si="43"/>
        <v>#DIV/0!</v>
      </c>
      <c r="AB218" s="1" t="e">
        <f t="shared" si="44"/>
        <v>#DIV/0!</v>
      </c>
    </row>
    <row r="219" spans="11:28" ht="33" customHeight="1">
      <c r="K219" s="38"/>
      <c r="L219" s="38"/>
      <c r="M219" s="38"/>
      <c r="N219" s="38"/>
      <c r="O219" s="38"/>
      <c r="P219" s="38"/>
      <c r="Q219" s="38"/>
      <c r="R219" s="38"/>
      <c r="S219" s="38"/>
      <c r="T219" s="38"/>
      <c r="U219" s="38"/>
      <c r="V219" s="38"/>
      <c r="W219" s="38"/>
      <c r="X219" s="38"/>
      <c r="Y219" s="38"/>
      <c r="Z219" s="38">
        <f t="shared" si="45"/>
        <v>166</v>
      </c>
      <c r="AA219" t="e">
        <f t="shared" si="43"/>
        <v>#DIV/0!</v>
      </c>
      <c r="AB219" s="1" t="e">
        <f t="shared" si="44"/>
        <v>#DIV/0!</v>
      </c>
    </row>
    <row r="220" spans="11:28" ht="33" customHeight="1">
      <c r="K220" s="38"/>
      <c r="L220" s="38"/>
      <c r="M220" s="38"/>
      <c r="N220" s="38"/>
      <c r="O220" s="38"/>
      <c r="P220" s="38"/>
      <c r="Q220" s="38"/>
      <c r="R220" s="38"/>
      <c r="S220" s="38"/>
      <c r="T220" s="38"/>
      <c r="U220" s="38"/>
      <c r="V220" s="38"/>
      <c r="W220" s="38"/>
      <c r="X220" s="38"/>
      <c r="Y220" s="38"/>
      <c r="Z220" s="38">
        <f t="shared" si="45"/>
        <v>167</v>
      </c>
      <c r="AA220" t="e">
        <f t="shared" si="43"/>
        <v>#DIV/0!</v>
      </c>
      <c r="AB220" s="1" t="e">
        <f t="shared" si="44"/>
        <v>#DIV/0!</v>
      </c>
    </row>
    <row r="221" spans="11:28" ht="33" customHeight="1">
      <c r="K221" s="38"/>
      <c r="L221" s="38"/>
      <c r="M221" s="38"/>
      <c r="N221" s="38"/>
      <c r="O221" s="38"/>
      <c r="P221" s="38"/>
      <c r="Q221" s="38"/>
      <c r="R221" s="38"/>
      <c r="S221" s="38"/>
      <c r="T221" s="38"/>
      <c r="U221" s="38"/>
      <c r="V221" s="38"/>
      <c r="W221" s="38"/>
      <c r="X221" s="38"/>
      <c r="Y221" s="38"/>
      <c r="Z221" s="38">
        <f t="shared" si="45"/>
        <v>168</v>
      </c>
      <c r="AA221" t="e">
        <f t="shared" si="43"/>
        <v>#DIV/0!</v>
      </c>
      <c r="AB221" s="1" t="e">
        <f t="shared" si="44"/>
        <v>#DIV/0!</v>
      </c>
    </row>
    <row r="222" spans="11:28" ht="33" customHeight="1">
      <c r="K222" s="38"/>
      <c r="L222" s="38"/>
      <c r="M222" s="38"/>
      <c r="N222" s="38"/>
      <c r="O222" s="38"/>
      <c r="P222" s="38"/>
      <c r="Q222" s="38"/>
      <c r="R222" s="38"/>
      <c r="S222" s="38"/>
      <c r="T222" s="38"/>
      <c r="U222" s="38"/>
      <c r="V222" s="38"/>
      <c r="W222" s="38"/>
      <c r="X222" s="38"/>
      <c r="Y222" s="38"/>
      <c r="Z222" s="38">
        <f t="shared" si="45"/>
        <v>169</v>
      </c>
      <c r="AA222" t="e">
        <f t="shared" si="43"/>
        <v>#DIV/0!</v>
      </c>
      <c r="AB222" s="1" t="e">
        <f t="shared" si="44"/>
        <v>#DIV/0!</v>
      </c>
    </row>
    <row r="223" spans="11:28" ht="33" customHeight="1">
      <c r="K223" s="38"/>
      <c r="L223" s="38"/>
      <c r="M223" s="38"/>
      <c r="N223" s="38"/>
      <c r="O223" s="38"/>
      <c r="P223" s="38"/>
      <c r="Q223" s="38"/>
      <c r="R223" s="38"/>
      <c r="S223" s="38"/>
      <c r="T223" s="38"/>
      <c r="U223" s="38"/>
      <c r="V223" s="38"/>
      <c r="W223" s="38"/>
      <c r="X223" s="38"/>
      <c r="Y223" s="38"/>
      <c r="Z223" s="38">
        <f t="shared" si="45"/>
        <v>170</v>
      </c>
      <c r="AA223" t="e">
        <f t="shared" si="43"/>
        <v>#DIV/0!</v>
      </c>
      <c r="AB223" s="1" t="e">
        <f t="shared" si="44"/>
        <v>#DIV/0!</v>
      </c>
    </row>
    <row r="224" spans="11:28" ht="33" customHeight="1">
      <c r="K224" s="38"/>
      <c r="L224" s="38"/>
      <c r="M224" s="38"/>
      <c r="N224" s="38"/>
      <c r="O224" s="38"/>
      <c r="P224" s="38"/>
      <c r="Q224" s="38"/>
      <c r="R224" s="38"/>
      <c r="S224" s="38"/>
      <c r="T224" s="38"/>
      <c r="U224" s="38"/>
      <c r="V224" s="38"/>
      <c r="W224" s="38"/>
      <c r="X224" s="38"/>
      <c r="Y224" s="38"/>
      <c r="Z224" s="38">
        <f t="shared" si="45"/>
        <v>171</v>
      </c>
      <c r="AA224" t="e">
        <f t="shared" si="43"/>
        <v>#DIV/0!</v>
      </c>
      <c r="AB224" s="1" t="e">
        <f t="shared" si="44"/>
        <v>#DIV/0!</v>
      </c>
    </row>
    <row r="225" spans="11:28" ht="33" customHeight="1">
      <c r="K225" s="38"/>
      <c r="L225" s="38"/>
      <c r="M225" s="38"/>
      <c r="N225" s="38"/>
      <c r="O225" s="38"/>
      <c r="P225" s="38"/>
      <c r="Q225" s="38"/>
      <c r="R225" s="38"/>
      <c r="S225" s="38"/>
      <c r="T225" s="38"/>
      <c r="U225" s="38"/>
      <c r="V225" s="38"/>
      <c r="W225" s="38"/>
      <c r="X225" s="38"/>
      <c r="Y225" s="38"/>
      <c r="Z225" s="38">
        <f t="shared" si="45"/>
        <v>172</v>
      </c>
      <c r="AA225" t="e">
        <f t="shared" si="43"/>
        <v>#DIV/0!</v>
      </c>
      <c r="AB225" s="1" t="e">
        <f t="shared" si="44"/>
        <v>#DIV/0!</v>
      </c>
    </row>
    <row r="226" spans="11:28" ht="33" customHeight="1">
      <c r="K226" s="38"/>
      <c r="L226" s="38"/>
      <c r="M226" s="38"/>
      <c r="N226" s="38"/>
      <c r="O226" s="38"/>
      <c r="P226" s="38"/>
      <c r="Q226" s="38"/>
      <c r="R226" s="38"/>
      <c r="S226" s="38"/>
      <c r="T226" s="38"/>
      <c r="U226" s="38"/>
      <c r="V226" s="38"/>
      <c r="W226" s="38"/>
      <c r="X226" s="38"/>
      <c r="Y226" s="38"/>
      <c r="Z226" s="38">
        <f t="shared" si="45"/>
        <v>173</v>
      </c>
      <c r="AA226" t="e">
        <f t="shared" si="43"/>
        <v>#DIV/0!</v>
      </c>
      <c r="AB226" s="1" t="e">
        <f t="shared" si="44"/>
        <v>#DIV/0!</v>
      </c>
    </row>
    <row r="227" spans="11:28" ht="33" customHeight="1">
      <c r="K227" s="38"/>
      <c r="L227" s="38"/>
      <c r="M227" s="38"/>
      <c r="N227" s="38"/>
      <c r="O227" s="38"/>
      <c r="P227" s="38"/>
      <c r="Q227" s="38"/>
      <c r="R227" s="38"/>
      <c r="S227" s="38"/>
      <c r="T227" s="38"/>
      <c r="U227" s="38"/>
      <c r="V227" s="38"/>
      <c r="W227" s="38"/>
      <c r="X227" s="38"/>
      <c r="Y227" s="38"/>
      <c r="Z227" s="38">
        <f t="shared" si="45"/>
        <v>174</v>
      </c>
      <c r="AA227" t="e">
        <f t="shared" si="43"/>
        <v>#DIV/0!</v>
      </c>
      <c r="AB227" s="1" t="e">
        <f t="shared" si="44"/>
        <v>#DIV/0!</v>
      </c>
    </row>
    <row r="228" spans="11:28" ht="33" customHeight="1">
      <c r="K228" s="38"/>
      <c r="L228" s="38"/>
      <c r="M228" s="38"/>
      <c r="N228" s="38"/>
      <c r="O228" s="38"/>
      <c r="P228" s="38"/>
      <c r="Q228" s="38"/>
      <c r="R228" s="38"/>
      <c r="S228" s="38"/>
      <c r="T228" s="38"/>
      <c r="U228" s="38"/>
      <c r="V228" s="38"/>
      <c r="W228" s="38"/>
      <c r="X228" s="38"/>
      <c r="Y228" s="38"/>
      <c r="Z228" s="38">
        <f t="shared" si="45"/>
        <v>175</v>
      </c>
      <c r="AA228" t="e">
        <f t="shared" si="43"/>
        <v>#DIV/0!</v>
      </c>
      <c r="AB228" s="1" t="e">
        <f t="shared" si="44"/>
        <v>#DIV/0!</v>
      </c>
    </row>
    <row r="229" spans="11:28" ht="33" customHeight="1">
      <c r="K229" s="38"/>
      <c r="L229" s="38"/>
      <c r="M229" s="38"/>
      <c r="N229" s="38"/>
      <c r="O229" s="38"/>
      <c r="P229" s="38"/>
      <c r="Q229" s="38"/>
      <c r="R229" s="38"/>
      <c r="S229" s="38"/>
      <c r="T229" s="38"/>
      <c r="U229" s="38"/>
      <c r="V229" s="38"/>
      <c r="W229" s="38"/>
      <c r="X229" s="38"/>
      <c r="Y229" s="38"/>
      <c r="Z229" s="38">
        <f t="shared" si="45"/>
        <v>176</v>
      </c>
      <c r="AA229" t="e">
        <f t="shared" si="43"/>
        <v>#DIV/0!</v>
      </c>
      <c r="AB229" s="1" t="e">
        <f t="shared" si="44"/>
        <v>#DIV/0!</v>
      </c>
    </row>
    <row r="230" spans="11:28" ht="33" customHeight="1">
      <c r="K230" s="38"/>
      <c r="L230" s="38"/>
      <c r="M230" s="38"/>
      <c r="N230" s="38"/>
      <c r="O230" s="38"/>
      <c r="P230" s="38"/>
      <c r="Q230" s="38"/>
      <c r="R230" s="38"/>
      <c r="S230" s="38"/>
      <c r="T230" s="38"/>
      <c r="U230" s="38"/>
      <c r="V230" s="38"/>
      <c r="W230" s="38"/>
      <c r="X230" s="38"/>
      <c r="Y230" s="38"/>
      <c r="Z230" s="38">
        <f t="shared" si="45"/>
        <v>177</v>
      </c>
      <c r="AA230" t="e">
        <f t="shared" si="43"/>
        <v>#DIV/0!</v>
      </c>
      <c r="AB230" s="1" t="e">
        <f t="shared" si="44"/>
        <v>#DIV/0!</v>
      </c>
    </row>
    <row r="231" spans="11:28" ht="33" customHeight="1">
      <c r="K231" s="38"/>
      <c r="L231" s="38"/>
      <c r="M231" s="38"/>
      <c r="N231" s="38"/>
      <c r="O231" s="38"/>
      <c r="P231" s="38"/>
      <c r="Q231" s="38"/>
      <c r="R231" s="38"/>
      <c r="S231" s="38"/>
      <c r="T231" s="38"/>
      <c r="U231" s="38"/>
      <c r="V231" s="38"/>
      <c r="W231" s="38"/>
      <c r="X231" s="38"/>
      <c r="Y231" s="38"/>
      <c r="Z231" s="38">
        <f t="shared" si="45"/>
        <v>178</v>
      </c>
      <c r="AA231" t="e">
        <f t="shared" si="43"/>
        <v>#DIV/0!</v>
      </c>
      <c r="AB231" s="1" t="e">
        <f t="shared" si="44"/>
        <v>#DIV/0!</v>
      </c>
    </row>
    <row r="232" spans="11:28" ht="33" customHeight="1">
      <c r="K232" s="38"/>
      <c r="L232" s="38"/>
      <c r="M232" s="38"/>
      <c r="N232" s="38"/>
      <c r="O232" s="38"/>
      <c r="P232" s="38"/>
      <c r="Q232" s="38"/>
      <c r="R232" s="38"/>
      <c r="S232" s="38"/>
      <c r="T232" s="38"/>
      <c r="U232" s="38"/>
      <c r="V232" s="38"/>
      <c r="W232" s="38"/>
      <c r="X232" s="38"/>
      <c r="Y232" s="38"/>
      <c r="Z232" s="38">
        <f t="shared" si="45"/>
        <v>179</v>
      </c>
      <c r="AA232" t="e">
        <f t="shared" si="43"/>
        <v>#DIV/0!</v>
      </c>
      <c r="AB232" s="1" t="e">
        <f t="shared" si="44"/>
        <v>#DIV/0!</v>
      </c>
    </row>
    <row r="233" spans="11:28" ht="33" customHeight="1">
      <c r="K233" s="38"/>
      <c r="L233" s="38"/>
      <c r="M233" s="38"/>
      <c r="N233" s="38"/>
      <c r="O233" s="38"/>
      <c r="P233" s="38"/>
      <c r="Q233" s="38"/>
      <c r="R233" s="38"/>
      <c r="S233" s="38"/>
      <c r="T233" s="38"/>
      <c r="U233" s="38"/>
      <c r="V233" s="38"/>
      <c r="W233" s="38"/>
      <c r="X233" s="38"/>
      <c r="Y233" s="38"/>
      <c r="Z233" s="38">
        <f t="shared" si="45"/>
        <v>180</v>
      </c>
      <c r="AA233" t="e">
        <f t="shared" si="43"/>
        <v>#DIV/0!</v>
      </c>
      <c r="AB233" s="1" t="e">
        <f t="shared" si="44"/>
        <v>#DIV/0!</v>
      </c>
    </row>
    <row r="234" spans="11:28" ht="33" customHeight="1">
      <c r="K234" s="38"/>
      <c r="L234" s="38"/>
      <c r="M234" s="38"/>
      <c r="N234" s="38"/>
      <c r="O234" s="38"/>
      <c r="P234" s="38"/>
      <c r="Q234" s="38"/>
      <c r="R234" s="38"/>
      <c r="S234" s="38"/>
      <c r="T234" s="38"/>
      <c r="U234" s="38"/>
      <c r="V234" s="38"/>
      <c r="W234" s="38"/>
      <c r="X234" s="38"/>
      <c r="Y234" s="38"/>
      <c r="Z234" s="38">
        <f t="shared" si="45"/>
        <v>181</v>
      </c>
      <c r="AA234" t="e">
        <f t="shared" si="43"/>
        <v>#DIV/0!</v>
      </c>
      <c r="AB234" s="1" t="e">
        <f t="shared" si="44"/>
        <v>#DIV/0!</v>
      </c>
    </row>
    <row r="235" spans="11:28" ht="33" customHeight="1">
      <c r="K235" s="38"/>
      <c r="L235" s="38"/>
      <c r="M235" s="38"/>
      <c r="N235" s="38"/>
      <c r="O235" s="38"/>
      <c r="P235" s="38"/>
      <c r="Q235" s="38"/>
      <c r="R235" s="38"/>
      <c r="S235" s="38"/>
      <c r="T235" s="38"/>
      <c r="U235" s="38"/>
      <c r="V235" s="38"/>
      <c r="W235" s="38"/>
      <c r="X235" s="38"/>
      <c r="Y235" s="38"/>
      <c r="Z235" s="38">
        <f t="shared" si="45"/>
        <v>182</v>
      </c>
      <c r="AA235" t="e">
        <f t="shared" si="43"/>
        <v>#DIV/0!</v>
      </c>
      <c r="AB235" s="1" t="e">
        <f t="shared" si="44"/>
        <v>#DIV/0!</v>
      </c>
    </row>
    <row r="236" spans="11:28" ht="33" customHeight="1">
      <c r="K236" s="38"/>
      <c r="L236" s="38"/>
      <c r="M236" s="38"/>
      <c r="N236" s="38"/>
      <c r="O236" s="38"/>
      <c r="P236" s="38"/>
      <c r="Q236" s="38"/>
      <c r="R236" s="38"/>
      <c r="S236" s="38"/>
      <c r="T236" s="38"/>
      <c r="U236" s="38"/>
      <c r="V236" s="38"/>
      <c r="W236" s="38"/>
      <c r="X236" s="38"/>
      <c r="Y236" s="38"/>
      <c r="Z236" s="38">
        <f t="shared" si="45"/>
        <v>183</v>
      </c>
      <c r="AA236" t="e">
        <f t="shared" si="43"/>
        <v>#DIV/0!</v>
      </c>
      <c r="AB236" s="1" t="e">
        <f t="shared" si="44"/>
        <v>#DIV/0!</v>
      </c>
    </row>
    <row r="237" spans="11:28" ht="33" customHeight="1">
      <c r="K237" s="38"/>
      <c r="L237" s="38"/>
      <c r="M237" s="38"/>
      <c r="N237" s="38"/>
      <c r="O237" s="38"/>
      <c r="P237" s="38"/>
      <c r="Q237" s="38"/>
      <c r="R237" s="38"/>
      <c r="S237" s="38"/>
      <c r="T237" s="38"/>
      <c r="U237" s="38"/>
      <c r="V237" s="38"/>
      <c r="W237" s="38"/>
      <c r="X237" s="38"/>
      <c r="Y237" s="38"/>
      <c r="Z237" s="38">
        <f t="shared" si="45"/>
        <v>184</v>
      </c>
      <c r="AA237" t="e">
        <f t="shared" si="43"/>
        <v>#DIV/0!</v>
      </c>
      <c r="AB237" s="1" t="e">
        <f t="shared" si="44"/>
        <v>#DIV/0!</v>
      </c>
    </row>
    <row r="238" spans="11:28" ht="33" customHeight="1">
      <c r="K238" s="38"/>
      <c r="L238" s="38"/>
      <c r="M238" s="38"/>
      <c r="N238" s="38"/>
      <c r="O238" s="38"/>
      <c r="P238" s="38"/>
      <c r="Q238" s="38"/>
      <c r="R238" s="38"/>
      <c r="S238" s="38"/>
      <c r="T238" s="38"/>
      <c r="U238" s="38"/>
      <c r="V238" s="38"/>
      <c r="W238" s="38"/>
      <c r="X238" s="38"/>
      <c r="Y238" s="38"/>
      <c r="Z238" s="38">
        <f t="shared" si="45"/>
        <v>185</v>
      </c>
      <c r="AA238" t="e">
        <f t="shared" si="43"/>
        <v>#DIV/0!</v>
      </c>
      <c r="AB238" s="1" t="e">
        <f t="shared" si="44"/>
        <v>#DIV/0!</v>
      </c>
    </row>
    <row r="239" spans="11:28" ht="33" customHeight="1">
      <c r="K239" s="38"/>
      <c r="L239" s="38"/>
      <c r="M239" s="38"/>
      <c r="N239" s="38"/>
      <c r="O239" s="38"/>
      <c r="P239" s="38"/>
      <c r="Q239" s="38"/>
      <c r="R239" s="38"/>
      <c r="S239" s="38"/>
      <c r="T239" s="38"/>
      <c r="U239" s="38"/>
      <c r="V239" s="38"/>
      <c r="W239" s="38"/>
      <c r="X239" s="38"/>
      <c r="Y239" s="38"/>
      <c r="Z239" s="38">
        <f t="shared" si="45"/>
        <v>186</v>
      </c>
      <c r="AA239" t="e">
        <f t="shared" si="43"/>
        <v>#DIV/0!</v>
      </c>
      <c r="AB239" s="1" t="e">
        <f t="shared" si="44"/>
        <v>#DIV/0!</v>
      </c>
    </row>
    <row r="240" spans="11:28" ht="33" customHeight="1">
      <c r="K240" s="38"/>
      <c r="L240" s="38"/>
      <c r="M240" s="38"/>
      <c r="N240" s="38"/>
      <c r="O240" s="38"/>
      <c r="P240" s="38"/>
      <c r="Q240" s="38"/>
      <c r="R240" s="38"/>
      <c r="S240" s="38"/>
      <c r="T240" s="38"/>
      <c r="U240" s="38"/>
      <c r="V240" s="38"/>
      <c r="W240" s="38"/>
      <c r="X240" s="38"/>
      <c r="Y240" s="38"/>
      <c r="Z240" s="38">
        <f t="shared" si="45"/>
        <v>187</v>
      </c>
      <c r="AA240" t="e">
        <f t="shared" si="43"/>
        <v>#DIV/0!</v>
      </c>
      <c r="AB240" s="1" t="e">
        <f t="shared" si="44"/>
        <v>#DIV/0!</v>
      </c>
    </row>
    <row r="241" spans="11:28" ht="33" customHeight="1">
      <c r="K241" s="38"/>
      <c r="L241" s="38"/>
      <c r="M241" s="38"/>
      <c r="N241" s="38"/>
      <c r="O241" s="38"/>
      <c r="P241" s="38"/>
      <c r="Q241" s="38"/>
      <c r="R241" s="38"/>
      <c r="S241" s="38"/>
      <c r="T241" s="38"/>
      <c r="U241" s="38"/>
      <c r="V241" s="38"/>
      <c r="W241" s="38"/>
      <c r="X241" s="38"/>
      <c r="Y241" s="38"/>
      <c r="Z241" s="38">
        <f t="shared" si="45"/>
        <v>188</v>
      </c>
      <c r="AA241" t="e">
        <f t="shared" si="43"/>
        <v>#DIV/0!</v>
      </c>
      <c r="AB241" s="1" t="e">
        <f t="shared" si="44"/>
        <v>#DIV/0!</v>
      </c>
    </row>
    <row r="242" spans="11:28" ht="33" customHeight="1">
      <c r="K242" s="38"/>
      <c r="L242" s="38"/>
      <c r="M242" s="38"/>
      <c r="N242" s="38"/>
      <c r="O242" s="38"/>
      <c r="P242" s="38"/>
      <c r="Q242" s="38"/>
      <c r="R242" s="38"/>
      <c r="S242" s="38"/>
      <c r="T242" s="38"/>
      <c r="U242" s="38"/>
      <c r="V242" s="38"/>
      <c r="W242" s="38"/>
      <c r="X242" s="38"/>
      <c r="Y242" s="38"/>
      <c r="Z242" s="38">
        <f t="shared" si="45"/>
        <v>189</v>
      </c>
      <c r="AA242" t="e">
        <f t="shared" si="43"/>
        <v>#DIV/0!</v>
      </c>
      <c r="AB242" s="1" t="e">
        <f t="shared" si="44"/>
        <v>#DIV/0!</v>
      </c>
    </row>
    <row r="243" spans="11:28" ht="33" customHeight="1">
      <c r="K243" s="38"/>
      <c r="L243" s="38"/>
      <c r="M243" s="38"/>
      <c r="N243" s="38"/>
      <c r="O243" s="38"/>
      <c r="P243" s="38"/>
      <c r="Q243" s="38"/>
      <c r="R243" s="38"/>
      <c r="S243" s="38"/>
      <c r="T243" s="38"/>
      <c r="U243" s="38"/>
      <c r="V243" s="38"/>
      <c r="W243" s="38"/>
      <c r="X243" s="38"/>
      <c r="Y243" s="38"/>
      <c r="Z243" s="38">
        <f t="shared" si="45"/>
        <v>190</v>
      </c>
      <c r="AA243" t="e">
        <f t="shared" si="43"/>
        <v>#DIV/0!</v>
      </c>
      <c r="AB243" s="1" t="e">
        <f t="shared" si="44"/>
        <v>#DIV/0!</v>
      </c>
    </row>
    <row r="244" spans="11:28" ht="33" customHeight="1">
      <c r="K244" s="38"/>
      <c r="L244" s="38"/>
      <c r="M244" s="38"/>
      <c r="N244" s="38"/>
      <c r="O244" s="38"/>
      <c r="P244" s="38"/>
      <c r="Q244" s="38"/>
      <c r="R244" s="38"/>
      <c r="S244" s="38"/>
      <c r="T244" s="38"/>
      <c r="U244" s="38"/>
      <c r="V244" s="38"/>
      <c r="W244" s="38"/>
      <c r="X244" s="38"/>
      <c r="Y244" s="38"/>
      <c r="Z244" s="38">
        <f t="shared" si="45"/>
        <v>191</v>
      </c>
      <c r="AA244" t="e">
        <f t="shared" si="43"/>
        <v>#DIV/0!</v>
      </c>
      <c r="AB244" s="1" t="e">
        <f t="shared" si="44"/>
        <v>#DIV/0!</v>
      </c>
    </row>
    <row r="245" spans="11:28" ht="33" customHeight="1">
      <c r="K245" s="38"/>
      <c r="L245" s="38"/>
      <c r="M245" s="38"/>
      <c r="N245" s="38"/>
      <c r="O245" s="38"/>
      <c r="P245" s="38"/>
      <c r="Q245" s="38"/>
      <c r="R245" s="38"/>
      <c r="S245" s="38"/>
      <c r="T245" s="38"/>
      <c r="U245" s="38"/>
      <c r="V245" s="38"/>
      <c r="W245" s="38"/>
      <c r="X245" s="38"/>
      <c r="Y245" s="38"/>
      <c r="Z245" s="38">
        <f t="shared" si="45"/>
        <v>192</v>
      </c>
      <c r="AA245" t="e">
        <f t="shared" si="43"/>
        <v>#DIV/0!</v>
      </c>
      <c r="AB245" s="1" t="e">
        <f t="shared" si="44"/>
        <v>#DIV/0!</v>
      </c>
    </row>
    <row r="246" spans="11:28" ht="33" customHeight="1">
      <c r="K246" s="38"/>
      <c r="L246" s="38"/>
      <c r="M246" s="38"/>
      <c r="N246" s="38"/>
      <c r="O246" s="38"/>
      <c r="P246" s="38"/>
      <c r="Q246" s="38"/>
      <c r="R246" s="38"/>
      <c r="S246" s="38"/>
      <c r="T246" s="38"/>
      <c r="U246" s="38"/>
      <c r="V246" s="38"/>
      <c r="W246" s="38"/>
      <c r="X246" s="38"/>
      <c r="Y246" s="38"/>
      <c r="Z246" s="38">
        <f t="shared" si="45"/>
        <v>193</v>
      </c>
      <c r="AA246" t="e">
        <f t="shared" si="43"/>
        <v>#DIV/0!</v>
      </c>
      <c r="AB246" s="1" t="e">
        <f t="shared" si="44"/>
        <v>#DIV/0!</v>
      </c>
    </row>
    <row r="247" spans="11:28" ht="33" customHeight="1">
      <c r="K247" s="38"/>
      <c r="L247" s="38"/>
      <c r="M247" s="38"/>
      <c r="N247" s="38"/>
      <c r="O247" s="38"/>
      <c r="P247" s="38"/>
      <c r="Q247" s="38"/>
      <c r="R247" s="38"/>
      <c r="S247" s="38"/>
      <c r="T247" s="38"/>
      <c r="U247" s="38"/>
      <c r="V247" s="38"/>
      <c r="W247" s="38"/>
      <c r="X247" s="38"/>
      <c r="Y247" s="38"/>
      <c r="Z247" s="38">
        <f t="shared" si="45"/>
        <v>194</v>
      </c>
      <c r="AA247" t="e">
        <f t="shared" si="43"/>
        <v>#DIV/0!</v>
      </c>
      <c r="AB247" s="1" t="e">
        <f t="shared" si="44"/>
        <v>#DIV/0!</v>
      </c>
    </row>
    <row r="248" spans="11:28" ht="33" customHeight="1">
      <c r="K248" s="38"/>
      <c r="L248" s="38"/>
      <c r="M248" s="38"/>
      <c r="N248" s="38"/>
      <c r="O248" s="38"/>
      <c r="P248" s="38"/>
      <c r="Q248" s="38"/>
      <c r="R248" s="38"/>
      <c r="S248" s="38"/>
      <c r="T248" s="38"/>
      <c r="U248" s="38"/>
      <c r="V248" s="38"/>
      <c r="W248" s="38"/>
      <c r="X248" s="38"/>
      <c r="Y248" s="38"/>
      <c r="Z248" s="38">
        <f t="shared" si="45"/>
        <v>195</v>
      </c>
      <c r="AA248" t="e">
        <f t="shared" si="43"/>
        <v>#DIV/0!</v>
      </c>
      <c r="AB248" s="1" t="e">
        <f t="shared" si="44"/>
        <v>#DIV/0!</v>
      </c>
    </row>
    <row r="249" spans="11:28" ht="33" customHeight="1">
      <c r="K249" s="38"/>
      <c r="L249" s="38"/>
      <c r="M249" s="38"/>
      <c r="N249" s="38"/>
      <c r="O249" s="38"/>
      <c r="P249" s="38"/>
      <c r="Q249" s="38"/>
      <c r="R249" s="38"/>
      <c r="S249" s="38"/>
      <c r="T249" s="38"/>
      <c r="U249" s="38"/>
      <c r="V249" s="38"/>
      <c r="W249" s="38"/>
      <c r="X249" s="38"/>
      <c r="Y249" s="38"/>
      <c r="Z249" s="38">
        <f t="shared" si="45"/>
        <v>196</v>
      </c>
      <c r="AA249" t="e">
        <f t="shared" si="43"/>
        <v>#DIV/0!</v>
      </c>
      <c r="AB249" s="1" t="e">
        <f t="shared" si="44"/>
        <v>#DIV/0!</v>
      </c>
    </row>
    <row r="250" spans="11:28" ht="33" customHeight="1">
      <c r="K250" s="38"/>
      <c r="L250" s="38"/>
      <c r="M250" s="38"/>
      <c r="N250" s="38"/>
      <c r="O250" s="38"/>
      <c r="P250" s="38"/>
      <c r="Q250" s="38"/>
      <c r="R250" s="38"/>
      <c r="S250" s="38"/>
      <c r="T250" s="38"/>
      <c r="U250" s="38"/>
      <c r="V250" s="38"/>
      <c r="W250" s="38"/>
      <c r="X250" s="38"/>
      <c r="Y250" s="38"/>
      <c r="Z250" s="38">
        <f t="shared" si="45"/>
        <v>197</v>
      </c>
      <c r="AA250" t="e">
        <f t="shared" si="43"/>
        <v>#DIV/0!</v>
      </c>
      <c r="AB250" s="1" t="e">
        <f t="shared" si="44"/>
        <v>#DIV/0!</v>
      </c>
    </row>
    <row r="251" spans="11:28" ht="33" customHeight="1">
      <c r="K251" s="38"/>
      <c r="L251" s="38"/>
      <c r="M251" s="38"/>
      <c r="N251" s="38"/>
      <c r="O251" s="38"/>
      <c r="P251" s="38"/>
      <c r="Q251" s="38"/>
      <c r="R251" s="38"/>
      <c r="S251" s="38"/>
      <c r="T251" s="38"/>
      <c r="U251" s="38"/>
      <c r="V251" s="38"/>
      <c r="W251" s="38"/>
      <c r="X251" s="38"/>
      <c r="Y251" s="38"/>
      <c r="Z251" s="38">
        <f t="shared" si="45"/>
        <v>198</v>
      </c>
      <c r="AA251" t="e">
        <f t="shared" si="43"/>
        <v>#DIV/0!</v>
      </c>
      <c r="AB251" s="1" t="e">
        <f t="shared" si="44"/>
        <v>#DIV/0!</v>
      </c>
    </row>
    <row r="252" spans="11:28" ht="33" customHeight="1">
      <c r="K252" s="38"/>
      <c r="L252" s="38"/>
      <c r="M252" s="38"/>
      <c r="N252" s="38"/>
      <c r="O252" s="38"/>
      <c r="P252" s="38"/>
      <c r="Q252" s="38"/>
      <c r="R252" s="38"/>
      <c r="S252" s="38"/>
      <c r="T252" s="38"/>
      <c r="U252" s="38"/>
      <c r="V252" s="38"/>
      <c r="W252" s="38"/>
      <c r="X252" s="38"/>
      <c r="Y252" s="38"/>
      <c r="Z252" s="38">
        <f t="shared" si="45"/>
        <v>199</v>
      </c>
      <c r="AA252" t="e">
        <f t="shared" si="43"/>
        <v>#DIV/0!</v>
      </c>
      <c r="AB252" s="1" t="e">
        <f t="shared" si="44"/>
        <v>#DIV/0!</v>
      </c>
    </row>
    <row r="253" spans="11:28" ht="33" customHeight="1">
      <c r="K253" s="38"/>
      <c r="L253" s="38"/>
      <c r="M253" s="38"/>
      <c r="N253" s="38"/>
      <c r="O253" s="38"/>
      <c r="P253" s="38"/>
      <c r="Q253" s="38"/>
      <c r="R253" s="38"/>
      <c r="S253" s="38"/>
      <c r="T253" s="38"/>
      <c r="U253" s="38"/>
      <c r="V253" s="38"/>
      <c r="W253" s="38"/>
      <c r="X253" s="38"/>
      <c r="Y253" s="38"/>
      <c r="Z253" s="38">
        <f t="shared" si="45"/>
        <v>200</v>
      </c>
      <c r="AA253" t="e">
        <f t="shared" si="43"/>
        <v>#DIV/0!</v>
      </c>
      <c r="AB253" s="1" t="e">
        <f t="shared" si="44"/>
        <v>#DIV/0!</v>
      </c>
    </row>
    <row r="254" spans="11:28" ht="33" customHeight="1">
      <c r="K254" s="38"/>
      <c r="L254" s="38"/>
      <c r="M254" s="38"/>
      <c r="N254" s="38"/>
      <c r="O254" s="38"/>
      <c r="P254" s="38"/>
      <c r="Q254" s="38"/>
      <c r="R254" s="38"/>
      <c r="S254" s="38"/>
      <c r="T254" s="38"/>
      <c r="U254" s="38"/>
      <c r="V254" s="38"/>
      <c r="W254" s="38"/>
      <c r="X254" s="38"/>
      <c r="Y254" s="38"/>
      <c r="Z254" s="38">
        <f t="shared" si="45"/>
        <v>201</v>
      </c>
      <c r="AA254" t="e">
        <f t="shared" si="43"/>
        <v>#DIV/0!</v>
      </c>
      <c r="AB254" s="1" t="e">
        <f t="shared" si="44"/>
        <v>#DIV/0!</v>
      </c>
    </row>
    <row r="255" spans="11:28" ht="33" customHeight="1">
      <c r="K255" s="38"/>
      <c r="L255" s="38"/>
      <c r="M255" s="38"/>
      <c r="N255" s="38"/>
      <c r="O255" s="38"/>
      <c r="P255" s="38"/>
      <c r="Q255" s="38"/>
      <c r="R255" s="38"/>
      <c r="S255" s="38"/>
      <c r="T255" s="38"/>
      <c r="U255" s="38"/>
      <c r="V255" s="38"/>
      <c r="W255" s="38"/>
      <c r="X255" s="38"/>
      <c r="Y255" s="38"/>
      <c r="Z255" s="38">
        <f t="shared" si="45"/>
        <v>202</v>
      </c>
      <c r="AA255" t="e">
        <f t="shared" si="43"/>
        <v>#DIV/0!</v>
      </c>
      <c r="AB255" s="1" t="e">
        <f t="shared" si="44"/>
        <v>#DIV/0!</v>
      </c>
    </row>
    <row r="256" spans="11:28" ht="33" customHeight="1">
      <c r="K256" s="38"/>
      <c r="L256" s="38"/>
      <c r="M256" s="38"/>
      <c r="N256" s="38"/>
      <c r="O256" s="38"/>
      <c r="P256" s="38"/>
      <c r="Q256" s="38"/>
      <c r="R256" s="38"/>
      <c r="S256" s="38"/>
      <c r="T256" s="38"/>
      <c r="U256" s="38"/>
      <c r="V256" s="38"/>
      <c r="W256" s="38"/>
      <c r="X256" s="38"/>
      <c r="Y256" s="38"/>
      <c r="Z256" s="38">
        <f t="shared" si="45"/>
        <v>203</v>
      </c>
      <c r="AA256" t="e">
        <f t="shared" si="43"/>
        <v>#DIV/0!</v>
      </c>
      <c r="AB256" s="1" t="e">
        <f t="shared" si="44"/>
        <v>#DIV/0!</v>
      </c>
    </row>
    <row r="257" spans="11:28" ht="33" customHeight="1">
      <c r="K257" s="38"/>
      <c r="L257" s="38"/>
      <c r="M257" s="38"/>
      <c r="N257" s="38"/>
      <c r="O257" s="38"/>
      <c r="P257" s="38"/>
      <c r="Q257" s="38"/>
      <c r="R257" s="38"/>
      <c r="S257" s="38"/>
      <c r="T257" s="38"/>
      <c r="U257" s="38"/>
      <c r="V257" s="38"/>
      <c r="W257" s="38"/>
      <c r="X257" s="38"/>
      <c r="Y257" s="38"/>
      <c r="Z257" s="38">
        <f t="shared" si="45"/>
        <v>204</v>
      </c>
      <c r="AA257" t="e">
        <f t="shared" si="43"/>
        <v>#DIV/0!</v>
      </c>
      <c r="AB257" s="1" t="e">
        <f t="shared" si="44"/>
        <v>#DIV/0!</v>
      </c>
    </row>
    <row r="258" spans="11:28" ht="33" customHeight="1">
      <c r="K258" s="38"/>
      <c r="L258" s="38"/>
      <c r="M258" s="38"/>
      <c r="N258" s="38"/>
      <c r="O258" s="38"/>
      <c r="P258" s="38"/>
      <c r="Q258" s="38"/>
      <c r="R258" s="38"/>
      <c r="S258" s="38"/>
      <c r="T258" s="38"/>
      <c r="U258" s="38"/>
      <c r="V258" s="38"/>
      <c r="W258" s="38"/>
      <c r="X258" s="38"/>
      <c r="Y258" s="38"/>
      <c r="Z258" s="38">
        <f t="shared" si="45"/>
        <v>205</v>
      </c>
      <c r="AA258" t="e">
        <f t="shared" si="43"/>
        <v>#DIV/0!</v>
      </c>
      <c r="AB258" s="1" t="e">
        <f t="shared" si="44"/>
        <v>#DIV/0!</v>
      </c>
    </row>
    <row r="259" spans="11:28" ht="33" customHeight="1">
      <c r="K259" s="38"/>
      <c r="L259" s="38"/>
      <c r="M259" s="38"/>
      <c r="N259" s="38"/>
      <c r="O259" s="38"/>
      <c r="P259" s="38"/>
      <c r="Q259" s="38"/>
      <c r="R259" s="38"/>
      <c r="S259" s="38"/>
      <c r="T259" s="38"/>
      <c r="U259" s="38"/>
      <c r="V259" s="38"/>
      <c r="W259" s="38"/>
      <c r="X259" s="38"/>
      <c r="Y259" s="38"/>
      <c r="Z259" s="38">
        <f t="shared" si="45"/>
        <v>206</v>
      </c>
      <c r="AA259" t="e">
        <f t="shared" si="43"/>
        <v>#DIV/0!</v>
      </c>
      <c r="AB259" s="1" t="e">
        <f t="shared" si="44"/>
        <v>#DIV/0!</v>
      </c>
    </row>
    <row r="260" spans="11:28" ht="33" customHeight="1">
      <c r="K260" s="38"/>
      <c r="L260" s="38"/>
      <c r="M260" s="38"/>
      <c r="N260" s="38"/>
      <c r="O260" s="38"/>
      <c r="P260" s="38"/>
      <c r="Q260" s="38"/>
      <c r="R260" s="38"/>
      <c r="S260" s="38"/>
      <c r="T260" s="38"/>
      <c r="U260" s="38"/>
      <c r="V260" s="38"/>
      <c r="W260" s="38"/>
      <c r="X260" s="38"/>
      <c r="Y260" s="38"/>
      <c r="Z260" s="38">
        <f t="shared" si="45"/>
        <v>207</v>
      </c>
      <c r="AA260" t="e">
        <f t="shared" si="43"/>
        <v>#DIV/0!</v>
      </c>
      <c r="AB260" s="1" t="e">
        <f t="shared" si="44"/>
        <v>#DIV/0!</v>
      </c>
    </row>
    <row r="261" spans="11:28" ht="33" customHeight="1">
      <c r="K261" s="38"/>
      <c r="L261" s="38"/>
      <c r="M261" s="38"/>
      <c r="N261" s="38"/>
      <c r="O261" s="38"/>
      <c r="P261" s="38"/>
      <c r="Q261" s="38"/>
      <c r="R261" s="38"/>
      <c r="S261" s="38"/>
      <c r="T261" s="38"/>
      <c r="U261" s="38"/>
      <c r="V261" s="38"/>
      <c r="W261" s="38"/>
      <c r="X261" s="38"/>
      <c r="Y261" s="38"/>
      <c r="Z261" s="38">
        <f t="shared" si="45"/>
        <v>208</v>
      </c>
      <c r="AA261" t="e">
        <f t="shared" si="43"/>
        <v>#DIV/0!</v>
      </c>
      <c r="AB261" s="1" t="e">
        <f t="shared" si="44"/>
        <v>#DIV/0!</v>
      </c>
    </row>
    <row r="262" spans="11:28" ht="33" customHeight="1">
      <c r="K262" s="38"/>
      <c r="L262" s="38"/>
      <c r="M262" s="38"/>
      <c r="N262" s="38"/>
      <c r="O262" s="38"/>
      <c r="P262" s="38"/>
      <c r="Q262" s="38"/>
      <c r="R262" s="38"/>
      <c r="S262" s="38"/>
      <c r="T262" s="38"/>
      <c r="U262" s="38"/>
      <c r="V262" s="38"/>
      <c r="W262" s="38"/>
      <c r="X262" s="38"/>
      <c r="Y262" s="38"/>
      <c r="Z262" s="38">
        <f t="shared" si="45"/>
        <v>209</v>
      </c>
      <c r="AA262" t="e">
        <f t="shared" si="43"/>
        <v>#DIV/0!</v>
      </c>
      <c r="AB262" s="1" t="e">
        <f t="shared" si="44"/>
        <v>#DIV/0!</v>
      </c>
    </row>
    <row r="263" spans="11:28" ht="33" customHeight="1">
      <c r="K263" s="38"/>
      <c r="L263" s="38"/>
      <c r="M263" s="38"/>
      <c r="N263" s="38"/>
      <c r="O263" s="38"/>
      <c r="P263" s="38"/>
      <c r="Q263" s="38"/>
      <c r="R263" s="38"/>
      <c r="S263" s="38"/>
      <c r="T263" s="38"/>
      <c r="U263" s="38"/>
      <c r="V263" s="38"/>
      <c r="W263" s="38"/>
      <c r="X263" s="38"/>
      <c r="Y263" s="38"/>
      <c r="Z263" s="38">
        <f t="shared" si="45"/>
        <v>210</v>
      </c>
      <c r="AA263" t="e">
        <f t="shared" si="43"/>
        <v>#DIV/0!</v>
      </c>
      <c r="AB263" s="1" t="e">
        <f t="shared" si="44"/>
        <v>#DIV/0!</v>
      </c>
    </row>
    <row r="264" spans="11:28" ht="33" customHeight="1">
      <c r="K264" s="38"/>
      <c r="L264" s="38"/>
      <c r="M264" s="38"/>
      <c r="N264" s="38"/>
      <c r="O264" s="38"/>
      <c r="P264" s="38"/>
      <c r="Q264" s="38"/>
      <c r="R264" s="38"/>
      <c r="S264" s="38"/>
      <c r="T264" s="38"/>
      <c r="U264" s="38"/>
      <c r="V264" s="38"/>
      <c r="W264" s="38"/>
      <c r="X264" s="38"/>
      <c r="Y264" s="38"/>
      <c r="Z264" s="38">
        <f t="shared" si="45"/>
        <v>211</v>
      </c>
      <c r="AA264" t="e">
        <f t="shared" si="43"/>
        <v>#DIV/0!</v>
      </c>
      <c r="AB264" s="1" t="e">
        <f t="shared" si="44"/>
        <v>#DIV/0!</v>
      </c>
    </row>
    <row r="265" spans="11:28" ht="33" customHeight="1">
      <c r="K265" s="38"/>
      <c r="L265" s="38"/>
      <c r="M265" s="38"/>
      <c r="N265" s="38"/>
      <c r="O265" s="38"/>
      <c r="P265" s="38"/>
      <c r="Q265" s="38"/>
      <c r="R265" s="38"/>
      <c r="S265" s="38"/>
      <c r="T265" s="38"/>
      <c r="U265" s="38"/>
      <c r="V265" s="38"/>
      <c r="W265" s="38"/>
      <c r="X265" s="38"/>
      <c r="Y265" s="38"/>
      <c r="Z265" s="38">
        <f t="shared" si="45"/>
        <v>212</v>
      </c>
      <c r="AA265" t="e">
        <f t="shared" si="43"/>
        <v>#DIV/0!</v>
      </c>
      <c r="AB265" s="1" t="e">
        <f t="shared" si="44"/>
        <v>#DIV/0!</v>
      </c>
    </row>
    <row r="266" spans="11:28" ht="33" customHeight="1">
      <c r="K266" s="38"/>
      <c r="L266" s="38"/>
      <c r="M266" s="38"/>
      <c r="N266" s="38"/>
      <c r="O266" s="38"/>
      <c r="P266" s="38"/>
      <c r="Q266" s="38"/>
      <c r="R266" s="38"/>
      <c r="S266" s="38"/>
      <c r="T266" s="38"/>
      <c r="U266" s="38"/>
      <c r="V266" s="38"/>
      <c r="W266" s="38"/>
      <c r="X266" s="38"/>
      <c r="Y266" s="38"/>
      <c r="Z266" s="38">
        <f t="shared" si="45"/>
        <v>213</v>
      </c>
      <c r="AA266" t="e">
        <f t="shared" si="43"/>
        <v>#DIV/0!</v>
      </c>
      <c r="AB266" s="1" t="e">
        <f t="shared" si="44"/>
        <v>#DIV/0!</v>
      </c>
    </row>
    <row r="267" spans="11:28" ht="33" customHeight="1">
      <c r="K267" s="38"/>
      <c r="L267" s="38"/>
      <c r="M267" s="38"/>
      <c r="N267" s="38"/>
      <c r="O267" s="38"/>
      <c r="P267" s="38"/>
      <c r="Q267" s="38"/>
      <c r="R267" s="38"/>
      <c r="S267" s="38"/>
      <c r="T267" s="38"/>
      <c r="U267" s="38"/>
      <c r="V267" s="38"/>
      <c r="W267" s="38"/>
      <c r="X267" s="38"/>
      <c r="Y267" s="38"/>
      <c r="Z267" s="38">
        <f t="shared" si="45"/>
        <v>214</v>
      </c>
      <c r="AA267" t="e">
        <f t="shared" ref="AA267:AA330" si="46">IF(AB267=Z267,1,0)</f>
        <v>#DIV/0!</v>
      </c>
      <c r="AB267" s="1" t="e">
        <f t="shared" ref="AB267:AB330" si="47">$AB$8</f>
        <v>#DIV/0!</v>
      </c>
    </row>
    <row r="268" spans="11:28" ht="33" customHeight="1">
      <c r="K268" s="38"/>
      <c r="L268" s="38"/>
      <c r="M268" s="38"/>
      <c r="N268" s="38"/>
      <c r="O268" s="38"/>
      <c r="P268" s="38"/>
      <c r="Q268" s="38"/>
      <c r="R268" s="38"/>
      <c r="S268" s="38"/>
      <c r="T268" s="38"/>
      <c r="U268" s="38"/>
      <c r="V268" s="38"/>
      <c r="W268" s="38"/>
      <c r="X268" s="38"/>
      <c r="Y268" s="38"/>
      <c r="Z268" s="38">
        <f t="shared" ref="Z268:Z331" si="48">Z267+1</f>
        <v>215</v>
      </c>
      <c r="AA268" t="e">
        <f t="shared" si="46"/>
        <v>#DIV/0!</v>
      </c>
      <c r="AB268" s="1" t="e">
        <f t="shared" si="47"/>
        <v>#DIV/0!</v>
      </c>
    </row>
    <row r="269" spans="11:28" ht="33" customHeight="1">
      <c r="K269" s="38"/>
      <c r="L269" s="38"/>
      <c r="M269" s="38"/>
      <c r="N269" s="38"/>
      <c r="O269" s="38"/>
      <c r="P269" s="38"/>
      <c r="Q269" s="38"/>
      <c r="R269" s="38"/>
      <c r="S269" s="38"/>
      <c r="T269" s="38"/>
      <c r="U269" s="38"/>
      <c r="V269" s="38"/>
      <c r="W269" s="38"/>
      <c r="X269" s="38"/>
      <c r="Y269" s="38"/>
      <c r="Z269" s="38">
        <f t="shared" si="48"/>
        <v>216</v>
      </c>
      <c r="AA269" t="e">
        <f t="shared" si="46"/>
        <v>#DIV/0!</v>
      </c>
      <c r="AB269" s="1" t="e">
        <f t="shared" si="47"/>
        <v>#DIV/0!</v>
      </c>
    </row>
    <row r="270" spans="11:28" ht="33" customHeight="1">
      <c r="K270" s="38"/>
      <c r="L270" s="38"/>
      <c r="M270" s="38"/>
      <c r="N270" s="38"/>
      <c r="O270" s="38"/>
      <c r="P270" s="38"/>
      <c r="Q270" s="38"/>
      <c r="R270" s="38"/>
      <c r="S270" s="38"/>
      <c r="T270" s="38"/>
      <c r="U270" s="38"/>
      <c r="V270" s="38"/>
      <c r="W270" s="38"/>
      <c r="X270" s="38"/>
      <c r="Y270" s="38"/>
      <c r="Z270" s="38">
        <f t="shared" si="48"/>
        <v>217</v>
      </c>
      <c r="AA270" t="e">
        <f t="shared" si="46"/>
        <v>#DIV/0!</v>
      </c>
      <c r="AB270" s="1" t="e">
        <f t="shared" si="47"/>
        <v>#DIV/0!</v>
      </c>
    </row>
    <row r="271" spans="11:28" ht="33" customHeight="1">
      <c r="K271" s="38"/>
      <c r="L271" s="38"/>
      <c r="M271" s="38"/>
      <c r="N271" s="38"/>
      <c r="O271" s="38"/>
      <c r="P271" s="38"/>
      <c r="Q271" s="38"/>
      <c r="R271" s="38"/>
      <c r="S271" s="38"/>
      <c r="T271" s="38"/>
      <c r="U271" s="38"/>
      <c r="V271" s="38"/>
      <c r="W271" s="38"/>
      <c r="X271" s="38"/>
      <c r="Y271" s="38"/>
      <c r="Z271" s="38">
        <f t="shared" si="48"/>
        <v>218</v>
      </c>
      <c r="AA271" t="e">
        <f t="shared" si="46"/>
        <v>#DIV/0!</v>
      </c>
      <c r="AB271" s="1" t="e">
        <f t="shared" si="47"/>
        <v>#DIV/0!</v>
      </c>
    </row>
    <row r="272" spans="11:28" ht="33" customHeight="1">
      <c r="K272" s="38"/>
      <c r="L272" s="38"/>
      <c r="M272" s="38"/>
      <c r="N272" s="38"/>
      <c r="O272" s="38"/>
      <c r="P272" s="38"/>
      <c r="Q272" s="38"/>
      <c r="R272" s="38"/>
      <c r="S272" s="38"/>
      <c r="T272" s="38"/>
      <c r="U272" s="38"/>
      <c r="V272" s="38"/>
      <c r="W272" s="38"/>
      <c r="X272" s="38"/>
      <c r="Y272" s="38"/>
      <c r="Z272" s="38">
        <f t="shared" si="48"/>
        <v>219</v>
      </c>
      <c r="AA272" t="e">
        <f t="shared" si="46"/>
        <v>#DIV/0!</v>
      </c>
      <c r="AB272" s="1" t="e">
        <f t="shared" si="47"/>
        <v>#DIV/0!</v>
      </c>
    </row>
    <row r="273" spans="11:28" ht="33" customHeight="1">
      <c r="K273" s="38"/>
      <c r="L273" s="38"/>
      <c r="M273" s="38"/>
      <c r="N273" s="38"/>
      <c r="O273" s="38"/>
      <c r="P273" s="38"/>
      <c r="Q273" s="38"/>
      <c r="R273" s="38"/>
      <c r="S273" s="38"/>
      <c r="T273" s="38"/>
      <c r="U273" s="38"/>
      <c r="V273" s="38"/>
      <c r="W273" s="38"/>
      <c r="X273" s="38"/>
      <c r="Y273" s="38"/>
      <c r="Z273" s="38">
        <f t="shared" si="48"/>
        <v>220</v>
      </c>
      <c r="AA273" t="e">
        <f t="shared" si="46"/>
        <v>#DIV/0!</v>
      </c>
      <c r="AB273" s="1" t="e">
        <f t="shared" si="47"/>
        <v>#DIV/0!</v>
      </c>
    </row>
    <row r="274" spans="11:28" ht="33" customHeight="1">
      <c r="K274" s="38"/>
      <c r="L274" s="38"/>
      <c r="M274" s="38"/>
      <c r="N274" s="38"/>
      <c r="O274" s="38"/>
      <c r="P274" s="38"/>
      <c r="Q274" s="38"/>
      <c r="R274" s="38"/>
      <c r="S274" s="38"/>
      <c r="T274" s="38"/>
      <c r="U274" s="38"/>
      <c r="V274" s="38"/>
      <c r="W274" s="38"/>
      <c r="X274" s="38"/>
      <c r="Y274" s="38"/>
      <c r="Z274" s="38">
        <f t="shared" si="48"/>
        <v>221</v>
      </c>
      <c r="AA274" t="e">
        <f t="shared" si="46"/>
        <v>#DIV/0!</v>
      </c>
      <c r="AB274" s="1" t="e">
        <f t="shared" si="47"/>
        <v>#DIV/0!</v>
      </c>
    </row>
    <row r="275" spans="11:28" ht="33" customHeight="1">
      <c r="K275" s="38"/>
      <c r="L275" s="38"/>
      <c r="M275" s="38"/>
      <c r="N275" s="38"/>
      <c r="O275" s="38"/>
      <c r="P275" s="38"/>
      <c r="Q275" s="38"/>
      <c r="R275" s="38"/>
      <c r="S275" s="38"/>
      <c r="T275" s="38"/>
      <c r="U275" s="38"/>
      <c r="V275" s="38"/>
      <c r="W275" s="38"/>
      <c r="X275" s="38"/>
      <c r="Y275" s="38"/>
      <c r="Z275" s="38">
        <f t="shared" si="48"/>
        <v>222</v>
      </c>
      <c r="AA275" t="e">
        <f t="shared" si="46"/>
        <v>#DIV/0!</v>
      </c>
      <c r="AB275" s="1" t="e">
        <f t="shared" si="47"/>
        <v>#DIV/0!</v>
      </c>
    </row>
    <row r="276" spans="11:28" ht="33" customHeight="1">
      <c r="K276" s="38"/>
      <c r="L276" s="38"/>
      <c r="M276" s="38"/>
      <c r="N276" s="38"/>
      <c r="O276" s="38"/>
      <c r="P276" s="38"/>
      <c r="Q276" s="38"/>
      <c r="R276" s="38"/>
      <c r="S276" s="38"/>
      <c r="T276" s="38"/>
      <c r="U276" s="38"/>
      <c r="V276" s="38"/>
      <c r="W276" s="38"/>
      <c r="X276" s="38"/>
      <c r="Y276" s="38"/>
      <c r="Z276" s="38">
        <f t="shared" si="48"/>
        <v>223</v>
      </c>
      <c r="AA276" t="e">
        <f t="shared" si="46"/>
        <v>#DIV/0!</v>
      </c>
      <c r="AB276" s="1" t="e">
        <f t="shared" si="47"/>
        <v>#DIV/0!</v>
      </c>
    </row>
    <row r="277" spans="11:28" ht="33" customHeight="1">
      <c r="K277" s="38"/>
      <c r="L277" s="38"/>
      <c r="M277" s="38"/>
      <c r="N277" s="38"/>
      <c r="O277" s="38"/>
      <c r="P277" s="38"/>
      <c r="Q277" s="38"/>
      <c r="R277" s="38"/>
      <c r="S277" s="38"/>
      <c r="T277" s="38"/>
      <c r="U277" s="38"/>
      <c r="V277" s="38"/>
      <c r="W277" s="38"/>
      <c r="X277" s="38"/>
      <c r="Y277" s="38"/>
      <c r="Z277" s="38">
        <f t="shared" si="48"/>
        <v>224</v>
      </c>
      <c r="AA277" t="e">
        <f t="shared" si="46"/>
        <v>#DIV/0!</v>
      </c>
      <c r="AB277" s="1" t="e">
        <f t="shared" si="47"/>
        <v>#DIV/0!</v>
      </c>
    </row>
    <row r="278" spans="11:28" ht="33" customHeight="1">
      <c r="K278" s="38"/>
      <c r="L278" s="38"/>
      <c r="M278" s="38"/>
      <c r="N278" s="38"/>
      <c r="O278" s="38"/>
      <c r="P278" s="38"/>
      <c r="Q278" s="38"/>
      <c r="R278" s="38"/>
      <c r="S278" s="38"/>
      <c r="T278" s="38"/>
      <c r="U278" s="38"/>
      <c r="V278" s="38"/>
      <c r="W278" s="38"/>
      <c r="X278" s="38"/>
      <c r="Y278" s="38"/>
      <c r="Z278" s="38">
        <f t="shared" si="48"/>
        <v>225</v>
      </c>
      <c r="AA278" t="e">
        <f t="shared" si="46"/>
        <v>#DIV/0!</v>
      </c>
      <c r="AB278" s="1" t="e">
        <f t="shared" si="47"/>
        <v>#DIV/0!</v>
      </c>
    </row>
    <row r="279" spans="11:28" ht="33" customHeight="1">
      <c r="K279" s="38"/>
      <c r="L279" s="38"/>
      <c r="M279" s="38"/>
      <c r="N279" s="38"/>
      <c r="O279" s="38"/>
      <c r="P279" s="38"/>
      <c r="Q279" s="38"/>
      <c r="R279" s="38"/>
      <c r="S279" s="38"/>
      <c r="T279" s="38"/>
      <c r="U279" s="38"/>
      <c r="V279" s="38"/>
      <c r="W279" s="38"/>
      <c r="X279" s="38"/>
      <c r="Y279" s="38"/>
      <c r="Z279" s="38">
        <f t="shared" si="48"/>
        <v>226</v>
      </c>
      <c r="AA279" t="e">
        <f t="shared" si="46"/>
        <v>#DIV/0!</v>
      </c>
      <c r="AB279" s="1" t="e">
        <f t="shared" si="47"/>
        <v>#DIV/0!</v>
      </c>
    </row>
    <row r="280" spans="11:28" ht="33" customHeight="1">
      <c r="K280" s="38"/>
      <c r="L280" s="38"/>
      <c r="M280" s="38"/>
      <c r="N280" s="38"/>
      <c r="O280" s="38"/>
      <c r="P280" s="38"/>
      <c r="Q280" s="38"/>
      <c r="R280" s="38"/>
      <c r="S280" s="38"/>
      <c r="T280" s="38"/>
      <c r="U280" s="38"/>
      <c r="V280" s="38"/>
      <c r="W280" s="38"/>
      <c r="X280" s="38"/>
      <c r="Y280" s="38"/>
      <c r="Z280" s="38">
        <f t="shared" si="48"/>
        <v>227</v>
      </c>
      <c r="AA280" t="e">
        <f t="shared" si="46"/>
        <v>#DIV/0!</v>
      </c>
      <c r="AB280" s="1" t="e">
        <f t="shared" si="47"/>
        <v>#DIV/0!</v>
      </c>
    </row>
    <row r="281" spans="11:28" ht="33" customHeight="1">
      <c r="K281" s="38"/>
      <c r="L281" s="38"/>
      <c r="M281" s="38"/>
      <c r="N281" s="38"/>
      <c r="O281" s="38"/>
      <c r="P281" s="38"/>
      <c r="Q281" s="38"/>
      <c r="R281" s="38"/>
      <c r="S281" s="38"/>
      <c r="T281" s="38"/>
      <c r="U281" s="38"/>
      <c r="V281" s="38"/>
      <c r="W281" s="38"/>
      <c r="X281" s="38"/>
      <c r="Y281" s="38"/>
      <c r="Z281" s="38">
        <f t="shared" si="48"/>
        <v>228</v>
      </c>
      <c r="AA281" t="e">
        <f t="shared" si="46"/>
        <v>#DIV/0!</v>
      </c>
      <c r="AB281" s="1" t="e">
        <f t="shared" si="47"/>
        <v>#DIV/0!</v>
      </c>
    </row>
    <row r="282" spans="11:28" ht="33" customHeight="1">
      <c r="K282" s="38"/>
      <c r="L282" s="38"/>
      <c r="M282" s="38"/>
      <c r="N282" s="38"/>
      <c r="O282" s="38"/>
      <c r="P282" s="38"/>
      <c r="Q282" s="38"/>
      <c r="R282" s="38"/>
      <c r="S282" s="38"/>
      <c r="T282" s="38"/>
      <c r="U282" s="38"/>
      <c r="V282" s="38"/>
      <c r="W282" s="38"/>
      <c r="X282" s="38"/>
      <c r="Y282" s="38"/>
      <c r="Z282" s="38">
        <f t="shared" si="48"/>
        <v>229</v>
      </c>
      <c r="AA282" t="e">
        <f t="shared" si="46"/>
        <v>#DIV/0!</v>
      </c>
      <c r="AB282" s="1" t="e">
        <f t="shared" si="47"/>
        <v>#DIV/0!</v>
      </c>
    </row>
    <row r="283" spans="11:28" ht="33" customHeight="1">
      <c r="K283" s="38"/>
      <c r="L283" s="38"/>
      <c r="M283" s="38"/>
      <c r="N283" s="38"/>
      <c r="O283" s="38"/>
      <c r="P283" s="38"/>
      <c r="Q283" s="38"/>
      <c r="R283" s="38"/>
      <c r="S283" s="38"/>
      <c r="T283" s="38"/>
      <c r="U283" s="38"/>
      <c r="V283" s="38"/>
      <c r="W283" s="38"/>
      <c r="X283" s="38"/>
      <c r="Y283" s="38"/>
      <c r="Z283" s="38">
        <f t="shared" si="48"/>
        <v>230</v>
      </c>
      <c r="AA283" t="e">
        <f t="shared" si="46"/>
        <v>#DIV/0!</v>
      </c>
      <c r="AB283" s="1" t="e">
        <f t="shared" si="47"/>
        <v>#DIV/0!</v>
      </c>
    </row>
    <row r="284" spans="11:28" ht="33" customHeight="1">
      <c r="K284" s="38"/>
      <c r="L284" s="38"/>
      <c r="M284" s="38"/>
      <c r="N284" s="38"/>
      <c r="O284" s="38"/>
      <c r="P284" s="38"/>
      <c r="Q284" s="38"/>
      <c r="R284" s="38"/>
      <c r="S284" s="38"/>
      <c r="T284" s="38"/>
      <c r="U284" s="38"/>
      <c r="V284" s="38"/>
      <c r="W284" s="38"/>
      <c r="X284" s="38"/>
      <c r="Y284" s="38"/>
      <c r="Z284" s="38">
        <f t="shared" si="48"/>
        <v>231</v>
      </c>
      <c r="AA284" t="e">
        <f t="shared" si="46"/>
        <v>#DIV/0!</v>
      </c>
      <c r="AB284" s="1" t="e">
        <f t="shared" si="47"/>
        <v>#DIV/0!</v>
      </c>
    </row>
    <row r="285" spans="11:28" ht="33" customHeight="1">
      <c r="K285" s="38"/>
      <c r="L285" s="38"/>
      <c r="M285" s="38"/>
      <c r="N285" s="38"/>
      <c r="O285" s="38"/>
      <c r="P285" s="38"/>
      <c r="Q285" s="38"/>
      <c r="R285" s="38"/>
      <c r="S285" s="38"/>
      <c r="T285" s="38"/>
      <c r="U285" s="38"/>
      <c r="V285" s="38"/>
      <c r="W285" s="38"/>
      <c r="X285" s="38"/>
      <c r="Y285" s="38"/>
      <c r="Z285" s="38">
        <f t="shared" si="48"/>
        <v>232</v>
      </c>
      <c r="AA285" t="e">
        <f t="shared" si="46"/>
        <v>#DIV/0!</v>
      </c>
      <c r="AB285" s="1" t="e">
        <f t="shared" si="47"/>
        <v>#DIV/0!</v>
      </c>
    </row>
    <row r="286" spans="11:28" ht="33" customHeight="1">
      <c r="K286" s="38"/>
      <c r="L286" s="38"/>
      <c r="M286" s="38"/>
      <c r="N286" s="38"/>
      <c r="O286" s="38"/>
      <c r="P286" s="38"/>
      <c r="Q286" s="38"/>
      <c r="R286" s="38"/>
      <c r="S286" s="38"/>
      <c r="T286" s="38"/>
      <c r="U286" s="38"/>
      <c r="V286" s="38"/>
      <c r="W286" s="38"/>
      <c r="X286" s="38"/>
      <c r="Y286" s="38"/>
      <c r="Z286" s="38">
        <f t="shared" si="48"/>
        <v>233</v>
      </c>
      <c r="AA286" t="e">
        <f t="shared" si="46"/>
        <v>#DIV/0!</v>
      </c>
      <c r="AB286" s="1" t="e">
        <f t="shared" si="47"/>
        <v>#DIV/0!</v>
      </c>
    </row>
    <row r="287" spans="11:28" ht="33" customHeight="1">
      <c r="K287" s="38"/>
      <c r="L287" s="38"/>
      <c r="M287" s="38"/>
      <c r="N287" s="38"/>
      <c r="O287" s="38"/>
      <c r="P287" s="38"/>
      <c r="Q287" s="38"/>
      <c r="R287" s="38"/>
      <c r="S287" s="38"/>
      <c r="T287" s="38"/>
      <c r="U287" s="38"/>
      <c r="V287" s="38"/>
      <c r="W287" s="38"/>
      <c r="X287" s="38"/>
      <c r="Y287" s="38"/>
      <c r="Z287" s="38">
        <f t="shared" si="48"/>
        <v>234</v>
      </c>
      <c r="AA287" t="e">
        <f t="shared" si="46"/>
        <v>#DIV/0!</v>
      </c>
      <c r="AB287" s="1" t="e">
        <f t="shared" si="47"/>
        <v>#DIV/0!</v>
      </c>
    </row>
    <row r="288" spans="11:28" ht="33" customHeight="1">
      <c r="K288" s="38"/>
      <c r="L288" s="38"/>
      <c r="M288" s="38"/>
      <c r="N288" s="38"/>
      <c r="O288" s="38"/>
      <c r="P288" s="38"/>
      <c r="Q288" s="38"/>
      <c r="R288" s="38"/>
      <c r="S288" s="38"/>
      <c r="T288" s="38"/>
      <c r="U288" s="38"/>
      <c r="V288" s="38"/>
      <c r="W288" s="38"/>
      <c r="X288" s="38"/>
      <c r="Y288" s="38"/>
      <c r="Z288" s="38">
        <f t="shared" si="48"/>
        <v>235</v>
      </c>
      <c r="AA288" t="e">
        <f t="shared" si="46"/>
        <v>#DIV/0!</v>
      </c>
      <c r="AB288" s="1" t="e">
        <f t="shared" si="47"/>
        <v>#DIV/0!</v>
      </c>
    </row>
    <row r="289" spans="11:28" ht="33" customHeight="1">
      <c r="K289" s="38"/>
      <c r="L289" s="38"/>
      <c r="M289" s="38"/>
      <c r="N289" s="38"/>
      <c r="O289" s="38"/>
      <c r="P289" s="38"/>
      <c r="Q289" s="38"/>
      <c r="R289" s="38"/>
      <c r="S289" s="38"/>
      <c r="T289" s="38"/>
      <c r="U289" s="38"/>
      <c r="V289" s="38"/>
      <c r="W289" s="38"/>
      <c r="X289" s="38"/>
      <c r="Y289" s="38"/>
      <c r="Z289" s="38">
        <f t="shared" si="48"/>
        <v>236</v>
      </c>
      <c r="AA289" t="e">
        <f t="shared" si="46"/>
        <v>#DIV/0!</v>
      </c>
      <c r="AB289" s="1" t="e">
        <f t="shared" si="47"/>
        <v>#DIV/0!</v>
      </c>
    </row>
    <row r="290" spans="11:28" ht="33" customHeight="1">
      <c r="K290" s="38"/>
      <c r="L290" s="38"/>
      <c r="M290" s="38"/>
      <c r="N290" s="38"/>
      <c r="O290" s="38"/>
      <c r="P290" s="38"/>
      <c r="Q290" s="38"/>
      <c r="R290" s="38"/>
      <c r="S290" s="38"/>
      <c r="T290" s="38"/>
      <c r="U290" s="38"/>
      <c r="V290" s="38"/>
      <c r="W290" s="38"/>
      <c r="X290" s="38"/>
      <c r="Y290" s="38"/>
      <c r="Z290" s="38">
        <f t="shared" si="48"/>
        <v>237</v>
      </c>
      <c r="AA290" t="e">
        <f t="shared" si="46"/>
        <v>#DIV/0!</v>
      </c>
      <c r="AB290" s="1" t="e">
        <f t="shared" si="47"/>
        <v>#DIV/0!</v>
      </c>
    </row>
    <row r="291" spans="11:28" ht="33" customHeight="1">
      <c r="K291" s="38"/>
      <c r="L291" s="38"/>
      <c r="M291" s="38"/>
      <c r="N291" s="38"/>
      <c r="O291" s="38"/>
      <c r="P291" s="38"/>
      <c r="Q291" s="38"/>
      <c r="R291" s="38"/>
      <c r="S291" s="38"/>
      <c r="T291" s="38"/>
      <c r="U291" s="38"/>
      <c r="V291" s="38"/>
      <c r="W291" s="38"/>
      <c r="X291" s="38"/>
      <c r="Y291" s="38"/>
      <c r="Z291" s="38">
        <f t="shared" si="48"/>
        <v>238</v>
      </c>
      <c r="AA291" t="e">
        <f t="shared" si="46"/>
        <v>#DIV/0!</v>
      </c>
      <c r="AB291" s="1" t="e">
        <f t="shared" si="47"/>
        <v>#DIV/0!</v>
      </c>
    </row>
    <row r="292" spans="11:28" ht="33" customHeight="1">
      <c r="K292" s="38"/>
      <c r="L292" s="38"/>
      <c r="M292" s="38"/>
      <c r="N292" s="38"/>
      <c r="O292" s="38"/>
      <c r="P292" s="38"/>
      <c r="Q292" s="38"/>
      <c r="R292" s="38"/>
      <c r="S292" s="38"/>
      <c r="T292" s="38"/>
      <c r="U292" s="38"/>
      <c r="V292" s="38"/>
      <c r="W292" s="38"/>
      <c r="X292" s="38"/>
      <c r="Y292" s="38"/>
      <c r="Z292" s="38">
        <f t="shared" si="48"/>
        <v>239</v>
      </c>
      <c r="AA292" t="e">
        <f t="shared" si="46"/>
        <v>#DIV/0!</v>
      </c>
      <c r="AB292" s="1" t="e">
        <f t="shared" si="47"/>
        <v>#DIV/0!</v>
      </c>
    </row>
    <row r="293" spans="11:28" ht="33" customHeight="1">
      <c r="K293" s="38"/>
      <c r="L293" s="38"/>
      <c r="M293" s="38"/>
      <c r="N293" s="38"/>
      <c r="O293" s="38"/>
      <c r="P293" s="38"/>
      <c r="Q293" s="38"/>
      <c r="R293" s="38"/>
      <c r="S293" s="38"/>
      <c r="T293" s="38"/>
      <c r="U293" s="38"/>
      <c r="V293" s="38"/>
      <c r="W293" s="38"/>
      <c r="X293" s="38"/>
      <c r="Y293" s="38"/>
      <c r="Z293" s="38">
        <f t="shared" si="48"/>
        <v>240</v>
      </c>
      <c r="AA293" t="e">
        <f t="shared" si="46"/>
        <v>#DIV/0!</v>
      </c>
      <c r="AB293" s="1" t="e">
        <f t="shared" si="47"/>
        <v>#DIV/0!</v>
      </c>
    </row>
    <row r="294" spans="11:28" ht="33" customHeight="1">
      <c r="K294" s="38"/>
      <c r="L294" s="38"/>
      <c r="M294" s="38"/>
      <c r="N294" s="38"/>
      <c r="O294" s="38"/>
      <c r="P294" s="38"/>
      <c r="Q294" s="38"/>
      <c r="R294" s="38"/>
      <c r="S294" s="38"/>
      <c r="T294" s="38"/>
      <c r="U294" s="38"/>
      <c r="V294" s="38"/>
      <c r="W294" s="38"/>
      <c r="X294" s="38"/>
      <c r="Y294" s="38"/>
      <c r="Z294" s="38">
        <f t="shared" si="48"/>
        <v>241</v>
      </c>
      <c r="AA294" t="e">
        <f t="shared" si="46"/>
        <v>#DIV/0!</v>
      </c>
      <c r="AB294" s="1" t="e">
        <f t="shared" si="47"/>
        <v>#DIV/0!</v>
      </c>
    </row>
    <row r="295" spans="11:28" ht="33" customHeight="1">
      <c r="K295" s="38"/>
      <c r="L295" s="38"/>
      <c r="M295" s="38"/>
      <c r="N295" s="38"/>
      <c r="O295" s="38"/>
      <c r="P295" s="38"/>
      <c r="Q295" s="38"/>
      <c r="R295" s="38"/>
      <c r="S295" s="38"/>
      <c r="T295" s="38"/>
      <c r="U295" s="38"/>
      <c r="V295" s="38"/>
      <c r="W295" s="38"/>
      <c r="X295" s="38"/>
      <c r="Y295" s="38"/>
      <c r="Z295" s="38">
        <f t="shared" si="48"/>
        <v>242</v>
      </c>
      <c r="AA295" t="e">
        <f t="shared" si="46"/>
        <v>#DIV/0!</v>
      </c>
      <c r="AB295" s="1" t="e">
        <f t="shared" si="47"/>
        <v>#DIV/0!</v>
      </c>
    </row>
    <row r="296" spans="11:28" ht="33" customHeight="1">
      <c r="K296" s="38"/>
      <c r="L296" s="38"/>
      <c r="M296" s="38"/>
      <c r="N296" s="38"/>
      <c r="O296" s="38"/>
      <c r="P296" s="38"/>
      <c r="Q296" s="38"/>
      <c r="R296" s="38"/>
      <c r="S296" s="38"/>
      <c r="T296" s="38"/>
      <c r="U296" s="38"/>
      <c r="V296" s="38"/>
      <c r="W296" s="38"/>
      <c r="X296" s="38"/>
      <c r="Y296" s="38"/>
      <c r="Z296" s="38">
        <f t="shared" si="48"/>
        <v>243</v>
      </c>
      <c r="AA296" t="e">
        <f t="shared" si="46"/>
        <v>#DIV/0!</v>
      </c>
      <c r="AB296" s="1" t="e">
        <f t="shared" si="47"/>
        <v>#DIV/0!</v>
      </c>
    </row>
    <row r="297" spans="11:28" ht="33" customHeight="1">
      <c r="K297" s="38"/>
      <c r="L297" s="38"/>
      <c r="M297" s="38"/>
      <c r="N297" s="38"/>
      <c r="O297" s="38"/>
      <c r="P297" s="38"/>
      <c r="Q297" s="38"/>
      <c r="R297" s="38"/>
      <c r="S297" s="38"/>
      <c r="T297" s="38"/>
      <c r="U297" s="38"/>
      <c r="V297" s="38"/>
      <c r="W297" s="38"/>
      <c r="X297" s="38"/>
      <c r="Y297" s="38"/>
      <c r="Z297" s="38">
        <f t="shared" si="48"/>
        <v>244</v>
      </c>
      <c r="AA297" t="e">
        <f t="shared" si="46"/>
        <v>#DIV/0!</v>
      </c>
      <c r="AB297" s="1" t="e">
        <f t="shared" si="47"/>
        <v>#DIV/0!</v>
      </c>
    </row>
    <row r="298" spans="11:28" ht="33" customHeight="1">
      <c r="K298" s="38"/>
      <c r="L298" s="38"/>
      <c r="M298" s="38"/>
      <c r="N298" s="38"/>
      <c r="O298" s="38"/>
      <c r="P298" s="38"/>
      <c r="Q298" s="38"/>
      <c r="R298" s="38"/>
      <c r="S298" s="38"/>
      <c r="T298" s="38"/>
      <c r="U298" s="38"/>
      <c r="V298" s="38"/>
      <c r="W298" s="38"/>
      <c r="X298" s="38"/>
      <c r="Y298" s="38"/>
      <c r="Z298" s="38">
        <f t="shared" si="48"/>
        <v>245</v>
      </c>
      <c r="AA298" t="e">
        <f t="shared" si="46"/>
        <v>#DIV/0!</v>
      </c>
      <c r="AB298" s="1" t="e">
        <f t="shared" si="47"/>
        <v>#DIV/0!</v>
      </c>
    </row>
    <row r="299" spans="11:28" ht="33" customHeight="1">
      <c r="K299" s="38"/>
      <c r="L299" s="38"/>
      <c r="M299" s="38"/>
      <c r="N299" s="38"/>
      <c r="O299" s="38"/>
      <c r="P299" s="38"/>
      <c r="Q299" s="38"/>
      <c r="R299" s="38"/>
      <c r="S299" s="38"/>
      <c r="T299" s="38"/>
      <c r="U299" s="38"/>
      <c r="V299" s="38"/>
      <c r="W299" s="38"/>
      <c r="X299" s="38"/>
      <c r="Y299" s="38"/>
      <c r="Z299" s="38">
        <f t="shared" si="48"/>
        <v>246</v>
      </c>
      <c r="AA299" t="e">
        <f t="shared" si="46"/>
        <v>#DIV/0!</v>
      </c>
      <c r="AB299" s="1" t="e">
        <f t="shared" si="47"/>
        <v>#DIV/0!</v>
      </c>
    </row>
    <row r="300" spans="11:28" ht="33" customHeight="1">
      <c r="K300" s="38"/>
      <c r="L300" s="38"/>
      <c r="M300" s="38"/>
      <c r="N300" s="38"/>
      <c r="O300" s="38"/>
      <c r="P300" s="38"/>
      <c r="Q300" s="38"/>
      <c r="R300" s="38"/>
      <c r="S300" s="38"/>
      <c r="T300" s="38"/>
      <c r="U300" s="38"/>
      <c r="V300" s="38"/>
      <c r="W300" s="38"/>
      <c r="X300" s="38"/>
      <c r="Y300" s="38"/>
      <c r="Z300" s="38">
        <f t="shared" si="48"/>
        <v>247</v>
      </c>
      <c r="AA300" t="e">
        <f t="shared" si="46"/>
        <v>#DIV/0!</v>
      </c>
      <c r="AB300" s="1" t="e">
        <f t="shared" si="47"/>
        <v>#DIV/0!</v>
      </c>
    </row>
    <row r="301" spans="11:28" ht="33" customHeight="1">
      <c r="K301" s="38"/>
      <c r="L301" s="38"/>
      <c r="M301" s="38"/>
      <c r="N301" s="38"/>
      <c r="O301" s="38"/>
      <c r="P301" s="38"/>
      <c r="Q301" s="38"/>
      <c r="R301" s="38"/>
      <c r="S301" s="38"/>
      <c r="T301" s="38"/>
      <c r="U301" s="38"/>
      <c r="V301" s="38"/>
      <c r="W301" s="38"/>
      <c r="X301" s="38"/>
      <c r="Y301" s="38"/>
      <c r="Z301" s="38">
        <f t="shared" si="48"/>
        <v>248</v>
      </c>
      <c r="AA301" t="e">
        <f t="shared" si="46"/>
        <v>#DIV/0!</v>
      </c>
      <c r="AB301" s="1" t="e">
        <f t="shared" si="47"/>
        <v>#DIV/0!</v>
      </c>
    </row>
    <row r="302" spans="11:28" ht="33" customHeight="1">
      <c r="K302" s="38"/>
      <c r="L302" s="38"/>
      <c r="M302" s="38"/>
      <c r="N302" s="38"/>
      <c r="O302" s="38"/>
      <c r="P302" s="38"/>
      <c r="Q302" s="38"/>
      <c r="R302" s="38"/>
      <c r="S302" s="38"/>
      <c r="T302" s="38"/>
      <c r="U302" s="38"/>
      <c r="V302" s="38"/>
      <c r="W302" s="38"/>
      <c r="X302" s="38"/>
      <c r="Y302" s="38"/>
      <c r="Z302" s="38">
        <f t="shared" si="48"/>
        <v>249</v>
      </c>
      <c r="AA302" t="e">
        <f t="shared" si="46"/>
        <v>#DIV/0!</v>
      </c>
      <c r="AB302" s="1" t="e">
        <f t="shared" si="47"/>
        <v>#DIV/0!</v>
      </c>
    </row>
    <row r="303" spans="11:28" ht="33" customHeight="1">
      <c r="K303" s="38"/>
      <c r="L303" s="38"/>
      <c r="M303" s="38"/>
      <c r="N303" s="38"/>
      <c r="O303" s="38"/>
      <c r="P303" s="38"/>
      <c r="Q303" s="38"/>
      <c r="R303" s="38"/>
      <c r="S303" s="38"/>
      <c r="T303" s="38"/>
      <c r="U303" s="38"/>
      <c r="V303" s="38"/>
      <c r="W303" s="38"/>
      <c r="X303" s="38"/>
      <c r="Y303" s="38"/>
      <c r="Z303" s="38">
        <f t="shared" si="48"/>
        <v>250</v>
      </c>
      <c r="AA303" t="e">
        <f t="shared" si="46"/>
        <v>#DIV/0!</v>
      </c>
      <c r="AB303" s="1" t="e">
        <f t="shared" si="47"/>
        <v>#DIV/0!</v>
      </c>
    </row>
    <row r="304" spans="11:28" ht="33" customHeight="1">
      <c r="K304" s="38"/>
      <c r="L304" s="38"/>
      <c r="M304" s="38"/>
      <c r="N304" s="38"/>
      <c r="O304" s="38"/>
      <c r="P304" s="38"/>
      <c r="Q304" s="38"/>
      <c r="R304" s="38"/>
      <c r="S304" s="38"/>
      <c r="T304" s="38"/>
      <c r="U304" s="38"/>
      <c r="V304" s="38"/>
      <c r="W304" s="38"/>
      <c r="X304" s="38"/>
      <c r="Y304" s="38"/>
      <c r="Z304" s="38">
        <f t="shared" si="48"/>
        <v>251</v>
      </c>
      <c r="AA304" t="e">
        <f t="shared" si="46"/>
        <v>#DIV/0!</v>
      </c>
      <c r="AB304" s="1" t="e">
        <f t="shared" si="47"/>
        <v>#DIV/0!</v>
      </c>
    </row>
    <row r="305" spans="11:28" ht="33" customHeight="1">
      <c r="K305" s="38"/>
      <c r="L305" s="38"/>
      <c r="M305" s="38"/>
      <c r="N305" s="38"/>
      <c r="O305" s="38"/>
      <c r="P305" s="38"/>
      <c r="Q305" s="38"/>
      <c r="R305" s="38"/>
      <c r="S305" s="38"/>
      <c r="T305" s="38"/>
      <c r="U305" s="38"/>
      <c r="V305" s="38"/>
      <c r="W305" s="38"/>
      <c r="X305" s="38"/>
      <c r="Y305" s="38"/>
      <c r="Z305" s="38">
        <f t="shared" si="48"/>
        <v>252</v>
      </c>
      <c r="AA305" t="e">
        <f t="shared" si="46"/>
        <v>#DIV/0!</v>
      </c>
      <c r="AB305" s="1" t="e">
        <f t="shared" si="47"/>
        <v>#DIV/0!</v>
      </c>
    </row>
    <row r="306" spans="11:28" ht="33" customHeight="1">
      <c r="K306" s="38"/>
      <c r="L306" s="38"/>
      <c r="M306" s="38"/>
      <c r="N306" s="38"/>
      <c r="O306" s="38"/>
      <c r="P306" s="38"/>
      <c r="Q306" s="38"/>
      <c r="R306" s="38"/>
      <c r="S306" s="38"/>
      <c r="T306" s="38"/>
      <c r="U306" s="38"/>
      <c r="V306" s="38"/>
      <c r="W306" s="38"/>
      <c r="X306" s="38"/>
      <c r="Y306" s="38"/>
      <c r="Z306" s="38">
        <f t="shared" si="48"/>
        <v>253</v>
      </c>
      <c r="AA306" t="e">
        <f t="shared" si="46"/>
        <v>#DIV/0!</v>
      </c>
      <c r="AB306" s="1" t="e">
        <f t="shared" si="47"/>
        <v>#DIV/0!</v>
      </c>
    </row>
    <row r="307" spans="11:28" ht="33" customHeight="1">
      <c r="K307" s="38"/>
      <c r="L307" s="38"/>
      <c r="M307" s="38"/>
      <c r="N307" s="38"/>
      <c r="O307" s="38"/>
      <c r="P307" s="38"/>
      <c r="Q307" s="38"/>
      <c r="R307" s="38"/>
      <c r="S307" s="38"/>
      <c r="T307" s="38"/>
      <c r="U307" s="38"/>
      <c r="V307" s="38"/>
      <c r="W307" s="38"/>
      <c r="X307" s="38"/>
      <c r="Y307" s="38"/>
      <c r="Z307" s="38">
        <f t="shared" si="48"/>
        <v>254</v>
      </c>
      <c r="AA307" t="e">
        <f t="shared" si="46"/>
        <v>#DIV/0!</v>
      </c>
      <c r="AB307" s="1" t="e">
        <f t="shared" si="47"/>
        <v>#DIV/0!</v>
      </c>
    </row>
    <row r="308" spans="11:28" ht="33" customHeight="1">
      <c r="K308" s="38"/>
      <c r="L308" s="38"/>
      <c r="M308" s="38"/>
      <c r="N308" s="38"/>
      <c r="O308" s="38"/>
      <c r="P308" s="38"/>
      <c r="Q308" s="38"/>
      <c r="R308" s="38"/>
      <c r="S308" s="38"/>
      <c r="T308" s="38"/>
      <c r="U308" s="38"/>
      <c r="V308" s="38"/>
      <c r="W308" s="38"/>
      <c r="X308" s="38"/>
      <c r="Y308" s="38"/>
      <c r="Z308" s="38">
        <f t="shared" si="48"/>
        <v>255</v>
      </c>
      <c r="AA308" t="e">
        <f t="shared" si="46"/>
        <v>#DIV/0!</v>
      </c>
      <c r="AB308" s="1" t="e">
        <f t="shared" si="47"/>
        <v>#DIV/0!</v>
      </c>
    </row>
    <row r="309" spans="11:28" ht="33" customHeight="1">
      <c r="K309" s="38"/>
      <c r="L309" s="38"/>
      <c r="M309" s="38"/>
      <c r="N309" s="38"/>
      <c r="O309" s="38"/>
      <c r="P309" s="38"/>
      <c r="Q309" s="38"/>
      <c r="R309" s="38"/>
      <c r="S309" s="38"/>
      <c r="T309" s="38"/>
      <c r="U309" s="38"/>
      <c r="V309" s="38"/>
      <c r="W309" s="38"/>
      <c r="X309" s="38"/>
      <c r="Y309" s="38"/>
      <c r="Z309" s="38">
        <f t="shared" si="48"/>
        <v>256</v>
      </c>
      <c r="AA309" t="e">
        <f t="shared" si="46"/>
        <v>#DIV/0!</v>
      </c>
      <c r="AB309" s="1" t="e">
        <f t="shared" si="47"/>
        <v>#DIV/0!</v>
      </c>
    </row>
    <row r="310" spans="11:28" ht="33" customHeight="1">
      <c r="K310" s="38"/>
      <c r="L310" s="38"/>
      <c r="M310" s="38"/>
      <c r="N310" s="38"/>
      <c r="O310" s="38"/>
      <c r="P310" s="38"/>
      <c r="Q310" s="38"/>
      <c r="R310" s="38"/>
      <c r="S310" s="38"/>
      <c r="T310" s="38"/>
      <c r="U310" s="38"/>
      <c r="V310" s="38"/>
      <c r="W310" s="38"/>
      <c r="X310" s="38"/>
      <c r="Y310" s="38"/>
      <c r="Z310" s="38">
        <f t="shared" si="48"/>
        <v>257</v>
      </c>
      <c r="AA310" t="e">
        <f t="shared" si="46"/>
        <v>#DIV/0!</v>
      </c>
      <c r="AB310" s="1" t="e">
        <f t="shared" si="47"/>
        <v>#DIV/0!</v>
      </c>
    </row>
    <row r="311" spans="11:28" ht="33" customHeight="1">
      <c r="K311" s="38"/>
      <c r="L311" s="38"/>
      <c r="M311" s="38"/>
      <c r="N311" s="38"/>
      <c r="O311" s="38"/>
      <c r="P311" s="38"/>
      <c r="Q311" s="38"/>
      <c r="R311" s="38"/>
      <c r="S311" s="38"/>
      <c r="T311" s="38"/>
      <c r="U311" s="38"/>
      <c r="V311" s="38"/>
      <c r="W311" s="38"/>
      <c r="X311" s="38"/>
      <c r="Y311" s="38"/>
      <c r="Z311" s="38">
        <f t="shared" si="48"/>
        <v>258</v>
      </c>
      <c r="AA311" t="e">
        <f t="shared" si="46"/>
        <v>#DIV/0!</v>
      </c>
      <c r="AB311" s="1" t="e">
        <f t="shared" si="47"/>
        <v>#DIV/0!</v>
      </c>
    </row>
    <row r="312" spans="11:28" ht="33" customHeight="1">
      <c r="K312" s="38"/>
      <c r="L312" s="38"/>
      <c r="M312" s="38"/>
      <c r="N312" s="38"/>
      <c r="O312" s="38"/>
      <c r="P312" s="38"/>
      <c r="Q312" s="38"/>
      <c r="R312" s="38"/>
      <c r="S312" s="38"/>
      <c r="T312" s="38"/>
      <c r="U312" s="38"/>
      <c r="V312" s="38"/>
      <c r="W312" s="38"/>
      <c r="X312" s="38"/>
      <c r="Y312" s="38"/>
      <c r="Z312" s="38">
        <f t="shared" si="48"/>
        <v>259</v>
      </c>
      <c r="AA312" t="e">
        <f t="shared" si="46"/>
        <v>#DIV/0!</v>
      </c>
      <c r="AB312" s="1" t="e">
        <f t="shared" si="47"/>
        <v>#DIV/0!</v>
      </c>
    </row>
    <row r="313" spans="11:28" ht="33" customHeight="1">
      <c r="K313" s="38"/>
      <c r="L313" s="38"/>
      <c r="M313" s="38"/>
      <c r="N313" s="38"/>
      <c r="O313" s="38"/>
      <c r="P313" s="38"/>
      <c r="Q313" s="38"/>
      <c r="R313" s="38"/>
      <c r="S313" s="38"/>
      <c r="T313" s="38"/>
      <c r="U313" s="38"/>
      <c r="V313" s="38"/>
      <c r="W313" s="38"/>
      <c r="X313" s="38"/>
      <c r="Y313" s="38"/>
      <c r="Z313" s="38">
        <f t="shared" si="48"/>
        <v>260</v>
      </c>
      <c r="AA313" t="e">
        <f t="shared" si="46"/>
        <v>#DIV/0!</v>
      </c>
      <c r="AB313" s="1" t="e">
        <f t="shared" si="47"/>
        <v>#DIV/0!</v>
      </c>
    </row>
    <row r="314" spans="11:28" ht="33" customHeight="1">
      <c r="K314" s="38"/>
      <c r="L314" s="38"/>
      <c r="M314" s="38"/>
      <c r="N314" s="38"/>
      <c r="O314" s="38"/>
      <c r="P314" s="38"/>
      <c r="Q314" s="38"/>
      <c r="R314" s="38"/>
      <c r="S314" s="38"/>
      <c r="T314" s="38"/>
      <c r="U314" s="38"/>
      <c r="V314" s="38"/>
      <c r="W314" s="38"/>
      <c r="X314" s="38"/>
      <c r="Y314" s="38"/>
      <c r="Z314" s="38">
        <f t="shared" si="48"/>
        <v>261</v>
      </c>
      <c r="AA314" t="e">
        <f t="shared" si="46"/>
        <v>#DIV/0!</v>
      </c>
      <c r="AB314" s="1" t="e">
        <f t="shared" si="47"/>
        <v>#DIV/0!</v>
      </c>
    </row>
    <row r="315" spans="11:28" ht="33" customHeight="1">
      <c r="K315" s="38"/>
      <c r="L315" s="38"/>
      <c r="M315" s="38"/>
      <c r="N315" s="38"/>
      <c r="O315" s="38"/>
      <c r="P315" s="38"/>
      <c r="Q315" s="38"/>
      <c r="R315" s="38"/>
      <c r="S315" s="38"/>
      <c r="T315" s="38"/>
      <c r="U315" s="38"/>
      <c r="V315" s="38"/>
      <c r="W315" s="38"/>
      <c r="X315" s="38"/>
      <c r="Y315" s="38"/>
      <c r="Z315" s="38">
        <f t="shared" si="48"/>
        <v>262</v>
      </c>
      <c r="AA315" t="e">
        <f t="shared" si="46"/>
        <v>#DIV/0!</v>
      </c>
      <c r="AB315" s="1" t="e">
        <f t="shared" si="47"/>
        <v>#DIV/0!</v>
      </c>
    </row>
    <row r="316" spans="11:28" ht="33" customHeight="1">
      <c r="K316" s="38"/>
      <c r="L316" s="38"/>
      <c r="M316" s="38"/>
      <c r="N316" s="38"/>
      <c r="O316" s="38"/>
      <c r="P316" s="38"/>
      <c r="Q316" s="38"/>
      <c r="R316" s="38"/>
      <c r="S316" s="38"/>
      <c r="T316" s="38"/>
      <c r="U316" s="38"/>
      <c r="V316" s="38"/>
      <c r="W316" s="38"/>
      <c r="X316" s="38"/>
      <c r="Y316" s="38"/>
      <c r="Z316" s="38">
        <f t="shared" si="48"/>
        <v>263</v>
      </c>
      <c r="AA316" t="e">
        <f t="shared" si="46"/>
        <v>#DIV/0!</v>
      </c>
      <c r="AB316" s="1" t="e">
        <f t="shared" si="47"/>
        <v>#DIV/0!</v>
      </c>
    </row>
    <row r="317" spans="11:28" ht="33" customHeight="1">
      <c r="K317" s="38"/>
      <c r="L317" s="38"/>
      <c r="M317" s="38"/>
      <c r="N317" s="38"/>
      <c r="O317" s="38"/>
      <c r="P317" s="38"/>
      <c r="Q317" s="38"/>
      <c r="R317" s="38"/>
      <c r="S317" s="38"/>
      <c r="T317" s="38"/>
      <c r="U317" s="38"/>
      <c r="V317" s="38"/>
      <c r="W317" s="38"/>
      <c r="X317" s="38"/>
      <c r="Y317" s="38"/>
      <c r="Z317" s="38">
        <f t="shared" si="48"/>
        <v>264</v>
      </c>
      <c r="AA317" t="e">
        <f t="shared" si="46"/>
        <v>#DIV/0!</v>
      </c>
      <c r="AB317" s="1" t="e">
        <f t="shared" si="47"/>
        <v>#DIV/0!</v>
      </c>
    </row>
    <row r="318" spans="11:28" ht="33" customHeight="1">
      <c r="K318" s="38"/>
      <c r="L318" s="38"/>
      <c r="M318" s="38"/>
      <c r="N318" s="38"/>
      <c r="O318" s="38"/>
      <c r="P318" s="38"/>
      <c r="Q318" s="38"/>
      <c r="R318" s="38"/>
      <c r="S318" s="38"/>
      <c r="T318" s="38"/>
      <c r="U318" s="38"/>
      <c r="V318" s="38"/>
      <c r="W318" s="38"/>
      <c r="X318" s="38"/>
      <c r="Y318" s="38"/>
      <c r="Z318" s="38">
        <f t="shared" si="48"/>
        <v>265</v>
      </c>
      <c r="AA318" t="e">
        <f t="shared" si="46"/>
        <v>#DIV/0!</v>
      </c>
      <c r="AB318" s="1" t="e">
        <f t="shared" si="47"/>
        <v>#DIV/0!</v>
      </c>
    </row>
    <row r="319" spans="11:28" ht="33" customHeight="1">
      <c r="K319" s="38"/>
      <c r="L319" s="38"/>
      <c r="M319" s="38"/>
      <c r="N319" s="38"/>
      <c r="O319" s="38"/>
      <c r="P319" s="38"/>
      <c r="Q319" s="38"/>
      <c r="R319" s="38"/>
      <c r="S319" s="38"/>
      <c r="T319" s="38"/>
      <c r="U319" s="38"/>
      <c r="V319" s="38"/>
      <c r="W319" s="38"/>
      <c r="X319" s="38"/>
      <c r="Y319" s="38"/>
      <c r="Z319" s="38">
        <f t="shared" si="48"/>
        <v>266</v>
      </c>
      <c r="AA319" t="e">
        <f t="shared" si="46"/>
        <v>#DIV/0!</v>
      </c>
      <c r="AB319" s="1" t="e">
        <f t="shared" si="47"/>
        <v>#DIV/0!</v>
      </c>
    </row>
    <row r="320" spans="11:28" ht="33" customHeight="1">
      <c r="K320" s="38"/>
      <c r="L320" s="38"/>
      <c r="M320" s="38"/>
      <c r="N320" s="38"/>
      <c r="O320" s="38"/>
      <c r="P320" s="38"/>
      <c r="Q320" s="38"/>
      <c r="R320" s="38"/>
      <c r="S320" s="38"/>
      <c r="T320" s="38"/>
      <c r="U320" s="38"/>
      <c r="V320" s="38"/>
      <c r="W320" s="38"/>
      <c r="X320" s="38"/>
      <c r="Y320" s="38"/>
      <c r="Z320" s="38">
        <f t="shared" si="48"/>
        <v>267</v>
      </c>
      <c r="AA320" t="e">
        <f t="shared" si="46"/>
        <v>#DIV/0!</v>
      </c>
      <c r="AB320" s="1" t="e">
        <f t="shared" si="47"/>
        <v>#DIV/0!</v>
      </c>
    </row>
    <row r="321" spans="11:28" ht="33" customHeight="1">
      <c r="K321" s="38"/>
      <c r="L321" s="38"/>
      <c r="M321" s="38"/>
      <c r="N321" s="38"/>
      <c r="O321" s="38"/>
      <c r="P321" s="38"/>
      <c r="Q321" s="38"/>
      <c r="R321" s="38"/>
      <c r="S321" s="38"/>
      <c r="T321" s="38"/>
      <c r="U321" s="38"/>
      <c r="V321" s="38"/>
      <c r="W321" s="38"/>
      <c r="X321" s="38"/>
      <c r="Y321" s="38"/>
      <c r="Z321" s="38">
        <f t="shared" si="48"/>
        <v>268</v>
      </c>
      <c r="AA321" t="e">
        <f t="shared" si="46"/>
        <v>#DIV/0!</v>
      </c>
      <c r="AB321" s="1" t="e">
        <f t="shared" si="47"/>
        <v>#DIV/0!</v>
      </c>
    </row>
    <row r="322" spans="11:28" ht="33" customHeight="1">
      <c r="K322" s="38"/>
      <c r="L322" s="38"/>
      <c r="M322" s="38"/>
      <c r="N322" s="38"/>
      <c r="O322" s="38"/>
      <c r="P322" s="38"/>
      <c r="Q322" s="38"/>
      <c r="R322" s="38"/>
      <c r="S322" s="38"/>
      <c r="T322" s="38"/>
      <c r="U322" s="38"/>
      <c r="V322" s="38"/>
      <c r="W322" s="38"/>
      <c r="X322" s="38"/>
      <c r="Y322" s="38"/>
      <c r="Z322" s="38">
        <f t="shared" si="48"/>
        <v>269</v>
      </c>
      <c r="AA322" t="e">
        <f t="shared" si="46"/>
        <v>#DIV/0!</v>
      </c>
      <c r="AB322" s="1" t="e">
        <f t="shared" si="47"/>
        <v>#DIV/0!</v>
      </c>
    </row>
    <row r="323" spans="11:28" ht="33" customHeight="1">
      <c r="K323" s="38"/>
      <c r="L323" s="38"/>
      <c r="M323" s="38"/>
      <c r="N323" s="38"/>
      <c r="O323" s="38"/>
      <c r="P323" s="38"/>
      <c r="Q323" s="38"/>
      <c r="R323" s="38"/>
      <c r="S323" s="38"/>
      <c r="T323" s="38"/>
      <c r="U323" s="38"/>
      <c r="V323" s="38"/>
      <c r="W323" s="38"/>
      <c r="X323" s="38"/>
      <c r="Y323" s="38"/>
      <c r="Z323" s="38">
        <f t="shared" si="48"/>
        <v>270</v>
      </c>
      <c r="AA323" t="e">
        <f t="shared" si="46"/>
        <v>#DIV/0!</v>
      </c>
      <c r="AB323" s="1" t="e">
        <f t="shared" si="47"/>
        <v>#DIV/0!</v>
      </c>
    </row>
    <row r="324" spans="11:28" ht="33" customHeight="1">
      <c r="K324" s="38"/>
      <c r="L324" s="38"/>
      <c r="M324" s="38"/>
      <c r="N324" s="38"/>
      <c r="O324" s="38"/>
      <c r="P324" s="38"/>
      <c r="Q324" s="38"/>
      <c r="R324" s="38"/>
      <c r="S324" s="38"/>
      <c r="T324" s="38"/>
      <c r="U324" s="38"/>
      <c r="V324" s="38"/>
      <c r="W324" s="38"/>
      <c r="X324" s="38"/>
      <c r="Y324" s="38"/>
      <c r="Z324" s="38">
        <f t="shared" si="48"/>
        <v>271</v>
      </c>
      <c r="AA324" t="e">
        <f t="shared" si="46"/>
        <v>#DIV/0!</v>
      </c>
      <c r="AB324" s="1" t="e">
        <f t="shared" si="47"/>
        <v>#DIV/0!</v>
      </c>
    </row>
    <row r="325" spans="11:28" ht="33" customHeight="1">
      <c r="K325" s="38"/>
      <c r="L325" s="38"/>
      <c r="M325" s="38"/>
      <c r="N325" s="38"/>
      <c r="O325" s="38"/>
      <c r="P325" s="38"/>
      <c r="Q325" s="38"/>
      <c r="R325" s="38"/>
      <c r="S325" s="38"/>
      <c r="T325" s="38"/>
      <c r="U325" s="38"/>
      <c r="V325" s="38"/>
      <c r="W325" s="38"/>
      <c r="X325" s="38"/>
      <c r="Y325" s="38"/>
      <c r="Z325" s="38">
        <f t="shared" si="48"/>
        <v>272</v>
      </c>
      <c r="AA325" t="e">
        <f t="shared" si="46"/>
        <v>#DIV/0!</v>
      </c>
      <c r="AB325" s="1" t="e">
        <f t="shared" si="47"/>
        <v>#DIV/0!</v>
      </c>
    </row>
    <row r="326" spans="11:28" ht="33" customHeight="1">
      <c r="K326" s="38"/>
      <c r="L326" s="38"/>
      <c r="M326" s="38"/>
      <c r="N326" s="38"/>
      <c r="O326" s="38"/>
      <c r="P326" s="38"/>
      <c r="Q326" s="38"/>
      <c r="R326" s="38"/>
      <c r="S326" s="38"/>
      <c r="T326" s="38"/>
      <c r="U326" s="38"/>
      <c r="V326" s="38"/>
      <c r="W326" s="38"/>
      <c r="X326" s="38"/>
      <c r="Y326" s="38"/>
      <c r="Z326" s="38">
        <f t="shared" si="48"/>
        <v>273</v>
      </c>
      <c r="AA326" t="e">
        <f t="shared" si="46"/>
        <v>#DIV/0!</v>
      </c>
      <c r="AB326" s="1" t="e">
        <f t="shared" si="47"/>
        <v>#DIV/0!</v>
      </c>
    </row>
    <row r="327" spans="11:28" ht="33" customHeight="1">
      <c r="K327" s="38"/>
      <c r="L327" s="38"/>
      <c r="M327" s="38"/>
      <c r="N327" s="38"/>
      <c r="O327" s="38"/>
      <c r="P327" s="38"/>
      <c r="Q327" s="38"/>
      <c r="R327" s="38"/>
      <c r="S327" s="38"/>
      <c r="T327" s="38"/>
      <c r="U327" s="38"/>
      <c r="V327" s="38"/>
      <c r="W327" s="38"/>
      <c r="X327" s="38"/>
      <c r="Y327" s="38"/>
      <c r="Z327" s="38">
        <f t="shared" si="48"/>
        <v>274</v>
      </c>
      <c r="AA327" t="e">
        <f t="shared" si="46"/>
        <v>#DIV/0!</v>
      </c>
      <c r="AB327" s="1" t="e">
        <f t="shared" si="47"/>
        <v>#DIV/0!</v>
      </c>
    </row>
    <row r="328" spans="11:28" ht="33" customHeight="1">
      <c r="K328" s="38"/>
      <c r="L328" s="38"/>
      <c r="M328" s="38"/>
      <c r="N328" s="38"/>
      <c r="O328" s="38"/>
      <c r="P328" s="38"/>
      <c r="Q328" s="38"/>
      <c r="R328" s="38"/>
      <c r="S328" s="38"/>
      <c r="T328" s="38"/>
      <c r="U328" s="38"/>
      <c r="V328" s="38"/>
      <c r="W328" s="38"/>
      <c r="X328" s="38"/>
      <c r="Y328" s="38"/>
      <c r="Z328" s="38">
        <f t="shared" si="48"/>
        <v>275</v>
      </c>
      <c r="AA328" t="e">
        <f t="shared" si="46"/>
        <v>#DIV/0!</v>
      </c>
      <c r="AB328" s="1" t="e">
        <f t="shared" si="47"/>
        <v>#DIV/0!</v>
      </c>
    </row>
    <row r="329" spans="11:28" ht="33" customHeight="1">
      <c r="K329" s="38"/>
      <c r="L329" s="38"/>
      <c r="M329" s="38"/>
      <c r="N329" s="38"/>
      <c r="O329" s="38"/>
      <c r="P329" s="38"/>
      <c r="Q329" s="38"/>
      <c r="R329" s="38"/>
      <c r="S329" s="38"/>
      <c r="T329" s="38"/>
      <c r="U329" s="38"/>
      <c r="V329" s="38"/>
      <c r="W329" s="38"/>
      <c r="X329" s="38"/>
      <c r="Y329" s="38"/>
      <c r="Z329" s="38">
        <f t="shared" si="48"/>
        <v>276</v>
      </c>
      <c r="AA329" t="e">
        <f t="shared" si="46"/>
        <v>#DIV/0!</v>
      </c>
      <c r="AB329" s="1" t="e">
        <f t="shared" si="47"/>
        <v>#DIV/0!</v>
      </c>
    </row>
    <row r="330" spans="11:28" ht="33" customHeight="1">
      <c r="K330" s="38"/>
      <c r="L330" s="38"/>
      <c r="M330" s="38"/>
      <c r="N330" s="38"/>
      <c r="O330" s="38"/>
      <c r="P330" s="38"/>
      <c r="Q330" s="38"/>
      <c r="R330" s="38"/>
      <c r="S330" s="38"/>
      <c r="T330" s="38"/>
      <c r="U330" s="38"/>
      <c r="V330" s="38"/>
      <c r="W330" s="38"/>
      <c r="X330" s="38"/>
      <c r="Y330" s="38"/>
      <c r="Z330" s="38">
        <f t="shared" si="48"/>
        <v>277</v>
      </c>
      <c r="AA330" t="e">
        <f t="shared" si="46"/>
        <v>#DIV/0!</v>
      </c>
      <c r="AB330" s="1" t="e">
        <f t="shared" si="47"/>
        <v>#DIV/0!</v>
      </c>
    </row>
    <row r="331" spans="11:28" ht="33" customHeight="1">
      <c r="K331" s="38"/>
      <c r="L331" s="38"/>
      <c r="M331" s="38"/>
      <c r="N331" s="38"/>
      <c r="O331" s="38"/>
      <c r="P331" s="38"/>
      <c r="Q331" s="38"/>
      <c r="R331" s="38"/>
      <c r="S331" s="38"/>
      <c r="T331" s="38"/>
      <c r="U331" s="38"/>
      <c r="V331" s="38"/>
      <c r="W331" s="38"/>
      <c r="X331" s="38"/>
      <c r="Y331" s="38"/>
      <c r="Z331" s="38">
        <f t="shared" si="48"/>
        <v>278</v>
      </c>
      <c r="AA331" t="e">
        <f t="shared" ref="AA331:AA394" si="49">IF(AB331=Z331,1,0)</f>
        <v>#DIV/0!</v>
      </c>
      <c r="AB331" s="1" t="e">
        <f t="shared" ref="AB331:AB394" si="50">$AB$8</f>
        <v>#DIV/0!</v>
      </c>
    </row>
    <row r="332" spans="11:28" ht="33" customHeight="1">
      <c r="K332" s="38"/>
      <c r="L332" s="38"/>
      <c r="M332" s="38"/>
      <c r="N332" s="38"/>
      <c r="O332" s="38"/>
      <c r="P332" s="38"/>
      <c r="Q332" s="38"/>
      <c r="R332" s="38"/>
      <c r="S332" s="38"/>
      <c r="T332" s="38"/>
      <c r="U332" s="38"/>
      <c r="V332" s="38"/>
      <c r="W332" s="38"/>
      <c r="X332" s="38"/>
      <c r="Y332" s="38"/>
      <c r="Z332" s="38">
        <f t="shared" ref="Z332:Z395" si="51">Z331+1</f>
        <v>279</v>
      </c>
      <c r="AA332" t="e">
        <f t="shared" si="49"/>
        <v>#DIV/0!</v>
      </c>
      <c r="AB332" s="1" t="e">
        <f t="shared" si="50"/>
        <v>#DIV/0!</v>
      </c>
    </row>
    <row r="333" spans="11:28" ht="33" customHeight="1">
      <c r="K333" s="38"/>
      <c r="L333" s="38"/>
      <c r="M333" s="38"/>
      <c r="N333" s="38"/>
      <c r="O333" s="38"/>
      <c r="P333" s="38"/>
      <c r="Q333" s="38"/>
      <c r="R333" s="38"/>
      <c r="S333" s="38"/>
      <c r="T333" s="38"/>
      <c r="U333" s="38"/>
      <c r="V333" s="38"/>
      <c r="W333" s="38"/>
      <c r="X333" s="38"/>
      <c r="Y333" s="38"/>
      <c r="Z333" s="38">
        <f t="shared" si="51"/>
        <v>280</v>
      </c>
      <c r="AA333" t="e">
        <f t="shared" si="49"/>
        <v>#DIV/0!</v>
      </c>
      <c r="AB333" s="1" t="e">
        <f t="shared" si="50"/>
        <v>#DIV/0!</v>
      </c>
    </row>
    <row r="334" spans="11:28" ht="33" customHeight="1">
      <c r="K334" s="38"/>
      <c r="L334" s="38"/>
      <c r="M334" s="38"/>
      <c r="N334" s="38"/>
      <c r="O334" s="38"/>
      <c r="P334" s="38"/>
      <c r="Q334" s="38"/>
      <c r="R334" s="38"/>
      <c r="S334" s="38"/>
      <c r="T334" s="38"/>
      <c r="U334" s="38"/>
      <c r="V334" s="38"/>
      <c r="W334" s="38"/>
      <c r="X334" s="38"/>
      <c r="Y334" s="38"/>
      <c r="Z334" s="38">
        <f t="shared" si="51"/>
        <v>281</v>
      </c>
      <c r="AA334" t="e">
        <f t="shared" si="49"/>
        <v>#DIV/0!</v>
      </c>
      <c r="AB334" s="1" t="e">
        <f t="shared" si="50"/>
        <v>#DIV/0!</v>
      </c>
    </row>
    <row r="335" spans="11:28" ht="33" customHeight="1">
      <c r="K335" s="38"/>
      <c r="L335" s="38"/>
      <c r="M335" s="38"/>
      <c r="N335" s="38"/>
      <c r="O335" s="38"/>
      <c r="P335" s="38"/>
      <c r="Q335" s="38"/>
      <c r="R335" s="38"/>
      <c r="S335" s="38"/>
      <c r="T335" s="38"/>
      <c r="U335" s="38"/>
      <c r="V335" s="38"/>
      <c r="W335" s="38"/>
      <c r="X335" s="38"/>
      <c r="Y335" s="38"/>
      <c r="Z335" s="38">
        <f t="shared" si="51"/>
        <v>282</v>
      </c>
      <c r="AA335" t="e">
        <f t="shared" si="49"/>
        <v>#DIV/0!</v>
      </c>
      <c r="AB335" s="1" t="e">
        <f t="shared" si="50"/>
        <v>#DIV/0!</v>
      </c>
    </row>
    <row r="336" spans="11:28" ht="33" customHeight="1">
      <c r="K336" s="38"/>
      <c r="L336" s="38"/>
      <c r="M336" s="38"/>
      <c r="N336" s="38"/>
      <c r="O336" s="38"/>
      <c r="P336" s="38"/>
      <c r="Q336" s="38"/>
      <c r="R336" s="38"/>
      <c r="S336" s="38"/>
      <c r="T336" s="38"/>
      <c r="U336" s="38"/>
      <c r="V336" s="38"/>
      <c r="W336" s="38"/>
      <c r="X336" s="38"/>
      <c r="Y336" s="38"/>
      <c r="Z336" s="38">
        <f t="shared" si="51"/>
        <v>283</v>
      </c>
      <c r="AA336" t="e">
        <f t="shared" si="49"/>
        <v>#DIV/0!</v>
      </c>
      <c r="AB336" s="1" t="e">
        <f t="shared" si="50"/>
        <v>#DIV/0!</v>
      </c>
    </row>
    <row r="337" spans="11:28" ht="33" customHeight="1">
      <c r="K337" s="38"/>
      <c r="L337" s="38"/>
      <c r="M337" s="38"/>
      <c r="N337" s="38"/>
      <c r="O337" s="38"/>
      <c r="P337" s="38"/>
      <c r="Q337" s="38"/>
      <c r="R337" s="38"/>
      <c r="S337" s="38"/>
      <c r="T337" s="38"/>
      <c r="U337" s="38"/>
      <c r="V337" s="38"/>
      <c r="W337" s="38"/>
      <c r="X337" s="38"/>
      <c r="Y337" s="38"/>
      <c r="Z337" s="38">
        <f t="shared" si="51"/>
        <v>284</v>
      </c>
      <c r="AA337" t="e">
        <f t="shared" si="49"/>
        <v>#DIV/0!</v>
      </c>
      <c r="AB337" s="1" t="e">
        <f t="shared" si="50"/>
        <v>#DIV/0!</v>
      </c>
    </row>
    <row r="338" spans="11:28" ht="33" customHeight="1">
      <c r="K338" s="38"/>
      <c r="L338" s="38"/>
      <c r="M338" s="38"/>
      <c r="N338" s="38"/>
      <c r="O338" s="38"/>
      <c r="P338" s="38"/>
      <c r="Q338" s="38"/>
      <c r="R338" s="38"/>
      <c r="S338" s="38"/>
      <c r="T338" s="38"/>
      <c r="U338" s="38"/>
      <c r="V338" s="38"/>
      <c r="W338" s="38"/>
      <c r="X338" s="38"/>
      <c r="Y338" s="38"/>
      <c r="Z338" s="38">
        <f t="shared" si="51"/>
        <v>285</v>
      </c>
      <c r="AA338" t="e">
        <f t="shared" si="49"/>
        <v>#DIV/0!</v>
      </c>
      <c r="AB338" s="1" t="e">
        <f t="shared" si="50"/>
        <v>#DIV/0!</v>
      </c>
    </row>
    <row r="339" spans="11:28" ht="33" customHeight="1">
      <c r="K339" s="38"/>
      <c r="L339" s="38"/>
      <c r="M339" s="38"/>
      <c r="N339" s="38"/>
      <c r="O339" s="38"/>
      <c r="P339" s="38"/>
      <c r="Q339" s="38"/>
      <c r="R339" s="38"/>
      <c r="S339" s="38"/>
      <c r="T339" s="38"/>
      <c r="U339" s="38"/>
      <c r="V339" s="38"/>
      <c r="W339" s="38"/>
      <c r="X339" s="38"/>
      <c r="Y339" s="38"/>
      <c r="Z339" s="38">
        <f t="shared" si="51"/>
        <v>286</v>
      </c>
      <c r="AA339" t="e">
        <f t="shared" si="49"/>
        <v>#DIV/0!</v>
      </c>
      <c r="AB339" s="1" t="e">
        <f t="shared" si="50"/>
        <v>#DIV/0!</v>
      </c>
    </row>
    <row r="340" spans="11:28" ht="33" customHeight="1">
      <c r="K340" s="38"/>
      <c r="L340" s="38"/>
      <c r="M340" s="38"/>
      <c r="N340" s="38"/>
      <c r="O340" s="38"/>
      <c r="P340" s="38"/>
      <c r="Q340" s="38"/>
      <c r="R340" s="38"/>
      <c r="S340" s="38"/>
      <c r="T340" s="38"/>
      <c r="U340" s="38"/>
      <c r="V340" s="38"/>
      <c r="W340" s="38"/>
      <c r="X340" s="38"/>
      <c r="Y340" s="38"/>
      <c r="Z340" s="38">
        <f t="shared" si="51"/>
        <v>287</v>
      </c>
      <c r="AA340" t="e">
        <f t="shared" si="49"/>
        <v>#DIV/0!</v>
      </c>
      <c r="AB340" s="1" t="e">
        <f t="shared" si="50"/>
        <v>#DIV/0!</v>
      </c>
    </row>
    <row r="341" spans="11:28" ht="33" customHeight="1">
      <c r="K341" s="38"/>
      <c r="L341" s="38"/>
      <c r="M341" s="38"/>
      <c r="N341" s="38"/>
      <c r="O341" s="38"/>
      <c r="P341" s="38"/>
      <c r="Q341" s="38"/>
      <c r="R341" s="38"/>
      <c r="S341" s="38"/>
      <c r="T341" s="38"/>
      <c r="U341" s="38"/>
      <c r="V341" s="38"/>
      <c r="W341" s="38"/>
      <c r="X341" s="38"/>
      <c r="Y341" s="38"/>
      <c r="Z341" s="38">
        <f t="shared" si="51"/>
        <v>288</v>
      </c>
      <c r="AA341" t="e">
        <f t="shared" si="49"/>
        <v>#DIV/0!</v>
      </c>
      <c r="AB341" s="1" t="e">
        <f t="shared" si="50"/>
        <v>#DIV/0!</v>
      </c>
    </row>
    <row r="342" spans="11:28" ht="33" customHeight="1">
      <c r="K342" s="38"/>
      <c r="L342" s="38"/>
      <c r="M342" s="38"/>
      <c r="N342" s="38"/>
      <c r="O342" s="38"/>
      <c r="P342" s="38"/>
      <c r="Q342" s="38"/>
      <c r="R342" s="38"/>
      <c r="S342" s="38"/>
      <c r="T342" s="38"/>
      <c r="U342" s="38"/>
      <c r="V342" s="38"/>
      <c r="W342" s="38"/>
      <c r="X342" s="38"/>
      <c r="Y342" s="38"/>
      <c r="Z342" s="38">
        <f t="shared" si="51"/>
        <v>289</v>
      </c>
      <c r="AA342" t="e">
        <f t="shared" si="49"/>
        <v>#DIV/0!</v>
      </c>
      <c r="AB342" s="1" t="e">
        <f t="shared" si="50"/>
        <v>#DIV/0!</v>
      </c>
    </row>
    <row r="343" spans="11:28" ht="33" customHeight="1">
      <c r="K343" s="38"/>
      <c r="L343" s="38"/>
      <c r="M343" s="38"/>
      <c r="N343" s="38"/>
      <c r="O343" s="38"/>
      <c r="P343" s="38"/>
      <c r="Q343" s="38"/>
      <c r="R343" s="38"/>
      <c r="S343" s="38"/>
      <c r="T343" s="38"/>
      <c r="U343" s="38"/>
      <c r="V343" s="38"/>
      <c r="W343" s="38"/>
      <c r="X343" s="38"/>
      <c r="Y343" s="38"/>
      <c r="Z343" s="38">
        <f t="shared" si="51"/>
        <v>290</v>
      </c>
      <c r="AA343" t="e">
        <f t="shared" si="49"/>
        <v>#DIV/0!</v>
      </c>
      <c r="AB343" s="1" t="e">
        <f t="shared" si="50"/>
        <v>#DIV/0!</v>
      </c>
    </row>
    <row r="344" spans="11:28" ht="33" customHeight="1">
      <c r="K344" s="38"/>
      <c r="L344" s="38"/>
      <c r="M344" s="38"/>
      <c r="N344" s="38"/>
      <c r="O344" s="38"/>
      <c r="P344" s="38"/>
      <c r="Q344" s="38"/>
      <c r="R344" s="38"/>
      <c r="S344" s="38"/>
      <c r="T344" s="38"/>
      <c r="U344" s="38"/>
      <c r="V344" s="38"/>
      <c r="W344" s="38"/>
      <c r="X344" s="38"/>
      <c r="Y344" s="38"/>
      <c r="Z344" s="38">
        <f t="shared" si="51"/>
        <v>291</v>
      </c>
      <c r="AA344" t="e">
        <f t="shared" si="49"/>
        <v>#DIV/0!</v>
      </c>
      <c r="AB344" s="1" t="e">
        <f t="shared" si="50"/>
        <v>#DIV/0!</v>
      </c>
    </row>
    <row r="345" spans="11:28" ht="33" customHeight="1">
      <c r="K345" s="38"/>
      <c r="L345" s="38"/>
      <c r="M345" s="38"/>
      <c r="N345" s="38"/>
      <c r="O345" s="38"/>
      <c r="P345" s="38"/>
      <c r="Q345" s="38"/>
      <c r="R345" s="38"/>
      <c r="S345" s="38"/>
      <c r="T345" s="38"/>
      <c r="U345" s="38"/>
      <c r="V345" s="38"/>
      <c r="W345" s="38"/>
      <c r="X345" s="38"/>
      <c r="Y345" s="38"/>
      <c r="Z345" s="38">
        <f t="shared" si="51"/>
        <v>292</v>
      </c>
      <c r="AA345" t="e">
        <f t="shared" si="49"/>
        <v>#DIV/0!</v>
      </c>
      <c r="AB345" s="1" t="e">
        <f t="shared" si="50"/>
        <v>#DIV/0!</v>
      </c>
    </row>
    <row r="346" spans="11:28" ht="33" customHeight="1">
      <c r="K346" s="38"/>
      <c r="L346" s="38"/>
      <c r="M346" s="38"/>
      <c r="N346" s="38"/>
      <c r="O346" s="38"/>
      <c r="P346" s="38"/>
      <c r="Q346" s="38"/>
      <c r="R346" s="38"/>
      <c r="S346" s="38"/>
      <c r="T346" s="38"/>
      <c r="U346" s="38"/>
      <c r="V346" s="38"/>
      <c r="W346" s="38"/>
      <c r="X346" s="38"/>
      <c r="Y346" s="38"/>
      <c r="Z346" s="38">
        <f t="shared" si="51"/>
        <v>293</v>
      </c>
      <c r="AA346" t="e">
        <f t="shared" si="49"/>
        <v>#DIV/0!</v>
      </c>
      <c r="AB346" s="1" t="e">
        <f t="shared" si="50"/>
        <v>#DIV/0!</v>
      </c>
    </row>
    <row r="347" spans="11:28" ht="33" customHeight="1">
      <c r="K347" s="38"/>
      <c r="L347" s="38"/>
      <c r="M347" s="38"/>
      <c r="N347" s="38"/>
      <c r="O347" s="38"/>
      <c r="P347" s="38"/>
      <c r="Q347" s="38"/>
      <c r="R347" s="38"/>
      <c r="S347" s="38"/>
      <c r="T347" s="38"/>
      <c r="U347" s="38"/>
      <c r="V347" s="38"/>
      <c r="W347" s="38"/>
      <c r="X347" s="38"/>
      <c r="Y347" s="38"/>
      <c r="Z347" s="38">
        <f t="shared" si="51"/>
        <v>294</v>
      </c>
      <c r="AA347" t="e">
        <f t="shared" si="49"/>
        <v>#DIV/0!</v>
      </c>
      <c r="AB347" s="1" t="e">
        <f t="shared" si="50"/>
        <v>#DIV/0!</v>
      </c>
    </row>
    <row r="348" spans="11:28" ht="33" customHeight="1">
      <c r="K348" s="38"/>
      <c r="L348" s="38"/>
      <c r="M348" s="38"/>
      <c r="N348" s="38"/>
      <c r="O348" s="38"/>
      <c r="P348" s="38"/>
      <c r="Q348" s="38"/>
      <c r="R348" s="38"/>
      <c r="S348" s="38"/>
      <c r="T348" s="38"/>
      <c r="U348" s="38"/>
      <c r="V348" s="38"/>
      <c r="W348" s="38"/>
      <c r="X348" s="38"/>
      <c r="Y348" s="38"/>
      <c r="Z348" s="38">
        <f t="shared" si="51"/>
        <v>295</v>
      </c>
      <c r="AA348" t="e">
        <f t="shared" si="49"/>
        <v>#DIV/0!</v>
      </c>
      <c r="AB348" s="1" t="e">
        <f t="shared" si="50"/>
        <v>#DIV/0!</v>
      </c>
    </row>
    <row r="349" spans="11:28" ht="33" customHeight="1">
      <c r="K349" s="38"/>
      <c r="L349" s="38"/>
      <c r="M349" s="38"/>
      <c r="N349" s="38"/>
      <c r="O349" s="38"/>
      <c r="P349" s="38"/>
      <c r="Q349" s="38"/>
      <c r="R349" s="38"/>
      <c r="S349" s="38"/>
      <c r="T349" s="38"/>
      <c r="U349" s="38"/>
      <c r="V349" s="38"/>
      <c r="W349" s="38"/>
      <c r="X349" s="38"/>
      <c r="Y349" s="38"/>
      <c r="Z349" s="38">
        <f t="shared" si="51"/>
        <v>296</v>
      </c>
      <c r="AA349" t="e">
        <f t="shared" si="49"/>
        <v>#DIV/0!</v>
      </c>
      <c r="AB349" s="1" t="e">
        <f t="shared" si="50"/>
        <v>#DIV/0!</v>
      </c>
    </row>
    <row r="350" spans="11:28" ht="33" customHeight="1">
      <c r="K350" s="38"/>
      <c r="L350" s="38"/>
      <c r="M350" s="38"/>
      <c r="N350" s="38"/>
      <c r="O350" s="38"/>
      <c r="P350" s="38"/>
      <c r="Q350" s="38"/>
      <c r="R350" s="38"/>
      <c r="S350" s="38"/>
      <c r="T350" s="38"/>
      <c r="U350" s="38"/>
      <c r="V350" s="38"/>
      <c r="W350" s="38"/>
      <c r="X350" s="38"/>
      <c r="Y350" s="38"/>
      <c r="Z350" s="38">
        <f t="shared" si="51"/>
        <v>297</v>
      </c>
      <c r="AA350" t="e">
        <f t="shared" si="49"/>
        <v>#DIV/0!</v>
      </c>
      <c r="AB350" s="1" t="e">
        <f t="shared" si="50"/>
        <v>#DIV/0!</v>
      </c>
    </row>
    <row r="351" spans="11:28" ht="33" customHeight="1">
      <c r="K351" s="38"/>
      <c r="L351" s="38"/>
      <c r="M351" s="38"/>
      <c r="N351" s="38"/>
      <c r="O351" s="38"/>
      <c r="P351" s="38"/>
      <c r="Q351" s="38"/>
      <c r="R351" s="38"/>
      <c r="S351" s="38"/>
      <c r="T351" s="38"/>
      <c r="U351" s="38"/>
      <c r="V351" s="38"/>
      <c r="W351" s="38"/>
      <c r="X351" s="38"/>
      <c r="Y351" s="38"/>
      <c r="Z351" s="38">
        <f t="shared" si="51"/>
        <v>298</v>
      </c>
      <c r="AA351" t="e">
        <f t="shared" si="49"/>
        <v>#DIV/0!</v>
      </c>
      <c r="AB351" s="1" t="e">
        <f t="shared" si="50"/>
        <v>#DIV/0!</v>
      </c>
    </row>
    <row r="352" spans="11:28" ht="33" customHeight="1">
      <c r="K352" s="38"/>
      <c r="L352" s="38"/>
      <c r="M352" s="38"/>
      <c r="N352" s="38"/>
      <c r="O352" s="38"/>
      <c r="P352" s="38"/>
      <c r="Q352" s="38"/>
      <c r="R352" s="38"/>
      <c r="S352" s="38"/>
      <c r="T352" s="38"/>
      <c r="U352" s="38"/>
      <c r="V352" s="38"/>
      <c r="W352" s="38"/>
      <c r="X352" s="38"/>
      <c r="Y352" s="38"/>
      <c r="Z352" s="38">
        <f t="shared" si="51"/>
        <v>299</v>
      </c>
      <c r="AA352" t="e">
        <f t="shared" si="49"/>
        <v>#DIV/0!</v>
      </c>
      <c r="AB352" s="1" t="e">
        <f t="shared" si="50"/>
        <v>#DIV/0!</v>
      </c>
    </row>
    <row r="353" spans="11:28" ht="33" customHeight="1">
      <c r="K353" s="38"/>
      <c r="L353" s="38"/>
      <c r="M353" s="38"/>
      <c r="N353" s="38"/>
      <c r="O353" s="38"/>
      <c r="P353" s="38"/>
      <c r="Q353" s="38"/>
      <c r="R353" s="38"/>
      <c r="S353" s="38"/>
      <c r="T353" s="38"/>
      <c r="U353" s="38"/>
      <c r="V353" s="38"/>
      <c r="W353" s="38"/>
      <c r="X353" s="38"/>
      <c r="Y353" s="38"/>
      <c r="Z353" s="38">
        <f t="shared" si="51"/>
        <v>300</v>
      </c>
      <c r="AA353" t="e">
        <f t="shared" si="49"/>
        <v>#DIV/0!</v>
      </c>
      <c r="AB353" s="1" t="e">
        <f t="shared" si="50"/>
        <v>#DIV/0!</v>
      </c>
    </row>
    <row r="354" spans="11:28" ht="33" customHeight="1">
      <c r="K354" s="38"/>
      <c r="L354" s="38"/>
      <c r="M354" s="38"/>
      <c r="N354" s="38"/>
      <c r="O354" s="38"/>
      <c r="P354" s="38"/>
      <c r="Q354" s="38"/>
      <c r="R354" s="38"/>
      <c r="S354" s="38"/>
      <c r="T354" s="38"/>
      <c r="U354" s="38"/>
      <c r="V354" s="38"/>
      <c r="W354" s="38"/>
      <c r="X354" s="38"/>
      <c r="Y354" s="38"/>
      <c r="Z354" s="38">
        <f t="shared" si="51"/>
        <v>301</v>
      </c>
      <c r="AA354" t="e">
        <f t="shared" si="49"/>
        <v>#DIV/0!</v>
      </c>
      <c r="AB354" s="1" t="e">
        <f t="shared" si="50"/>
        <v>#DIV/0!</v>
      </c>
    </row>
    <row r="355" spans="11:28" ht="33" customHeight="1">
      <c r="K355" s="38"/>
      <c r="L355" s="38"/>
      <c r="M355" s="38"/>
      <c r="N355" s="38"/>
      <c r="O355" s="38"/>
      <c r="P355" s="38"/>
      <c r="Q355" s="38"/>
      <c r="R355" s="38"/>
      <c r="S355" s="38"/>
      <c r="T355" s="38"/>
      <c r="U355" s="38"/>
      <c r="V355" s="38"/>
      <c r="W355" s="38"/>
      <c r="X355" s="38"/>
      <c r="Y355" s="38"/>
      <c r="Z355" s="38">
        <f t="shared" si="51"/>
        <v>302</v>
      </c>
      <c r="AA355" t="e">
        <f t="shared" si="49"/>
        <v>#DIV/0!</v>
      </c>
      <c r="AB355" s="1" t="e">
        <f t="shared" si="50"/>
        <v>#DIV/0!</v>
      </c>
    </row>
    <row r="356" spans="11:28" ht="33" customHeight="1">
      <c r="K356" s="38"/>
      <c r="L356" s="38"/>
      <c r="M356" s="38"/>
      <c r="N356" s="38"/>
      <c r="O356" s="38"/>
      <c r="P356" s="38"/>
      <c r="Q356" s="38"/>
      <c r="R356" s="38"/>
      <c r="S356" s="38"/>
      <c r="T356" s="38"/>
      <c r="U356" s="38"/>
      <c r="V356" s="38"/>
      <c r="W356" s="38"/>
      <c r="X356" s="38"/>
      <c r="Y356" s="38"/>
      <c r="Z356" s="38">
        <f t="shared" si="51"/>
        <v>303</v>
      </c>
      <c r="AA356" t="e">
        <f t="shared" si="49"/>
        <v>#DIV/0!</v>
      </c>
      <c r="AB356" s="1" t="e">
        <f t="shared" si="50"/>
        <v>#DIV/0!</v>
      </c>
    </row>
    <row r="357" spans="11:28" ht="33" customHeight="1">
      <c r="K357" s="38"/>
      <c r="L357" s="38"/>
      <c r="M357" s="38"/>
      <c r="N357" s="38"/>
      <c r="O357" s="38"/>
      <c r="P357" s="38"/>
      <c r="Q357" s="38"/>
      <c r="R357" s="38"/>
      <c r="S357" s="38"/>
      <c r="T357" s="38"/>
      <c r="U357" s="38"/>
      <c r="V357" s="38"/>
      <c r="W357" s="38"/>
      <c r="X357" s="38"/>
      <c r="Y357" s="38"/>
      <c r="Z357" s="38">
        <f t="shared" si="51"/>
        <v>304</v>
      </c>
      <c r="AA357" t="e">
        <f t="shared" si="49"/>
        <v>#DIV/0!</v>
      </c>
      <c r="AB357" s="1" t="e">
        <f t="shared" si="50"/>
        <v>#DIV/0!</v>
      </c>
    </row>
    <row r="358" spans="11:28" ht="33" customHeight="1">
      <c r="K358" s="38"/>
      <c r="L358" s="38"/>
      <c r="M358" s="38"/>
      <c r="N358" s="38"/>
      <c r="O358" s="38"/>
      <c r="P358" s="38"/>
      <c r="Q358" s="38"/>
      <c r="R358" s="38"/>
      <c r="S358" s="38"/>
      <c r="T358" s="38"/>
      <c r="U358" s="38"/>
      <c r="V358" s="38"/>
      <c r="W358" s="38"/>
      <c r="X358" s="38"/>
      <c r="Y358" s="38"/>
      <c r="Z358" s="38">
        <f t="shared" si="51"/>
        <v>305</v>
      </c>
      <c r="AA358" t="e">
        <f t="shared" si="49"/>
        <v>#DIV/0!</v>
      </c>
      <c r="AB358" s="1" t="e">
        <f t="shared" si="50"/>
        <v>#DIV/0!</v>
      </c>
    </row>
    <row r="359" spans="11:28" ht="33" customHeight="1">
      <c r="K359" s="38"/>
      <c r="L359" s="38"/>
      <c r="M359" s="38"/>
      <c r="N359" s="38"/>
      <c r="O359" s="38"/>
      <c r="P359" s="38"/>
      <c r="Q359" s="38"/>
      <c r="R359" s="38"/>
      <c r="S359" s="38"/>
      <c r="T359" s="38"/>
      <c r="U359" s="38"/>
      <c r="V359" s="38"/>
      <c r="W359" s="38"/>
      <c r="X359" s="38"/>
      <c r="Y359" s="38"/>
      <c r="Z359" s="38">
        <f t="shared" si="51"/>
        <v>306</v>
      </c>
      <c r="AA359" t="e">
        <f t="shared" si="49"/>
        <v>#DIV/0!</v>
      </c>
      <c r="AB359" s="1" t="e">
        <f t="shared" si="50"/>
        <v>#DIV/0!</v>
      </c>
    </row>
    <row r="360" spans="11:28" ht="33" customHeight="1">
      <c r="K360" s="38"/>
      <c r="L360" s="38"/>
      <c r="M360" s="38"/>
      <c r="N360" s="38"/>
      <c r="O360" s="38"/>
      <c r="P360" s="38"/>
      <c r="Q360" s="38"/>
      <c r="R360" s="38"/>
      <c r="S360" s="38"/>
      <c r="T360" s="38"/>
      <c r="U360" s="38"/>
      <c r="V360" s="38"/>
      <c r="W360" s="38"/>
      <c r="X360" s="38"/>
      <c r="Y360" s="38"/>
      <c r="Z360" s="38">
        <f t="shared" si="51"/>
        <v>307</v>
      </c>
      <c r="AA360" t="e">
        <f t="shared" si="49"/>
        <v>#DIV/0!</v>
      </c>
      <c r="AB360" s="1" t="e">
        <f t="shared" si="50"/>
        <v>#DIV/0!</v>
      </c>
    </row>
    <row r="361" spans="11:28" ht="33" customHeight="1">
      <c r="K361" s="38"/>
      <c r="L361" s="38"/>
      <c r="M361" s="38"/>
      <c r="N361" s="38"/>
      <c r="O361" s="38"/>
      <c r="P361" s="38"/>
      <c r="Q361" s="38"/>
      <c r="R361" s="38"/>
      <c r="S361" s="38"/>
      <c r="T361" s="38"/>
      <c r="U361" s="38"/>
      <c r="V361" s="38"/>
      <c r="W361" s="38"/>
      <c r="X361" s="38"/>
      <c r="Y361" s="38"/>
      <c r="Z361" s="38">
        <f t="shared" si="51"/>
        <v>308</v>
      </c>
      <c r="AA361" t="e">
        <f t="shared" si="49"/>
        <v>#DIV/0!</v>
      </c>
      <c r="AB361" s="1" t="e">
        <f t="shared" si="50"/>
        <v>#DIV/0!</v>
      </c>
    </row>
    <row r="362" spans="11:28" ht="33" customHeight="1">
      <c r="K362" s="38"/>
      <c r="L362" s="38"/>
      <c r="M362" s="38"/>
      <c r="N362" s="38"/>
      <c r="O362" s="38"/>
      <c r="P362" s="38"/>
      <c r="Q362" s="38"/>
      <c r="R362" s="38"/>
      <c r="S362" s="38"/>
      <c r="T362" s="38"/>
      <c r="U362" s="38"/>
      <c r="V362" s="38"/>
      <c r="W362" s="38"/>
      <c r="X362" s="38"/>
      <c r="Y362" s="38"/>
      <c r="Z362" s="38">
        <f t="shared" si="51"/>
        <v>309</v>
      </c>
      <c r="AA362" t="e">
        <f t="shared" si="49"/>
        <v>#DIV/0!</v>
      </c>
      <c r="AB362" s="1" t="e">
        <f t="shared" si="50"/>
        <v>#DIV/0!</v>
      </c>
    </row>
    <row r="363" spans="11:28" ht="33" customHeight="1">
      <c r="K363" s="38"/>
      <c r="L363" s="38"/>
      <c r="M363" s="38"/>
      <c r="N363" s="38"/>
      <c r="O363" s="38"/>
      <c r="P363" s="38"/>
      <c r="Q363" s="38"/>
      <c r="R363" s="38"/>
      <c r="S363" s="38"/>
      <c r="T363" s="38"/>
      <c r="U363" s="38"/>
      <c r="V363" s="38"/>
      <c r="W363" s="38"/>
      <c r="X363" s="38"/>
      <c r="Y363" s="38"/>
      <c r="Z363" s="38">
        <f t="shared" si="51"/>
        <v>310</v>
      </c>
      <c r="AA363" t="e">
        <f t="shared" si="49"/>
        <v>#DIV/0!</v>
      </c>
      <c r="AB363" s="1" t="e">
        <f t="shared" si="50"/>
        <v>#DIV/0!</v>
      </c>
    </row>
    <row r="364" spans="11:28" ht="33" customHeight="1">
      <c r="K364" s="38"/>
      <c r="L364" s="38"/>
      <c r="M364" s="38"/>
      <c r="N364" s="38"/>
      <c r="O364" s="38"/>
      <c r="P364" s="38"/>
      <c r="Q364" s="38"/>
      <c r="R364" s="38"/>
      <c r="S364" s="38"/>
      <c r="T364" s="38"/>
      <c r="U364" s="38"/>
      <c r="V364" s="38"/>
      <c r="W364" s="38"/>
      <c r="X364" s="38"/>
      <c r="Y364" s="38"/>
      <c r="Z364" s="38">
        <f t="shared" si="51"/>
        <v>311</v>
      </c>
      <c r="AA364" t="e">
        <f t="shared" si="49"/>
        <v>#DIV/0!</v>
      </c>
      <c r="AB364" s="1" t="e">
        <f t="shared" si="50"/>
        <v>#DIV/0!</v>
      </c>
    </row>
    <row r="365" spans="11:28" ht="33" customHeight="1">
      <c r="K365" s="38"/>
      <c r="L365" s="38"/>
      <c r="M365" s="38"/>
      <c r="N365" s="38"/>
      <c r="O365" s="38"/>
      <c r="P365" s="38"/>
      <c r="Q365" s="38"/>
      <c r="R365" s="38"/>
      <c r="S365" s="38"/>
      <c r="T365" s="38"/>
      <c r="U365" s="38"/>
      <c r="V365" s="38"/>
      <c r="W365" s="38"/>
      <c r="X365" s="38"/>
      <c r="Y365" s="38"/>
      <c r="Z365" s="38">
        <f t="shared" si="51"/>
        <v>312</v>
      </c>
      <c r="AA365" t="e">
        <f t="shared" si="49"/>
        <v>#DIV/0!</v>
      </c>
      <c r="AB365" s="1" t="e">
        <f t="shared" si="50"/>
        <v>#DIV/0!</v>
      </c>
    </row>
    <row r="366" spans="11:28" ht="33" customHeight="1">
      <c r="K366" s="38"/>
      <c r="L366" s="38"/>
      <c r="M366" s="38"/>
      <c r="N366" s="38"/>
      <c r="O366" s="38"/>
      <c r="P366" s="38"/>
      <c r="Q366" s="38"/>
      <c r="R366" s="38"/>
      <c r="S366" s="38"/>
      <c r="T366" s="38"/>
      <c r="U366" s="38"/>
      <c r="V366" s="38"/>
      <c r="W366" s="38"/>
      <c r="X366" s="38"/>
      <c r="Y366" s="38"/>
      <c r="Z366" s="38">
        <f t="shared" si="51"/>
        <v>313</v>
      </c>
      <c r="AA366" t="e">
        <f t="shared" si="49"/>
        <v>#DIV/0!</v>
      </c>
      <c r="AB366" s="1" t="e">
        <f t="shared" si="50"/>
        <v>#DIV/0!</v>
      </c>
    </row>
    <row r="367" spans="11:28" ht="33" customHeight="1">
      <c r="K367" s="38"/>
      <c r="L367" s="38"/>
      <c r="M367" s="38"/>
      <c r="N367" s="38"/>
      <c r="O367" s="38"/>
      <c r="P367" s="38"/>
      <c r="Q367" s="38"/>
      <c r="R367" s="38"/>
      <c r="S367" s="38"/>
      <c r="T367" s="38"/>
      <c r="U367" s="38"/>
      <c r="V367" s="38"/>
      <c r="W367" s="38"/>
      <c r="X367" s="38"/>
      <c r="Y367" s="38"/>
      <c r="Z367" s="38">
        <f t="shared" si="51"/>
        <v>314</v>
      </c>
      <c r="AA367" t="e">
        <f t="shared" si="49"/>
        <v>#DIV/0!</v>
      </c>
      <c r="AB367" s="1" t="e">
        <f t="shared" si="50"/>
        <v>#DIV/0!</v>
      </c>
    </row>
    <row r="368" spans="11:28" ht="33" customHeight="1">
      <c r="K368" s="38"/>
      <c r="L368" s="38"/>
      <c r="M368" s="38"/>
      <c r="N368" s="38"/>
      <c r="O368" s="38"/>
      <c r="P368" s="38"/>
      <c r="Q368" s="38"/>
      <c r="R368" s="38"/>
      <c r="S368" s="38"/>
      <c r="T368" s="38"/>
      <c r="U368" s="38"/>
      <c r="V368" s="38"/>
      <c r="W368" s="38"/>
      <c r="X368" s="38"/>
      <c r="Y368" s="38"/>
      <c r="Z368" s="38">
        <f t="shared" si="51"/>
        <v>315</v>
      </c>
      <c r="AA368" t="e">
        <f t="shared" si="49"/>
        <v>#DIV/0!</v>
      </c>
      <c r="AB368" s="1" t="e">
        <f t="shared" si="50"/>
        <v>#DIV/0!</v>
      </c>
    </row>
    <row r="369" spans="11:28" ht="33" customHeight="1">
      <c r="K369" s="38"/>
      <c r="L369" s="38"/>
      <c r="M369" s="38"/>
      <c r="N369" s="38"/>
      <c r="O369" s="38"/>
      <c r="P369" s="38"/>
      <c r="Q369" s="38"/>
      <c r="R369" s="38"/>
      <c r="S369" s="38"/>
      <c r="T369" s="38"/>
      <c r="U369" s="38"/>
      <c r="V369" s="38"/>
      <c r="W369" s="38"/>
      <c r="X369" s="38"/>
      <c r="Y369" s="38"/>
      <c r="Z369" s="38">
        <f t="shared" si="51"/>
        <v>316</v>
      </c>
      <c r="AA369" t="e">
        <f t="shared" si="49"/>
        <v>#DIV/0!</v>
      </c>
      <c r="AB369" s="1" t="e">
        <f t="shared" si="50"/>
        <v>#DIV/0!</v>
      </c>
    </row>
    <row r="370" spans="11:28" ht="33" customHeight="1">
      <c r="K370" s="38"/>
      <c r="L370" s="38"/>
      <c r="M370" s="38"/>
      <c r="N370" s="38"/>
      <c r="O370" s="38"/>
      <c r="P370" s="38"/>
      <c r="Q370" s="38"/>
      <c r="R370" s="38"/>
      <c r="S370" s="38"/>
      <c r="T370" s="38"/>
      <c r="U370" s="38"/>
      <c r="V370" s="38"/>
      <c r="W370" s="38"/>
      <c r="X370" s="38"/>
      <c r="Y370" s="38"/>
      <c r="Z370" s="38">
        <f t="shared" si="51"/>
        <v>317</v>
      </c>
      <c r="AA370" t="e">
        <f t="shared" si="49"/>
        <v>#DIV/0!</v>
      </c>
      <c r="AB370" s="1" t="e">
        <f t="shared" si="50"/>
        <v>#DIV/0!</v>
      </c>
    </row>
    <row r="371" spans="11:28" ht="33" customHeight="1">
      <c r="K371" s="38"/>
      <c r="L371" s="38"/>
      <c r="M371" s="38"/>
      <c r="N371" s="38"/>
      <c r="O371" s="38"/>
      <c r="P371" s="38"/>
      <c r="Q371" s="38"/>
      <c r="R371" s="38"/>
      <c r="S371" s="38"/>
      <c r="T371" s="38"/>
      <c r="U371" s="38"/>
      <c r="V371" s="38"/>
      <c r="W371" s="38"/>
      <c r="X371" s="38"/>
      <c r="Y371" s="38"/>
      <c r="Z371" s="38">
        <f t="shared" si="51"/>
        <v>318</v>
      </c>
      <c r="AA371" t="e">
        <f t="shared" si="49"/>
        <v>#DIV/0!</v>
      </c>
      <c r="AB371" s="1" t="e">
        <f t="shared" si="50"/>
        <v>#DIV/0!</v>
      </c>
    </row>
    <row r="372" spans="11:28" ht="33" customHeight="1">
      <c r="K372" s="38"/>
      <c r="L372" s="38"/>
      <c r="M372" s="38"/>
      <c r="N372" s="38"/>
      <c r="O372" s="38"/>
      <c r="P372" s="38"/>
      <c r="Q372" s="38"/>
      <c r="R372" s="38"/>
      <c r="S372" s="38"/>
      <c r="T372" s="38"/>
      <c r="U372" s="38"/>
      <c r="V372" s="38"/>
      <c r="W372" s="38"/>
      <c r="X372" s="38"/>
      <c r="Y372" s="38"/>
      <c r="Z372" s="38">
        <f t="shared" si="51"/>
        <v>319</v>
      </c>
      <c r="AA372" t="e">
        <f t="shared" si="49"/>
        <v>#DIV/0!</v>
      </c>
      <c r="AB372" s="1" t="e">
        <f t="shared" si="50"/>
        <v>#DIV/0!</v>
      </c>
    </row>
    <row r="373" spans="11:28" ht="33" customHeight="1">
      <c r="K373" s="38"/>
      <c r="L373" s="38"/>
      <c r="M373" s="38"/>
      <c r="N373" s="38"/>
      <c r="O373" s="38"/>
      <c r="P373" s="38"/>
      <c r="Q373" s="38"/>
      <c r="R373" s="38"/>
      <c r="S373" s="38"/>
      <c r="T373" s="38"/>
      <c r="U373" s="38"/>
      <c r="V373" s="38"/>
      <c r="W373" s="38"/>
      <c r="X373" s="38"/>
      <c r="Y373" s="38"/>
      <c r="Z373" s="38">
        <f t="shared" si="51"/>
        <v>320</v>
      </c>
      <c r="AA373" t="e">
        <f t="shared" si="49"/>
        <v>#DIV/0!</v>
      </c>
      <c r="AB373" s="1" t="e">
        <f t="shared" si="50"/>
        <v>#DIV/0!</v>
      </c>
    </row>
    <row r="374" spans="11:28" ht="33" customHeight="1">
      <c r="K374" s="38"/>
      <c r="L374" s="38"/>
      <c r="M374" s="38"/>
      <c r="N374" s="38"/>
      <c r="O374" s="38"/>
      <c r="P374" s="38"/>
      <c r="Q374" s="38"/>
      <c r="R374" s="38"/>
      <c r="S374" s="38"/>
      <c r="T374" s="38"/>
      <c r="U374" s="38"/>
      <c r="V374" s="38"/>
      <c r="W374" s="38"/>
      <c r="X374" s="38"/>
      <c r="Y374" s="38"/>
      <c r="Z374" s="38">
        <f t="shared" si="51"/>
        <v>321</v>
      </c>
      <c r="AA374" t="e">
        <f t="shared" si="49"/>
        <v>#DIV/0!</v>
      </c>
      <c r="AB374" s="1" t="e">
        <f t="shared" si="50"/>
        <v>#DIV/0!</v>
      </c>
    </row>
    <row r="375" spans="11:28" ht="33" customHeight="1">
      <c r="K375" s="38"/>
      <c r="L375" s="38"/>
      <c r="M375" s="38"/>
      <c r="N375" s="38"/>
      <c r="O375" s="38"/>
      <c r="P375" s="38"/>
      <c r="Q375" s="38"/>
      <c r="R375" s="38"/>
      <c r="S375" s="38"/>
      <c r="T375" s="38"/>
      <c r="U375" s="38"/>
      <c r="V375" s="38"/>
      <c r="W375" s="38"/>
      <c r="X375" s="38"/>
      <c r="Y375" s="38"/>
      <c r="Z375" s="38">
        <f t="shared" si="51"/>
        <v>322</v>
      </c>
      <c r="AA375" t="e">
        <f t="shared" si="49"/>
        <v>#DIV/0!</v>
      </c>
      <c r="AB375" s="1" t="e">
        <f t="shared" si="50"/>
        <v>#DIV/0!</v>
      </c>
    </row>
    <row r="376" spans="11:28" ht="33" customHeight="1">
      <c r="K376" s="38"/>
      <c r="L376" s="38"/>
      <c r="M376" s="38"/>
      <c r="N376" s="38"/>
      <c r="O376" s="38"/>
      <c r="P376" s="38"/>
      <c r="Q376" s="38"/>
      <c r="R376" s="38"/>
      <c r="S376" s="38"/>
      <c r="T376" s="38"/>
      <c r="U376" s="38"/>
      <c r="V376" s="38"/>
      <c r="W376" s="38"/>
      <c r="X376" s="38"/>
      <c r="Y376" s="38"/>
      <c r="Z376" s="38">
        <f t="shared" si="51"/>
        <v>323</v>
      </c>
      <c r="AA376" t="e">
        <f t="shared" si="49"/>
        <v>#DIV/0!</v>
      </c>
      <c r="AB376" s="1" t="e">
        <f t="shared" si="50"/>
        <v>#DIV/0!</v>
      </c>
    </row>
    <row r="377" spans="11:28" ht="33" customHeight="1">
      <c r="K377" s="38"/>
      <c r="L377" s="38"/>
      <c r="M377" s="38"/>
      <c r="N377" s="38"/>
      <c r="O377" s="38"/>
      <c r="P377" s="38"/>
      <c r="Q377" s="38"/>
      <c r="R377" s="38"/>
      <c r="S377" s="38"/>
      <c r="T377" s="38"/>
      <c r="U377" s="38"/>
      <c r="V377" s="38"/>
      <c r="W377" s="38"/>
      <c r="X377" s="38"/>
      <c r="Y377" s="38"/>
      <c r="Z377" s="38">
        <f t="shared" si="51"/>
        <v>324</v>
      </c>
      <c r="AA377" t="e">
        <f t="shared" si="49"/>
        <v>#DIV/0!</v>
      </c>
      <c r="AB377" s="1" t="e">
        <f t="shared" si="50"/>
        <v>#DIV/0!</v>
      </c>
    </row>
    <row r="378" spans="11:28" ht="33" customHeight="1">
      <c r="K378" s="38"/>
      <c r="L378" s="38"/>
      <c r="M378" s="38"/>
      <c r="N378" s="38"/>
      <c r="O378" s="38"/>
      <c r="P378" s="38"/>
      <c r="Q378" s="38"/>
      <c r="R378" s="38"/>
      <c r="S378" s="38"/>
      <c r="T378" s="38"/>
      <c r="U378" s="38"/>
      <c r="V378" s="38"/>
      <c r="W378" s="38"/>
      <c r="X378" s="38"/>
      <c r="Y378" s="38"/>
      <c r="Z378" s="38">
        <f t="shared" si="51"/>
        <v>325</v>
      </c>
      <c r="AA378" t="e">
        <f t="shared" si="49"/>
        <v>#DIV/0!</v>
      </c>
      <c r="AB378" s="1" t="e">
        <f t="shared" si="50"/>
        <v>#DIV/0!</v>
      </c>
    </row>
    <row r="379" spans="11:28" ht="33" customHeight="1">
      <c r="K379" s="38"/>
      <c r="L379" s="38"/>
      <c r="M379" s="38"/>
      <c r="N379" s="38"/>
      <c r="O379" s="38"/>
      <c r="P379" s="38"/>
      <c r="Q379" s="38"/>
      <c r="R379" s="38"/>
      <c r="S379" s="38"/>
      <c r="T379" s="38"/>
      <c r="U379" s="38"/>
      <c r="V379" s="38"/>
      <c r="W379" s="38"/>
      <c r="X379" s="38"/>
      <c r="Y379" s="38"/>
      <c r="Z379" s="38">
        <f t="shared" si="51"/>
        <v>326</v>
      </c>
      <c r="AA379" t="e">
        <f t="shared" si="49"/>
        <v>#DIV/0!</v>
      </c>
      <c r="AB379" s="1" t="e">
        <f t="shared" si="50"/>
        <v>#DIV/0!</v>
      </c>
    </row>
    <row r="380" spans="11:28" ht="33" customHeight="1">
      <c r="K380" s="38"/>
      <c r="L380" s="38"/>
      <c r="M380" s="38"/>
      <c r="N380" s="38"/>
      <c r="O380" s="38"/>
      <c r="P380" s="38"/>
      <c r="Q380" s="38"/>
      <c r="R380" s="38"/>
      <c r="S380" s="38"/>
      <c r="T380" s="38"/>
      <c r="U380" s="38"/>
      <c r="V380" s="38"/>
      <c r="W380" s="38"/>
      <c r="X380" s="38"/>
      <c r="Y380" s="38"/>
      <c r="Z380" s="38">
        <f t="shared" si="51"/>
        <v>327</v>
      </c>
      <c r="AA380" t="e">
        <f t="shared" si="49"/>
        <v>#DIV/0!</v>
      </c>
      <c r="AB380" s="1" t="e">
        <f t="shared" si="50"/>
        <v>#DIV/0!</v>
      </c>
    </row>
    <row r="381" spans="11:28" ht="33" customHeight="1">
      <c r="K381" s="38"/>
      <c r="L381" s="38"/>
      <c r="M381" s="38"/>
      <c r="N381" s="38"/>
      <c r="O381" s="38"/>
      <c r="P381" s="38"/>
      <c r="Q381" s="38"/>
      <c r="R381" s="38"/>
      <c r="S381" s="38"/>
      <c r="T381" s="38"/>
      <c r="U381" s="38"/>
      <c r="V381" s="38"/>
      <c r="W381" s="38"/>
      <c r="X381" s="38"/>
      <c r="Y381" s="38"/>
      <c r="Z381" s="38">
        <f t="shared" si="51"/>
        <v>328</v>
      </c>
      <c r="AA381" t="e">
        <f t="shared" si="49"/>
        <v>#DIV/0!</v>
      </c>
      <c r="AB381" s="1" t="e">
        <f t="shared" si="50"/>
        <v>#DIV/0!</v>
      </c>
    </row>
    <row r="382" spans="11:28" ht="33" customHeight="1">
      <c r="K382" s="38"/>
      <c r="L382" s="38"/>
      <c r="M382" s="38"/>
      <c r="N382" s="38"/>
      <c r="O382" s="38"/>
      <c r="P382" s="38"/>
      <c r="Q382" s="38"/>
      <c r="R382" s="38"/>
      <c r="S382" s="38"/>
      <c r="T382" s="38"/>
      <c r="U382" s="38"/>
      <c r="V382" s="38"/>
      <c r="W382" s="38"/>
      <c r="X382" s="38"/>
      <c r="Y382" s="38"/>
      <c r="Z382" s="38">
        <f t="shared" si="51"/>
        <v>329</v>
      </c>
      <c r="AA382" t="e">
        <f t="shared" si="49"/>
        <v>#DIV/0!</v>
      </c>
      <c r="AB382" s="1" t="e">
        <f t="shared" si="50"/>
        <v>#DIV/0!</v>
      </c>
    </row>
    <row r="383" spans="11:28" ht="33" customHeight="1">
      <c r="K383" s="38"/>
      <c r="L383" s="38"/>
      <c r="M383" s="38"/>
      <c r="N383" s="38"/>
      <c r="O383" s="38"/>
      <c r="P383" s="38"/>
      <c r="Q383" s="38"/>
      <c r="R383" s="38"/>
      <c r="S383" s="38"/>
      <c r="T383" s="38"/>
      <c r="U383" s="38"/>
      <c r="V383" s="38"/>
      <c r="W383" s="38"/>
      <c r="X383" s="38"/>
      <c r="Y383" s="38"/>
      <c r="Z383" s="38">
        <f t="shared" si="51"/>
        <v>330</v>
      </c>
      <c r="AA383" t="e">
        <f t="shared" si="49"/>
        <v>#DIV/0!</v>
      </c>
      <c r="AB383" s="1" t="e">
        <f t="shared" si="50"/>
        <v>#DIV/0!</v>
      </c>
    </row>
    <row r="384" spans="11:28" ht="33" customHeight="1">
      <c r="K384" s="38"/>
      <c r="L384" s="38"/>
      <c r="M384" s="38"/>
      <c r="N384" s="38"/>
      <c r="O384" s="38"/>
      <c r="P384" s="38"/>
      <c r="Q384" s="38"/>
      <c r="R384" s="38"/>
      <c r="S384" s="38"/>
      <c r="T384" s="38"/>
      <c r="U384" s="38"/>
      <c r="V384" s="38"/>
      <c r="W384" s="38"/>
      <c r="X384" s="38"/>
      <c r="Y384" s="38"/>
      <c r="Z384" s="38">
        <f t="shared" si="51"/>
        <v>331</v>
      </c>
      <c r="AA384" t="e">
        <f t="shared" si="49"/>
        <v>#DIV/0!</v>
      </c>
      <c r="AB384" s="1" t="e">
        <f t="shared" si="50"/>
        <v>#DIV/0!</v>
      </c>
    </row>
    <row r="385" spans="11:28" ht="33" customHeight="1">
      <c r="K385" s="38"/>
      <c r="L385" s="38"/>
      <c r="M385" s="38"/>
      <c r="N385" s="38"/>
      <c r="O385" s="38"/>
      <c r="P385" s="38"/>
      <c r="Q385" s="38"/>
      <c r="R385" s="38"/>
      <c r="S385" s="38"/>
      <c r="T385" s="38"/>
      <c r="U385" s="38"/>
      <c r="V385" s="38"/>
      <c r="W385" s="38"/>
      <c r="X385" s="38"/>
      <c r="Y385" s="38"/>
      <c r="Z385" s="38">
        <f t="shared" si="51"/>
        <v>332</v>
      </c>
      <c r="AA385" t="e">
        <f t="shared" si="49"/>
        <v>#DIV/0!</v>
      </c>
      <c r="AB385" s="1" t="e">
        <f t="shared" si="50"/>
        <v>#DIV/0!</v>
      </c>
    </row>
    <row r="386" spans="11:28" ht="33" customHeight="1">
      <c r="K386" s="38"/>
      <c r="L386" s="38"/>
      <c r="M386" s="38"/>
      <c r="N386" s="38"/>
      <c r="O386" s="38"/>
      <c r="P386" s="38"/>
      <c r="Q386" s="38"/>
      <c r="R386" s="38"/>
      <c r="S386" s="38"/>
      <c r="T386" s="38"/>
      <c r="U386" s="38"/>
      <c r="V386" s="38"/>
      <c r="W386" s="38"/>
      <c r="X386" s="38"/>
      <c r="Y386" s="38"/>
      <c r="Z386" s="38">
        <f t="shared" si="51"/>
        <v>333</v>
      </c>
      <c r="AA386" t="e">
        <f t="shared" si="49"/>
        <v>#DIV/0!</v>
      </c>
      <c r="AB386" s="1" t="e">
        <f t="shared" si="50"/>
        <v>#DIV/0!</v>
      </c>
    </row>
    <row r="387" spans="11:28" ht="33" customHeight="1">
      <c r="K387" s="38"/>
      <c r="L387" s="38"/>
      <c r="M387" s="38"/>
      <c r="N387" s="38"/>
      <c r="O387" s="38"/>
      <c r="P387" s="38"/>
      <c r="Q387" s="38"/>
      <c r="R387" s="38"/>
      <c r="S387" s="38"/>
      <c r="T387" s="38"/>
      <c r="U387" s="38"/>
      <c r="V387" s="38"/>
      <c r="W387" s="38"/>
      <c r="X387" s="38"/>
      <c r="Y387" s="38"/>
      <c r="Z387" s="38">
        <f t="shared" si="51"/>
        <v>334</v>
      </c>
      <c r="AA387" t="e">
        <f t="shared" si="49"/>
        <v>#DIV/0!</v>
      </c>
      <c r="AB387" s="1" t="e">
        <f t="shared" si="50"/>
        <v>#DIV/0!</v>
      </c>
    </row>
    <row r="388" spans="11:28" ht="33" customHeight="1">
      <c r="K388" s="38"/>
      <c r="L388" s="38"/>
      <c r="M388" s="38"/>
      <c r="N388" s="38"/>
      <c r="O388" s="38"/>
      <c r="P388" s="38"/>
      <c r="Q388" s="38"/>
      <c r="R388" s="38"/>
      <c r="S388" s="38"/>
      <c r="T388" s="38"/>
      <c r="U388" s="38"/>
      <c r="V388" s="38"/>
      <c r="W388" s="38"/>
      <c r="X388" s="38"/>
      <c r="Y388" s="38"/>
      <c r="Z388" s="38">
        <f t="shared" si="51"/>
        <v>335</v>
      </c>
      <c r="AA388" t="e">
        <f t="shared" si="49"/>
        <v>#DIV/0!</v>
      </c>
      <c r="AB388" s="1" t="e">
        <f t="shared" si="50"/>
        <v>#DIV/0!</v>
      </c>
    </row>
    <row r="389" spans="11:28" ht="33" customHeight="1">
      <c r="K389" s="38"/>
      <c r="L389" s="38"/>
      <c r="M389" s="38"/>
      <c r="N389" s="38"/>
      <c r="O389" s="38"/>
      <c r="P389" s="38"/>
      <c r="Q389" s="38"/>
      <c r="R389" s="38"/>
      <c r="S389" s="38"/>
      <c r="T389" s="38"/>
      <c r="U389" s="38"/>
      <c r="V389" s="38"/>
      <c r="W389" s="38"/>
      <c r="X389" s="38"/>
      <c r="Y389" s="38"/>
      <c r="Z389" s="38">
        <f t="shared" si="51"/>
        <v>336</v>
      </c>
      <c r="AA389" t="e">
        <f t="shared" si="49"/>
        <v>#DIV/0!</v>
      </c>
      <c r="AB389" s="1" t="e">
        <f t="shared" si="50"/>
        <v>#DIV/0!</v>
      </c>
    </row>
    <row r="390" spans="11:28" ht="33" customHeight="1">
      <c r="K390" s="38"/>
      <c r="L390" s="38"/>
      <c r="M390" s="38"/>
      <c r="N390" s="38"/>
      <c r="O390" s="38"/>
      <c r="P390" s="38"/>
      <c r="Q390" s="38"/>
      <c r="R390" s="38"/>
      <c r="S390" s="38"/>
      <c r="T390" s="38"/>
      <c r="U390" s="38"/>
      <c r="V390" s="38"/>
      <c r="W390" s="38"/>
      <c r="X390" s="38"/>
      <c r="Y390" s="38"/>
      <c r="Z390" s="38">
        <f t="shared" si="51"/>
        <v>337</v>
      </c>
      <c r="AA390" t="e">
        <f t="shared" si="49"/>
        <v>#DIV/0!</v>
      </c>
      <c r="AB390" s="1" t="e">
        <f t="shared" si="50"/>
        <v>#DIV/0!</v>
      </c>
    </row>
    <row r="391" spans="11:28" ht="33" customHeight="1">
      <c r="K391" s="38"/>
      <c r="L391" s="38"/>
      <c r="M391" s="38"/>
      <c r="N391" s="38"/>
      <c r="O391" s="38"/>
      <c r="P391" s="38"/>
      <c r="Q391" s="38"/>
      <c r="R391" s="38"/>
      <c r="S391" s="38"/>
      <c r="T391" s="38"/>
      <c r="U391" s="38"/>
      <c r="V391" s="38"/>
      <c r="W391" s="38"/>
      <c r="X391" s="38"/>
      <c r="Y391" s="38"/>
      <c r="Z391" s="38">
        <f t="shared" si="51"/>
        <v>338</v>
      </c>
      <c r="AA391" t="e">
        <f t="shared" si="49"/>
        <v>#DIV/0!</v>
      </c>
      <c r="AB391" s="1" t="e">
        <f t="shared" si="50"/>
        <v>#DIV/0!</v>
      </c>
    </row>
    <row r="392" spans="11:28" ht="33" customHeight="1">
      <c r="K392" s="38"/>
      <c r="L392" s="38"/>
      <c r="M392" s="38"/>
      <c r="N392" s="38"/>
      <c r="O392" s="38"/>
      <c r="P392" s="38"/>
      <c r="Q392" s="38"/>
      <c r="R392" s="38"/>
      <c r="S392" s="38"/>
      <c r="T392" s="38"/>
      <c r="U392" s="38"/>
      <c r="V392" s="38"/>
      <c r="W392" s="38"/>
      <c r="X392" s="38"/>
      <c r="Y392" s="38"/>
      <c r="Z392" s="38">
        <f t="shared" si="51"/>
        <v>339</v>
      </c>
      <c r="AA392" t="e">
        <f t="shared" si="49"/>
        <v>#DIV/0!</v>
      </c>
      <c r="AB392" s="1" t="e">
        <f t="shared" si="50"/>
        <v>#DIV/0!</v>
      </c>
    </row>
    <row r="393" spans="11:28" ht="33" customHeight="1">
      <c r="K393" s="38"/>
      <c r="L393" s="38"/>
      <c r="M393" s="38"/>
      <c r="N393" s="38"/>
      <c r="O393" s="38"/>
      <c r="P393" s="38"/>
      <c r="Q393" s="38"/>
      <c r="R393" s="38"/>
      <c r="S393" s="38"/>
      <c r="T393" s="38"/>
      <c r="U393" s="38"/>
      <c r="V393" s="38"/>
      <c r="W393" s="38"/>
      <c r="X393" s="38"/>
      <c r="Y393" s="38"/>
      <c r="Z393" s="38">
        <f t="shared" si="51"/>
        <v>340</v>
      </c>
      <c r="AA393" t="e">
        <f t="shared" si="49"/>
        <v>#DIV/0!</v>
      </c>
      <c r="AB393" s="1" t="e">
        <f t="shared" si="50"/>
        <v>#DIV/0!</v>
      </c>
    </row>
    <row r="394" spans="11:28" ht="33" customHeight="1">
      <c r="K394" s="38"/>
      <c r="L394" s="38"/>
      <c r="M394" s="38"/>
      <c r="N394" s="38"/>
      <c r="O394" s="38"/>
      <c r="P394" s="38"/>
      <c r="Q394" s="38"/>
      <c r="R394" s="38"/>
      <c r="S394" s="38"/>
      <c r="T394" s="38"/>
      <c r="U394" s="38"/>
      <c r="V394" s="38"/>
      <c r="W394" s="38"/>
      <c r="X394" s="38"/>
      <c r="Y394" s="38"/>
      <c r="Z394" s="38">
        <f t="shared" si="51"/>
        <v>341</v>
      </c>
      <c r="AA394" t="e">
        <f t="shared" si="49"/>
        <v>#DIV/0!</v>
      </c>
      <c r="AB394" s="1" t="e">
        <f t="shared" si="50"/>
        <v>#DIV/0!</v>
      </c>
    </row>
    <row r="395" spans="11:28" ht="33" customHeight="1">
      <c r="K395" s="38"/>
      <c r="L395" s="38"/>
      <c r="M395" s="38"/>
      <c r="N395" s="38"/>
      <c r="O395" s="38"/>
      <c r="P395" s="38"/>
      <c r="Q395" s="38"/>
      <c r="R395" s="38"/>
      <c r="S395" s="38"/>
      <c r="T395" s="38"/>
      <c r="U395" s="38"/>
      <c r="V395" s="38"/>
      <c r="W395" s="38"/>
      <c r="X395" s="38"/>
      <c r="Y395" s="38"/>
      <c r="Z395" s="38">
        <f t="shared" si="51"/>
        <v>342</v>
      </c>
      <c r="AA395" t="e">
        <f t="shared" ref="AA395:AA458" si="52">IF(AB395=Z395,1,0)</f>
        <v>#DIV/0!</v>
      </c>
      <c r="AB395" s="1" t="e">
        <f t="shared" ref="AB395:AB458" si="53">$AB$8</f>
        <v>#DIV/0!</v>
      </c>
    </row>
    <row r="396" spans="11:28" ht="33" customHeight="1">
      <c r="K396" s="38"/>
      <c r="L396" s="38"/>
      <c r="M396" s="38"/>
      <c r="N396" s="38"/>
      <c r="O396" s="38"/>
      <c r="P396" s="38"/>
      <c r="Q396" s="38"/>
      <c r="R396" s="38"/>
      <c r="S396" s="38"/>
      <c r="T396" s="38"/>
      <c r="U396" s="38"/>
      <c r="V396" s="38"/>
      <c r="W396" s="38"/>
      <c r="X396" s="38"/>
      <c r="Y396" s="38"/>
      <c r="Z396" s="38">
        <f t="shared" ref="Z396:Z459" si="54">Z395+1</f>
        <v>343</v>
      </c>
      <c r="AA396" t="e">
        <f t="shared" si="52"/>
        <v>#DIV/0!</v>
      </c>
      <c r="AB396" s="1" t="e">
        <f t="shared" si="53"/>
        <v>#DIV/0!</v>
      </c>
    </row>
    <row r="397" spans="11:28" ht="33" customHeight="1">
      <c r="K397" s="38"/>
      <c r="L397" s="38"/>
      <c r="M397" s="38"/>
      <c r="N397" s="38"/>
      <c r="O397" s="38"/>
      <c r="P397" s="38"/>
      <c r="Q397" s="38"/>
      <c r="R397" s="38"/>
      <c r="S397" s="38"/>
      <c r="T397" s="38"/>
      <c r="U397" s="38"/>
      <c r="V397" s="38"/>
      <c r="W397" s="38"/>
      <c r="X397" s="38"/>
      <c r="Y397" s="38"/>
      <c r="Z397" s="38">
        <f t="shared" si="54"/>
        <v>344</v>
      </c>
      <c r="AA397" t="e">
        <f t="shared" si="52"/>
        <v>#DIV/0!</v>
      </c>
      <c r="AB397" s="1" t="e">
        <f t="shared" si="53"/>
        <v>#DIV/0!</v>
      </c>
    </row>
    <row r="398" spans="11:28" ht="33" customHeight="1">
      <c r="K398" s="38"/>
      <c r="L398" s="38"/>
      <c r="M398" s="38"/>
      <c r="N398" s="38"/>
      <c r="O398" s="38"/>
      <c r="P398" s="38"/>
      <c r="Q398" s="38"/>
      <c r="R398" s="38"/>
      <c r="S398" s="38"/>
      <c r="T398" s="38"/>
      <c r="U398" s="38"/>
      <c r="V398" s="38"/>
      <c r="W398" s="38"/>
      <c r="X398" s="38"/>
      <c r="Y398" s="38"/>
      <c r="Z398" s="38">
        <f t="shared" si="54"/>
        <v>345</v>
      </c>
      <c r="AA398" t="e">
        <f t="shared" si="52"/>
        <v>#DIV/0!</v>
      </c>
      <c r="AB398" s="1" t="e">
        <f t="shared" si="53"/>
        <v>#DIV/0!</v>
      </c>
    </row>
    <row r="399" spans="11:28" ht="33" customHeight="1">
      <c r="K399" s="38"/>
      <c r="L399" s="38"/>
      <c r="M399" s="38"/>
      <c r="N399" s="38"/>
      <c r="O399" s="38"/>
      <c r="P399" s="38"/>
      <c r="Q399" s="38"/>
      <c r="R399" s="38"/>
      <c r="S399" s="38"/>
      <c r="T399" s="38"/>
      <c r="U399" s="38"/>
      <c r="V399" s="38"/>
      <c r="W399" s="38"/>
      <c r="X399" s="38"/>
      <c r="Y399" s="38"/>
      <c r="Z399" s="38">
        <f t="shared" si="54"/>
        <v>346</v>
      </c>
      <c r="AA399" t="e">
        <f t="shared" si="52"/>
        <v>#DIV/0!</v>
      </c>
      <c r="AB399" s="1" t="e">
        <f t="shared" si="53"/>
        <v>#DIV/0!</v>
      </c>
    </row>
    <row r="400" spans="11:28" ht="33" customHeight="1">
      <c r="K400" s="38"/>
      <c r="L400" s="38"/>
      <c r="M400" s="38"/>
      <c r="N400" s="38"/>
      <c r="O400" s="38"/>
      <c r="P400" s="38"/>
      <c r="Q400" s="38"/>
      <c r="R400" s="38"/>
      <c r="S400" s="38"/>
      <c r="T400" s="38"/>
      <c r="U400" s="38"/>
      <c r="V400" s="38"/>
      <c r="W400" s="38"/>
      <c r="X400" s="38"/>
      <c r="Y400" s="38"/>
      <c r="Z400" s="38">
        <f t="shared" si="54"/>
        <v>347</v>
      </c>
      <c r="AA400" t="e">
        <f t="shared" si="52"/>
        <v>#DIV/0!</v>
      </c>
      <c r="AB400" s="1" t="e">
        <f t="shared" si="53"/>
        <v>#DIV/0!</v>
      </c>
    </row>
    <row r="401" spans="11:28" ht="33" customHeight="1">
      <c r="K401" s="38"/>
      <c r="L401" s="38"/>
      <c r="M401" s="38"/>
      <c r="N401" s="38"/>
      <c r="O401" s="38"/>
      <c r="P401" s="38"/>
      <c r="Q401" s="38"/>
      <c r="R401" s="38"/>
      <c r="S401" s="38"/>
      <c r="T401" s="38"/>
      <c r="U401" s="38"/>
      <c r="V401" s="38"/>
      <c r="W401" s="38"/>
      <c r="X401" s="38"/>
      <c r="Y401" s="38"/>
      <c r="Z401" s="38">
        <f t="shared" si="54"/>
        <v>348</v>
      </c>
      <c r="AA401" t="e">
        <f t="shared" si="52"/>
        <v>#DIV/0!</v>
      </c>
      <c r="AB401" s="1" t="e">
        <f t="shared" si="53"/>
        <v>#DIV/0!</v>
      </c>
    </row>
    <row r="402" spans="11:28" ht="33" customHeight="1">
      <c r="K402" s="38"/>
      <c r="L402" s="38"/>
      <c r="M402" s="38"/>
      <c r="N402" s="38"/>
      <c r="O402" s="38"/>
      <c r="P402" s="38"/>
      <c r="Q402" s="38"/>
      <c r="R402" s="38"/>
      <c r="S402" s="38"/>
      <c r="T402" s="38"/>
      <c r="U402" s="38"/>
      <c r="V402" s="38"/>
      <c r="W402" s="38"/>
      <c r="X402" s="38"/>
      <c r="Y402" s="38"/>
      <c r="Z402" s="38">
        <f t="shared" si="54"/>
        <v>349</v>
      </c>
      <c r="AA402" t="e">
        <f t="shared" si="52"/>
        <v>#DIV/0!</v>
      </c>
      <c r="AB402" s="1" t="e">
        <f t="shared" si="53"/>
        <v>#DIV/0!</v>
      </c>
    </row>
    <row r="403" spans="11:28" ht="33" customHeight="1">
      <c r="K403" s="38"/>
      <c r="L403" s="38"/>
      <c r="M403" s="38"/>
      <c r="N403" s="38"/>
      <c r="O403" s="38"/>
      <c r="P403" s="38"/>
      <c r="Q403" s="38"/>
      <c r="R403" s="38"/>
      <c r="S403" s="38"/>
      <c r="T403" s="38"/>
      <c r="U403" s="38"/>
      <c r="V403" s="38"/>
      <c r="W403" s="38"/>
      <c r="X403" s="38"/>
      <c r="Y403" s="38"/>
      <c r="Z403" s="38">
        <f t="shared" si="54"/>
        <v>350</v>
      </c>
      <c r="AA403" t="e">
        <f t="shared" si="52"/>
        <v>#DIV/0!</v>
      </c>
      <c r="AB403" s="1" t="e">
        <f t="shared" si="53"/>
        <v>#DIV/0!</v>
      </c>
    </row>
    <row r="404" spans="11:28" ht="33" customHeight="1">
      <c r="K404" s="38"/>
      <c r="L404" s="38"/>
      <c r="M404" s="38"/>
      <c r="N404" s="38"/>
      <c r="O404" s="38"/>
      <c r="P404" s="38"/>
      <c r="Q404" s="38"/>
      <c r="R404" s="38"/>
      <c r="S404" s="38"/>
      <c r="T404" s="38"/>
      <c r="U404" s="38"/>
      <c r="V404" s="38"/>
      <c r="W404" s="38"/>
      <c r="X404" s="38"/>
      <c r="Y404" s="38"/>
      <c r="Z404" s="38">
        <f t="shared" si="54"/>
        <v>351</v>
      </c>
      <c r="AA404" t="e">
        <f t="shared" si="52"/>
        <v>#DIV/0!</v>
      </c>
      <c r="AB404" s="1" t="e">
        <f t="shared" si="53"/>
        <v>#DIV/0!</v>
      </c>
    </row>
    <row r="405" spans="11:28" ht="33" customHeight="1">
      <c r="K405" s="38"/>
      <c r="L405" s="38"/>
      <c r="M405" s="38"/>
      <c r="N405" s="38"/>
      <c r="O405" s="38"/>
      <c r="P405" s="38"/>
      <c r="Q405" s="38"/>
      <c r="R405" s="38"/>
      <c r="S405" s="38"/>
      <c r="T405" s="38"/>
      <c r="U405" s="38"/>
      <c r="V405" s="38"/>
      <c r="W405" s="38"/>
      <c r="X405" s="38"/>
      <c r="Y405" s="38"/>
      <c r="Z405" s="38">
        <f t="shared" si="54"/>
        <v>352</v>
      </c>
      <c r="AA405" t="e">
        <f t="shared" si="52"/>
        <v>#DIV/0!</v>
      </c>
      <c r="AB405" s="1" t="e">
        <f t="shared" si="53"/>
        <v>#DIV/0!</v>
      </c>
    </row>
    <row r="406" spans="11:28" ht="33" customHeight="1">
      <c r="K406" s="38"/>
      <c r="L406" s="38"/>
      <c r="M406" s="38"/>
      <c r="N406" s="38"/>
      <c r="O406" s="38"/>
      <c r="P406" s="38"/>
      <c r="Q406" s="38"/>
      <c r="R406" s="38"/>
      <c r="S406" s="38"/>
      <c r="T406" s="38"/>
      <c r="U406" s="38"/>
      <c r="V406" s="38"/>
      <c r="W406" s="38"/>
      <c r="X406" s="38"/>
      <c r="Y406" s="38"/>
      <c r="Z406" s="38">
        <f t="shared" si="54"/>
        <v>353</v>
      </c>
      <c r="AA406" t="e">
        <f t="shared" si="52"/>
        <v>#DIV/0!</v>
      </c>
      <c r="AB406" s="1" t="e">
        <f t="shared" si="53"/>
        <v>#DIV/0!</v>
      </c>
    </row>
    <row r="407" spans="11:28" ht="33" customHeight="1">
      <c r="K407" s="38"/>
      <c r="L407" s="38"/>
      <c r="M407" s="38"/>
      <c r="N407" s="38"/>
      <c r="O407" s="38"/>
      <c r="P407" s="38"/>
      <c r="Q407" s="38"/>
      <c r="R407" s="38"/>
      <c r="S407" s="38"/>
      <c r="T407" s="38"/>
      <c r="U407" s="38"/>
      <c r="V407" s="38"/>
      <c r="W407" s="38"/>
      <c r="X407" s="38"/>
      <c r="Y407" s="38"/>
      <c r="Z407" s="38">
        <f t="shared" si="54"/>
        <v>354</v>
      </c>
      <c r="AA407" t="e">
        <f t="shared" si="52"/>
        <v>#DIV/0!</v>
      </c>
      <c r="AB407" s="1" t="e">
        <f t="shared" si="53"/>
        <v>#DIV/0!</v>
      </c>
    </row>
    <row r="408" spans="11:28" ht="33" customHeight="1">
      <c r="K408" s="38"/>
      <c r="L408" s="38"/>
      <c r="M408" s="38"/>
      <c r="N408" s="38"/>
      <c r="O408" s="38"/>
      <c r="P408" s="38"/>
      <c r="Q408" s="38"/>
      <c r="R408" s="38"/>
      <c r="S408" s="38"/>
      <c r="T408" s="38"/>
      <c r="U408" s="38"/>
      <c r="V408" s="38"/>
      <c r="W408" s="38"/>
      <c r="X408" s="38"/>
      <c r="Y408" s="38"/>
      <c r="Z408" s="38">
        <f t="shared" si="54"/>
        <v>355</v>
      </c>
      <c r="AA408" t="e">
        <f t="shared" si="52"/>
        <v>#DIV/0!</v>
      </c>
      <c r="AB408" s="1" t="e">
        <f t="shared" si="53"/>
        <v>#DIV/0!</v>
      </c>
    </row>
    <row r="409" spans="11:28" ht="33" customHeight="1">
      <c r="K409" s="38"/>
      <c r="L409" s="38"/>
      <c r="M409" s="38"/>
      <c r="N409" s="38"/>
      <c r="O409" s="38"/>
      <c r="P409" s="38"/>
      <c r="Q409" s="38"/>
      <c r="R409" s="38"/>
      <c r="S409" s="38"/>
      <c r="T409" s="38"/>
      <c r="U409" s="38"/>
      <c r="V409" s="38"/>
      <c r="W409" s="38"/>
      <c r="X409" s="38"/>
      <c r="Y409" s="38"/>
      <c r="Z409" s="38">
        <f t="shared" si="54"/>
        <v>356</v>
      </c>
      <c r="AA409" t="e">
        <f t="shared" si="52"/>
        <v>#DIV/0!</v>
      </c>
      <c r="AB409" s="1" t="e">
        <f t="shared" si="53"/>
        <v>#DIV/0!</v>
      </c>
    </row>
    <row r="410" spans="11:28" ht="33" customHeight="1">
      <c r="K410" s="38"/>
      <c r="L410" s="38"/>
      <c r="M410" s="38"/>
      <c r="N410" s="38"/>
      <c r="O410" s="38"/>
      <c r="P410" s="38"/>
      <c r="Q410" s="38"/>
      <c r="R410" s="38"/>
      <c r="S410" s="38"/>
      <c r="T410" s="38"/>
      <c r="U410" s="38"/>
      <c r="V410" s="38"/>
      <c r="W410" s="38"/>
      <c r="X410" s="38"/>
      <c r="Y410" s="38"/>
      <c r="Z410" s="38">
        <f t="shared" si="54"/>
        <v>357</v>
      </c>
      <c r="AA410" t="e">
        <f t="shared" si="52"/>
        <v>#DIV/0!</v>
      </c>
      <c r="AB410" s="1" t="e">
        <f t="shared" si="53"/>
        <v>#DIV/0!</v>
      </c>
    </row>
    <row r="411" spans="11:28" ht="33" customHeight="1">
      <c r="K411" s="38"/>
      <c r="L411" s="38"/>
      <c r="M411" s="38"/>
      <c r="N411" s="38"/>
      <c r="O411" s="38"/>
      <c r="P411" s="38"/>
      <c r="Q411" s="38"/>
      <c r="R411" s="38"/>
      <c r="S411" s="38"/>
      <c r="T411" s="38"/>
      <c r="U411" s="38"/>
      <c r="V411" s="38"/>
      <c r="W411" s="38"/>
      <c r="X411" s="38"/>
      <c r="Y411" s="38"/>
      <c r="Z411" s="38">
        <f t="shared" si="54"/>
        <v>358</v>
      </c>
      <c r="AA411" t="e">
        <f t="shared" si="52"/>
        <v>#DIV/0!</v>
      </c>
      <c r="AB411" s="1" t="e">
        <f t="shared" si="53"/>
        <v>#DIV/0!</v>
      </c>
    </row>
    <row r="412" spans="11:28" ht="33" customHeight="1">
      <c r="K412" s="38"/>
      <c r="L412" s="38"/>
      <c r="M412" s="38"/>
      <c r="N412" s="38"/>
      <c r="O412" s="38"/>
      <c r="P412" s="38"/>
      <c r="Q412" s="38"/>
      <c r="R412" s="38"/>
      <c r="S412" s="38"/>
      <c r="T412" s="38"/>
      <c r="U412" s="38"/>
      <c r="V412" s="38"/>
      <c r="W412" s="38"/>
      <c r="X412" s="38"/>
      <c r="Y412" s="38"/>
      <c r="Z412" s="38">
        <f t="shared" si="54"/>
        <v>359</v>
      </c>
      <c r="AA412" t="e">
        <f t="shared" si="52"/>
        <v>#DIV/0!</v>
      </c>
      <c r="AB412" s="1" t="e">
        <f t="shared" si="53"/>
        <v>#DIV/0!</v>
      </c>
    </row>
    <row r="413" spans="11:28" ht="33" customHeight="1">
      <c r="K413" s="38"/>
      <c r="L413" s="38"/>
      <c r="M413" s="38"/>
      <c r="N413" s="38"/>
      <c r="O413" s="38"/>
      <c r="P413" s="38"/>
      <c r="Q413" s="38"/>
      <c r="R413" s="38"/>
      <c r="S413" s="38"/>
      <c r="T413" s="38"/>
      <c r="U413" s="38"/>
      <c r="V413" s="38"/>
      <c r="W413" s="38"/>
      <c r="X413" s="38"/>
      <c r="Y413" s="38"/>
      <c r="Z413" s="38">
        <f t="shared" si="54"/>
        <v>360</v>
      </c>
      <c r="AA413" t="e">
        <f t="shared" si="52"/>
        <v>#DIV/0!</v>
      </c>
      <c r="AB413" s="1" t="e">
        <f t="shared" si="53"/>
        <v>#DIV/0!</v>
      </c>
    </row>
    <row r="414" spans="11:28" ht="33" customHeight="1">
      <c r="K414" s="38"/>
      <c r="L414" s="38"/>
      <c r="M414" s="38"/>
      <c r="N414" s="38"/>
      <c r="O414" s="38"/>
      <c r="P414" s="38"/>
      <c r="Q414" s="38"/>
      <c r="R414" s="38"/>
      <c r="S414" s="38"/>
      <c r="T414" s="38"/>
      <c r="U414" s="38"/>
      <c r="V414" s="38"/>
      <c r="W414" s="38"/>
      <c r="X414" s="38"/>
      <c r="Y414" s="38"/>
      <c r="Z414" s="38">
        <f t="shared" si="54"/>
        <v>361</v>
      </c>
      <c r="AA414" t="e">
        <f t="shared" si="52"/>
        <v>#DIV/0!</v>
      </c>
      <c r="AB414" s="1" t="e">
        <f t="shared" si="53"/>
        <v>#DIV/0!</v>
      </c>
    </row>
    <row r="415" spans="11:28" ht="33" customHeight="1">
      <c r="K415" s="38"/>
      <c r="L415" s="38"/>
      <c r="M415" s="38"/>
      <c r="N415" s="38"/>
      <c r="O415" s="38"/>
      <c r="P415" s="38"/>
      <c r="Q415" s="38"/>
      <c r="R415" s="38"/>
      <c r="S415" s="38"/>
      <c r="T415" s="38"/>
      <c r="U415" s="38"/>
      <c r="V415" s="38"/>
      <c r="W415" s="38"/>
      <c r="X415" s="38"/>
      <c r="Y415" s="38"/>
      <c r="Z415" s="38">
        <f t="shared" si="54"/>
        <v>362</v>
      </c>
      <c r="AA415" t="e">
        <f t="shared" si="52"/>
        <v>#DIV/0!</v>
      </c>
      <c r="AB415" s="1" t="e">
        <f t="shared" si="53"/>
        <v>#DIV/0!</v>
      </c>
    </row>
    <row r="416" spans="11:28" ht="33" customHeight="1">
      <c r="K416" s="38"/>
      <c r="L416" s="38"/>
      <c r="M416" s="38"/>
      <c r="N416" s="38"/>
      <c r="O416" s="38"/>
      <c r="P416" s="38"/>
      <c r="Q416" s="38"/>
      <c r="R416" s="38"/>
      <c r="S416" s="38"/>
      <c r="T416" s="38"/>
      <c r="U416" s="38"/>
      <c r="V416" s="38"/>
      <c r="W416" s="38"/>
      <c r="X416" s="38"/>
      <c r="Y416" s="38"/>
      <c r="Z416" s="38">
        <f t="shared" si="54"/>
        <v>363</v>
      </c>
      <c r="AA416" t="e">
        <f t="shared" si="52"/>
        <v>#DIV/0!</v>
      </c>
      <c r="AB416" s="1" t="e">
        <f t="shared" si="53"/>
        <v>#DIV/0!</v>
      </c>
    </row>
    <row r="417" spans="11:28" ht="33" customHeight="1">
      <c r="K417" s="38"/>
      <c r="L417" s="38"/>
      <c r="M417" s="38"/>
      <c r="N417" s="38"/>
      <c r="O417" s="38"/>
      <c r="P417" s="38"/>
      <c r="Q417" s="38"/>
      <c r="R417" s="38"/>
      <c r="S417" s="38"/>
      <c r="T417" s="38"/>
      <c r="U417" s="38"/>
      <c r="V417" s="38"/>
      <c r="W417" s="38"/>
      <c r="X417" s="38"/>
      <c r="Y417" s="38"/>
      <c r="Z417" s="38">
        <f t="shared" si="54"/>
        <v>364</v>
      </c>
      <c r="AA417" t="e">
        <f t="shared" si="52"/>
        <v>#DIV/0!</v>
      </c>
      <c r="AB417" s="1" t="e">
        <f t="shared" si="53"/>
        <v>#DIV/0!</v>
      </c>
    </row>
    <row r="418" spans="11:28" ht="33" customHeight="1">
      <c r="K418" s="38"/>
      <c r="L418" s="38"/>
      <c r="M418" s="38"/>
      <c r="N418" s="38"/>
      <c r="O418" s="38"/>
      <c r="P418" s="38"/>
      <c r="Q418" s="38"/>
      <c r="R418" s="38"/>
      <c r="S418" s="38"/>
      <c r="T418" s="38"/>
      <c r="U418" s="38"/>
      <c r="V418" s="38"/>
      <c r="W418" s="38"/>
      <c r="X418" s="38"/>
      <c r="Y418" s="38"/>
      <c r="Z418" s="38">
        <f t="shared" si="54"/>
        <v>365</v>
      </c>
      <c r="AA418" t="e">
        <f t="shared" si="52"/>
        <v>#DIV/0!</v>
      </c>
      <c r="AB418" s="1" t="e">
        <f t="shared" si="53"/>
        <v>#DIV/0!</v>
      </c>
    </row>
    <row r="419" spans="11:28" ht="33" customHeight="1">
      <c r="K419" s="38"/>
      <c r="L419" s="38"/>
      <c r="M419" s="38"/>
      <c r="N419" s="38"/>
      <c r="O419" s="38"/>
      <c r="P419" s="38"/>
      <c r="Q419" s="38"/>
      <c r="R419" s="38"/>
      <c r="S419" s="38"/>
      <c r="T419" s="38"/>
      <c r="U419" s="38"/>
      <c r="V419" s="38"/>
      <c r="W419" s="38"/>
      <c r="X419" s="38"/>
      <c r="Y419" s="38"/>
      <c r="Z419" s="38">
        <f t="shared" si="54"/>
        <v>366</v>
      </c>
      <c r="AA419" t="e">
        <f t="shared" si="52"/>
        <v>#DIV/0!</v>
      </c>
      <c r="AB419" s="1" t="e">
        <f t="shared" si="53"/>
        <v>#DIV/0!</v>
      </c>
    </row>
    <row r="420" spans="11:28" ht="33" customHeight="1">
      <c r="K420" s="38"/>
      <c r="L420" s="38"/>
      <c r="M420" s="38"/>
      <c r="N420" s="38"/>
      <c r="O420" s="38"/>
      <c r="P420" s="38"/>
      <c r="Q420" s="38"/>
      <c r="R420" s="38"/>
      <c r="S420" s="38"/>
      <c r="T420" s="38"/>
      <c r="U420" s="38"/>
      <c r="V420" s="38"/>
      <c r="W420" s="38"/>
      <c r="X420" s="38"/>
      <c r="Y420" s="38"/>
      <c r="Z420" s="38">
        <f t="shared" si="54"/>
        <v>367</v>
      </c>
      <c r="AA420" t="e">
        <f t="shared" si="52"/>
        <v>#DIV/0!</v>
      </c>
      <c r="AB420" s="1" t="e">
        <f t="shared" si="53"/>
        <v>#DIV/0!</v>
      </c>
    </row>
    <row r="421" spans="11:28" ht="33" customHeight="1">
      <c r="K421" s="38"/>
      <c r="L421" s="38"/>
      <c r="M421" s="38"/>
      <c r="N421" s="38"/>
      <c r="O421" s="38"/>
      <c r="P421" s="38"/>
      <c r="Q421" s="38"/>
      <c r="R421" s="38"/>
      <c r="S421" s="38"/>
      <c r="T421" s="38"/>
      <c r="U421" s="38"/>
      <c r="V421" s="38"/>
      <c r="W421" s="38"/>
      <c r="X421" s="38"/>
      <c r="Y421" s="38"/>
      <c r="Z421" s="38">
        <f t="shared" si="54"/>
        <v>368</v>
      </c>
      <c r="AA421" t="e">
        <f t="shared" si="52"/>
        <v>#DIV/0!</v>
      </c>
      <c r="AB421" s="1" t="e">
        <f t="shared" si="53"/>
        <v>#DIV/0!</v>
      </c>
    </row>
    <row r="422" spans="11:28" ht="33" customHeight="1">
      <c r="K422" s="38"/>
      <c r="L422" s="38"/>
      <c r="M422" s="38"/>
      <c r="N422" s="38"/>
      <c r="O422" s="38"/>
      <c r="P422" s="38"/>
      <c r="Q422" s="38"/>
      <c r="R422" s="38"/>
      <c r="S422" s="38"/>
      <c r="T422" s="38"/>
      <c r="U422" s="38"/>
      <c r="V422" s="38"/>
      <c r="W422" s="38"/>
      <c r="X422" s="38"/>
      <c r="Y422" s="38"/>
      <c r="Z422" s="38">
        <f t="shared" si="54"/>
        <v>369</v>
      </c>
      <c r="AA422" t="e">
        <f t="shared" si="52"/>
        <v>#DIV/0!</v>
      </c>
      <c r="AB422" s="1" t="e">
        <f t="shared" si="53"/>
        <v>#DIV/0!</v>
      </c>
    </row>
    <row r="423" spans="11:28" ht="33" customHeight="1">
      <c r="K423" s="38"/>
      <c r="L423" s="38"/>
      <c r="M423" s="38"/>
      <c r="N423" s="38"/>
      <c r="O423" s="38"/>
      <c r="P423" s="38"/>
      <c r="Q423" s="38"/>
      <c r="R423" s="38"/>
      <c r="S423" s="38"/>
      <c r="T423" s="38"/>
      <c r="U423" s="38"/>
      <c r="V423" s="38"/>
      <c r="W423" s="38"/>
      <c r="X423" s="38"/>
      <c r="Y423" s="38"/>
      <c r="Z423" s="38">
        <f t="shared" si="54"/>
        <v>370</v>
      </c>
      <c r="AA423" t="e">
        <f t="shared" si="52"/>
        <v>#DIV/0!</v>
      </c>
      <c r="AB423" s="1" t="e">
        <f t="shared" si="53"/>
        <v>#DIV/0!</v>
      </c>
    </row>
    <row r="424" spans="11:28" ht="33" customHeight="1">
      <c r="K424" s="38"/>
      <c r="L424" s="38"/>
      <c r="M424" s="38"/>
      <c r="N424" s="38"/>
      <c r="O424" s="38"/>
      <c r="P424" s="38"/>
      <c r="Q424" s="38"/>
      <c r="R424" s="38"/>
      <c r="S424" s="38"/>
      <c r="T424" s="38"/>
      <c r="U424" s="38"/>
      <c r="V424" s="38"/>
      <c r="W424" s="38"/>
      <c r="X424" s="38"/>
      <c r="Y424" s="38"/>
      <c r="Z424" s="38">
        <f t="shared" si="54"/>
        <v>371</v>
      </c>
      <c r="AA424" t="e">
        <f t="shared" si="52"/>
        <v>#DIV/0!</v>
      </c>
      <c r="AB424" s="1" t="e">
        <f t="shared" si="53"/>
        <v>#DIV/0!</v>
      </c>
    </row>
    <row r="425" spans="11:28" ht="33" customHeight="1">
      <c r="K425" s="38"/>
      <c r="L425" s="38"/>
      <c r="M425" s="38"/>
      <c r="N425" s="38"/>
      <c r="O425" s="38"/>
      <c r="P425" s="38"/>
      <c r="Q425" s="38"/>
      <c r="R425" s="38"/>
      <c r="S425" s="38"/>
      <c r="T425" s="38"/>
      <c r="U425" s="38"/>
      <c r="V425" s="38"/>
      <c r="W425" s="38"/>
      <c r="X425" s="38"/>
      <c r="Y425" s="38"/>
      <c r="Z425" s="38">
        <f t="shared" si="54"/>
        <v>372</v>
      </c>
      <c r="AA425" t="e">
        <f t="shared" si="52"/>
        <v>#DIV/0!</v>
      </c>
      <c r="AB425" s="1" t="e">
        <f t="shared" si="53"/>
        <v>#DIV/0!</v>
      </c>
    </row>
    <row r="426" spans="11:28" ht="33" customHeight="1">
      <c r="K426" s="38"/>
      <c r="L426" s="38"/>
      <c r="M426" s="38"/>
      <c r="N426" s="38"/>
      <c r="O426" s="38"/>
      <c r="P426" s="38"/>
      <c r="Q426" s="38"/>
      <c r="R426" s="38"/>
      <c r="S426" s="38"/>
      <c r="T426" s="38"/>
      <c r="U426" s="38"/>
      <c r="V426" s="38"/>
      <c r="W426" s="38"/>
      <c r="X426" s="38"/>
      <c r="Y426" s="38"/>
      <c r="Z426" s="38">
        <f t="shared" si="54"/>
        <v>373</v>
      </c>
      <c r="AA426" t="e">
        <f t="shared" si="52"/>
        <v>#DIV/0!</v>
      </c>
      <c r="AB426" s="1" t="e">
        <f t="shared" si="53"/>
        <v>#DIV/0!</v>
      </c>
    </row>
    <row r="427" spans="11:28" ht="33" customHeight="1">
      <c r="K427" s="38"/>
      <c r="L427" s="38"/>
      <c r="M427" s="38"/>
      <c r="N427" s="38"/>
      <c r="O427" s="38"/>
      <c r="P427" s="38"/>
      <c r="Q427" s="38"/>
      <c r="R427" s="38"/>
      <c r="S427" s="38"/>
      <c r="T427" s="38"/>
      <c r="U427" s="38"/>
      <c r="V427" s="38"/>
      <c r="W427" s="38"/>
      <c r="X427" s="38"/>
      <c r="Y427" s="38"/>
      <c r="Z427" s="38">
        <f t="shared" si="54"/>
        <v>374</v>
      </c>
      <c r="AA427" t="e">
        <f t="shared" si="52"/>
        <v>#DIV/0!</v>
      </c>
      <c r="AB427" s="1" t="e">
        <f t="shared" si="53"/>
        <v>#DIV/0!</v>
      </c>
    </row>
    <row r="428" spans="11:28" ht="33" customHeight="1">
      <c r="K428" s="38"/>
      <c r="L428" s="38"/>
      <c r="M428" s="38"/>
      <c r="N428" s="38"/>
      <c r="O428" s="38"/>
      <c r="P428" s="38"/>
      <c r="Q428" s="38"/>
      <c r="R428" s="38"/>
      <c r="S428" s="38"/>
      <c r="T428" s="38"/>
      <c r="U428" s="38"/>
      <c r="V428" s="38"/>
      <c r="W428" s="38"/>
      <c r="X428" s="38"/>
      <c r="Y428" s="38"/>
      <c r="Z428" s="38">
        <f t="shared" si="54"/>
        <v>375</v>
      </c>
      <c r="AA428" t="e">
        <f t="shared" si="52"/>
        <v>#DIV/0!</v>
      </c>
      <c r="AB428" s="1" t="e">
        <f t="shared" si="53"/>
        <v>#DIV/0!</v>
      </c>
    </row>
    <row r="429" spans="11:28" ht="33" customHeight="1">
      <c r="K429" s="38"/>
      <c r="L429" s="38"/>
      <c r="M429" s="38"/>
      <c r="N429" s="38"/>
      <c r="O429" s="38"/>
      <c r="P429" s="38"/>
      <c r="Q429" s="38"/>
      <c r="R429" s="38"/>
      <c r="S429" s="38"/>
      <c r="T429" s="38"/>
      <c r="U429" s="38"/>
      <c r="V429" s="38"/>
      <c r="W429" s="38"/>
      <c r="X429" s="38"/>
      <c r="Y429" s="38"/>
      <c r="Z429" s="38">
        <f t="shared" si="54"/>
        <v>376</v>
      </c>
      <c r="AA429" t="e">
        <f t="shared" si="52"/>
        <v>#DIV/0!</v>
      </c>
      <c r="AB429" s="1" t="e">
        <f t="shared" si="53"/>
        <v>#DIV/0!</v>
      </c>
    </row>
    <row r="430" spans="11:28" ht="33" customHeight="1">
      <c r="K430" s="38"/>
      <c r="L430" s="38"/>
      <c r="M430" s="38"/>
      <c r="N430" s="38"/>
      <c r="O430" s="38"/>
      <c r="P430" s="38"/>
      <c r="Q430" s="38"/>
      <c r="R430" s="38"/>
      <c r="S430" s="38"/>
      <c r="T430" s="38"/>
      <c r="U430" s="38"/>
      <c r="V430" s="38"/>
      <c r="W430" s="38"/>
      <c r="X430" s="38"/>
      <c r="Y430" s="38"/>
      <c r="Z430" s="38">
        <f t="shared" si="54"/>
        <v>377</v>
      </c>
      <c r="AA430" t="e">
        <f t="shared" si="52"/>
        <v>#DIV/0!</v>
      </c>
      <c r="AB430" s="1" t="e">
        <f t="shared" si="53"/>
        <v>#DIV/0!</v>
      </c>
    </row>
    <row r="431" spans="11:28" ht="33" customHeight="1">
      <c r="K431" s="38"/>
      <c r="L431" s="38"/>
      <c r="M431" s="38"/>
      <c r="N431" s="38"/>
      <c r="O431" s="38"/>
      <c r="P431" s="38"/>
      <c r="Q431" s="38"/>
      <c r="R431" s="38"/>
      <c r="S431" s="38"/>
      <c r="T431" s="38"/>
      <c r="U431" s="38"/>
      <c r="V431" s="38"/>
      <c r="W431" s="38"/>
      <c r="X431" s="38"/>
      <c r="Y431" s="38"/>
      <c r="Z431" s="38">
        <f t="shared" si="54"/>
        <v>378</v>
      </c>
      <c r="AA431" t="e">
        <f t="shared" si="52"/>
        <v>#DIV/0!</v>
      </c>
      <c r="AB431" s="1" t="e">
        <f t="shared" si="53"/>
        <v>#DIV/0!</v>
      </c>
    </row>
    <row r="432" spans="11:28" ht="33" customHeight="1">
      <c r="K432" s="38"/>
      <c r="L432" s="38"/>
      <c r="M432" s="38"/>
      <c r="N432" s="38"/>
      <c r="O432" s="38"/>
      <c r="P432" s="38"/>
      <c r="Q432" s="38"/>
      <c r="R432" s="38"/>
      <c r="S432" s="38"/>
      <c r="T432" s="38"/>
      <c r="U432" s="38"/>
      <c r="V432" s="38"/>
      <c r="W432" s="38"/>
      <c r="X432" s="38"/>
      <c r="Y432" s="38"/>
      <c r="Z432" s="38">
        <f t="shared" si="54"/>
        <v>379</v>
      </c>
      <c r="AA432" t="e">
        <f t="shared" si="52"/>
        <v>#DIV/0!</v>
      </c>
      <c r="AB432" s="1" t="e">
        <f t="shared" si="53"/>
        <v>#DIV/0!</v>
      </c>
    </row>
    <row r="433" spans="11:28" ht="33" customHeight="1">
      <c r="K433" s="38"/>
      <c r="L433" s="38"/>
      <c r="M433" s="38"/>
      <c r="N433" s="38"/>
      <c r="O433" s="38"/>
      <c r="P433" s="38"/>
      <c r="Q433" s="38"/>
      <c r="R433" s="38"/>
      <c r="S433" s="38"/>
      <c r="T433" s="38"/>
      <c r="U433" s="38"/>
      <c r="V433" s="38"/>
      <c r="W433" s="38"/>
      <c r="X433" s="38"/>
      <c r="Y433" s="38"/>
      <c r="Z433" s="38">
        <f t="shared" si="54"/>
        <v>380</v>
      </c>
      <c r="AA433" t="e">
        <f t="shared" si="52"/>
        <v>#DIV/0!</v>
      </c>
      <c r="AB433" s="1" t="e">
        <f t="shared" si="53"/>
        <v>#DIV/0!</v>
      </c>
    </row>
    <row r="434" spans="11:28" ht="33" customHeight="1">
      <c r="K434" s="38"/>
      <c r="L434" s="38"/>
      <c r="M434" s="38"/>
      <c r="N434" s="38"/>
      <c r="O434" s="38"/>
      <c r="P434" s="38"/>
      <c r="Q434" s="38"/>
      <c r="R434" s="38"/>
      <c r="S434" s="38"/>
      <c r="T434" s="38"/>
      <c r="U434" s="38"/>
      <c r="V434" s="38"/>
      <c r="W434" s="38"/>
      <c r="X434" s="38"/>
      <c r="Y434" s="38"/>
      <c r="Z434" s="38">
        <f t="shared" si="54"/>
        <v>381</v>
      </c>
      <c r="AA434" t="e">
        <f t="shared" si="52"/>
        <v>#DIV/0!</v>
      </c>
      <c r="AB434" s="1" t="e">
        <f t="shared" si="53"/>
        <v>#DIV/0!</v>
      </c>
    </row>
    <row r="435" spans="11:28" ht="33" customHeight="1">
      <c r="K435" s="38"/>
      <c r="L435" s="38"/>
      <c r="M435" s="38"/>
      <c r="N435" s="38"/>
      <c r="O435" s="38"/>
      <c r="P435" s="38"/>
      <c r="Q435" s="38"/>
      <c r="R435" s="38"/>
      <c r="S435" s="38"/>
      <c r="T435" s="38"/>
      <c r="U435" s="38"/>
      <c r="V435" s="38"/>
      <c r="W435" s="38"/>
      <c r="X435" s="38"/>
      <c r="Y435" s="38"/>
      <c r="Z435" s="38">
        <f t="shared" si="54"/>
        <v>382</v>
      </c>
      <c r="AA435" t="e">
        <f t="shared" si="52"/>
        <v>#DIV/0!</v>
      </c>
      <c r="AB435" s="1" t="e">
        <f t="shared" si="53"/>
        <v>#DIV/0!</v>
      </c>
    </row>
    <row r="436" spans="11:28" ht="33" customHeight="1">
      <c r="K436" s="38"/>
      <c r="L436" s="38"/>
      <c r="M436" s="38"/>
      <c r="N436" s="38"/>
      <c r="O436" s="38"/>
      <c r="P436" s="38"/>
      <c r="Q436" s="38"/>
      <c r="R436" s="38"/>
      <c r="S436" s="38"/>
      <c r="T436" s="38"/>
      <c r="U436" s="38"/>
      <c r="V436" s="38"/>
      <c r="W436" s="38"/>
      <c r="X436" s="38"/>
      <c r="Y436" s="38"/>
      <c r="Z436" s="38">
        <f t="shared" si="54"/>
        <v>383</v>
      </c>
      <c r="AA436" t="e">
        <f t="shared" si="52"/>
        <v>#DIV/0!</v>
      </c>
      <c r="AB436" s="1" t="e">
        <f t="shared" si="53"/>
        <v>#DIV/0!</v>
      </c>
    </row>
    <row r="437" spans="11:28" ht="33" customHeight="1">
      <c r="K437" s="38"/>
      <c r="L437" s="38"/>
      <c r="M437" s="38"/>
      <c r="N437" s="38"/>
      <c r="O437" s="38"/>
      <c r="P437" s="38"/>
      <c r="Q437" s="38"/>
      <c r="R437" s="38"/>
      <c r="S437" s="38"/>
      <c r="T437" s="38"/>
      <c r="U437" s="38"/>
      <c r="V437" s="38"/>
      <c r="W437" s="38"/>
      <c r="X437" s="38"/>
      <c r="Y437" s="38"/>
      <c r="Z437" s="38">
        <f t="shared" si="54"/>
        <v>384</v>
      </c>
      <c r="AA437" t="e">
        <f t="shared" si="52"/>
        <v>#DIV/0!</v>
      </c>
      <c r="AB437" s="1" t="e">
        <f t="shared" si="53"/>
        <v>#DIV/0!</v>
      </c>
    </row>
    <row r="438" spans="11:28" ht="33" customHeight="1">
      <c r="K438" s="38"/>
      <c r="L438" s="38"/>
      <c r="M438" s="38"/>
      <c r="N438" s="38"/>
      <c r="O438" s="38"/>
      <c r="P438" s="38"/>
      <c r="Q438" s="38"/>
      <c r="R438" s="38"/>
      <c r="S438" s="38"/>
      <c r="T438" s="38"/>
      <c r="U438" s="38"/>
      <c r="V438" s="38"/>
      <c r="W438" s="38"/>
      <c r="X438" s="38"/>
      <c r="Y438" s="38"/>
      <c r="Z438" s="38">
        <f t="shared" si="54"/>
        <v>385</v>
      </c>
      <c r="AA438" t="e">
        <f t="shared" si="52"/>
        <v>#DIV/0!</v>
      </c>
      <c r="AB438" s="1" t="e">
        <f t="shared" si="53"/>
        <v>#DIV/0!</v>
      </c>
    </row>
    <row r="439" spans="11:28" ht="33" customHeight="1">
      <c r="K439" s="38"/>
      <c r="L439" s="38"/>
      <c r="M439" s="38"/>
      <c r="N439" s="38"/>
      <c r="O439" s="38"/>
      <c r="P439" s="38"/>
      <c r="Q439" s="38"/>
      <c r="R439" s="38"/>
      <c r="S439" s="38"/>
      <c r="T439" s="38"/>
      <c r="U439" s="38"/>
      <c r="V439" s="38"/>
      <c r="W439" s="38"/>
      <c r="X439" s="38"/>
      <c r="Y439" s="38"/>
      <c r="Z439" s="38">
        <f t="shared" si="54"/>
        <v>386</v>
      </c>
      <c r="AA439" t="e">
        <f t="shared" si="52"/>
        <v>#DIV/0!</v>
      </c>
      <c r="AB439" s="1" t="e">
        <f t="shared" si="53"/>
        <v>#DIV/0!</v>
      </c>
    </row>
    <row r="440" spans="11:28" ht="33" customHeight="1">
      <c r="K440" s="38"/>
      <c r="L440" s="38"/>
      <c r="M440" s="38"/>
      <c r="N440" s="38"/>
      <c r="O440" s="38"/>
      <c r="P440" s="38"/>
      <c r="Q440" s="38"/>
      <c r="R440" s="38"/>
      <c r="S440" s="38"/>
      <c r="T440" s="38"/>
      <c r="U440" s="38"/>
      <c r="V440" s="38"/>
      <c r="W440" s="38"/>
      <c r="X440" s="38"/>
      <c r="Y440" s="38"/>
      <c r="Z440" s="38">
        <f t="shared" si="54"/>
        <v>387</v>
      </c>
      <c r="AA440" t="e">
        <f t="shared" si="52"/>
        <v>#DIV/0!</v>
      </c>
      <c r="AB440" s="1" t="e">
        <f t="shared" si="53"/>
        <v>#DIV/0!</v>
      </c>
    </row>
    <row r="441" spans="11:28" ht="33" customHeight="1">
      <c r="K441" s="38"/>
      <c r="L441" s="38"/>
      <c r="M441" s="38"/>
      <c r="N441" s="38"/>
      <c r="O441" s="38"/>
      <c r="P441" s="38"/>
      <c r="Q441" s="38"/>
      <c r="R441" s="38"/>
      <c r="S441" s="38"/>
      <c r="T441" s="38"/>
      <c r="U441" s="38"/>
      <c r="V441" s="38"/>
      <c r="W441" s="38"/>
      <c r="X441" s="38"/>
      <c r="Y441" s="38"/>
      <c r="Z441" s="38">
        <f t="shared" si="54"/>
        <v>388</v>
      </c>
      <c r="AA441" t="e">
        <f t="shared" si="52"/>
        <v>#DIV/0!</v>
      </c>
      <c r="AB441" s="1" t="e">
        <f t="shared" si="53"/>
        <v>#DIV/0!</v>
      </c>
    </row>
    <row r="442" spans="11:28" ht="33" customHeight="1">
      <c r="K442" s="38"/>
      <c r="L442" s="38"/>
      <c r="M442" s="38"/>
      <c r="N442" s="38"/>
      <c r="O442" s="38"/>
      <c r="P442" s="38"/>
      <c r="Q442" s="38"/>
      <c r="R442" s="38"/>
      <c r="S442" s="38"/>
      <c r="T442" s="38"/>
      <c r="U442" s="38"/>
      <c r="V442" s="38"/>
      <c r="W442" s="38"/>
      <c r="X442" s="38"/>
      <c r="Y442" s="38"/>
      <c r="Z442" s="38">
        <f t="shared" si="54"/>
        <v>389</v>
      </c>
      <c r="AA442" t="e">
        <f t="shared" si="52"/>
        <v>#DIV/0!</v>
      </c>
      <c r="AB442" s="1" t="e">
        <f t="shared" si="53"/>
        <v>#DIV/0!</v>
      </c>
    </row>
    <row r="443" spans="11:28" ht="33" customHeight="1">
      <c r="K443" s="38"/>
      <c r="L443" s="38"/>
      <c r="M443" s="38"/>
      <c r="N443" s="38"/>
      <c r="O443" s="38"/>
      <c r="P443" s="38"/>
      <c r="Q443" s="38"/>
      <c r="R443" s="38"/>
      <c r="S443" s="38"/>
      <c r="T443" s="38"/>
      <c r="U443" s="38"/>
      <c r="V443" s="38"/>
      <c r="W443" s="38"/>
      <c r="X443" s="38"/>
      <c r="Y443" s="38"/>
      <c r="Z443" s="38">
        <f t="shared" si="54"/>
        <v>390</v>
      </c>
      <c r="AA443" t="e">
        <f t="shared" si="52"/>
        <v>#DIV/0!</v>
      </c>
      <c r="AB443" s="1" t="e">
        <f t="shared" si="53"/>
        <v>#DIV/0!</v>
      </c>
    </row>
    <row r="444" spans="11:28" ht="33" customHeight="1">
      <c r="K444" s="38"/>
      <c r="L444" s="38"/>
      <c r="M444" s="38"/>
      <c r="N444" s="38"/>
      <c r="O444" s="38"/>
      <c r="P444" s="38"/>
      <c r="Q444" s="38"/>
      <c r="R444" s="38"/>
      <c r="S444" s="38"/>
      <c r="T444" s="38"/>
      <c r="U444" s="38"/>
      <c r="V444" s="38"/>
      <c r="W444" s="38"/>
      <c r="X444" s="38"/>
      <c r="Y444" s="38"/>
      <c r="Z444" s="38">
        <f t="shared" si="54"/>
        <v>391</v>
      </c>
      <c r="AA444" t="e">
        <f t="shared" si="52"/>
        <v>#DIV/0!</v>
      </c>
      <c r="AB444" s="1" t="e">
        <f t="shared" si="53"/>
        <v>#DIV/0!</v>
      </c>
    </row>
    <row r="445" spans="11:28" ht="33" customHeight="1">
      <c r="K445" s="38"/>
      <c r="L445" s="38"/>
      <c r="M445" s="38"/>
      <c r="N445" s="38"/>
      <c r="O445" s="38"/>
      <c r="P445" s="38"/>
      <c r="Q445" s="38"/>
      <c r="R445" s="38"/>
      <c r="S445" s="38"/>
      <c r="T445" s="38"/>
      <c r="U445" s="38"/>
      <c r="V445" s="38"/>
      <c r="W445" s="38"/>
      <c r="X445" s="38"/>
      <c r="Y445" s="38"/>
      <c r="Z445" s="38">
        <f t="shared" si="54"/>
        <v>392</v>
      </c>
      <c r="AA445" t="e">
        <f t="shared" si="52"/>
        <v>#DIV/0!</v>
      </c>
      <c r="AB445" s="1" t="e">
        <f t="shared" si="53"/>
        <v>#DIV/0!</v>
      </c>
    </row>
    <row r="446" spans="11:28" ht="33" customHeight="1">
      <c r="K446" s="38"/>
      <c r="L446" s="38"/>
      <c r="M446" s="38"/>
      <c r="N446" s="38"/>
      <c r="O446" s="38"/>
      <c r="P446" s="38"/>
      <c r="Q446" s="38"/>
      <c r="R446" s="38"/>
      <c r="S446" s="38"/>
      <c r="T446" s="38"/>
      <c r="U446" s="38"/>
      <c r="V446" s="38"/>
      <c r="W446" s="38"/>
      <c r="X446" s="38"/>
      <c r="Y446" s="38"/>
      <c r="Z446" s="38">
        <f t="shared" si="54"/>
        <v>393</v>
      </c>
      <c r="AA446" t="e">
        <f t="shared" si="52"/>
        <v>#DIV/0!</v>
      </c>
      <c r="AB446" s="1" t="e">
        <f t="shared" si="53"/>
        <v>#DIV/0!</v>
      </c>
    </row>
    <row r="447" spans="11:28" ht="33" customHeight="1">
      <c r="K447" s="38"/>
      <c r="L447" s="38"/>
      <c r="M447" s="38"/>
      <c r="N447" s="38"/>
      <c r="O447" s="38"/>
      <c r="P447" s="38"/>
      <c r="Q447" s="38"/>
      <c r="R447" s="38"/>
      <c r="S447" s="38"/>
      <c r="T447" s="38"/>
      <c r="U447" s="38"/>
      <c r="V447" s="38"/>
      <c r="W447" s="38"/>
      <c r="X447" s="38"/>
      <c r="Y447" s="38"/>
      <c r="Z447" s="38">
        <f t="shared" si="54"/>
        <v>394</v>
      </c>
      <c r="AA447" t="e">
        <f t="shared" si="52"/>
        <v>#DIV/0!</v>
      </c>
      <c r="AB447" s="1" t="e">
        <f t="shared" si="53"/>
        <v>#DIV/0!</v>
      </c>
    </row>
    <row r="448" spans="11:28" ht="33" customHeight="1">
      <c r="K448" s="38"/>
      <c r="L448" s="38"/>
      <c r="M448" s="38"/>
      <c r="N448" s="38"/>
      <c r="O448" s="38"/>
      <c r="P448" s="38"/>
      <c r="Q448" s="38"/>
      <c r="R448" s="38"/>
      <c r="S448" s="38"/>
      <c r="T448" s="38"/>
      <c r="U448" s="38"/>
      <c r="V448" s="38"/>
      <c r="W448" s="38"/>
      <c r="X448" s="38"/>
      <c r="Y448" s="38"/>
      <c r="Z448" s="38">
        <f t="shared" si="54"/>
        <v>395</v>
      </c>
      <c r="AA448" t="e">
        <f t="shared" si="52"/>
        <v>#DIV/0!</v>
      </c>
      <c r="AB448" s="1" t="e">
        <f t="shared" si="53"/>
        <v>#DIV/0!</v>
      </c>
    </row>
    <row r="449" spans="11:28" ht="33" customHeight="1">
      <c r="K449" s="38"/>
      <c r="L449" s="38"/>
      <c r="M449" s="38"/>
      <c r="N449" s="38"/>
      <c r="O449" s="38"/>
      <c r="P449" s="38"/>
      <c r="Q449" s="38"/>
      <c r="R449" s="38"/>
      <c r="S449" s="38"/>
      <c r="T449" s="38"/>
      <c r="U449" s="38"/>
      <c r="V449" s="38"/>
      <c r="W449" s="38"/>
      <c r="X449" s="38"/>
      <c r="Y449" s="38"/>
      <c r="Z449" s="38">
        <f t="shared" si="54"/>
        <v>396</v>
      </c>
      <c r="AA449" t="e">
        <f t="shared" si="52"/>
        <v>#DIV/0!</v>
      </c>
      <c r="AB449" s="1" t="e">
        <f t="shared" si="53"/>
        <v>#DIV/0!</v>
      </c>
    </row>
    <row r="450" spans="11:28" ht="33" customHeight="1">
      <c r="K450" s="38"/>
      <c r="L450" s="38"/>
      <c r="M450" s="38"/>
      <c r="N450" s="38"/>
      <c r="O450" s="38"/>
      <c r="P450" s="38"/>
      <c r="Q450" s="38"/>
      <c r="R450" s="38"/>
      <c r="S450" s="38"/>
      <c r="T450" s="38"/>
      <c r="U450" s="38"/>
      <c r="V450" s="38"/>
      <c r="W450" s="38"/>
      <c r="X450" s="38"/>
      <c r="Y450" s="38"/>
      <c r="Z450" s="38">
        <f t="shared" si="54"/>
        <v>397</v>
      </c>
      <c r="AA450" t="e">
        <f t="shared" si="52"/>
        <v>#DIV/0!</v>
      </c>
      <c r="AB450" s="1" t="e">
        <f t="shared" si="53"/>
        <v>#DIV/0!</v>
      </c>
    </row>
    <row r="451" spans="11:28" ht="33" customHeight="1">
      <c r="K451" s="38"/>
      <c r="L451" s="38"/>
      <c r="M451" s="38"/>
      <c r="N451" s="38"/>
      <c r="O451" s="38"/>
      <c r="P451" s="38"/>
      <c r="Q451" s="38"/>
      <c r="R451" s="38"/>
      <c r="S451" s="38"/>
      <c r="T451" s="38"/>
      <c r="U451" s="38"/>
      <c r="V451" s="38"/>
      <c r="W451" s="38"/>
      <c r="X451" s="38"/>
      <c r="Y451" s="38"/>
      <c r="Z451" s="38">
        <f t="shared" si="54"/>
        <v>398</v>
      </c>
      <c r="AA451" t="e">
        <f t="shared" si="52"/>
        <v>#DIV/0!</v>
      </c>
      <c r="AB451" s="1" t="e">
        <f t="shared" si="53"/>
        <v>#DIV/0!</v>
      </c>
    </row>
    <row r="452" spans="11:28" ht="33" customHeight="1">
      <c r="K452" s="38"/>
      <c r="L452" s="38"/>
      <c r="M452" s="38"/>
      <c r="N452" s="38"/>
      <c r="O452" s="38"/>
      <c r="P452" s="38"/>
      <c r="Q452" s="38"/>
      <c r="R452" s="38"/>
      <c r="S452" s="38"/>
      <c r="T452" s="38"/>
      <c r="U452" s="38"/>
      <c r="V452" s="38"/>
      <c r="W452" s="38"/>
      <c r="X452" s="38"/>
      <c r="Y452" s="38"/>
      <c r="Z452" s="38">
        <f t="shared" si="54"/>
        <v>399</v>
      </c>
      <c r="AA452" t="e">
        <f t="shared" si="52"/>
        <v>#DIV/0!</v>
      </c>
      <c r="AB452" s="1" t="e">
        <f t="shared" si="53"/>
        <v>#DIV/0!</v>
      </c>
    </row>
    <row r="453" spans="11:28" ht="33" customHeight="1">
      <c r="K453" s="38"/>
      <c r="L453" s="38"/>
      <c r="M453" s="38"/>
      <c r="N453" s="38"/>
      <c r="O453" s="38"/>
      <c r="P453" s="38"/>
      <c r="Q453" s="38"/>
      <c r="R453" s="38"/>
      <c r="S453" s="38"/>
      <c r="T453" s="38"/>
      <c r="U453" s="38"/>
      <c r="V453" s="38"/>
      <c r="W453" s="38"/>
      <c r="X453" s="38"/>
      <c r="Y453" s="38"/>
      <c r="Z453" s="38">
        <f t="shared" si="54"/>
        <v>400</v>
      </c>
      <c r="AA453" t="e">
        <f t="shared" si="52"/>
        <v>#DIV/0!</v>
      </c>
      <c r="AB453" s="1" t="e">
        <f t="shared" si="53"/>
        <v>#DIV/0!</v>
      </c>
    </row>
    <row r="454" spans="11:28" ht="33" customHeight="1">
      <c r="K454" s="38"/>
      <c r="L454" s="38"/>
      <c r="M454" s="38"/>
      <c r="N454" s="38"/>
      <c r="O454" s="38"/>
      <c r="P454" s="38"/>
      <c r="Q454" s="38"/>
      <c r="R454" s="38"/>
      <c r="S454" s="38"/>
      <c r="T454" s="38"/>
      <c r="U454" s="38"/>
      <c r="V454" s="38"/>
      <c r="W454" s="38"/>
      <c r="X454" s="38"/>
      <c r="Y454" s="38"/>
      <c r="Z454" s="38">
        <f t="shared" si="54"/>
        <v>401</v>
      </c>
      <c r="AA454" t="e">
        <f t="shared" si="52"/>
        <v>#DIV/0!</v>
      </c>
      <c r="AB454" s="1" t="e">
        <f t="shared" si="53"/>
        <v>#DIV/0!</v>
      </c>
    </row>
    <row r="455" spans="11:28" ht="33" customHeight="1">
      <c r="K455" s="38"/>
      <c r="L455" s="38"/>
      <c r="M455" s="38"/>
      <c r="N455" s="38"/>
      <c r="O455" s="38"/>
      <c r="P455" s="38"/>
      <c r="Q455" s="38"/>
      <c r="R455" s="38"/>
      <c r="S455" s="38"/>
      <c r="T455" s="38"/>
      <c r="U455" s="38"/>
      <c r="V455" s="38"/>
      <c r="W455" s="38"/>
      <c r="X455" s="38"/>
      <c r="Y455" s="38"/>
      <c r="Z455" s="38">
        <f t="shared" si="54"/>
        <v>402</v>
      </c>
      <c r="AA455" t="e">
        <f t="shared" si="52"/>
        <v>#DIV/0!</v>
      </c>
      <c r="AB455" s="1" t="e">
        <f t="shared" si="53"/>
        <v>#DIV/0!</v>
      </c>
    </row>
    <row r="456" spans="11:28" ht="33" customHeight="1">
      <c r="K456" s="38"/>
      <c r="L456" s="38"/>
      <c r="M456" s="38"/>
      <c r="N456" s="38"/>
      <c r="O456" s="38"/>
      <c r="P456" s="38"/>
      <c r="Q456" s="38"/>
      <c r="R456" s="38"/>
      <c r="S456" s="38"/>
      <c r="T456" s="38"/>
      <c r="U456" s="38"/>
      <c r="V456" s="38"/>
      <c r="W456" s="38"/>
      <c r="X456" s="38"/>
      <c r="Y456" s="38"/>
      <c r="Z456" s="38">
        <f t="shared" si="54"/>
        <v>403</v>
      </c>
      <c r="AA456" t="e">
        <f t="shared" si="52"/>
        <v>#DIV/0!</v>
      </c>
      <c r="AB456" s="1" t="e">
        <f t="shared" si="53"/>
        <v>#DIV/0!</v>
      </c>
    </row>
    <row r="457" spans="11:28" ht="33" customHeight="1">
      <c r="K457" s="38"/>
      <c r="L457" s="38"/>
      <c r="M457" s="38"/>
      <c r="N457" s="38"/>
      <c r="O457" s="38"/>
      <c r="P457" s="38"/>
      <c r="Q457" s="38"/>
      <c r="R457" s="38"/>
      <c r="S457" s="38"/>
      <c r="T457" s="38"/>
      <c r="U457" s="38"/>
      <c r="V457" s="38"/>
      <c r="W457" s="38"/>
      <c r="X457" s="38"/>
      <c r="Y457" s="38"/>
      <c r="Z457" s="38">
        <f t="shared" si="54"/>
        <v>404</v>
      </c>
      <c r="AA457" t="e">
        <f t="shared" si="52"/>
        <v>#DIV/0!</v>
      </c>
      <c r="AB457" s="1" t="e">
        <f t="shared" si="53"/>
        <v>#DIV/0!</v>
      </c>
    </row>
    <row r="458" spans="11:28" ht="33" customHeight="1">
      <c r="K458" s="38"/>
      <c r="L458" s="38"/>
      <c r="M458" s="38"/>
      <c r="N458" s="38"/>
      <c r="O458" s="38"/>
      <c r="P458" s="38"/>
      <c r="Q458" s="38"/>
      <c r="R458" s="38"/>
      <c r="S458" s="38"/>
      <c r="T458" s="38"/>
      <c r="U458" s="38"/>
      <c r="V458" s="38"/>
      <c r="W458" s="38"/>
      <c r="X458" s="38"/>
      <c r="Y458" s="38"/>
      <c r="Z458" s="38">
        <f t="shared" si="54"/>
        <v>405</v>
      </c>
      <c r="AA458" t="e">
        <f t="shared" si="52"/>
        <v>#DIV/0!</v>
      </c>
      <c r="AB458" s="1" t="e">
        <f t="shared" si="53"/>
        <v>#DIV/0!</v>
      </c>
    </row>
    <row r="459" spans="11:28" ht="33" customHeight="1">
      <c r="K459" s="38"/>
      <c r="L459" s="38"/>
      <c r="M459" s="38"/>
      <c r="N459" s="38"/>
      <c r="O459" s="38"/>
      <c r="P459" s="38"/>
      <c r="Q459" s="38"/>
      <c r="R459" s="38"/>
      <c r="S459" s="38"/>
      <c r="T459" s="38"/>
      <c r="U459" s="38"/>
      <c r="V459" s="38"/>
      <c r="W459" s="38"/>
      <c r="X459" s="38"/>
      <c r="Y459" s="38"/>
      <c r="Z459" s="38">
        <f t="shared" si="54"/>
        <v>406</v>
      </c>
      <c r="AA459" t="e">
        <f t="shared" ref="AA459:AA522" si="55">IF(AB459=Z459,1,0)</f>
        <v>#DIV/0!</v>
      </c>
      <c r="AB459" s="1" t="e">
        <f t="shared" ref="AB459:AB522" si="56">$AB$8</f>
        <v>#DIV/0!</v>
      </c>
    </row>
    <row r="460" spans="11:28" ht="33" customHeight="1">
      <c r="K460" s="38"/>
      <c r="L460" s="38"/>
      <c r="M460" s="38"/>
      <c r="N460" s="38"/>
      <c r="O460" s="38"/>
      <c r="P460" s="38"/>
      <c r="Q460" s="38"/>
      <c r="R460" s="38"/>
      <c r="S460" s="38"/>
      <c r="T460" s="38"/>
      <c r="U460" s="38"/>
      <c r="V460" s="38"/>
      <c r="W460" s="38"/>
      <c r="X460" s="38"/>
      <c r="Y460" s="38"/>
      <c r="Z460" s="38">
        <f t="shared" ref="Z460:Z523" si="57">Z459+1</f>
        <v>407</v>
      </c>
      <c r="AA460" t="e">
        <f t="shared" si="55"/>
        <v>#DIV/0!</v>
      </c>
      <c r="AB460" s="1" t="e">
        <f t="shared" si="56"/>
        <v>#DIV/0!</v>
      </c>
    </row>
    <row r="461" spans="11:28" ht="33" customHeight="1">
      <c r="K461" s="38"/>
      <c r="L461" s="38"/>
      <c r="M461" s="38"/>
      <c r="N461" s="38"/>
      <c r="O461" s="38"/>
      <c r="P461" s="38"/>
      <c r="Q461" s="38"/>
      <c r="R461" s="38"/>
      <c r="S461" s="38"/>
      <c r="T461" s="38"/>
      <c r="U461" s="38"/>
      <c r="V461" s="38"/>
      <c r="W461" s="38"/>
      <c r="X461" s="38"/>
      <c r="Y461" s="38"/>
      <c r="Z461" s="38">
        <f t="shared" si="57"/>
        <v>408</v>
      </c>
      <c r="AA461" t="e">
        <f t="shared" si="55"/>
        <v>#DIV/0!</v>
      </c>
      <c r="AB461" s="1" t="e">
        <f t="shared" si="56"/>
        <v>#DIV/0!</v>
      </c>
    </row>
    <row r="462" spans="11:28" ht="33" customHeight="1">
      <c r="K462" s="38"/>
      <c r="L462" s="38"/>
      <c r="M462" s="38"/>
      <c r="N462" s="38"/>
      <c r="O462" s="38"/>
      <c r="P462" s="38"/>
      <c r="Q462" s="38"/>
      <c r="R462" s="38"/>
      <c r="S462" s="38"/>
      <c r="T462" s="38"/>
      <c r="U462" s="38"/>
      <c r="V462" s="38"/>
      <c r="W462" s="38"/>
      <c r="X462" s="38"/>
      <c r="Y462" s="38"/>
      <c r="Z462" s="38">
        <f t="shared" si="57"/>
        <v>409</v>
      </c>
      <c r="AA462" t="e">
        <f t="shared" si="55"/>
        <v>#DIV/0!</v>
      </c>
      <c r="AB462" s="1" t="e">
        <f t="shared" si="56"/>
        <v>#DIV/0!</v>
      </c>
    </row>
    <row r="463" spans="11:28" ht="33" customHeight="1">
      <c r="K463" s="38"/>
      <c r="L463" s="38"/>
      <c r="M463" s="38"/>
      <c r="N463" s="38"/>
      <c r="O463" s="38"/>
      <c r="P463" s="38"/>
      <c r="Q463" s="38"/>
      <c r="R463" s="38"/>
      <c r="S463" s="38"/>
      <c r="T463" s="38"/>
      <c r="U463" s="38"/>
      <c r="V463" s="38"/>
      <c r="W463" s="38"/>
      <c r="X463" s="38"/>
      <c r="Y463" s="38"/>
      <c r="Z463" s="38">
        <f t="shared" si="57"/>
        <v>410</v>
      </c>
      <c r="AA463" t="e">
        <f t="shared" si="55"/>
        <v>#DIV/0!</v>
      </c>
      <c r="AB463" s="1" t="e">
        <f t="shared" si="56"/>
        <v>#DIV/0!</v>
      </c>
    </row>
    <row r="464" spans="11:28" ht="33" customHeight="1">
      <c r="K464" s="38"/>
      <c r="L464" s="38"/>
      <c r="M464" s="38"/>
      <c r="N464" s="38"/>
      <c r="O464" s="38"/>
      <c r="P464" s="38"/>
      <c r="Q464" s="38"/>
      <c r="R464" s="38"/>
      <c r="S464" s="38"/>
      <c r="T464" s="38"/>
      <c r="U464" s="38"/>
      <c r="V464" s="38"/>
      <c r="W464" s="38"/>
      <c r="X464" s="38"/>
      <c r="Y464" s="38"/>
      <c r="Z464" s="38">
        <f t="shared" si="57"/>
        <v>411</v>
      </c>
      <c r="AA464" t="e">
        <f t="shared" si="55"/>
        <v>#DIV/0!</v>
      </c>
      <c r="AB464" s="1" t="e">
        <f t="shared" si="56"/>
        <v>#DIV/0!</v>
      </c>
    </row>
    <row r="465" spans="11:28" ht="33" customHeight="1">
      <c r="K465" s="38"/>
      <c r="L465" s="38"/>
      <c r="M465" s="38"/>
      <c r="N465" s="38"/>
      <c r="O465" s="38"/>
      <c r="P465" s="38"/>
      <c r="Q465" s="38"/>
      <c r="R465" s="38"/>
      <c r="S465" s="38"/>
      <c r="T465" s="38"/>
      <c r="U465" s="38"/>
      <c r="V465" s="38"/>
      <c r="W465" s="38"/>
      <c r="X465" s="38"/>
      <c r="Y465" s="38"/>
      <c r="Z465" s="38">
        <f t="shared" si="57"/>
        <v>412</v>
      </c>
      <c r="AA465" t="e">
        <f t="shared" si="55"/>
        <v>#DIV/0!</v>
      </c>
      <c r="AB465" s="1" t="e">
        <f t="shared" si="56"/>
        <v>#DIV/0!</v>
      </c>
    </row>
    <row r="466" spans="11:28" ht="33" customHeight="1">
      <c r="K466" s="38"/>
      <c r="L466" s="38"/>
      <c r="M466" s="38"/>
      <c r="N466" s="38"/>
      <c r="O466" s="38"/>
      <c r="P466" s="38"/>
      <c r="Q466" s="38"/>
      <c r="R466" s="38"/>
      <c r="S466" s="38"/>
      <c r="T466" s="38"/>
      <c r="U466" s="38"/>
      <c r="V466" s="38"/>
      <c r="W466" s="38"/>
      <c r="X466" s="38"/>
      <c r="Y466" s="38"/>
      <c r="Z466" s="38">
        <f t="shared" si="57"/>
        <v>413</v>
      </c>
      <c r="AA466" t="e">
        <f t="shared" si="55"/>
        <v>#DIV/0!</v>
      </c>
      <c r="AB466" s="1" t="e">
        <f t="shared" si="56"/>
        <v>#DIV/0!</v>
      </c>
    </row>
    <row r="467" spans="11:28" ht="33" customHeight="1">
      <c r="K467" s="38"/>
      <c r="L467" s="38"/>
      <c r="M467" s="38"/>
      <c r="N467" s="38"/>
      <c r="O467" s="38"/>
      <c r="P467" s="38"/>
      <c r="Q467" s="38"/>
      <c r="R467" s="38"/>
      <c r="S467" s="38"/>
      <c r="T467" s="38"/>
      <c r="U467" s="38"/>
      <c r="V467" s="38"/>
      <c r="W467" s="38"/>
      <c r="X467" s="38"/>
      <c r="Y467" s="38"/>
      <c r="Z467" s="38">
        <f t="shared" si="57"/>
        <v>414</v>
      </c>
      <c r="AA467" t="e">
        <f t="shared" si="55"/>
        <v>#DIV/0!</v>
      </c>
      <c r="AB467" s="1" t="e">
        <f t="shared" si="56"/>
        <v>#DIV/0!</v>
      </c>
    </row>
    <row r="468" spans="11:28" ht="33" customHeight="1">
      <c r="K468" s="38"/>
      <c r="L468" s="38"/>
      <c r="M468" s="38"/>
      <c r="N468" s="38"/>
      <c r="O468" s="38"/>
      <c r="P468" s="38"/>
      <c r="Q468" s="38"/>
      <c r="R468" s="38"/>
      <c r="S468" s="38"/>
      <c r="T468" s="38"/>
      <c r="U468" s="38"/>
      <c r="V468" s="38"/>
      <c r="W468" s="38"/>
      <c r="X468" s="38"/>
      <c r="Y468" s="38"/>
      <c r="Z468" s="38">
        <f t="shared" si="57"/>
        <v>415</v>
      </c>
      <c r="AA468" t="e">
        <f t="shared" si="55"/>
        <v>#DIV/0!</v>
      </c>
      <c r="AB468" s="1" t="e">
        <f t="shared" si="56"/>
        <v>#DIV/0!</v>
      </c>
    </row>
    <row r="469" spans="11:28" ht="33" customHeight="1">
      <c r="K469" s="38"/>
      <c r="L469" s="38"/>
      <c r="M469" s="38"/>
      <c r="N469" s="38"/>
      <c r="O469" s="38"/>
      <c r="P469" s="38"/>
      <c r="Q469" s="38"/>
      <c r="R469" s="38"/>
      <c r="S469" s="38"/>
      <c r="T469" s="38"/>
      <c r="U469" s="38"/>
      <c r="V469" s="38"/>
      <c r="W469" s="38"/>
      <c r="X469" s="38"/>
      <c r="Y469" s="38"/>
      <c r="Z469" s="38">
        <f t="shared" si="57"/>
        <v>416</v>
      </c>
      <c r="AA469" t="e">
        <f t="shared" si="55"/>
        <v>#DIV/0!</v>
      </c>
      <c r="AB469" s="1" t="e">
        <f t="shared" si="56"/>
        <v>#DIV/0!</v>
      </c>
    </row>
    <row r="470" spans="11:28" ht="33" customHeight="1">
      <c r="K470" s="38"/>
      <c r="L470" s="38"/>
      <c r="M470" s="38"/>
      <c r="N470" s="38"/>
      <c r="O470" s="38"/>
      <c r="P470" s="38"/>
      <c r="Q470" s="38"/>
      <c r="R470" s="38"/>
      <c r="S470" s="38"/>
      <c r="T470" s="38"/>
      <c r="U470" s="38"/>
      <c r="V470" s="38"/>
      <c r="W470" s="38"/>
      <c r="X470" s="38"/>
      <c r="Y470" s="38"/>
      <c r="Z470" s="38">
        <f t="shared" si="57"/>
        <v>417</v>
      </c>
      <c r="AA470" t="e">
        <f t="shared" si="55"/>
        <v>#DIV/0!</v>
      </c>
      <c r="AB470" s="1" t="e">
        <f t="shared" si="56"/>
        <v>#DIV/0!</v>
      </c>
    </row>
    <row r="471" spans="11:28" ht="33" customHeight="1">
      <c r="K471" s="38"/>
      <c r="L471" s="38"/>
      <c r="M471" s="38"/>
      <c r="N471" s="38"/>
      <c r="O471" s="38"/>
      <c r="P471" s="38"/>
      <c r="Q471" s="38"/>
      <c r="R471" s="38"/>
      <c r="S471" s="38"/>
      <c r="T471" s="38"/>
      <c r="U471" s="38"/>
      <c r="V471" s="38"/>
      <c r="W471" s="38"/>
      <c r="X471" s="38"/>
      <c r="Y471" s="38"/>
      <c r="Z471" s="38">
        <f t="shared" si="57"/>
        <v>418</v>
      </c>
      <c r="AA471" t="e">
        <f t="shared" si="55"/>
        <v>#DIV/0!</v>
      </c>
      <c r="AB471" s="1" t="e">
        <f t="shared" si="56"/>
        <v>#DIV/0!</v>
      </c>
    </row>
    <row r="472" spans="11:28" ht="33" customHeight="1">
      <c r="K472" s="38"/>
      <c r="L472" s="38"/>
      <c r="M472" s="38"/>
      <c r="N472" s="38"/>
      <c r="O472" s="38"/>
      <c r="P472" s="38"/>
      <c r="Q472" s="38"/>
      <c r="R472" s="38"/>
      <c r="S472" s="38"/>
      <c r="T472" s="38"/>
      <c r="U472" s="38"/>
      <c r="V472" s="38"/>
      <c r="W472" s="38"/>
      <c r="X472" s="38"/>
      <c r="Y472" s="38"/>
      <c r="Z472" s="38">
        <f t="shared" si="57"/>
        <v>419</v>
      </c>
      <c r="AA472" t="e">
        <f t="shared" si="55"/>
        <v>#DIV/0!</v>
      </c>
      <c r="AB472" s="1" t="e">
        <f t="shared" si="56"/>
        <v>#DIV/0!</v>
      </c>
    </row>
    <row r="473" spans="11:28" ht="33" customHeight="1">
      <c r="K473" s="38"/>
      <c r="L473" s="38"/>
      <c r="M473" s="38"/>
      <c r="N473" s="38"/>
      <c r="O473" s="38"/>
      <c r="P473" s="38"/>
      <c r="Q473" s="38"/>
      <c r="R473" s="38"/>
      <c r="S473" s="38"/>
      <c r="T473" s="38"/>
      <c r="U473" s="38"/>
      <c r="V473" s="38"/>
      <c r="W473" s="38"/>
      <c r="X473" s="38"/>
      <c r="Y473" s="38"/>
      <c r="Z473" s="38">
        <f t="shared" si="57"/>
        <v>420</v>
      </c>
      <c r="AA473" t="e">
        <f t="shared" si="55"/>
        <v>#DIV/0!</v>
      </c>
      <c r="AB473" s="1" t="e">
        <f t="shared" si="56"/>
        <v>#DIV/0!</v>
      </c>
    </row>
    <row r="474" spans="11:28" ht="33" customHeight="1">
      <c r="K474" s="38"/>
      <c r="L474" s="38"/>
      <c r="M474" s="38"/>
      <c r="N474" s="38"/>
      <c r="O474" s="38"/>
      <c r="P474" s="38"/>
      <c r="Q474" s="38"/>
      <c r="R474" s="38"/>
      <c r="S474" s="38"/>
      <c r="T474" s="38"/>
      <c r="U474" s="38"/>
      <c r="V474" s="38"/>
      <c r="W474" s="38"/>
      <c r="X474" s="38"/>
      <c r="Y474" s="38"/>
      <c r="Z474" s="38">
        <f t="shared" si="57"/>
        <v>421</v>
      </c>
      <c r="AA474" t="e">
        <f t="shared" si="55"/>
        <v>#DIV/0!</v>
      </c>
      <c r="AB474" s="1" t="e">
        <f t="shared" si="56"/>
        <v>#DIV/0!</v>
      </c>
    </row>
    <row r="475" spans="11:28" ht="33" customHeight="1">
      <c r="K475" s="38"/>
      <c r="L475" s="38"/>
      <c r="M475" s="38"/>
      <c r="N475" s="38"/>
      <c r="O475" s="38"/>
      <c r="P475" s="38"/>
      <c r="Q475" s="38"/>
      <c r="R475" s="38"/>
      <c r="S475" s="38"/>
      <c r="T475" s="38"/>
      <c r="U475" s="38"/>
      <c r="V475" s="38"/>
      <c r="W475" s="38"/>
      <c r="X475" s="38"/>
      <c r="Y475" s="38"/>
      <c r="Z475" s="38">
        <f t="shared" si="57"/>
        <v>422</v>
      </c>
      <c r="AA475" t="e">
        <f t="shared" si="55"/>
        <v>#DIV/0!</v>
      </c>
      <c r="AB475" s="1" t="e">
        <f t="shared" si="56"/>
        <v>#DIV/0!</v>
      </c>
    </row>
    <row r="476" spans="11:28" ht="33" customHeight="1">
      <c r="K476" s="38"/>
      <c r="L476" s="38"/>
      <c r="M476" s="38"/>
      <c r="N476" s="38"/>
      <c r="O476" s="38"/>
      <c r="P476" s="38"/>
      <c r="Q476" s="38"/>
      <c r="R476" s="38"/>
      <c r="S476" s="38"/>
      <c r="T476" s="38"/>
      <c r="U476" s="38"/>
      <c r="V476" s="38"/>
      <c r="W476" s="38"/>
      <c r="X476" s="38"/>
      <c r="Y476" s="38"/>
      <c r="Z476" s="38">
        <f t="shared" si="57"/>
        <v>423</v>
      </c>
      <c r="AA476" t="e">
        <f t="shared" si="55"/>
        <v>#DIV/0!</v>
      </c>
      <c r="AB476" s="1" t="e">
        <f t="shared" si="56"/>
        <v>#DIV/0!</v>
      </c>
    </row>
    <row r="477" spans="11:28" ht="33" customHeight="1">
      <c r="K477" s="38"/>
      <c r="L477" s="38"/>
      <c r="M477" s="38"/>
      <c r="N477" s="38"/>
      <c r="O477" s="38"/>
      <c r="P477" s="38"/>
      <c r="Q477" s="38"/>
      <c r="R477" s="38"/>
      <c r="S477" s="38"/>
      <c r="T477" s="38"/>
      <c r="U477" s="38"/>
      <c r="V477" s="38"/>
      <c r="W477" s="38"/>
      <c r="X477" s="38"/>
      <c r="Y477" s="38"/>
      <c r="Z477" s="38">
        <f t="shared" si="57"/>
        <v>424</v>
      </c>
      <c r="AA477" t="e">
        <f t="shared" si="55"/>
        <v>#DIV/0!</v>
      </c>
      <c r="AB477" s="1" t="e">
        <f t="shared" si="56"/>
        <v>#DIV/0!</v>
      </c>
    </row>
    <row r="478" spans="11:28" ht="33" customHeight="1">
      <c r="K478" s="38"/>
      <c r="L478" s="38"/>
      <c r="M478" s="38"/>
      <c r="N478" s="38"/>
      <c r="O478" s="38"/>
      <c r="P478" s="38"/>
      <c r="Q478" s="38"/>
      <c r="R478" s="38"/>
      <c r="S478" s="38"/>
      <c r="T478" s="38"/>
      <c r="U478" s="38"/>
      <c r="V478" s="38"/>
      <c r="W478" s="38"/>
      <c r="X478" s="38"/>
      <c r="Y478" s="38"/>
      <c r="Z478" s="38">
        <f t="shared" si="57"/>
        <v>425</v>
      </c>
      <c r="AA478" t="e">
        <f t="shared" si="55"/>
        <v>#DIV/0!</v>
      </c>
      <c r="AB478" s="1" t="e">
        <f t="shared" si="56"/>
        <v>#DIV/0!</v>
      </c>
    </row>
    <row r="479" spans="11:28" ht="33" customHeight="1">
      <c r="K479" s="38"/>
      <c r="L479" s="38"/>
      <c r="M479" s="38"/>
      <c r="N479" s="38"/>
      <c r="O479" s="38"/>
      <c r="P479" s="38"/>
      <c r="Q479" s="38"/>
      <c r="R479" s="38"/>
      <c r="S479" s="38"/>
      <c r="T479" s="38"/>
      <c r="U479" s="38"/>
      <c r="V479" s="38"/>
      <c r="W479" s="38"/>
      <c r="X479" s="38"/>
      <c r="Y479" s="38"/>
      <c r="Z479" s="38">
        <f t="shared" si="57"/>
        <v>426</v>
      </c>
      <c r="AA479" t="e">
        <f t="shared" si="55"/>
        <v>#DIV/0!</v>
      </c>
      <c r="AB479" s="1" t="e">
        <f t="shared" si="56"/>
        <v>#DIV/0!</v>
      </c>
    </row>
    <row r="480" spans="11:28" ht="33" customHeight="1">
      <c r="K480" s="38"/>
      <c r="L480" s="38"/>
      <c r="M480" s="38"/>
      <c r="N480" s="38"/>
      <c r="O480" s="38"/>
      <c r="P480" s="38"/>
      <c r="Q480" s="38"/>
      <c r="R480" s="38"/>
      <c r="S480" s="38"/>
      <c r="T480" s="38"/>
      <c r="U480" s="38"/>
      <c r="V480" s="38"/>
      <c r="W480" s="38"/>
      <c r="X480" s="38"/>
      <c r="Y480" s="38"/>
      <c r="Z480" s="38">
        <f t="shared" si="57"/>
        <v>427</v>
      </c>
      <c r="AA480" t="e">
        <f t="shared" si="55"/>
        <v>#DIV/0!</v>
      </c>
      <c r="AB480" s="1" t="e">
        <f t="shared" si="56"/>
        <v>#DIV/0!</v>
      </c>
    </row>
    <row r="481" spans="11:28" ht="33" customHeight="1">
      <c r="K481" s="38"/>
      <c r="L481" s="38"/>
      <c r="M481" s="38"/>
      <c r="N481" s="38"/>
      <c r="O481" s="38"/>
      <c r="P481" s="38"/>
      <c r="Q481" s="38"/>
      <c r="R481" s="38"/>
      <c r="S481" s="38"/>
      <c r="T481" s="38"/>
      <c r="U481" s="38"/>
      <c r="V481" s="38"/>
      <c r="W481" s="38"/>
      <c r="X481" s="38"/>
      <c r="Y481" s="38"/>
      <c r="Z481" s="38">
        <f t="shared" si="57"/>
        <v>428</v>
      </c>
      <c r="AA481" t="e">
        <f t="shared" si="55"/>
        <v>#DIV/0!</v>
      </c>
      <c r="AB481" s="1" t="e">
        <f t="shared" si="56"/>
        <v>#DIV/0!</v>
      </c>
    </row>
    <row r="482" spans="11:28" ht="33" customHeight="1">
      <c r="K482" s="38"/>
      <c r="L482" s="38"/>
      <c r="M482" s="38"/>
      <c r="N482" s="38"/>
      <c r="O482" s="38"/>
      <c r="P482" s="38"/>
      <c r="Q482" s="38"/>
      <c r="R482" s="38"/>
      <c r="S482" s="38"/>
      <c r="T482" s="38"/>
      <c r="U482" s="38"/>
      <c r="V482" s="38"/>
      <c r="W482" s="38"/>
      <c r="X482" s="38"/>
      <c r="Y482" s="38"/>
      <c r="Z482" s="38">
        <f t="shared" si="57"/>
        <v>429</v>
      </c>
      <c r="AA482" t="e">
        <f t="shared" si="55"/>
        <v>#DIV/0!</v>
      </c>
      <c r="AB482" s="1" t="e">
        <f t="shared" si="56"/>
        <v>#DIV/0!</v>
      </c>
    </row>
    <row r="483" spans="11:28" ht="33" customHeight="1">
      <c r="K483" s="38"/>
      <c r="L483" s="38"/>
      <c r="M483" s="38"/>
      <c r="N483" s="38"/>
      <c r="O483" s="38"/>
      <c r="P483" s="38"/>
      <c r="Q483" s="38"/>
      <c r="R483" s="38"/>
      <c r="S483" s="38"/>
      <c r="T483" s="38"/>
      <c r="U483" s="38"/>
      <c r="V483" s="38"/>
      <c r="W483" s="38"/>
      <c r="X483" s="38"/>
      <c r="Y483" s="38"/>
      <c r="Z483" s="38">
        <f t="shared" si="57"/>
        <v>430</v>
      </c>
      <c r="AA483" t="e">
        <f t="shared" si="55"/>
        <v>#DIV/0!</v>
      </c>
      <c r="AB483" s="1" t="e">
        <f t="shared" si="56"/>
        <v>#DIV/0!</v>
      </c>
    </row>
    <row r="484" spans="11:28" ht="33" customHeight="1">
      <c r="K484" s="38"/>
      <c r="L484" s="38"/>
      <c r="M484" s="38"/>
      <c r="N484" s="38"/>
      <c r="O484" s="38"/>
      <c r="P484" s="38"/>
      <c r="Q484" s="38"/>
      <c r="R484" s="38"/>
      <c r="S484" s="38"/>
      <c r="T484" s="38"/>
      <c r="U484" s="38"/>
      <c r="V484" s="38"/>
      <c r="W484" s="38"/>
      <c r="X484" s="38"/>
      <c r="Y484" s="38"/>
      <c r="Z484" s="38">
        <f t="shared" si="57"/>
        <v>431</v>
      </c>
      <c r="AA484" t="e">
        <f t="shared" si="55"/>
        <v>#DIV/0!</v>
      </c>
      <c r="AB484" s="1" t="e">
        <f t="shared" si="56"/>
        <v>#DIV/0!</v>
      </c>
    </row>
    <row r="485" spans="11:28" ht="33" customHeight="1">
      <c r="K485" s="38"/>
      <c r="L485" s="38"/>
      <c r="M485" s="38"/>
      <c r="N485" s="38"/>
      <c r="O485" s="38"/>
      <c r="P485" s="38"/>
      <c r="Q485" s="38"/>
      <c r="R485" s="38"/>
      <c r="S485" s="38"/>
      <c r="T485" s="38"/>
      <c r="U485" s="38"/>
      <c r="V485" s="38"/>
      <c r="W485" s="38"/>
      <c r="X485" s="38"/>
      <c r="Y485" s="38"/>
      <c r="Z485" s="38">
        <f t="shared" si="57"/>
        <v>432</v>
      </c>
      <c r="AA485" t="e">
        <f t="shared" si="55"/>
        <v>#DIV/0!</v>
      </c>
      <c r="AB485" s="1" t="e">
        <f t="shared" si="56"/>
        <v>#DIV/0!</v>
      </c>
    </row>
    <row r="486" spans="11:28" ht="33" customHeight="1">
      <c r="K486" s="38"/>
      <c r="L486" s="38"/>
      <c r="M486" s="38"/>
      <c r="N486" s="38"/>
      <c r="O486" s="38"/>
      <c r="P486" s="38"/>
      <c r="Q486" s="38"/>
      <c r="R486" s="38"/>
      <c r="S486" s="38"/>
      <c r="T486" s="38"/>
      <c r="U486" s="38"/>
      <c r="V486" s="38"/>
      <c r="W486" s="38"/>
      <c r="X486" s="38"/>
      <c r="Y486" s="38"/>
      <c r="Z486" s="38">
        <f t="shared" si="57"/>
        <v>433</v>
      </c>
      <c r="AA486" t="e">
        <f t="shared" si="55"/>
        <v>#DIV/0!</v>
      </c>
      <c r="AB486" s="1" t="e">
        <f t="shared" si="56"/>
        <v>#DIV/0!</v>
      </c>
    </row>
    <row r="487" spans="11:28" ht="33" customHeight="1">
      <c r="K487" s="38"/>
      <c r="L487" s="38"/>
      <c r="M487" s="38"/>
      <c r="N487" s="38"/>
      <c r="O487" s="38"/>
      <c r="P487" s="38"/>
      <c r="Q487" s="38"/>
      <c r="R487" s="38"/>
      <c r="S487" s="38"/>
      <c r="T487" s="38"/>
      <c r="U487" s="38"/>
      <c r="V487" s="38"/>
      <c r="W487" s="38"/>
      <c r="X487" s="38"/>
      <c r="Y487" s="38"/>
      <c r="Z487" s="38">
        <f t="shared" si="57"/>
        <v>434</v>
      </c>
      <c r="AA487" t="e">
        <f t="shared" si="55"/>
        <v>#DIV/0!</v>
      </c>
      <c r="AB487" s="1" t="e">
        <f t="shared" si="56"/>
        <v>#DIV/0!</v>
      </c>
    </row>
    <row r="488" spans="11:28" ht="33" customHeight="1">
      <c r="K488" s="38"/>
      <c r="L488" s="38"/>
      <c r="M488" s="38"/>
      <c r="N488" s="38"/>
      <c r="O488" s="38"/>
      <c r="P488" s="38"/>
      <c r="Q488" s="38"/>
      <c r="R488" s="38"/>
      <c r="S488" s="38"/>
      <c r="T488" s="38"/>
      <c r="U488" s="38"/>
      <c r="V488" s="38"/>
      <c r="W488" s="38"/>
      <c r="X488" s="38"/>
      <c r="Y488" s="38"/>
      <c r="Z488" s="38">
        <f t="shared" si="57"/>
        <v>435</v>
      </c>
      <c r="AA488" t="e">
        <f t="shared" si="55"/>
        <v>#DIV/0!</v>
      </c>
      <c r="AB488" s="1" t="e">
        <f t="shared" si="56"/>
        <v>#DIV/0!</v>
      </c>
    </row>
    <row r="489" spans="11:28" ht="33" customHeight="1">
      <c r="K489" s="38"/>
      <c r="L489" s="38"/>
      <c r="M489" s="38"/>
      <c r="N489" s="38"/>
      <c r="O489" s="38"/>
      <c r="P489" s="38"/>
      <c r="Q489" s="38"/>
      <c r="R489" s="38"/>
      <c r="S489" s="38"/>
      <c r="T489" s="38"/>
      <c r="U489" s="38"/>
      <c r="V489" s="38"/>
      <c r="W489" s="38"/>
      <c r="X489" s="38"/>
      <c r="Y489" s="38"/>
      <c r="Z489" s="38">
        <f t="shared" si="57"/>
        <v>436</v>
      </c>
      <c r="AA489" t="e">
        <f t="shared" si="55"/>
        <v>#DIV/0!</v>
      </c>
      <c r="AB489" s="1" t="e">
        <f t="shared" si="56"/>
        <v>#DIV/0!</v>
      </c>
    </row>
    <row r="490" spans="11:28" ht="33" customHeight="1">
      <c r="K490" s="38"/>
      <c r="L490" s="38"/>
      <c r="M490" s="38"/>
      <c r="N490" s="38"/>
      <c r="O490" s="38"/>
      <c r="P490" s="38"/>
      <c r="Q490" s="38"/>
      <c r="R490" s="38"/>
      <c r="S490" s="38"/>
      <c r="T490" s="38"/>
      <c r="U490" s="38"/>
      <c r="V490" s="38"/>
      <c r="W490" s="38"/>
      <c r="X490" s="38"/>
      <c r="Y490" s="38"/>
      <c r="Z490" s="38">
        <f t="shared" si="57"/>
        <v>437</v>
      </c>
      <c r="AA490" t="e">
        <f t="shared" si="55"/>
        <v>#DIV/0!</v>
      </c>
      <c r="AB490" s="1" t="e">
        <f t="shared" si="56"/>
        <v>#DIV/0!</v>
      </c>
    </row>
    <row r="491" spans="11:28" ht="33" customHeight="1">
      <c r="K491" s="38"/>
      <c r="L491" s="38"/>
      <c r="M491" s="38"/>
      <c r="N491" s="38"/>
      <c r="O491" s="38"/>
      <c r="P491" s="38"/>
      <c r="Q491" s="38"/>
      <c r="R491" s="38"/>
      <c r="S491" s="38"/>
      <c r="T491" s="38"/>
      <c r="U491" s="38"/>
      <c r="V491" s="38"/>
      <c r="W491" s="38"/>
      <c r="X491" s="38"/>
      <c r="Y491" s="38"/>
      <c r="Z491" s="38">
        <f t="shared" si="57"/>
        <v>438</v>
      </c>
      <c r="AA491" t="e">
        <f t="shared" si="55"/>
        <v>#DIV/0!</v>
      </c>
      <c r="AB491" s="1" t="e">
        <f t="shared" si="56"/>
        <v>#DIV/0!</v>
      </c>
    </row>
    <row r="492" spans="11:28" ht="33" customHeight="1">
      <c r="K492" s="38"/>
      <c r="L492" s="38"/>
      <c r="M492" s="38"/>
      <c r="N492" s="38"/>
      <c r="O492" s="38"/>
      <c r="P492" s="38"/>
      <c r="Q492" s="38"/>
      <c r="R492" s="38"/>
      <c r="S492" s="38"/>
      <c r="T492" s="38"/>
      <c r="U492" s="38"/>
      <c r="V492" s="38"/>
      <c r="W492" s="38"/>
      <c r="X492" s="38"/>
      <c r="Y492" s="38"/>
      <c r="Z492" s="38">
        <f t="shared" si="57"/>
        <v>439</v>
      </c>
      <c r="AA492" t="e">
        <f t="shared" si="55"/>
        <v>#DIV/0!</v>
      </c>
      <c r="AB492" s="1" t="e">
        <f t="shared" si="56"/>
        <v>#DIV/0!</v>
      </c>
    </row>
    <row r="493" spans="11:28" ht="33" customHeight="1">
      <c r="K493" s="38"/>
      <c r="L493" s="38"/>
      <c r="M493" s="38"/>
      <c r="N493" s="38"/>
      <c r="O493" s="38"/>
      <c r="P493" s="38"/>
      <c r="Q493" s="38"/>
      <c r="R493" s="38"/>
      <c r="S493" s="38"/>
      <c r="T493" s="38"/>
      <c r="U493" s="38"/>
      <c r="V493" s="38"/>
      <c r="W493" s="38"/>
      <c r="X493" s="38"/>
      <c r="Y493" s="38"/>
      <c r="Z493" s="38">
        <f t="shared" si="57"/>
        <v>440</v>
      </c>
      <c r="AA493" t="e">
        <f t="shared" si="55"/>
        <v>#DIV/0!</v>
      </c>
      <c r="AB493" s="1" t="e">
        <f t="shared" si="56"/>
        <v>#DIV/0!</v>
      </c>
    </row>
    <row r="494" spans="11:28" ht="33" customHeight="1">
      <c r="K494" s="38"/>
      <c r="L494" s="38"/>
      <c r="M494" s="38"/>
      <c r="N494" s="38"/>
      <c r="O494" s="38"/>
      <c r="P494" s="38"/>
      <c r="Q494" s="38"/>
      <c r="R494" s="38"/>
      <c r="S494" s="38"/>
      <c r="T494" s="38"/>
      <c r="U494" s="38"/>
      <c r="V494" s="38"/>
      <c r="W494" s="38"/>
      <c r="X494" s="38"/>
      <c r="Y494" s="38"/>
      <c r="Z494" s="38">
        <f t="shared" si="57"/>
        <v>441</v>
      </c>
      <c r="AA494" t="e">
        <f t="shared" si="55"/>
        <v>#DIV/0!</v>
      </c>
      <c r="AB494" s="1" t="e">
        <f t="shared" si="56"/>
        <v>#DIV/0!</v>
      </c>
    </row>
    <row r="495" spans="11:28" ht="33" customHeight="1">
      <c r="K495" s="38"/>
      <c r="L495" s="38"/>
      <c r="M495" s="38"/>
      <c r="N495" s="38"/>
      <c r="O495" s="38"/>
      <c r="P495" s="38"/>
      <c r="Q495" s="38"/>
      <c r="R495" s="38"/>
      <c r="S495" s="38"/>
      <c r="T495" s="38"/>
      <c r="U495" s="38"/>
      <c r="V495" s="38"/>
      <c r="W495" s="38"/>
      <c r="X495" s="38"/>
      <c r="Y495" s="38"/>
      <c r="Z495" s="38">
        <f t="shared" si="57"/>
        <v>442</v>
      </c>
      <c r="AA495" t="e">
        <f t="shared" si="55"/>
        <v>#DIV/0!</v>
      </c>
      <c r="AB495" s="1" t="e">
        <f t="shared" si="56"/>
        <v>#DIV/0!</v>
      </c>
    </row>
    <row r="496" spans="11:28" ht="33" customHeight="1">
      <c r="K496" s="38"/>
      <c r="L496" s="38"/>
      <c r="M496" s="38"/>
      <c r="N496" s="38"/>
      <c r="O496" s="38"/>
      <c r="P496" s="38"/>
      <c r="Q496" s="38"/>
      <c r="R496" s="38"/>
      <c r="S496" s="38"/>
      <c r="T496" s="38"/>
      <c r="U496" s="38"/>
      <c r="V496" s="38"/>
      <c r="W496" s="38"/>
      <c r="X496" s="38"/>
      <c r="Y496" s="38"/>
      <c r="Z496" s="38">
        <f t="shared" si="57"/>
        <v>443</v>
      </c>
      <c r="AA496" t="e">
        <f t="shared" si="55"/>
        <v>#DIV/0!</v>
      </c>
      <c r="AB496" s="1" t="e">
        <f t="shared" si="56"/>
        <v>#DIV/0!</v>
      </c>
    </row>
    <row r="497" spans="11:28" ht="33" customHeight="1">
      <c r="K497" s="38"/>
      <c r="L497" s="38"/>
      <c r="M497" s="38"/>
      <c r="N497" s="38"/>
      <c r="O497" s="38"/>
      <c r="P497" s="38"/>
      <c r="Q497" s="38"/>
      <c r="R497" s="38"/>
      <c r="S497" s="38"/>
      <c r="T497" s="38"/>
      <c r="U497" s="38"/>
      <c r="V497" s="38"/>
      <c r="W497" s="38"/>
      <c r="X497" s="38"/>
      <c r="Y497" s="38"/>
      <c r="Z497" s="38">
        <f t="shared" si="57"/>
        <v>444</v>
      </c>
      <c r="AA497" t="e">
        <f t="shared" si="55"/>
        <v>#DIV/0!</v>
      </c>
      <c r="AB497" s="1" t="e">
        <f t="shared" si="56"/>
        <v>#DIV/0!</v>
      </c>
    </row>
    <row r="498" spans="11:28" ht="33" customHeight="1">
      <c r="K498" s="38"/>
      <c r="L498" s="38"/>
      <c r="M498" s="38"/>
      <c r="N498" s="38"/>
      <c r="O498" s="38"/>
      <c r="P498" s="38"/>
      <c r="Q498" s="38"/>
      <c r="R498" s="38"/>
      <c r="S498" s="38"/>
      <c r="T498" s="38"/>
      <c r="U498" s="38"/>
      <c r="V498" s="38"/>
      <c r="W498" s="38"/>
      <c r="X498" s="38"/>
      <c r="Y498" s="38"/>
      <c r="Z498" s="38">
        <f t="shared" si="57"/>
        <v>445</v>
      </c>
      <c r="AA498" t="e">
        <f t="shared" si="55"/>
        <v>#DIV/0!</v>
      </c>
      <c r="AB498" s="1" t="e">
        <f t="shared" si="56"/>
        <v>#DIV/0!</v>
      </c>
    </row>
    <row r="499" spans="11:28" ht="33" customHeight="1">
      <c r="K499" s="38"/>
      <c r="L499" s="38"/>
      <c r="M499" s="38"/>
      <c r="N499" s="38"/>
      <c r="O499" s="38"/>
      <c r="P499" s="38"/>
      <c r="Q499" s="38"/>
      <c r="R499" s="38"/>
      <c r="S499" s="38"/>
      <c r="T499" s="38"/>
      <c r="U499" s="38"/>
      <c r="V499" s="38"/>
      <c r="W499" s="38"/>
      <c r="X499" s="38"/>
      <c r="Y499" s="38"/>
      <c r="Z499" s="38">
        <f t="shared" si="57"/>
        <v>446</v>
      </c>
      <c r="AA499" t="e">
        <f t="shared" si="55"/>
        <v>#DIV/0!</v>
      </c>
      <c r="AB499" s="1" t="e">
        <f t="shared" si="56"/>
        <v>#DIV/0!</v>
      </c>
    </row>
    <row r="500" spans="11:28" ht="33" customHeight="1">
      <c r="K500" s="38"/>
      <c r="L500" s="38"/>
      <c r="M500" s="38"/>
      <c r="N500" s="38"/>
      <c r="O500" s="38"/>
      <c r="P500" s="38"/>
      <c r="Q500" s="38"/>
      <c r="R500" s="38"/>
      <c r="S500" s="38"/>
      <c r="T500" s="38"/>
      <c r="U500" s="38"/>
      <c r="V500" s="38"/>
      <c r="W500" s="38"/>
      <c r="X500" s="38"/>
      <c r="Y500" s="38"/>
      <c r="Z500" s="38">
        <f t="shared" si="57"/>
        <v>447</v>
      </c>
      <c r="AA500" t="e">
        <f t="shared" si="55"/>
        <v>#DIV/0!</v>
      </c>
      <c r="AB500" s="1" t="e">
        <f t="shared" si="56"/>
        <v>#DIV/0!</v>
      </c>
    </row>
    <row r="501" spans="11:28" ht="33" customHeight="1">
      <c r="K501" s="38"/>
      <c r="L501" s="38"/>
      <c r="M501" s="38"/>
      <c r="N501" s="38"/>
      <c r="O501" s="38"/>
      <c r="P501" s="38"/>
      <c r="Q501" s="38"/>
      <c r="R501" s="38"/>
      <c r="S501" s="38"/>
      <c r="T501" s="38"/>
      <c r="U501" s="38"/>
      <c r="V501" s="38"/>
      <c r="W501" s="38"/>
      <c r="X501" s="38"/>
      <c r="Y501" s="38"/>
      <c r="Z501" s="38">
        <f t="shared" si="57"/>
        <v>448</v>
      </c>
      <c r="AA501" t="e">
        <f t="shared" si="55"/>
        <v>#DIV/0!</v>
      </c>
      <c r="AB501" s="1" t="e">
        <f t="shared" si="56"/>
        <v>#DIV/0!</v>
      </c>
    </row>
    <row r="502" spans="11:28" ht="33" customHeight="1">
      <c r="K502" s="38"/>
      <c r="L502" s="38"/>
      <c r="M502" s="38"/>
      <c r="N502" s="38"/>
      <c r="O502" s="38"/>
      <c r="P502" s="38"/>
      <c r="Q502" s="38"/>
      <c r="R502" s="38"/>
      <c r="S502" s="38"/>
      <c r="T502" s="38"/>
      <c r="U502" s="38"/>
      <c r="V502" s="38"/>
      <c r="W502" s="38"/>
      <c r="X502" s="38"/>
      <c r="Y502" s="38"/>
      <c r="Z502" s="38">
        <f t="shared" si="57"/>
        <v>449</v>
      </c>
      <c r="AA502" t="e">
        <f t="shared" si="55"/>
        <v>#DIV/0!</v>
      </c>
      <c r="AB502" s="1" t="e">
        <f t="shared" si="56"/>
        <v>#DIV/0!</v>
      </c>
    </row>
    <row r="503" spans="11:28" ht="33" customHeight="1">
      <c r="K503" s="38"/>
      <c r="L503" s="38"/>
      <c r="M503" s="38"/>
      <c r="N503" s="38"/>
      <c r="O503" s="38"/>
      <c r="P503" s="38"/>
      <c r="Q503" s="38"/>
      <c r="R503" s="38"/>
      <c r="S503" s="38"/>
      <c r="T503" s="38"/>
      <c r="U503" s="38"/>
      <c r="V503" s="38"/>
      <c r="W503" s="38"/>
      <c r="X503" s="38"/>
      <c r="Y503" s="38"/>
      <c r="Z503" s="38">
        <f t="shared" si="57"/>
        <v>450</v>
      </c>
      <c r="AA503" t="e">
        <f t="shared" si="55"/>
        <v>#DIV/0!</v>
      </c>
      <c r="AB503" s="1" t="e">
        <f t="shared" si="56"/>
        <v>#DIV/0!</v>
      </c>
    </row>
    <row r="504" spans="11:28" ht="33" customHeight="1">
      <c r="K504" s="38"/>
      <c r="L504" s="38"/>
      <c r="M504" s="38"/>
      <c r="N504" s="38"/>
      <c r="O504" s="38"/>
      <c r="P504" s="38"/>
      <c r="Q504" s="38"/>
      <c r="R504" s="38"/>
      <c r="S504" s="38"/>
      <c r="T504" s="38"/>
      <c r="U504" s="38"/>
      <c r="V504" s="38"/>
      <c r="W504" s="38"/>
      <c r="X504" s="38"/>
      <c r="Y504" s="38"/>
      <c r="Z504" s="38">
        <f t="shared" si="57"/>
        <v>451</v>
      </c>
      <c r="AA504" t="e">
        <f t="shared" si="55"/>
        <v>#DIV/0!</v>
      </c>
      <c r="AB504" s="1" t="e">
        <f t="shared" si="56"/>
        <v>#DIV/0!</v>
      </c>
    </row>
    <row r="505" spans="11:28" ht="33" customHeight="1">
      <c r="K505" s="38"/>
      <c r="L505" s="38"/>
      <c r="M505" s="38"/>
      <c r="N505" s="38"/>
      <c r="O505" s="38"/>
      <c r="P505" s="38"/>
      <c r="Q505" s="38"/>
      <c r="R505" s="38"/>
      <c r="S505" s="38"/>
      <c r="T505" s="38"/>
      <c r="U505" s="38"/>
      <c r="V505" s="38"/>
      <c r="W505" s="38"/>
      <c r="X505" s="38"/>
      <c r="Y505" s="38"/>
      <c r="Z505" s="38">
        <f t="shared" si="57"/>
        <v>452</v>
      </c>
      <c r="AA505" t="e">
        <f t="shared" si="55"/>
        <v>#DIV/0!</v>
      </c>
      <c r="AB505" s="1" t="e">
        <f t="shared" si="56"/>
        <v>#DIV/0!</v>
      </c>
    </row>
    <row r="506" spans="11:28" ht="33" customHeight="1">
      <c r="K506" s="38"/>
      <c r="L506" s="38"/>
      <c r="M506" s="38"/>
      <c r="N506" s="38"/>
      <c r="O506" s="38"/>
      <c r="P506" s="38"/>
      <c r="Q506" s="38"/>
      <c r="R506" s="38"/>
      <c r="S506" s="38"/>
      <c r="T506" s="38"/>
      <c r="U506" s="38"/>
      <c r="V506" s="38"/>
      <c r="W506" s="38"/>
      <c r="X506" s="38"/>
      <c r="Y506" s="38"/>
      <c r="Z506" s="38">
        <f t="shared" si="57"/>
        <v>453</v>
      </c>
      <c r="AA506" t="e">
        <f t="shared" si="55"/>
        <v>#DIV/0!</v>
      </c>
      <c r="AB506" s="1" t="e">
        <f t="shared" si="56"/>
        <v>#DIV/0!</v>
      </c>
    </row>
    <row r="507" spans="11:28" ht="33" customHeight="1">
      <c r="K507" s="38"/>
      <c r="L507" s="38"/>
      <c r="M507" s="38"/>
      <c r="N507" s="38"/>
      <c r="O507" s="38"/>
      <c r="P507" s="38"/>
      <c r="Q507" s="38"/>
      <c r="R507" s="38"/>
      <c r="S507" s="38"/>
      <c r="T507" s="38"/>
      <c r="U507" s="38"/>
      <c r="V507" s="38"/>
      <c r="W507" s="38"/>
      <c r="X507" s="38"/>
      <c r="Y507" s="38"/>
      <c r="Z507" s="38">
        <f t="shared" si="57"/>
        <v>454</v>
      </c>
      <c r="AA507" t="e">
        <f t="shared" si="55"/>
        <v>#DIV/0!</v>
      </c>
      <c r="AB507" s="1" t="e">
        <f t="shared" si="56"/>
        <v>#DIV/0!</v>
      </c>
    </row>
    <row r="508" spans="11:28" ht="33" customHeight="1">
      <c r="K508" s="38"/>
      <c r="L508" s="38"/>
      <c r="M508" s="38"/>
      <c r="N508" s="38"/>
      <c r="O508" s="38"/>
      <c r="P508" s="38"/>
      <c r="Q508" s="38"/>
      <c r="R508" s="38"/>
      <c r="S508" s="38"/>
      <c r="T508" s="38"/>
      <c r="U508" s="38"/>
      <c r="V508" s="38"/>
      <c r="W508" s="38"/>
      <c r="X508" s="38"/>
      <c r="Y508" s="38"/>
      <c r="Z508" s="38">
        <f t="shared" si="57"/>
        <v>455</v>
      </c>
      <c r="AA508" t="e">
        <f t="shared" si="55"/>
        <v>#DIV/0!</v>
      </c>
      <c r="AB508" s="1" t="e">
        <f t="shared" si="56"/>
        <v>#DIV/0!</v>
      </c>
    </row>
    <row r="509" spans="11:28" ht="33" customHeight="1">
      <c r="K509" s="38"/>
      <c r="L509" s="38"/>
      <c r="M509" s="38"/>
      <c r="N509" s="38"/>
      <c r="O509" s="38"/>
      <c r="P509" s="38"/>
      <c r="Q509" s="38"/>
      <c r="R509" s="38"/>
      <c r="S509" s="38"/>
      <c r="T509" s="38"/>
      <c r="U509" s="38"/>
      <c r="V509" s="38"/>
      <c r="W509" s="38"/>
      <c r="X509" s="38"/>
      <c r="Y509" s="38"/>
      <c r="Z509" s="38">
        <f t="shared" si="57"/>
        <v>456</v>
      </c>
      <c r="AA509" t="e">
        <f t="shared" si="55"/>
        <v>#DIV/0!</v>
      </c>
      <c r="AB509" s="1" t="e">
        <f t="shared" si="56"/>
        <v>#DIV/0!</v>
      </c>
    </row>
    <row r="510" spans="11:28" ht="33" customHeight="1">
      <c r="K510" s="38"/>
      <c r="L510" s="38"/>
      <c r="M510" s="38"/>
      <c r="N510" s="38"/>
      <c r="O510" s="38"/>
      <c r="P510" s="38"/>
      <c r="Q510" s="38"/>
      <c r="R510" s="38"/>
      <c r="S510" s="38"/>
      <c r="T510" s="38"/>
      <c r="U510" s="38"/>
      <c r="V510" s="38"/>
      <c r="W510" s="38"/>
      <c r="X510" s="38"/>
      <c r="Y510" s="38"/>
      <c r="Z510" s="38">
        <f t="shared" si="57"/>
        <v>457</v>
      </c>
      <c r="AA510" t="e">
        <f t="shared" si="55"/>
        <v>#DIV/0!</v>
      </c>
      <c r="AB510" s="1" t="e">
        <f t="shared" si="56"/>
        <v>#DIV/0!</v>
      </c>
    </row>
    <row r="511" spans="11:28" ht="33" customHeight="1">
      <c r="K511" s="38"/>
      <c r="L511" s="38"/>
      <c r="M511" s="38"/>
      <c r="N511" s="38"/>
      <c r="O511" s="38"/>
      <c r="P511" s="38"/>
      <c r="Q511" s="38"/>
      <c r="R511" s="38"/>
      <c r="S511" s="38"/>
      <c r="T511" s="38"/>
      <c r="U511" s="38"/>
      <c r="V511" s="38"/>
      <c r="W511" s="38"/>
      <c r="X511" s="38"/>
      <c r="Y511" s="38"/>
      <c r="Z511" s="38">
        <f t="shared" si="57"/>
        <v>458</v>
      </c>
      <c r="AA511" t="e">
        <f t="shared" si="55"/>
        <v>#DIV/0!</v>
      </c>
      <c r="AB511" s="1" t="e">
        <f t="shared" si="56"/>
        <v>#DIV/0!</v>
      </c>
    </row>
    <row r="512" spans="11:28" ht="33" customHeight="1">
      <c r="K512" s="38"/>
      <c r="L512" s="38"/>
      <c r="M512" s="38"/>
      <c r="N512" s="38"/>
      <c r="O512" s="38"/>
      <c r="P512" s="38"/>
      <c r="Q512" s="38"/>
      <c r="R512" s="38"/>
      <c r="S512" s="38"/>
      <c r="T512" s="38"/>
      <c r="U512" s="38"/>
      <c r="V512" s="38"/>
      <c r="W512" s="38"/>
      <c r="X512" s="38"/>
      <c r="Y512" s="38"/>
      <c r="Z512" s="38">
        <f t="shared" si="57"/>
        <v>459</v>
      </c>
      <c r="AA512" t="e">
        <f t="shared" si="55"/>
        <v>#DIV/0!</v>
      </c>
      <c r="AB512" s="1" t="e">
        <f t="shared" si="56"/>
        <v>#DIV/0!</v>
      </c>
    </row>
    <row r="513" spans="11:28" ht="33" customHeight="1">
      <c r="K513" s="38"/>
      <c r="L513" s="38"/>
      <c r="M513" s="38"/>
      <c r="N513" s="38"/>
      <c r="O513" s="38"/>
      <c r="P513" s="38"/>
      <c r="Q513" s="38"/>
      <c r="R513" s="38"/>
      <c r="S513" s="38"/>
      <c r="T513" s="38"/>
      <c r="U513" s="38"/>
      <c r="V513" s="38"/>
      <c r="W513" s="38"/>
      <c r="X513" s="38"/>
      <c r="Y513" s="38"/>
      <c r="Z513" s="38">
        <f t="shared" si="57"/>
        <v>460</v>
      </c>
      <c r="AA513" t="e">
        <f t="shared" si="55"/>
        <v>#DIV/0!</v>
      </c>
      <c r="AB513" s="1" t="e">
        <f t="shared" si="56"/>
        <v>#DIV/0!</v>
      </c>
    </row>
    <row r="514" spans="11:28" ht="33" customHeight="1">
      <c r="K514" s="38"/>
      <c r="L514" s="38"/>
      <c r="M514" s="38"/>
      <c r="N514" s="38"/>
      <c r="O514" s="38"/>
      <c r="P514" s="38"/>
      <c r="Q514" s="38"/>
      <c r="R514" s="38"/>
      <c r="S514" s="38"/>
      <c r="T514" s="38"/>
      <c r="U514" s="38"/>
      <c r="V514" s="38"/>
      <c r="W514" s="38"/>
      <c r="X514" s="38"/>
      <c r="Y514" s="38"/>
      <c r="Z514" s="38">
        <f t="shared" si="57"/>
        <v>461</v>
      </c>
      <c r="AA514" t="e">
        <f t="shared" si="55"/>
        <v>#DIV/0!</v>
      </c>
      <c r="AB514" s="1" t="e">
        <f t="shared" si="56"/>
        <v>#DIV/0!</v>
      </c>
    </row>
    <row r="515" spans="11:28" ht="33" customHeight="1">
      <c r="K515" s="38"/>
      <c r="L515" s="38"/>
      <c r="M515" s="38"/>
      <c r="N515" s="38"/>
      <c r="O515" s="38"/>
      <c r="P515" s="38"/>
      <c r="Q515" s="38"/>
      <c r="R515" s="38"/>
      <c r="S515" s="38"/>
      <c r="T515" s="38"/>
      <c r="U515" s="38"/>
      <c r="V515" s="38"/>
      <c r="W515" s="38"/>
      <c r="X515" s="38"/>
      <c r="Y515" s="38"/>
      <c r="Z515" s="38">
        <f t="shared" si="57"/>
        <v>462</v>
      </c>
      <c r="AA515" t="e">
        <f t="shared" si="55"/>
        <v>#DIV/0!</v>
      </c>
      <c r="AB515" s="1" t="e">
        <f t="shared" si="56"/>
        <v>#DIV/0!</v>
      </c>
    </row>
    <row r="516" spans="11:28" ht="33" customHeight="1">
      <c r="K516" s="38"/>
      <c r="L516" s="38"/>
      <c r="M516" s="38"/>
      <c r="N516" s="38"/>
      <c r="O516" s="38"/>
      <c r="P516" s="38"/>
      <c r="Q516" s="38"/>
      <c r="R516" s="38"/>
      <c r="S516" s="38"/>
      <c r="T516" s="38"/>
      <c r="U516" s="38"/>
      <c r="V516" s="38"/>
      <c r="W516" s="38"/>
      <c r="X516" s="38"/>
      <c r="Y516" s="38"/>
      <c r="Z516" s="38">
        <f t="shared" si="57"/>
        <v>463</v>
      </c>
      <c r="AA516" t="e">
        <f t="shared" si="55"/>
        <v>#DIV/0!</v>
      </c>
      <c r="AB516" s="1" t="e">
        <f t="shared" si="56"/>
        <v>#DIV/0!</v>
      </c>
    </row>
    <row r="517" spans="11:28" ht="33" customHeight="1">
      <c r="K517" s="38"/>
      <c r="L517" s="38"/>
      <c r="M517" s="38"/>
      <c r="N517" s="38"/>
      <c r="O517" s="38"/>
      <c r="P517" s="38"/>
      <c r="Q517" s="38"/>
      <c r="R517" s="38"/>
      <c r="S517" s="38"/>
      <c r="T517" s="38"/>
      <c r="U517" s="38"/>
      <c r="V517" s="38"/>
      <c r="W517" s="38"/>
      <c r="X517" s="38"/>
      <c r="Y517" s="38"/>
      <c r="Z517" s="38">
        <f t="shared" si="57"/>
        <v>464</v>
      </c>
      <c r="AA517" t="e">
        <f t="shared" si="55"/>
        <v>#DIV/0!</v>
      </c>
      <c r="AB517" s="1" t="e">
        <f t="shared" si="56"/>
        <v>#DIV/0!</v>
      </c>
    </row>
    <row r="518" spans="11:28" ht="33" customHeight="1">
      <c r="K518" s="38"/>
      <c r="L518" s="38"/>
      <c r="M518" s="38"/>
      <c r="N518" s="38"/>
      <c r="O518" s="38"/>
      <c r="P518" s="38"/>
      <c r="Q518" s="38"/>
      <c r="R518" s="38"/>
      <c r="S518" s="38"/>
      <c r="T518" s="38"/>
      <c r="U518" s="38"/>
      <c r="V518" s="38"/>
      <c r="W518" s="38"/>
      <c r="X518" s="38"/>
      <c r="Y518" s="38"/>
      <c r="Z518" s="38">
        <f t="shared" si="57"/>
        <v>465</v>
      </c>
      <c r="AA518" t="e">
        <f t="shared" si="55"/>
        <v>#DIV/0!</v>
      </c>
      <c r="AB518" s="1" t="e">
        <f t="shared" si="56"/>
        <v>#DIV/0!</v>
      </c>
    </row>
    <row r="519" spans="11:28" ht="33" customHeight="1">
      <c r="K519" s="38"/>
      <c r="L519" s="38"/>
      <c r="M519" s="38"/>
      <c r="N519" s="38"/>
      <c r="O519" s="38"/>
      <c r="P519" s="38"/>
      <c r="Q519" s="38"/>
      <c r="R519" s="38"/>
      <c r="S519" s="38"/>
      <c r="T519" s="38"/>
      <c r="U519" s="38"/>
      <c r="V519" s="38"/>
      <c r="W519" s="38"/>
      <c r="X519" s="38"/>
      <c r="Y519" s="38"/>
      <c r="Z519" s="38">
        <f t="shared" si="57"/>
        <v>466</v>
      </c>
      <c r="AA519" t="e">
        <f t="shared" si="55"/>
        <v>#DIV/0!</v>
      </c>
      <c r="AB519" s="1" t="e">
        <f t="shared" si="56"/>
        <v>#DIV/0!</v>
      </c>
    </row>
    <row r="520" spans="11:28" ht="33" customHeight="1">
      <c r="K520" s="38"/>
      <c r="L520" s="38"/>
      <c r="M520" s="38"/>
      <c r="N520" s="38"/>
      <c r="O520" s="38"/>
      <c r="P520" s="38"/>
      <c r="Q520" s="38"/>
      <c r="R520" s="38"/>
      <c r="S520" s="38"/>
      <c r="T520" s="38"/>
      <c r="U520" s="38"/>
      <c r="V520" s="38"/>
      <c r="W520" s="38"/>
      <c r="X520" s="38"/>
      <c r="Y520" s="38"/>
      <c r="Z520" s="38">
        <f t="shared" si="57"/>
        <v>467</v>
      </c>
      <c r="AA520" t="e">
        <f t="shared" si="55"/>
        <v>#DIV/0!</v>
      </c>
      <c r="AB520" s="1" t="e">
        <f t="shared" si="56"/>
        <v>#DIV/0!</v>
      </c>
    </row>
    <row r="521" spans="11:28" ht="33" customHeight="1">
      <c r="K521" s="38"/>
      <c r="L521" s="38"/>
      <c r="M521" s="38"/>
      <c r="N521" s="38"/>
      <c r="O521" s="38"/>
      <c r="P521" s="38"/>
      <c r="Q521" s="38"/>
      <c r="R521" s="38"/>
      <c r="S521" s="38"/>
      <c r="T521" s="38"/>
      <c r="U521" s="38"/>
      <c r="V521" s="38"/>
      <c r="W521" s="38"/>
      <c r="X521" s="38"/>
      <c r="Y521" s="38"/>
      <c r="Z521" s="38">
        <f t="shared" si="57"/>
        <v>468</v>
      </c>
      <c r="AA521" t="e">
        <f t="shared" si="55"/>
        <v>#DIV/0!</v>
      </c>
      <c r="AB521" s="1" t="e">
        <f t="shared" si="56"/>
        <v>#DIV/0!</v>
      </c>
    </row>
    <row r="522" spans="11:28" ht="33" customHeight="1">
      <c r="K522" s="38"/>
      <c r="L522" s="38"/>
      <c r="M522" s="38"/>
      <c r="N522" s="38"/>
      <c r="O522" s="38"/>
      <c r="P522" s="38"/>
      <c r="Q522" s="38"/>
      <c r="R522" s="38"/>
      <c r="S522" s="38"/>
      <c r="T522" s="38"/>
      <c r="U522" s="38"/>
      <c r="V522" s="38"/>
      <c r="W522" s="38"/>
      <c r="X522" s="38"/>
      <c r="Y522" s="38"/>
      <c r="Z522" s="38">
        <f t="shared" si="57"/>
        <v>469</v>
      </c>
      <c r="AA522" t="e">
        <f t="shared" si="55"/>
        <v>#DIV/0!</v>
      </c>
      <c r="AB522" s="1" t="e">
        <f t="shared" si="56"/>
        <v>#DIV/0!</v>
      </c>
    </row>
    <row r="523" spans="11:28" ht="33" customHeight="1">
      <c r="K523" s="38"/>
      <c r="L523" s="38"/>
      <c r="M523" s="38"/>
      <c r="N523" s="38"/>
      <c r="O523" s="38"/>
      <c r="P523" s="38"/>
      <c r="Q523" s="38"/>
      <c r="R523" s="38"/>
      <c r="S523" s="38"/>
      <c r="T523" s="38"/>
      <c r="U523" s="38"/>
      <c r="V523" s="38"/>
      <c r="W523" s="38"/>
      <c r="X523" s="38"/>
      <c r="Y523" s="38"/>
      <c r="Z523" s="38">
        <f t="shared" si="57"/>
        <v>470</v>
      </c>
      <c r="AA523" t="e">
        <f t="shared" ref="AA523:AA586" si="58">IF(AB523=Z523,1,0)</f>
        <v>#DIV/0!</v>
      </c>
      <c r="AB523" s="1" t="e">
        <f t="shared" ref="AB523:AB586" si="59">$AB$8</f>
        <v>#DIV/0!</v>
      </c>
    </row>
    <row r="524" spans="11:28" ht="33" customHeight="1">
      <c r="K524" s="38"/>
      <c r="L524" s="38"/>
      <c r="M524" s="38"/>
      <c r="N524" s="38"/>
      <c r="O524" s="38"/>
      <c r="P524" s="38"/>
      <c r="Q524" s="38"/>
      <c r="R524" s="38"/>
      <c r="S524" s="38"/>
      <c r="T524" s="38"/>
      <c r="U524" s="38"/>
      <c r="V524" s="38"/>
      <c r="W524" s="38"/>
      <c r="X524" s="38"/>
      <c r="Y524" s="38"/>
      <c r="Z524" s="38">
        <f t="shared" ref="Z524:Z587" si="60">Z523+1</f>
        <v>471</v>
      </c>
      <c r="AA524" t="e">
        <f t="shared" si="58"/>
        <v>#DIV/0!</v>
      </c>
      <c r="AB524" s="1" t="e">
        <f t="shared" si="59"/>
        <v>#DIV/0!</v>
      </c>
    </row>
    <row r="525" spans="11:28" ht="33" customHeight="1">
      <c r="K525" s="38"/>
      <c r="L525" s="38"/>
      <c r="M525" s="38"/>
      <c r="N525" s="38"/>
      <c r="O525" s="38"/>
      <c r="P525" s="38"/>
      <c r="Q525" s="38"/>
      <c r="R525" s="38"/>
      <c r="S525" s="38"/>
      <c r="T525" s="38"/>
      <c r="U525" s="38"/>
      <c r="V525" s="38"/>
      <c r="W525" s="38"/>
      <c r="X525" s="38"/>
      <c r="Y525" s="38"/>
      <c r="Z525" s="38">
        <f t="shared" si="60"/>
        <v>472</v>
      </c>
      <c r="AA525" t="e">
        <f t="shared" si="58"/>
        <v>#DIV/0!</v>
      </c>
      <c r="AB525" s="1" t="e">
        <f t="shared" si="59"/>
        <v>#DIV/0!</v>
      </c>
    </row>
    <row r="526" spans="11:28" ht="33" customHeight="1">
      <c r="K526" s="38"/>
      <c r="L526" s="38"/>
      <c r="M526" s="38"/>
      <c r="N526" s="38"/>
      <c r="O526" s="38"/>
      <c r="P526" s="38"/>
      <c r="Q526" s="38"/>
      <c r="R526" s="38"/>
      <c r="S526" s="38"/>
      <c r="T526" s="38"/>
      <c r="U526" s="38"/>
      <c r="V526" s="38"/>
      <c r="W526" s="38"/>
      <c r="X526" s="38"/>
      <c r="Y526" s="38"/>
      <c r="Z526" s="38">
        <f t="shared" si="60"/>
        <v>473</v>
      </c>
      <c r="AA526" t="e">
        <f t="shared" si="58"/>
        <v>#DIV/0!</v>
      </c>
      <c r="AB526" s="1" t="e">
        <f t="shared" si="59"/>
        <v>#DIV/0!</v>
      </c>
    </row>
    <row r="527" spans="11:28" ht="33" customHeight="1">
      <c r="K527" s="38"/>
      <c r="L527" s="38"/>
      <c r="M527" s="38"/>
      <c r="N527" s="38"/>
      <c r="O527" s="38"/>
      <c r="P527" s="38"/>
      <c r="Q527" s="38"/>
      <c r="R527" s="38"/>
      <c r="S527" s="38"/>
      <c r="T527" s="38"/>
      <c r="U527" s="38"/>
      <c r="V527" s="38"/>
      <c r="W527" s="38"/>
      <c r="X527" s="38"/>
      <c r="Y527" s="38"/>
      <c r="Z527" s="38">
        <f t="shared" si="60"/>
        <v>474</v>
      </c>
      <c r="AA527" t="e">
        <f t="shared" si="58"/>
        <v>#DIV/0!</v>
      </c>
      <c r="AB527" s="1" t="e">
        <f t="shared" si="59"/>
        <v>#DIV/0!</v>
      </c>
    </row>
    <row r="528" spans="11:28" ht="33" customHeight="1">
      <c r="K528" s="38"/>
      <c r="L528" s="38"/>
      <c r="M528" s="38"/>
      <c r="N528" s="38"/>
      <c r="O528" s="38"/>
      <c r="P528" s="38"/>
      <c r="Q528" s="38"/>
      <c r="R528" s="38"/>
      <c r="S528" s="38"/>
      <c r="T528" s="38"/>
      <c r="U528" s="38"/>
      <c r="V528" s="38"/>
      <c r="W528" s="38"/>
      <c r="X528" s="38"/>
      <c r="Y528" s="38"/>
      <c r="Z528" s="38">
        <f t="shared" si="60"/>
        <v>475</v>
      </c>
      <c r="AA528" t="e">
        <f t="shared" si="58"/>
        <v>#DIV/0!</v>
      </c>
      <c r="AB528" s="1" t="e">
        <f t="shared" si="59"/>
        <v>#DIV/0!</v>
      </c>
    </row>
    <row r="529" spans="11:28" ht="33" customHeight="1">
      <c r="K529" s="38"/>
      <c r="L529" s="38"/>
      <c r="M529" s="38"/>
      <c r="N529" s="38"/>
      <c r="O529" s="38"/>
      <c r="P529" s="38"/>
      <c r="Q529" s="38"/>
      <c r="R529" s="38"/>
      <c r="S529" s="38"/>
      <c r="T529" s="38"/>
      <c r="U529" s="38"/>
      <c r="V529" s="38"/>
      <c r="W529" s="38"/>
      <c r="X529" s="38"/>
      <c r="Y529" s="38"/>
      <c r="Z529" s="38">
        <f t="shared" si="60"/>
        <v>476</v>
      </c>
      <c r="AA529" t="e">
        <f t="shared" si="58"/>
        <v>#DIV/0!</v>
      </c>
      <c r="AB529" s="1" t="e">
        <f t="shared" si="59"/>
        <v>#DIV/0!</v>
      </c>
    </row>
    <row r="530" spans="11:28" ht="33" customHeight="1">
      <c r="K530" s="38"/>
      <c r="L530" s="38"/>
      <c r="M530" s="38"/>
      <c r="N530" s="38"/>
      <c r="O530" s="38"/>
      <c r="P530" s="38"/>
      <c r="Q530" s="38"/>
      <c r="R530" s="38"/>
      <c r="S530" s="38"/>
      <c r="T530" s="38"/>
      <c r="U530" s="38"/>
      <c r="V530" s="38"/>
      <c r="W530" s="38"/>
      <c r="X530" s="38"/>
      <c r="Y530" s="38"/>
      <c r="Z530" s="38">
        <f t="shared" si="60"/>
        <v>477</v>
      </c>
      <c r="AA530" t="e">
        <f t="shared" si="58"/>
        <v>#DIV/0!</v>
      </c>
      <c r="AB530" s="1" t="e">
        <f t="shared" si="59"/>
        <v>#DIV/0!</v>
      </c>
    </row>
    <row r="531" spans="11:28" ht="33" customHeight="1">
      <c r="K531" s="38"/>
      <c r="L531" s="38"/>
      <c r="M531" s="38"/>
      <c r="N531" s="38"/>
      <c r="O531" s="38"/>
      <c r="P531" s="38"/>
      <c r="Q531" s="38"/>
      <c r="R531" s="38"/>
      <c r="S531" s="38"/>
      <c r="T531" s="38"/>
      <c r="U531" s="38"/>
      <c r="V531" s="38"/>
      <c r="W531" s="38"/>
      <c r="X531" s="38"/>
      <c r="Y531" s="38"/>
      <c r="Z531" s="38">
        <f t="shared" si="60"/>
        <v>478</v>
      </c>
      <c r="AA531" t="e">
        <f t="shared" si="58"/>
        <v>#DIV/0!</v>
      </c>
      <c r="AB531" s="1" t="e">
        <f t="shared" si="59"/>
        <v>#DIV/0!</v>
      </c>
    </row>
    <row r="532" spans="11:28" ht="33" customHeight="1">
      <c r="K532" s="38"/>
      <c r="L532" s="38"/>
      <c r="M532" s="38"/>
      <c r="N532" s="38"/>
      <c r="O532" s="38"/>
      <c r="P532" s="38"/>
      <c r="Q532" s="38"/>
      <c r="R532" s="38"/>
      <c r="S532" s="38"/>
      <c r="T532" s="38"/>
      <c r="U532" s="38"/>
      <c r="V532" s="38"/>
      <c r="W532" s="38"/>
      <c r="X532" s="38"/>
      <c r="Y532" s="38"/>
      <c r="Z532" s="38">
        <f t="shared" si="60"/>
        <v>479</v>
      </c>
      <c r="AA532" t="e">
        <f t="shared" si="58"/>
        <v>#DIV/0!</v>
      </c>
      <c r="AB532" s="1" t="e">
        <f t="shared" si="59"/>
        <v>#DIV/0!</v>
      </c>
    </row>
    <row r="533" spans="11:28" ht="33" customHeight="1">
      <c r="K533" s="38"/>
      <c r="L533" s="38"/>
      <c r="M533" s="38"/>
      <c r="N533" s="38"/>
      <c r="O533" s="38"/>
      <c r="P533" s="38"/>
      <c r="Q533" s="38"/>
      <c r="R533" s="38"/>
      <c r="S533" s="38"/>
      <c r="T533" s="38"/>
      <c r="U533" s="38"/>
      <c r="V533" s="38"/>
      <c r="W533" s="38"/>
      <c r="X533" s="38"/>
      <c r="Y533" s="38"/>
      <c r="Z533" s="38">
        <f t="shared" si="60"/>
        <v>480</v>
      </c>
      <c r="AA533" t="e">
        <f t="shared" si="58"/>
        <v>#DIV/0!</v>
      </c>
      <c r="AB533" s="1" t="e">
        <f t="shared" si="59"/>
        <v>#DIV/0!</v>
      </c>
    </row>
    <row r="534" spans="11:28" ht="33" customHeight="1">
      <c r="K534" s="38"/>
      <c r="L534" s="38"/>
      <c r="M534" s="38"/>
      <c r="N534" s="38"/>
      <c r="O534" s="38"/>
      <c r="P534" s="38"/>
      <c r="Q534" s="38"/>
      <c r="R534" s="38"/>
      <c r="S534" s="38"/>
      <c r="T534" s="38"/>
      <c r="U534" s="38"/>
      <c r="V534" s="38"/>
      <c r="W534" s="38"/>
      <c r="X534" s="38"/>
      <c r="Y534" s="38"/>
      <c r="Z534" s="38">
        <f t="shared" si="60"/>
        <v>481</v>
      </c>
      <c r="AA534" t="e">
        <f t="shared" si="58"/>
        <v>#DIV/0!</v>
      </c>
      <c r="AB534" s="1" t="e">
        <f t="shared" si="59"/>
        <v>#DIV/0!</v>
      </c>
    </row>
    <row r="535" spans="11:28" ht="33" customHeight="1">
      <c r="K535" s="38"/>
      <c r="L535" s="38"/>
      <c r="M535" s="38"/>
      <c r="N535" s="38"/>
      <c r="O535" s="38"/>
      <c r="P535" s="38"/>
      <c r="Q535" s="38"/>
      <c r="R535" s="38"/>
      <c r="S535" s="38"/>
      <c r="T535" s="38"/>
      <c r="U535" s="38"/>
      <c r="V535" s="38"/>
      <c r="W535" s="38"/>
      <c r="X535" s="38"/>
      <c r="Y535" s="38"/>
      <c r="Z535" s="38">
        <f t="shared" si="60"/>
        <v>482</v>
      </c>
      <c r="AA535" t="e">
        <f t="shared" si="58"/>
        <v>#DIV/0!</v>
      </c>
      <c r="AB535" s="1" t="e">
        <f t="shared" si="59"/>
        <v>#DIV/0!</v>
      </c>
    </row>
    <row r="536" spans="11:28" ht="33" customHeight="1">
      <c r="K536" s="38"/>
      <c r="L536" s="38"/>
      <c r="M536" s="38"/>
      <c r="N536" s="38"/>
      <c r="O536" s="38"/>
      <c r="P536" s="38"/>
      <c r="Q536" s="38"/>
      <c r="R536" s="38"/>
      <c r="S536" s="38"/>
      <c r="T536" s="38"/>
      <c r="U536" s="38"/>
      <c r="V536" s="38"/>
      <c r="W536" s="38"/>
      <c r="X536" s="38"/>
      <c r="Y536" s="38"/>
      <c r="Z536" s="38">
        <f t="shared" si="60"/>
        <v>483</v>
      </c>
      <c r="AA536" t="e">
        <f t="shared" si="58"/>
        <v>#DIV/0!</v>
      </c>
      <c r="AB536" s="1" t="e">
        <f t="shared" si="59"/>
        <v>#DIV/0!</v>
      </c>
    </row>
    <row r="537" spans="11:28" ht="33" customHeight="1">
      <c r="K537" s="38"/>
      <c r="L537" s="38"/>
      <c r="M537" s="38"/>
      <c r="N537" s="38"/>
      <c r="O537" s="38"/>
      <c r="P537" s="38"/>
      <c r="Q537" s="38"/>
      <c r="R537" s="38"/>
      <c r="S537" s="38"/>
      <c r="T537" s="38"/>
      <c r="U537" s="38"/>
      <c r="V537" s="38"/>
      <c r="W537" s="38"/>
      <c r="X537" s="38"/>
      <c r="Y537" s="38"/>
      <c r="Z537" s="38">
        <f t="shared" si="60"/>
        <v>484</v>
      </c>
      <c r="AA537" t="e">
        <f t="shared" si="58"/>
        <v>#DIV/0!</v>
      </c>
      <c r="AB537" s="1" t="e">
        <f t="shared" si="59"/>
        <v>#DIV/0!</v>
      </c>
    </row>
    <row r="538" spans="11:28" ht="33" customHeight="1">
      <c r="K538" s="38"/>
      <c r="L538" s="38"/>
      <c r="M538" s="38"/>
      <c r="N538" s="38"/>
      <c r="O538" s="38"/>
      <c r="P538" s="38"/>
      <c r="Q538" s="38"/>
      <c r="R538" s="38"/>
      <c r="S538" s="38"/>
      <c r="T538" s="38"/>
      <c r="U538" s="38"/>
      <c r="V538" s="38"/>
      <c r="W538" s="38"/>
      <c r="X538" s="38"/>
      <c r="Y538" s="38"/>
      <c r="Z538" s="38">
        <f t="shared" si="60"/>
        <v>485</v>
      </c>
      <c r="AA538" t="e">
        <f t="shared" si="58"/>
        <v>#DIV/0!</v>
      </c>
      <c r="AB538" s="1" t="e">
        <f t="shared" si="59"/>
        <v>#DIV/0!</v>
      </c>
    </row>
    <row r="539" spans="11:28" ht="33" customHeight="1">
      <c r="K539" s="38"/>
      <c r="L539" s="38"/>
      <c r="M539" s="38"/>
      <c r="N539" s="38"/>
      <c r="O539" s="38"/>
      <c r="P539" s="38"/>
      <c r="Q539" s="38"/>
      <c r="R539" s="38"/>
      <c r="S539" s="38"/>
      <c r="T539" s="38"/>
      <c r="U539" s="38"/>
      <c r="V539" s="38"/>
      <c r="W539" s="38"/>
      <c r="X539" s="38"/>
      <c r="Y539" s="38"/>
      <c r="Z539" s="38">
        <f t="shared" si="60"/>
        <v>486</v>
      </c>
      <c r="AA539" t="e">
        <f t="shared" si="58"/>
        <v>#DIV/0!</v>
      </c>
      <c r="AB539" s="1" t="e">
        <f t="shared" si="59"/>
        <v>#DIV/0!</v>
      </c>
    </row>
    <row r="540" spans="11:28" ht="33" customHeight="1">
      <c r="K540" s="38"/>
      <c r="L540" s="38"/>
      <c r="M540" s="38"/>
      <c r="N540" s="38"/>
      <c r="O540" s="38"/>
      <c r="P540" s="38"/>
      <c r="Q540" s="38"/>
      <c r="R540" s="38"/>
      <c r="S540" s="38"/>
      <c r="T540" s="38"/>
      <c r="U540" s="38"/>
      <c r="V540" s="38"/>
      <c r="W540" s="38"/>
      <c r="X540" s="38"/>
      <c r="Y540" s="38"/>
      <c r="Z540" s="38">
        <f t="shared" si="60"/>
        <v>487</v>
      </c>
      <c r="AA540" t="e">
        <f t="shared" si="58"/>
        <v>#DIV/0!</v>
      </c>
      <c r="AB540" s="1" t="e">
        <f t="shared" si="59"/>
        <v>#DIV/0!</v>
      </c>
    </row>
    <row r="541" spans="11:28" ht="33" customHeight="1">
      <c r="K541" s="38"/>
      <c r="L541" s="38"/>
      <c r="M541" s="38"/>
      <c r="N541" s="38"/>
      <c r="O541" s="38"/>
      <c r="P541" s="38"/>
      <c r="Q541" s="38"/>
      <c r="R541" s="38"/>
      <c r="S541" s="38"/>
      <c r="T541" s="38"/>
      <c r="U541" s="38"/>
      <c r="V541" s="38"/>
      <c r="W541" s="38"/>
      <c r="X541" s="38"/>
      <c r="Y541" s="38"/>
      <c r="Z541" s="38">
        <f t="shared" si="60"/>
        <v>488</v>
      </c>
      <c r="AA541" t="e">
        <f t="shared" si="58"/>
        <v>#DIV/0!</v>
      </c>
      <c r="AB541" s="1" t="e">
        <f t="shared" si="59"/>
        <v>#DIV/0!</v>
      </c>
    </row>
    <row r="542" spans="11:28" ht="33" customHeight="1">
      <c r="K542" s="38"/>
      <c r="L542" s="38"/>
      <c r="M542" s="38"/>
      <c r="N542" s="38"/>
      <c r="O542" s="38"/>
      <c r="P542" s="38"/>
      <c r="Q542" s="38"/>
      <c r="R542" s="38"/>
      <c r="S542" s="38"/>
      <c r="T542" s="38"/>
      <c r="U542" s="38"/>
      <c r="V542" s="38"/>
      <c r="W542" s="38"/>
      <c r="X542" s="38"/>
      <c r="Y542" s="38"/>
      <c r="Z542" s="38">
        <f t="shared" si="60"/>
        <v>489</v>
      </c>
      <c r="AA542" t="e">
        <f t="shared" si="58"/>
        <v>#DIV/0!</v>
      </c>
      <c r="AB542" s="1" t="e">
        <f t="shared" si="59"/>
        <v>#DIV/0!</v>
      </c>
    </row>
    <row r="543" spans="11:28" ht="33" customHeight="1">
      <c r="K543" s="38"/>
      <c r="L543" s="38"/>
      <c r="M543" s="38"/>
      <c r="N543" s="38"/>
      <c r="O543" s="38"/>
      <c r="P543" s="38"/>
      <c r="Q543" s="38"/>
      <c r="R543" s="38"/>
      <c r="S543" s="38"/>
      <c r="T543" s="38"/>
      <c r="U543" s="38"/>
      <c r="V543" s="38"/>
      <c r="W543" s="38"/>
      <c r="X543" s="38"/>
      <c r="Y543" s="38"/>
      <c r="Z543" s="38">
        <f t="shared" si="60"/>
        <v>490</v>
      </c>
      <c r="AA543" t="e">
        <f t="shared" si="58"/>
        <v>#DIV/0!</v>
      </c>
      <c r="AB543" s="1" t="e">
        <f t="shared" si="59"/>
        <v>#DIV/0!</v>
      </c>
    </row>
    <row r="544" spans="11:28" ht="33" customHeight="1">
      <c r="K544" s="38"/>
      <c r="L544" s="38"/>
      <c r="M544" s="38"/>
      <c r="N544" s="38"/>
      <c r="O544" s="38"/>
      <c r="P544" s="38"/>
      <c r="Q544" s="38"/>
      <c r="R544" s="38"/>
      <c r="S544" s="38"/>
      <c r="T544" s="38"/>
      <c r="U544" s="38"/>
      <c r="V544" s="38"/>
      <c r="W544" s="38"/>
      <c r="X544" s="38"/>
      <c r="Y544" s="38"/>
      <c r="Z544" s="38">
        <f t="shared" si="60"/>
        <v>491</v>
      </c>
      <c r="AA544" t="e">
        <f t="shared" si="58"/>
        <v>#DIV/0!</v>
      </c>
      <c r="AB544" s="1" t="e">
        <f t="shared" si="59"/>
        <v>#DIV/0!</v>
      </c>
    </row>
    <row r="545" spans="11:28" ht="33" customHeight="1">
      <c r="K545" s="38"/>
      <c r="L545" s="38"/>
      <c r="M545" s="38"/>
      <c r="N545" s="38"/>
      <c r="O545" s="38"/>
      <c r="P545" s="38"/>
      <c r="Q545" s="38"/>
      <c r="R545" s="38"/>
      <c r="S545" s="38"/>
      <c r="T545" s="38"/>
      <c r="U545" s="38"/>
      <c r="V545" s="38"/>
      <c r="W545" s="38"/>
      <c r="X545" s="38"/>
      <c r="Y545" s="38"/>
      <c r="Z545" s="38">
        <f t="shared" si="60"/>
        <v>492</v>
      </c>
      <c r="AA545" t="e">
        <f t="shared" si="58"/>
        <v>#DIV/0!</v>
      </c>
      <c r="AB545" s="1" t="e">
        <f t="shared" si="59"/>
        <v>#DIV/0!</v>
      </c>
    </row>
    <row r="546" spans="11:28" ht="33" customHeight="1">
      <c r="K546" s="38"/>
      <c r="L546" s="38"/>
      <c r="M546" s="38"/>
      <c r="N546" s="38"/>
      <c r="O546" s="38"/>
      <c r="P546" s="38"/>
      <c r="Q546" s="38"/>
      <c r="R546" s="38"/>
      <c r="S546" s="38"/>
      <c r="T546" s="38"/>
      <c r="U546" s="38"/>
      <c r="V546" s="38"/>
      <c r="W546" s="38"/>
      <c r="X546" s="38"/>
      <c r="Y546" s="38"/>
      <c r="Z546" s="38">
        <f t="shared" si="60"/>
        <v>493</v>
      </c>
      <c r="AA546" t="e">
        <f t="shared" si="58"/>
        <v>#DIV/0!</v>
      </c>
      <c r="AB546" s="1" t="e">
        <f t="shared" si="59"/>
        <v>#DIV/0!</v>
      </c>
    </row>
    <row r="547" spans="11:28" ht="33" customHeight="1">
      <c r="K547" s="38"/>
      <c r="L547" s="38"/>
      <c r="M547" s="38"/>
      <c r="N547" s="38"/>
      <c r="O547" s="38"/>
      <c r="P547" s="38"/>
      <c r="Q547" s="38"/>
      <c r="R547" s="38"/>
      <c r="S547" s="38"/>
      <c r="T547" s="38"/>
      <c r="U547" s="38"/>
      <c r="V547" s="38"/>
      <c r="W547" s="38"/>
      <c r="X547" s="38"/>
      <c r="Y547" s="38"/>
      <c r="Z547" s="38">
        <f t="shared" si="60"/>
        <v>494</v>
      </c>
      <c r="AA547" t="e">
        <f t="shared" si="58"/>
        <v>#DIV/0!</v>
      </c>
      <c r="AB547" s="1" t="e">
        <f t="shared" si="59"/>
        <v>#DIV/0!</v>
      </c>
    </row>
    <row r="548" spans="11:28" ht="33" customHeight="1">
      <c r="K548" s="38"/>
      <c r="L548" s="38"/>
      <c r="M548" s="38"/>
      <c r="N548" s="38"/>
      <c r="O548" s="38"/>
      <c r="P548" s="38"/>
      <c r="Q548" s="38"/>
      <c r="R548" s="38"/>
      <c r="S548" s="38"/>
      <c r="T548" s="38"/>
      <c r="U548" s="38"/>
      <c r="V548" s="38"/>
      <c r="W548" s="38"/>
      <c r="X548" s="38"/>
      <c r="Y548" s="38"/>
      <c r="Z548" s="38">
        <f t="shared" si="60"/>
        <v>495</v>
      </c>
      <c r="AA548" t="e">
        <f t="shared" si="58"/>
        <v>#DIV/0!</v>
      </c>
      <c r="AB548" s="1" t="e">
        <f t="shared" si="59"/>
        <v>#DIV/0!</v>
      </c>
    </row>
    <row r="549" spans="11:28" ht="33" customHeight="1">
      <c r="K549" s="38"/>
      <c r="L549" s="38"/>
      <c r="M549" s="38"/>
      <c r="N549" s="38"/>
      <c r="O549" s="38"/>
      <c r="P549" s="38"/>
      <c r="Q549" s="38"/>
      <c r="R549" s="38"/>
      <c r="S549" s="38"/>
      <c r="T549" s="38"/>
      <c r="U549" s="38"/>
      <c r="V549" s="38"/>
      <c r="W549" s="38"/>
      <c r="X549" s="38"/>
      <c r="Y549" s="38"/>
      <c r="Z549" s="38">
        <f t="shared" si="60"/>
        <v>496</v>
      </c>
      <c r="AA549" t="e">
        <f t="shared" si="58"/>
        <v>#DIV/0!</v>
      </c>
      <c r="AB549" s="1" t="e">
        <f t="shared" si="59"/>
        <v>#DIV/0!</v>
      </c>
    </row>
    <row r="550" spans="11:28" ht="33" customHeight="1">
      <c r="K550" s="38"/>
      <c r="L550" s="38"/>
      <c r="M550" s="38"/>
      <c r="N550" s="38"/>
      <c r="O550" s="38"/>
      <c r="P550" s="38"/>
      <c r="Q550" s="38"/>
      <c r="R550" s="38"/>
      <c r="S550" s="38"/>
      <c r="T550" s="38"/>
      <c r="U550" s="38"/>
      <c r="V550" s="38"/>
      <c r="W550" s="38"/>
      <c r="X550" s="38"/>
      <c r="Y550" s="38"/>
      <c r="Z550" s="38">
        <f t="shared" si="60"/>
        <v>497</v>
      </c>
      <c r="AA550" t="e">
        <f t="shared" si="58"/>
        <v>#DIV/0!</v>
      </c>
      <c r="AB550" s="1" t="e">
        <f t="shared" si="59"/>
        <v>#DIV/0!</v>
      </c>
    </row>
    <row r="551" spans="11:28" ht="33" customHeight="1">
      <c r="K551" s="38"/>
      <c r="L551" s="38"/>
      <c r="M551" s="38"/>
      <c r="N551" s="38"/>
      <c r="O551" s="38"/>
      <c r="P551" s="38"/>
      <c r="Q551" s="38"/>
      <c r="R551" s="38"/>
      <c r="S551" s="38"/>
      <c r="T551" s="38"/>
      <c r="U551" s="38"/>
      <c r="V551" s="38"/>
      <c r="W551" s="38"/>
      <c r="X551" s="38"/>
      <c r="Y551" s="38"/>
      <c r="Z551" s="38">
        <f t="shared" si="60"/>
        <v>498</v>
      </c>
      <c r="AA551" t="e">
        <f t="shared" si="58"/>
        <v>#DIV/0!</v>
      </c>
      <c r="AB551" s="1" t="e">
        <f t="shared" si="59"/>
        <v>#DIV/0!</v>
      </c>
    </row>
    <row r="552" spans="11:28" ht="33" customHeight="1">
      <c r="K552" s="38"/>
      <c r="L552" s="38"/>
      <c r="M552" s="38"/>
      <c r="N552" s="38"/>
      <c r="O552" s="38"/>
      <c r="P552" s="38"/>
      <c r="Q552" s="38"/>
      <c r="R552" s="38"/>
      <c r="S552" s="38"/>
      <c r="T552" s="38"/>
      <c r="U552" s="38"/>
      <c r="V552" s="38"/>
      <c r="W552" s="38"/>
      <c r="X552" s="38"/>
      <c r="Y552" s="38"/>
      <c r="Z552" s="38">
        <f t="shared" si="60"/>
        <v>499</v>
      </c>
      <c r="AA552" t="e">
        <f t="shared" si="58"/>
        <v>#DIV/0!</v>
      </c>
      <c r="AB552" s="1" t="e">
        <f t="shared" si="59"/>
        <v>#DIV/0!</v>
      </c>
    </row>
    <row r="553" spans="11:28" ht="33" customHeight="1">
      <c r="K553" s="38"/>
      <c r="L553" s="38"/>
      <c r="M553" s="38"/>
      <c r="N553" s="38"/>
      <c r="O553" s="38"/>
      <c r="P553" s="38"/>
      <c r="Q553" s="38"/>
      <c r="R553" s="38"/>
      <c r="S553" s="38"/>
      <c r="T553" s="38"/>
      <c r="U553" s="38"/>
      <c r="V553" s="38"/>
      <c r="W553" s="38"/>
      <c r="X553" s="38"/>
      <c r="Y553" s="38"/>
      <c r="Z553" s="38">
        <f t="shared" si="60"/>
        <v>500</v>
      </c>
      <c r="AA553" t="e">
        <f t="shared" si="58"/>
        <v>#DIV/0!</v>
      </c>
      <c r="AB553" s="1" t="e">
        <f t="shared" si="59"/>
        <v>#DIV/0!</v>
      </c>
    </row>
    <row r="554" spans="11:28" ht="33" customHeight="1">
      <c r="K554" s="38"/>
      <c r="L554" s="38"/>
      <c r="M554" s="38"/>
      <c r="N554" s="38"/>
      <c r="O554" s="38"/>
      <c r="P554" s="38"/>
      <c r="Q554" s="38"/>
      <c r="R554" s="38"/>
      <c r="S554" s="38"/>
      <c r="T554" s="38"/>
      <c r="U554" s="38"/>
      <c r="V554" s="38"/>
      <c r="W554" s="38"/>
      <c r="X554" s="38"/>
      <c r="Y554" s="38"/>
      <c r="Z554" s="38">
        <f t="shared" si="60"/>
        <v>501</v>
      </c>
      <c r="AA554" t="e">
        <f t="shared" si="58"/>
        <v>#DIV/0!</v>
      </c>
      <c r="AB554" s="1" t="e">
        <f t="shared" si="59"/>
        <v>#DIV/0!</v>
      </c>
    </row>
    <row r="555" spans="11:28" ht="33" customHeight="1">
      <c r="K555" s="38"/>
      <c r="L555" s="38"/>
      <c r="M555" s="38"/>
      <c r="N555" s="38"/>
      <c r="O555" s="38"/>
      <c r="P555" s="38"/>
      <c r="Q555" s="38"/>
      <c r="R555" s="38"/>
      <c r="S555" s="38"/>
      <c r="T555" s="38"/>
      <c r="U555" s="38"/>
      <c r="V555" s="38"/>
      <c r="W555" s="38"/>
      <c r="X555" s="38"/>
      <c r="Y555" s="38"/>
      <c r="Z555" s="38">
        <f t="shared" si="60"/>
        <v>502</v>
      </c>
      <c r="AA555" t="e">
        <f t="shared" si="58"/>
        <v>#DIV/0!</v>
      </c>
      <c r="AB555" s="1" t="e">
        <f t="shared" si="59"/>
        <v>#DIV/0!</v>
      </c>
    </row>
    <row r="556" spans="11:28" ht="33" customHeight="1">
      <c r="K556" s="38"/>
      <c r="L556" s="38"/>
      <c r="M556" s="38"/>
      <c r="N556" s="38"/>
      <c r="O556" s="38"/>
      <c r="P556" s="38"/>
      <c r="Q556" s="38"/>
      <c r="R556" s="38"/>
      <c r="S556" s="38"/>
      <c r="T556" s="38"/>
      <c r="U556" s="38"/>
      <c r="V556" s="38"/>
      <c r="W556" s="38"/>
      <c r="X556" s="38"/>
      <c r="Y556" s="38"/>
      <c r="Z556" s="38">
        <f t="shared" si="60"/>
        <v>503</v>
      </c>
      <c r="AA556" t="e">
        <f t="shared" si="58"/>
        <v>#DIV/0!</v>
      </c>
      <c r="AB556" s="1" t="e">
        <f t="shared" si="59"/>
        <v>#DIV/0!</v>
      </c>
    </row>
    <row r="557" spans="11:28" ht="33" customHeight="1">
      <c r="K557" s="38"/>
      <c r="L557" s="38"/>
      <c r="M557" s="38"/>
      <c r="N557" s="38"/>
      <c r="O557" s="38"/>
      <c r="P557" s="38"/>
      <c r="Q557" s="38"/>
      <c r="R557" s="38"/>
      <c r="S557" s="38"/>
      <c r="T557" s="38"/>
      <c r="U557" s="38"/>
      <c r="V557" s="38"/>
      <c r="W557" s="38"/>
      <c r="X557" s="38"/>
      <c r="Y557" s="38"/>
      <c r="Z557" s="38">
        <f t="shared" si="60"/>
        <v>504</v>
      </c>
      <c r="AA557" t="e">
        <f t="shared" si="58"/>
        <v>#DIV/0!</v>
      </c>
      <c r="AB557" s="1" t="e">
        <f t="shared" si="59"/>
        <v>#DIV/0!</v>
      </c>
    </row>
    <row r="558" spans="11:28" ht="33" customHeight="1">
      <c r="K558" s="38"/>
      <c r="L558" s="38"/>
      <c r="M558" s="38"/>
      <c r="N558" s="38"/>
      <c r="O558" s="38"/>
      <c r="P558" s="38"/>
      <c r="Q558" s="38"/>
      <c r="R558" s="38"/>
      <c r="S558" s="38"/>
      <c r="T558" s="38"/>
      <c r="U558" s="38"/>
      <c r="V558" s="38"/>
      <c r="W558" s="38"/>
      <c r="X558" s="38"/>
      <c r="Y558" s="38"/>
      <c r="Z558" s="38">
        <f t="shared" si="60"/>
        <v>505</v>
      </c>
      <c r="AA558" t="e">
        <f t="shared" si="58"/>
        <v>#DIV/0!</v>
      </c>
      <c r="AB558" s="1" t="e">
        <f t="shared" si="59"/>
        <v>#DIV/0!</v>
      </c>
    </row>
    <row r="559" spans="11:28" ht="33" customHeight="1">
      <c r="K559" s="38"/>
      <c r="L559" s="38"/>
      <c r="M559" s="38"/>
      <c r="N559" s="38"/>
      <c r="O559" s="38"/>
      <c r="P559" s="38"/>
      <c r="Q559" s="38"/>
      <c r="R559" s="38"/>
      <c r="S559" s="38"/>
      <c r="T559" s="38"/>
      <c r="U559" s="38"/>
      <c r="V559" s="38"/>
      <c r="W559" s="38"/>
      <c r="X559" s="38"/>
      <c r="Y559" s="38"/>
      <c r="Z559" s="38">
        <f t="shared" si="60"/>
        <v>506</v>
      </c>
      <c r="AA559" t="e">
        <f t="shared" si="58"/>
        <v>#DIV/0!</v>
      </c>
      <c r="AB559" s="1" t="e">
        <f t="shared" si="59"/>
        <v>#DIV/0!</v>
      </c>
    </row>
    <row r="560" spans="11:28" ht="33" customHeight="1">
      <c r="K560" s="38"/>
      <c r="L560" s="38"/>
      <c r="M560" s="38"/>
      <c r="N560" s="38"/>
      <c r="O560" s="38"/>
      <c r="P560" s="38"/>
      <c r="Q560" s="38"/>
      <c r="R560" s="38"/>
      <c r="S560" s="38"/>
      <c r="T560" s="38"/>
      <c r="U560" s="38"/>
      <c r="V560" s="38"/>
      <c r="W560" s="38"/>
      <c r="X560" s="38"/>
      <c r="Y560" s="38"/>
      <c r="Z560" s="38">
        <f t="shared" si="60"/>
        <v>507</v>
      </c>
      <c r="AA560" t="e">
        <f t="shared" si="58"/>
        <v>#DIV/0!</v>
      </c>
      <c r="AB560" s="1" t="e">
        <f t="shared" si="59"/>
        <v>#DIV/0!</v>
      </c>
    </row>
    <row r="561" spans="11:28" ht="33" customHeight="1">
      <c r="K561" s="38"/>
      <c r="L561" s="38"/>
      <c r="M561" s="38"/>
      <c r="N561" s="38"/>
      <c r="O561" s="38"/>
      <c r="P561" s="38"/>
      <c r="Q561" s="38"/>
      <c r="R561" s="38"/>
      <c r="S561" s="38"/>
      <c r="T561" s="38"/>
      <c r="U561" s="38"/>
      <c r="V561" s="38"/>
      <c r="W561" s="38"/>
      <c r="X561" s="38"/>
      <c r="Y561" s="38"/>
      <c r="Z561" s="38">
        <f t="shared" si="60"/>
        <v>508</v>
      </c>
      <c r="AA561" t="e">
        <f t="shared" si="58"/>
        <v>#DIV/0!</v>
      </c>
      <c r="AB561" s="1" t="e">
        <f t="shared" si="59"/>
        <v>#DIV/0!</v>
      </c>
    </row>
    <row r="562" spans="11:28" ht="33" customHeight="1">
      <c r="K562" s="38"/>
      <c r="L562" s="38"/>
      <c r="M562" s="38"/>
      <c r="N562" s="38"/>
      <c r="O562" s="38"/>
      <c r="P562" s="38"/>
      <c r="Q562" s="38"/>
      <c r="R562" s="38"/>
      <c r="S562" s="38"/>
      <c r="T562" s="38"/>
      <c r="U562" s="38"/>
      <c r="V562" s="38"/>
      <c r="W562" s="38"/>
      <c r="X562" s="38"/>
      <c r="Y562" s="38"/>
      <c r="Z562" s="38">
        <f t="shared" si="60"/>
        <v>509</v>
      </c>
      <c r="AA562" t="e">
        <f t="shared" si="58"/>
        <v>#DIV/0!</v>
      </c>
      <c r="AB562" s="1" t="e">
        <f t="shared" si="59"/>
        <v>#DIV/0!</v>
      </c>
    </row>
    <row r="563" spans="11:28" ht="33" customHeight="1">
      <c r="K563" s="38"/>
      <c r="L563" s="38"/>
      <c r="M563" s="38"/>
      <c r="N563" s="38"/>
      <c r="O563" s="38"/>
      <c r="P563" s="38"/>
      <c r="Q563" s="38"/>
      <c r="R563" s="38"/>
      <c r="S563" s="38"/>
      <c r="T563" s="38"/>
      <c r="U563" s="38"/>
      <c r="V563" s="38"/>
      <c r="W563" s="38"/>
      <c r="X563" s="38"/>
      <c r="Y563" s="38"/>
      <c r="Z563" s="38">
        <f t="shared" si="60"/>
        <v>510</v>
      </c>
      <c r="AA563" t="e">
        <f t="shared" si="58"/>
        <v>#DIV/0!</v>
      </c>
      <c r="AB563" s="1" t="e">
        <f t="shared" si="59"/>
        <v>#DIV/0!</v>
      </c>
    </row>
    <row r="564" spans="11:28" ht="33" customHeight="1">
      <c r="K564" s="38"/>
      <c r="L564" s="38"/>
      <c r="M564" s="38"/>
      <c r="N564" s="38"/>
      <c r="O564" s="38"/>
      <c r="P564" s="38"/>
      <c r="Q564" s="38"/>
      <c r="R564" s="38"/>
      <c r="S564" s="38"/>
      <c r="T564" s="38"/>
      <c r="U564" s="38"/>
      <c r="V564" s="38"/>
      <c r="W564" s="38"/>
      <c r="X564" s="38"/>
      <c r="Y564" s="38"/>
      <c r="Z564" s="38">
        <f t="shared" si="60"/>
        <v>511</v>
      </c>
      <c r="AA564" t="e">
        <f t="shared" si="58"/>
        <v>#DIV/0!</v>
      </c>
      <c r="AB564" s="1" t="e">
        <f t="shared" si="59"/>
        <v>#DIV/0!</v>
      </c>
    </row>
    <row r="565" spans="11:28" ht="33" customHeight="1">
      <c r="K565" s="38"/>
      <c r="L565" s="38"/>
      <c r="M565" s="38"/>
      <c r="N565" s="38"/>
      <c r="O565" s="38"/>
      <c r="P565" s="38"/>
      <c r="Q565" s="38"/>
      <c r="R565" s="38"/>
      <c r="S565" s="38"/>
      <c r="T565" s="38"/>
      <c r="U565" s="38"/>
      <c r="V565" s="38"/>
      <c r="W565" s="38"/>
      <c r="X565" s="38"/>
      <c r="Y565" s="38"/>
      <c r="Z565" s="38">
        <f t="shared" si="60"/>
        <v>512</v>
      </c>
      <c r="AA565" t="e">
        <f t="shared" si="58"/>
        <v>#DIV/0!</v>
      </c>
      <c r="AB565" s="1" t="e">
        <f t="shared" si="59"/>
        <v>#DIV/0!</v>
      </c>
    </row>
    <row r="566" spans="11:28" ht="33" customHeight="1">
      <c r="K566" s="38"/>
      <c r="L566" s="38"/>
      <c r="M566" s="38"/>
      <c r="N566" s="38"/>
      <c r="O566" s="38"/>
      <c r="P566" s="38"/>
      <c r="Q566" s="38"/>
      <c r="R566" s="38"/>
      <c r="S566" s="38"/>
      <c r="T566" s="38"/>
      <c r="U566" s="38"/>
      <c r="V566" s="38"/>
      <c r="W566" s="38"/>
      <c r="X566" s="38"/>
      <c r="Y566" s="38"/>
      <c r="Z566" s="38">
        <f t="shared" si="60"/>
        <v>513</v>
      </c>
      <c r="AA566" t="e">
        <f t="shared" si="58"/>
        <v>#DIV/0!</v>
      </c>
      <c r="AB566" s="1" t="e">
        <f t="shared" si="59"/>
        <v>#DIV/0!</v>
      </c>
    </row>
    <row r="567" spans="11:28" ht="33" customHeight="1">
      <c r="K567" s="38"/>
      <c r="L567" s="38"/>
      <c r="M567" s="38"/>
      <c r="N567" s="38"/>
      <c r="O567" s="38"/>
      <c r="P567" s="38"/>
      <c r="Q567" s="38"/>
      <c r="R567" s="38"/>
      <c r="S567" s="38"/>
      <c r="T567" s="38"/>
      <c r="U567" s="38"/>
      <c r="V567" s="38"/>
      <c r="W567" s="38"/>
      <c r="X567" s="38"/>
      <c r="Y567" s="38"/>
      <c r="Z567" s="38">
        <f t="shared" si="60"/>
        <v>514</v>
      </c>
      <c r="AA567" t="e">
        <f t="shared" si="58"/>
        <v>#DIV/0!</v>
      </c>
      <c r="AB567" s="1" t="e">
        <f t="shared" si="59"/>
        <v>#DIV/0!</v>
      </c>
    </row>
    <row r="568" spans="11:28" ht="33" customHeight="1">
      <c r="K568" s="38"/>
      <c r="L568" s="38"/>
      <c r="M568" s="38"/>
      <c r="N568" s="38"/>
      <c r="O568" s="38"/>
      <c r="P568" s="38"/>
      <c r="Q568" s="38"/>
      <c r="R568" s="38"/>
      <c r="S568" s="38"/>
      <c r="T568" s="38"/>
      <c r="U568" s="38"/>
      <c r="V568" s="38"/>
      <c r="W568" s="38"/>
      <c r="X568" s="38"/>
      <c r="Y568" s="38"/>
      <c r="Z568" s="38">
        <f t="shared" si="60"/>
        <v>515</v>
      </c>
      <c r="AA568" t="e">
        <f t="shared" si="58"/>
        <v>#DIV/0!</v>
      </c>
      <c r="AB568" s="1" t="e">
        <f t="shared" si="59"/>
        <v>#DIV/0!</v>
      </c>
    </row>
    <row r="569" spans="11:28" ht="33" customHeight="1">
      <c r="K569" s="38"/>
      <c r="L569" s="38"/>
      <c r="M569" s="38"/>
      <c r="N569" s="38"/>
      <c r="O569" s="38"/>
      <c r="P569" s="38"/>
      <c r="Q569" s="38"/>
      <c r="R569" s="38"/>
      <c r="S569" s="38"/>
      <c r="T569" s="38"/>
      <c r="U569" s="38"/>
      <c r="V569" s="38"/>
      <c r="W569" s="38"/>
      <c r="X569" s="38"/>
      <c r="Y569" s="38"/>
      <c r="Z569" s="38">
        <f t="shared" si="60"/>
        <v>516</v>
      </c>
      <c r="AA569" t="e">
        <f t="shared" si="58"/>
        <v>#DIV/0!</v>
      </c>
      <c r="AB569" s="1" t="e">
        <f t="shared" si="59"/>
        <v>#DIV/0!</v>
      </c>
    </row>
    <row r="570" spans="11:28" ht="33" customHeight="1">
      <c r="K570" s="38"/>
      <c r="L570" s="38"/>
      <c r="M570" s="38"/>
      <c r="N570" s="38"/>
      <c r="O570" s="38"/>
      <c r="P570" s="38"/>
      <c r="Q570" s="38"/>
      <c r="R570" s="38"/>
      <c r="S570" s="38"/>
      <c r="T570" s="38"/>
      <c r="U570" s="38"/>
      <c r="V570" s="38"/>
      <c r="W570" s="38"/>
      <c r="X570" s="38"/>
      <c r="Y570" s="38"/>
      <c r="Z570" s="38">
        <f t="shared" si="60"/>
        <v>517</v>
      </c>
      <c r="AA570" t="e">
        <f t="shared" si="58"/>
        <v>#DIV/0!</v>
      </c>
      <c r="AB570" s="1" t="e">
        <f t="shared" si="59"/>
        <v>#DIV/0!</v>
      </c>
    </row>
    <row r="571" spans="11:28" ht="33" customHeight="1">
      <c r="K571" s="38"/>
      <c r="L571" s="38"/>
      <c r="M571" s="38"/>
      <c r="N571" s="38"/>
      <c r="O571" s="38"/>
      <c r="P571" s="38"/>
      <c r="Q571" s="38"/>
      <c r="R571" s="38"/>
      <c r="S571" s="38"/>
      <c r="T571" s="38"/>
      <c r="U571" s="38"/>
      <c r="V571" s="38"/>
      <c r="W571" s="38"/>
      <c r="X571" s="38"/>
      <c r="Y571" s="38"/>
      <c r="Z571" s="38">
        <f t="shared" si="60"/>
        <v>518</v>
      </c>
      <c r="AA571" t="e">
        <f t="shared" si="58"/>
        <v>#DIV/0!</v>
      </c>
      <c r="AB571" s="1" t="e">
        <f t="shared" si="59"/>
        <v>#DIV/0!</v>
      </c>
    </row>
    <row r="572" spans="11:28" ht="33" customHeight="1">
      <c r="K572" s="38"/>
      <c r="L572" s="38"/>
      <c r="M572" s="38"/>
      <c r="N572" s="38"/>
      <c r="O572" s="38"/>
      <c r="P572" s="38"/>
      <c r="Q572" s="38"/>
      <c r="R572" s="38"/>
      <c r="S572" s="38"/>
      <c r="T572" s="38"/>
      <c r="U572" s="38"/>
      <c r="V572" s="38"/>
      <c r="W572" s="38"/>
      <c r="X572" s="38"/>
      <c r="Y572" s="38"/>
      <c r="Z572" s="38">
        <f t="shared" si="60"/>
        <v>519</v>
      </c>
      <c r="AA572" t="e">
        <f t="shared" si="58"/>
        <v>#DIV/0!</v>
      </c>
      <c r="AB572" s="1" t="e">
        <f t="shared" si="59"/>
        <v>#DIV/0!</v>
      </c>
    </row>
    <row r="573" spans="11:28" ht="33" customHeight="1">
      <c r="K573" s="38"/>
      <c r="L573" s="38"/>
      <c r="M573" s="38"/>
      <c r="N573" s="38"/>
      <c r="O573" s="38"/>
      <c r="P573" s="38"/>
      <c r="Q573" s="38"/>
      <c r="R573" s="38"/>
      <c r="S573" s="38"/>
      <c r="T573" s="38"/>
      <c r="U573" s="38"/>
      <c r="V573" s="38"/>
      <c r="W573" s="38"/>
      <c r="X573" s="38"/>
      <c r="Y573" s="38"/>
      <c r="Z573" s="38">
        <f t="shared" si="60"/>
        <v>520</v>
      </c>
      <c r="AA573" t="e">
        <f t="shared" si="58"/>
        <v>#DIV/0!</v>
      </c>
      <c r="AB573" s="1" t="e">
        <f t="shared" si="59"/>
        <v>#DIV/0!</v>
      </c>
    </row>
    <row r="574" spans="11:28" ht="33" customHeight="1">
      <c r="K574" s="38"/>
      <c r="L574" s="38"/>
      <c r="M574" s="38"/>
      <c r="N574" s="38"/>
      <c r="O574" s="38"/>
      <c r="P574" s="38"/>
      <c r="Q574" s="38"/>
      <c r="R574" s="38"/>
      <c r="S574" s="38"/>
      <c r="T574" s="38"/>
      <c r="U574" s="38"/>
      <c r="V574" s="38"/>
      <c r="W574" s="38"/>
      <c r="X574" s="38"/>
      <c r="Y574" s="38"/>
      <c r="Z574" s="38">
        <f t="shared" si="60"/>
        <v>521</v>
      </c>
      <c r="AA574" t="e">
        <f t="shared" si="58"/>
        <v>#DIV/0!</v>
      </c>
      <c r="AB574" s="1" t="e">
        <f t="shared" si="59"/>
        <v>#DIV/0!</v>
      </c>
    </row>
    <row r="575" spans="11:28" ht="33" customHeight="1">
      <c r="K575" s="38"/>
      <c r="L575" s="38"/>
      <c r="M575" s="38"/>
      <c r="N575" s="38"/>
      <c r="O575" s="38"/>
      <c r="P575" s="38"/>
      <c r="Q575" s="38"/>
      <c r="R575" s="38"/>
      <c r="S575" s="38"/>
      <c r="T575" s="38"/>
      <c r="U575" s="38"/>
      <c r="V575" s="38"/>
      <c r="W575" s="38"/>
      <c r="X575" s="38"/>
      <c r="Y575" s="38"/>
      <c r="Z575" s="38">
        <f t="shared" si="60"/>
        <v>522</v>
      </c>
      <c r="AA575" t="e">
        <f t="shared" si="58"/>
        <v>#DIV/0!</v>
      </c>
      <c r="AB575" s="1" t="e">
        <f t="shared" si="59"/>
        <v>#DIV/0!</v>
      </c>
    </row>
    <row r="576" spans="11:28" ht="33" customHeight="1">
      <c r="K576" s="38"/>
      <c r="L576" s="38"/>
      <c r="M576" s="38"/>
      <c r="N576" s="38"/>
      <c r="O576" s="38"/>
      <c r="P576" s="38"/>
      <c r="Q576" s="38"/>
      <c r="R576" s="38"/>
      <c r="S576" s="38"/>
      <c r="T576" s="38"/>
      <c r="U576" s="38"/>
      <c r="V576" s="38"/>
      <c r="W576" s="38"/>
      <c r="X576" s="38"/>
      <c r="Y576" s="38"/>
      <c r="Z576" s="38">
        <f t="shared" si="60"/>
        <v>523</v>
      </c>
      <c r="AA576" t="e">
        <f t="shared" si="58"/>
        <v>#DIV/0!</v>
      </c>
      <c r="AB576" s="1" t="e">
        <f t="shared" si="59"/>
        <v>#DIV/0!</v>
      </c>
    </row>
    <row r="577" spans="11:28" ht="33" customHeight="1">
      <c r="K577" s="38"/>
      <c r="L577" s="38"/>
      <c r="M577" s="38"/>
      <c r="N577" s="38"/>
      <c r="O577" s="38"/>
      <c r="P577" s="38"/>
      <c r="Q577" s="38"/>
      <c r="R577" s="38"/>
      <c r="S577" s="38"/>
      <c r="T577" s="38"/>
      <c r="U577" s="38"/>
      <c r="V577" s="38"/>
      <c r="W577" s="38"/>
      <c r="X577" s="38"/>
      <c r="Y577" s="38"/>
      <c r="Z577" s="38">
        <f t="shared" si="60"/>
        <v>524</v>
      </c>
      <c r="AA577" t="e">
        <f t="shared" si="58"/>
        <v>#DIV/0!</v>
      </c>
      <c r="AB577" s="1" t="e">
        <f t="shared" si="59"/>
        <v>#DIV/0!</v>
      </c>
    </row>
    <row r="578" spans="11:28" ht="33" customHeight="1">
      <c r="K578" s="38"/>
      <c r="L578" s="38"/>
      <c r="M578" s="38"/>
      <c r="N578" s="38"/>
      <c r="O578" s="38"/>
      <c r="P578" s="38"/>
      <c r="Q578" s="38"/>
      <c r="R578" s="38"/>
      <c r="S578" s="38"/>
      <c r="T578" s="38"/>
      <c r="U578" s="38"/>
      <c r="V578" s="38"/>
      <c r="W578" s="38"/>
      <c r="X578" s="38"/>
      <c r="Y578" s="38"/>
      <c r="Z578" s="38">
        <f t="shared" si="60"/>
        <v>525</v>
      </c>
      <c r="AA578" t="e">
        <f t="shared" si="58"/>
        <v>#DIV/0!</v>
      </c>
      <c r="AB578" s="1" t="e">
        <f t="shared" si="59"/>
        <v>#DIV/0!</v>
      </c>
    </row>
    <row r="579" spans="11:28" ht="33" customHeight="1">
      <c r="K579" s="38"/>
      <c r="L579" s="38"/>
      <c r="M579" s="38"/>
      <c r="N579" s="38"/>
      <c r="O579" s="38"/>
      <c r="P579" s="38"/>
      <c r="Q579" s="38"/>
      <c r="R579" s="38"/>
      <c r="S579" s="38"/>
      <c r="T579" s="38"/>
      <c r="U579" s="38"/>
      <c r="V579" s="38"/>
      <c r="W579" s="38"/>
      <c r="X579" s="38"/>
      <c r="Y579" s="38"/>
      <c r="Z579" s="38">
        <f t="shared" si="60"/>
        <v>526</v>
      </c>
      <c r="AA579" t="e">
        <f t="shared" si="58"/>
        <v>#DIV/0!</v>
      </c>
      <c r="AB579" s="1" t="e">
        <f t="shared" si="59"/>
        <v>#DIV/0!</v>
      </c>
    </row>
    <row r="580" spans="11:28" ht="33" customHeight="1">
      <c r="K580" s="38"/>
      <c r="L580" s="38"/>
      <c r="M580" s="38"/>
      <c r="N580" s="38"/>
      <c r="O580" s="38"/>
      <c r="P580" s="38"/>
      <c r="Q580" s="38"/>
      <c r="R580" s="38"/>
      <c r="S580" s="38"/>
      <c r="T580" s="38"/>
      <c r="U580" s="38"/>
      <c r="V580" s="38"/>
      <c r="W580" s="38"/>
      <c r="X580" s="38"/>
      <c r="Y580" s="38"/>
      <c r="Z580" s="38">
        <f t="shared" si="60"/>
        <v>527</v>
      </c>
      <c r="AA580" t="e">
        <f t="shared" si="58"/>
        <v>#DIV/0!</v>
      </c>
      <c r="AB580" s="1" t="e">
        <f t="shared" si="59"/>
        <v>#DIV/0!</v>
      </c>
    </row>
    <row r="581" spans="11:28" ht="33" customHeight="1">
      <c r="K581" s="38"/>
      <c r="L581" s="38"/>
      <c r="M581" s="38"/>
      <c r="N581" s="38"/>
      <c r="O581" s="38"/>
      <c r="P581" s="38"/>
      <c r="Q581" s="38"/>
      <c r="R581" s="38"/>
      <c r="S581" s="38"/>
      <c r="T581" s="38"/>
      <c r="U581" s="38"/>
      <c r="V581" s="38"/>
      <c r="W581" s="38"/>
      <c r="X581" s="38"/>
      <c r="Y581" s="38"/>
      <c r="Z581" s="38">
        <f t="shared" si="60"/>
        <v>528</v>
      </c>
      <c r="AA581" t="e">
        <f t="shared" si="58"/>
        <v>#DIV/0!</v>
      </c>
      <c r="AB581" s="1" t="e">
        <f t="shared" si="59"/>
        <v>#DIV/0!</v>
      </c>
    </row>
    <row r="582" spans="11:28" ht="33" customHeight="1">
      <c r="K582" s="38"/>
      <c r="L582" s="38"/>
      <c r="M582" s="38"/>
      <c r="N582" s="38"/>
      <c r="O582" s="38"/>
      <c r="P582" s="38"/>
      <c r="Q582" s="38"/>
      <c r="R582" s="38"/>
      <c r="S582" s="38"/>
      <c r="T582" s="38"/>
      <c r="U582" s="38"/>
      <c r="V582" s="38"/>
      <c r="W582" s="38"/>
      <c r="X582" s="38"/>
      <c r="Y582" s="38"/>
      <c r="Z582" s="38">
        <f t="shared" si="60"/>
        <v>529</v>
      </c>
      <c r="AA582" t="e">
        <f t="shared" si="58"/>
        <v>#DIV/0!</v>
      </c>
      <c r="AB582" s="1" t="e">
        <f t="shared" si="59"/>
        <v>#DIV/0!</v>
      </c>
    </row>
    <row r="583" spans="11:28" ht="33" customHeight="1">
      <c r="K583" s="38"/>
      <c r="L583" s="38"/>
      <c r="M583" s="38"/>
      <c r="N583" s="38"/>
      <c r="O583" s="38"/>
      <c r="P583" s="38"/>
      <c r="Q583" s="38"/>
      <c r="R583" s="38"/>
      <c r="S583" s="38"/>
      <c r="T583" s="38"/>
      <c r="U583" s="38"/>
      <c r="V583" s="38"/>
      <c r="W583" s="38"/>
      <c r="X583" s="38"/>
      <c r="Y583" s="38"/>
      <c r="Z583" s="38">
        <f t="shared" si="60"/>
        <v>530</v>
      </c>
      <c r="AA583" t="e">
        <f t="shared" si="58"/>
        <v>#DIV/0!</v>
      </c>
      <c r="AB583" s="1" t="e">
        <f t="shared" si="59"/>
        <v>#DIV/0!</v>
      </c>
    </row>
    <row r="584" spans="11:28" ht="33" customHeight="1">
      <c r="K584" s="38"/>
      <c r="L584" s="38"/>
      <c r="M584" s="38"/>
      <c r="N584" s="38"/>
      <c r="O584" s="38"/>
      <c r="P584" s="38"/>
      <c r="Q584" s="38"/>
      <c r="R584" s="38"/>
      <c r="S584" s="38"/>
      <c r="T584" s="38"/>
      <c r="U584" s="38"/>
      <c r="V584" s="38"/>
      <c r="W584" s="38"/>
      <c r="X584" s="38"/>
      <c r="Y584" s="38"/>
      <c r="Z584" s="38">
        <f t="shared" si="60"/>
        <v>531</v>
      </c>
      <c r="AA584" t="e">
        <f t="shared" si="58"/>
        <v>#DIV/0!</v>
      </c>
      <c r="AB584" s="1" t="e">
        <f t="shared" si="59"/>
        <v>#DIV/0!</v>
      </c>
    </row>
    <row r="585" spans="11:28" ht="33" customHeight="1">
      <c r="K585" s="38"/>
      <c r="L585" s="38"/>
      <c r="M585" s="38"/>
      <c r="N585" s="38"/>
      <c r="O585" s="38"/>
      <c r="P585" s="38"/>
      <c r="Q585" s="38"/>
      <c r="R585" s="38"/>
      <c r="S585" s="38"/>
      <c r="T585" s="38"/>
      <c r="U585" s="38"/>
      <c r="V585" s="38"/>
      <c r="W585" s="38"/>
      <c r="X585" s="38"/>
      <c r="Y585" s="38"/>
      <c r="Z585" s="38">
        <f t="shared" si="60"/>
        <v>532</v>
      </c>
      <c r="AA585" t="e">
        <f t="shared" si="58"/>
        <v>#DIV/0!</v>
      </c>
      <c r="AB585" s="1" t="e">
        <f t="shared" si="59"/>
        <v>#DIV/0!</v>
      </c>
    </row>
    <row r="586" spans="11:28" ht="33" customHeight="1">
      <c r="K586" s="38"/>
      <c r="L586" s="38"/>
      <c r="M586" s="38"/>
      <c r="N586" s="38"/>
      <c r="O586" s="38"/>
      <c r="P586" s="38"/>
      <c r="Q586" s="38"/>
      <c r="R586" s="38"/>
      <c r="S586" s="38"/>
      <c r="T586" s="38"/>
      <c r="U586" s="38"/>
      <c r="V586" s="38"/>
      <c r="W586" s="38"/>
      <c r="X586" s="38"/>
      <c r="Y586" s="38"/>
      <c r="Z586" s="38">
        <f t="shared" si="60"/>
        <v>533</v>
      </c>
      <c r="AA586" t="e">
        <f t="shared" si="58"/>
        <v>#DIV/0!</v>
      </c>
      <c r="AB586" s="1" t="e">
        <f t="shared" si="59"/>
        <v>#DIV/0!</v>
      </c>
    </row>
    <row r="587" spans="11:28" ht="33" customHeight="1">
      <c r="K587" s="38"/>
      <c r="L587" s="38"/>
      <c r="M587" s="38"/>
      <c r="N587" s="38"/>
      <c r="O587" s="38"/>
      <c r="P587" s="38"/>
      <c r="Q587" s="38"/>
      <c r="R587" s="38"/>
      <c r="S587" s="38"/>
      <c r="T587" s="38"/>
      <c r="U587" s="38"/>
      <c r="V587" s="38"/>
      <c r="W587" s="38"/>
      <c r="X587" s="38"/>
      <c r="Y587" s="38"/>
      <c r="Z587" s="38">
        <f t="shared" si="60"/>
        <v>534</v>
      </c>
      <c r="AA587" t="e">
        <f t="shared" ref="AA587:AA650" si="61">IF(AB587=Z587,1,0)</f>
        <v>#DIV/0!</v>
      </c>
      <c r="AB587" s="1" t="e">
        <f t="shared" ref="AB587:AB650" si="62">$AB$8</f>
        <v>#DIV/0!</v>
      </c>
    </row>
    <row r="588" spans="11:28" ht="33" customHeight="1">
      <c r="K588" s="38"/>
      <c r="L588" s="38"/>
      <c r="M588" s="38"/>
      <c r="N588" s="38"/>
      <c r="O588" s="38"/>
      <c r="P588" s="38"/>
      <c r="Q588" s="38"/>
      <c r="R588" s="38"/>
      <c r="S588" s="38"/>
      <c r="T588" s="38"/>
      <c r="U588" s="38"/>
      <c r="V588" s="38"/>
      <c r="W588" s="38"/>
      <c r="X588" s="38"/>
      <c r="Y588" s="38"/>
      <c r="Z588" s="38">
        <f t="shared" ref="Z588:Z651" si="63">Z587+1</f>
        <v>535</v>
      </c>
      <c r="AA588" t="e">
        <f t="shared" si="61"/>
        <v>#DIV/0!</v>
      </c>
      <c r="AB588" s="1" t="e">
        <f t="shared" si="62"/>
        <v>#DIV/0!</v>
      </c>
    </row>
    <row r="589" spans="11:28" ht="33" customHeight="1">
      <c r="K589" s="38"/>
      <c r="L589" s="38"/>
      <c r="M589" s="38"/>
      <c r="N589" s="38"/>
      <c r="O589" s="38"/>
      <c r="P589" s="38"/>
      <c r="Q589" s="38"/>
      <c r="R589" s="38"/>
      <c r="S589" s="38"/>
      <c r="T589" s="38"/>
      <c r="U589" s="38"/>
      <c r="V589" s="38"/>
      <c r="W589" s="38"/>
      <c r="X589" s="38"/>
      <c r="Y589" s="38"/>
      <c r="Z589" s="38">
        <f t="shared" si="63"/>
        <v>536</v>
      </c>
      <c r="AA589" t="e">
        <f t="shared" si="61"/>
        <v>#DIV/0!</v>
      </c>
      <c r="AB589" s="1" t="e">
        <f t="shared" si="62"/>
        <v>#DIV/0!</v>
      </c>
    </row>
    <row r="590" spans="11:28" ht="33" customHeight="1">
      <c r="K590" s="38"/>
      <c r="L590" s="38"/>
      <c r="M590" s="38"/>
      <c r="N590" s="38"/>
      <c r="O590" s="38"/>
      <c r="P590" s="38"/>
      <c r="Q590" s="38"/>
      <c r="R590" s="38"/>
      <c r="S590" s="38"/>
      <c r="T590" s="38"/>
      <c r="U590" s="38"/>
      <c r="V590" s="38"/>
      <c r="W590" s="38"/>
      <c r="X590" s="38"/>
      <c r="Y590" s="38"/>
      <c r="Z590" s="38">
        <f t="shared" si="63"/>
        <v>537</v>
      </c>
      <c r="AA590" t="e">
        <f t="shared" si="61"/>
        <v>#DIV/0!</v>
      </c>
      <c r="AB590" s="1" t="e">
        <f t="shared" si="62"/>
        <v>#DIV/0!</v>
      </c>
    </row>
    <row r="591" spans="11:28" ht="33" customHeight="1">
      <c r="K591" s="38"/>
      <c r="L591" s="38"/>
      <c r="M591" s="38"/>
      <c r="N591" s="38"/>
      <c r="O591" s="38"/>
      <c r="P591" s="38"/>
      <c r="Q591" s="38"/>
      <c r="R591" s="38"/>
      <c r="S591" s="38"/>
      <c r="T591" s="38"/>
      <c r="U591" s="38"/>
      <c r="V591" s="38"/>
      <c r="W591" s="38"/>
      <c r="X591" s="38"/>
      <c r="Y591" s="38"/>
      <c r="Z591" s="38">
        <f t="shared" si="63"/>
        <v>538</v>
      </c>
      <c r="AA591" t="e">
        <f t="shared" si="61"/>
        <v>#DIV/0!</v>
      </c>
      <c r="AB591" s="1" t="e">
        <f t="shared" si="62"/>
        <v>#DIV/0!</v>
      </c>
    </row>
    <row r="592" spans="11:28" ht="33" customHeight="1">
      <c r="K592" s="38"/>
      <c r="L592" s="38"/>
      <c r="M592" s="38"/>
      <c r="N592" s="38"/>
      <c r="O592" s="38"/>
      <c r="P592" s="38"/>
      <c r="Q592" s="38"/>
      <c r="R592" s="38"/>
      <c r="S592" s="38"/>
      <c r="T592" s="38"/>
      <c r="U592" s="38"/>
      <c r="V592" s="38"/>
      <c r="W592" s="38"/>
      <c r="X592" s="38"/>
      <c r="Y592" s="38"/>
      <c r="Z592" s="38">
        <f t="shared" si="63"/>
        <v>539</v>
      </c>
      <c r="AA592" t="e">
        <f t="shared" si="61"/>
        <v>#DIV/0!</v>
      </c>
      <c r="AB592" s="1" t="e">
        <f t="shared" si="62"/>
        <v>#DIV/0!</v>
      </c>
    </row>
    <row r="593" spans="11:28" ht="33" customHeight="1">
      <c r="K593" s="38"/>
      <c r="L593" s="38"/>
      <c r="M593" s="38"/>
      <c r="N593" s="38"/>
      <c r="O593" s="38"/>
      <c r="P593" s="38"/>
      <c r="Q593" s="38"/>
      <c r="R593" s="38"/>
      <c r="S593" s="38"/>
      <c r="T593" s="38"/>
      <c r="U593" s="38"/>
      <c r="V593" s="38"/>
      <c r="W593" s="38"/>
      <c r="X593" s="38"/>
      <c r="Y593" s="38"/>
      <c r="Z593" s="38">
        <f t="shared" si="63"/>
        <v>540</v>
      </c>
      <c r="AA593" t="e">
        <f t="shared" si="61"/>
        <v>#DIV/0!</v>
      </c>
      <c r="AB593" s="1" t="e">
        <f t="shared" si="62"/>
        <v>#DIV/0!</v>
      </c>
    </row>
    <row r="594" spans="11:28" ht="33" customHeight="1">
      <c r="K594" s="38"/>
      <c r="L594" s="38"/>
      <c r="M594" s="38"/>
      <c r="N594" s="38"/>
      <c r="O594" s="38"/>
      <c r="P594" s="38"/>
      <c r="Q594" s="38"/>
      <c r="R594" s="38"/>
      <c r="S594" s="38"/>
      <c r="T594" s="38"/>
      <c r="U594" s="38"/>
      <c r="V594" s="38"/>
      <c r="W594" s="38"/>
      <c r="X594" s="38"/>
      <c r="Y594" s="38"/>
      <c r="Z594" s="38">
        <f t="shared" si="63"/>
        <v>541</v>
      </c>
      <c r="AA594" t="e">
        <f t="shared" si="61"/>
        <v>#DIV/0!</v>
      </c>
      <c r="AB594" s="1" t="e">
        <f t="shared" si="62"/>
        <v>#DIV/0!</v>
      </c>
    </row>
    <row r="595" spans="11:28" ht="33" customHeight="1">
      <c r="K595" s="38"/>
      <c r="L595" s="38"/>
      <c r="M595" s="38"/>
      <c r="N595" s="38"/>
      <c r="O595" s="38"/>
      <c r="P595" s="38"/>
      <c r="Q595" s="38"/>
      <c r="R595" s="38"/>
      <c r="S595" s="38"/>
      <c r="T595" s="38"/>
      <c r="U595" s="38"/>
      <c r="V595" s="38"/>
      <c r="W595" s="38"/>
      <c r="X595" s="38"/>
      <c r="Y595" s="38"/>
      <c r="Z595" s="38">
        <f t="shared" si="63"/>
        <v>542</v>
      </c>
      <c r="AA595" t="e">
        <f t="shared" si="61"/>
        <v>#DIV/0!</v>
      </c>
      <c r="AB595" s="1" t="e">
        <f t="shared" si="62"/>
        <v>#DIV/0!</v>
      </c>
    </row>
    <row r="596" spans="11:28" ht="33" customHeight="1">
      <c r="K596" s="38"/>
      <c r="L596" s="38"/>
      <c r="M596" s="38"/>
      <c r="N596" s="38"/>
      <c r="O596" s="38"/>
      <c r="P596" s="38"/>
      <c r="Q596" s="38"/>
      <c r="R596" s="38"/>
      <c r="S596" s="38"/>
      <c r="T596" s="38"/>
      <c r="U596" s="38"/>
      <c r="V596" s="38"/>
      <c r="W596" s="38"/>
      <c r="X596" s="38"/>
      <c r="Y596" s="38"/>
      <c r="Z596" s="38">
        <f t="shared" si="63"/>
        <v>543</v>
      </c>
      <c r="AA596" t="e">
        <f t="shared" si="61"/>
        <v>#DIV/0!</v>
      </c>
      <c r="AB596" s="1" t="e">
        <f t="shared" si="62"/>
        <v>#DIV/0!</v>
      </c>
    </row>
    <row r="597" spans="11:28" ht="33" customHeight="1">
      <c r="K597" s="38"/>
      <c r="L597" s="38"/>
      <c r="M597" s="38"/>
      <c r="N597" s="38"/>
      <c r="O597" s="38"/>
      <c r="P597" s="38"/>
      <c r="Q597" s="38"/>
      <c r="R597" s="38"/>
      <c r="S597" s="38"/>
      <c r="T597" s="38"/>
      <c r="U597" s="38"/>
      <c r="V597" s="38"/>
      <c r="W597" s="38"/>
      <c r="X597" s="38"/>
      <c r="Y597" s="38"/>
      <c r="Z597" s="38">
        <f t="shared" si="63"/>
        <v>544</v>
      </c>
      <c r="AA597" t="e">
        <f t="shared" si="61"/>
        <v>#DIV/0!</v>
      </c>
      <c r="AB597" s="1" t="e">
        <f t="shared" si="62"/>
        <v>#DIV/0!</v>
      </c>
    </row>
    <row r="598" spans="11:28" ht="33" customHeight="1">
      <c r="K598" s="38"/>
      <c r="L598" s="38"/>
      <c r="M598" s="38"/>
      <c r="N598" s="38"/>
      <c r="O598" s="38"/>
      <c r="P598" s="38"/>
      <c r="Q598" s="38"/>
      <c r="R598" s="38"/>
      <c r="S598" s="38"/>
      <c r="T598" s="38"/>
      <c r="U598" s="38"/>
      <c r="V598" s="38"/>
      <c r="W598" s="38"/>
      <c r="X598" s="38"/>
      <c r="Y598" s="38"/>
      <c r="Z598" s="38">
        <f t="shared" si="63"/>
        <v>545</v>
      </c>
      <c r="AA598" t="e">
        <f t="shared" si="61"/>
        <v>#DIV/0!</v>
      </c>
      <c r="AB598" s="1" t="e">
        <f t="shared" si="62"/>
        <v>#DIV/0!</v>
      </c>
    </row>
    <row r="599" spans="11:28" ht="33" customHeight="1">
      <c r="K599" s="38"/>
      <c r="L599" s="38"/>
      <c r="M599" s="38"/>
      <c r="N599" s="38"/>
      <c r="O599" s="38"/>
      <c r="P599" s="38"/>
      <c r="Q599" s="38"/>
      <c r="R599" s="38"/>
      <c r="S599" s="38"/>
      <c r="T599" s="38"/>
      <c r="U599" s="38"/>
      <c r="V599" s="38"/>
      <c r="W599" s="38"/>
      <c r="X599" s="38"/>
      <c r="Y599" s="38"/>
      <c r="Z599" s="38">
        <f t="shared" si="63"/>
        <v>546</v>
      </c>
      <c r="AA599" t="e">
        <f t="shared" si="61"/>
        <v>#DIV/0!</v>
      </c>
      <c r="AB599" s="1" t="e">
        <f t="shared" si="62"/>
        <v>#DIV/0!</v>
      </c>
    </row>
    <row r="600" spans="11:28" ht="33" customHeight="1">
      <c r="K600" s="38"/>
      <c r="L600" s="38"/>
      <c r="M600" s="38"/>
      <c r="N600" s="38"/>
      <c r="O600" s="38"/>
      <c r="P600" s="38"/>
      <c r="Q600" s="38"/>
      <c r="R600" s="38"/>
      <c r="S600" s="38"/>
      <c r="T600" s="38"/>
      <c r="U600" s="38"/>
      <c r="V600" s="38"/>
      <c r="W600" s="38"/>
      <c r="X600" s="38"/>
      <c r="Y600" s="38"/>
      <c r="Z600" s="38">
        <f t="shared" si="63"/>
        <v>547</v>
      </c>
      <c r="AA600" t="e">
        <f t="shared" si="61"/>
        <v>#DIV/0!</v>
      </c>
      <c r="AB600" s="1" t="e">
        <f t="shared" si="62"/>
        <v>#DIV/0!</v>
      </c>
    </row>
    <row r="601" spans="11:28" ht="33" customHeight="1">
      <c r="K601" s="38"/>
      <c r="L601" s="38"/>
      <c r="M601" s="38"/>
      <c r="N601" s="38"/>
      <c r="O601" s="38"/>
      <c r="P601" s="38"/>
      <c r="Q601" s="38"/>
      <c r="R601" s="38"/>
      <c r="S601" s="38"/>
      <c r="T601" s="38"/>
      <c r="U601" s="38"/>
      <c r="V601" s="38"/>
      <c r="W601" s="38"/>
      <c r="X601" s="38"/>
      <c r="Y601" s="38"/>
      <c r="Z601" s="38">
        <f t="shared" si="63"/>
        <v>548</v>
      </c>
      <c r="AA601" t="e">
        <f t="shared" si="61"/>
        <v>#DIV/0!</v>
      </c>
      <c r="AB601" s="1" t="e">
        <f t="shared" si="62"/>
        <v>#DIV/0!</v>
      </c>
    </row>
    <row r="602" spans="11:28" ht="33" customHeight="1">
      <c r="K602" s="38"/>
      <c r="L602" s="38"/>
      <c r="M602" s="38"/>
      <c r="N602" s="38"/>
      <c r="O602" s="38"/>
      <c r="P602" s="38"/>
      <c r="Q602" s="38"/>
      <c r="R602" s="38"/>
      <c r="S602" s="38"/>
      <c r="T602" s="38"/>
      <c r="U602" s="38"/>
      <c r="V602" s="38"/>
      <c r="W602" s="38"/>
      <c r="X602" s="38"/>
      <c r="Y602" s="38"/>
      <c r="Z602" s="38">
        <f t="shared" si="63"/>
        <v>549</v>
      </c>
      <c r="AA602" t="e">
        <f t="shared" si="61"/>
        <v>#DIV/0!</v>
      </c>
      <c r="AB602" s="1" t="e">
        <f t="shared" si="62"/>
        <v>#DIV/0!</v>
      </c>
    </row>
    <row r="603" spans="11:28" ht="33" customHeight="1">
      <c r="K603" s="38"/>
      <c r="L603" s="38"/>
      <c r="M603" s="38"/>
      <c r="N603" s="38"/>
      <c r="O603" s="38"/>
      <c r="P603" s="38"/>
      <c r="Q603" s="38"/>
      <c r="R603" s="38"/>
      <c r="S603" s="38"/>
      <c r="T603" s="38"/>
      <c r="U603" s="38"/>
      <c r="V603" s="38"/>
      <c r="W603" s="38"/>
      <c r="X603" s="38"/>
      <c r="Y603" s="38"/>
      <c r="Z603" s="38">
        <f t="shared" si="63"/>
        <v>550</v>
      </c>
      <c r="AA603" t="e">
        <f t="shared" si="61"/>
        <v>#DIV/0!</v>
      </c>
      <c r="AB603" s="1" t="e">
        <f t="shared" si="62"/>
        <v>#DIV/0!</v>
      </c>
    </row>
    <row r="604" spans="11:28" ht="33" customHeight="1">
      <c r="K604" s="38"/>
      <c r="L604" s="38"/>
      <c r="M604" s="38"/>
      <c r="N604" s="38"/>
      <c r="O604" s="38"/>
      <c r="P604" s="38"/>
      <c r="Q604" s="38"/>
      <c r="R604" s="38"/>
      <c r="S604" s="38"/>
      <c r="T604" s="38"/>
      <c r="U604" s="38"/>
      <c r="V604" s="38"/>
      <c r="W604" s="38"/>
      <c r="X604" s="38"/>
      <c r="Y604" s="38"/>
      <c r="Z604" s="38">
        <f t="shared" si="63"/>
        <v>551</v>
      </c>
      <c r="AA604" t="e">
        <f t="shared" si="61"/>
        <v>#DIV/0!</v>
      </c>
      <c r="AB604" s="1" t="e">
        <f t="shared" si="62"/>
        <v>#DIV/0!</v>
      </c>
    </row>
    <row r="605" spans="11:28" ht="33" customHeight="1">
      <c r="K605" s="38"/>
      <c r="L605" s="38"/>
      <c r="M605" s="38"/>
      <c r="N605" s="38"/>
      <c r="O605" s="38"/>
      <c r="P605" s="38"/>
      <c r="Q605" s="38"/>
      <c r="R605" s="38"/>
      <c r="S605" s="38"/>
      <c r="T605" s="38"/>
      <c r="U605" s="38"/>
      <c r="V605" s="38"/>
      <c r="W605" s="38"/>
      <c r="X605" s="38"/>
      <c r="Y605" s="38"/>
      <c r="Z605" s="38">
        <f t="shared" si="63"/>
        <v>552</v>
      </c>
      <c r="AA605" t="e">
        <f t="shared" si="61"/>
        <v>#DIV/0!</v>
      </c>
      <c r="AB605" s="1" t="e">
        <f t="shared" si="62"/>
        <v>#DIV/0!</v>
      </c>
    </row>
    <row r="606" spans="11:28" ht="33" customHeight="1">
      <c r="K606" s="38"/>
      <c r="L606" s="38"/>
      <c r="M606" s="38"/>
      <c r="N606" s="38"/>
      <c r="O606" s="38"/>
      <c r="P606" s="38"/>
      <c r="Q606" s="38"/>
      <c r="R606" s="38"/>
      <c r="S606" s="38"/>
      <c r="T606" s="38"/>
      <c r="U606" s="38"/>
      <c r="V606" s="38"/>
      <c r="W606" s="38"/>
      <c r="X606" s="38"/>
      <c r="Y606" s="38"/>
      <c r="Z606" s="38">
        <f t="shared" si="63"/>
        <v>553</v>
      </c>
      <c r="AA606" t="e">
        <f t="shared" si="61"/>
        <v>#DIV/0!</v>
      </c>
      <c r="AB606" s="1" t="e">
        <f t="shared" si="62"/>
        <v>#DIV/0!</v>
      </c>
    </row>
    <row r="607" spans="11:28" ht="33" customHeight="1">
      <c r="K607" s="38"/>
      <c r="L607" s="38"/>
      <c r="M607" s="38"/>
      <c r="N607" s="38"/>
      <c r="O607" s="38"/>
      <c r="P607" s="38"/>
      <c r="Q607" s="38"/>
      <c r="R607" s="38"/>
      <c r="S607" s="38"/>
      <c r="T607" s="38"/>
      <c r="U607" s="38"/>
      <c r="V607" s="38"/>
      <c r="W607" s="38"/>
      <c r="X607" s="38"/>
      <c r="Y607" s="38"/>
      <c r="Z607" s="38">
        <f t="shared" si="63"/>
        <v>554</v>
      </c>
      <c r="AA607" t="e">
        <f t="shared" si="61"/>
        <v>#DIV/0!</v>
      </c>
      <c r="AB607" s="1" t="e">
        <f t="shared" si="62"/>
        <v>#DIV/0!</v>
      </c>
    </row>
    <row r="608" spans="11:28" ht="33" customHeight="1">
      <c r="K608" s="38"/>
      <c r="L608" s="38"/>
      <c r="M608" s="38"/>
      <c r="N608" s="38"/>
      <c r="O608" s="38"/>
      <c r="P608" s="38"/>
      <c r="Q608" s="38"/>
      <c r="R608" s="38"/>
      <c r="S608" s="38"/>
      <c r="T608" s="38"/>
      <c r="U608" s="38"/>
      <c r="V608" s="38"/>
      <c r="W608" s="38"/>
      <c r="X608" s="38"/>
      <c r="Y608" s="38"/>
      <c r="Z608" s="38">
        <f t="shared" si="63"/>
        <v>555</v>
      </c>
      <c r="AA608" t="e">
        <f t="shared" si="61"/>
        <v>#DIV/0!</v>
      </c>
      <c r="AB608" s="1" t="e">
        <f t="shared" si="62"/>
        <v>#DIV/0!</v>
      </c>
    </row>
    <row r="609" spans="11:28" ht="33" customHeight="1">
      <c r="K609" s="38"/>
      <c r="L609" s="38"/>
      <c r="M609" s="38"/>
      <c r="N609" s="38"/>
      <c r="O609" s="38"/>
      <c r="P609" s="38"/>
      <c r="Q609" s="38"/>
      <c r="R609" s="38"/>
      <c r="S609" s="38"/>
      <c r="T609" s="38"/>
      <c r="U609" s="38"/>
      <c r="V609" s="38"/>
      <c r="W609" s="38"/>
      <c r="X609" s="38"/>
      <c r="Y609" s="38"/>
      <c r="Z609" s="38">
        <f t="shared" si="63"/>
        <v>556</v>
      </c>
      <c r="AA609" t="e">
        <f t="shared" si="61"/>
        <v>#DIV/0!</v>
      </c>
      <c r="AB609" s="1" t="e">
        <f t="shared" si="62"/>
        <v>#DIV/0!</v>
      </c>
    </row>
    <row r="610" spans="11:28" ht="33" customHeight="1">
      <c r="K610" s="38"/>
      <c r="L610" s="38"/>
      <c r="M610" s="38"/>
      <c r="N610" s="38"/>
      <c r="O610" s="38"/>
      <c r="P610" s="38"/>
      <c r="Q610" s="38"/>
      <c r="R610" s="38"/>
      <c r="S610" s="38"/>
      <c r="T610" s="38"/>
      <c r="U610" s="38"/>
      <c r="V610" s="38"/>
      <c r="W610" s="38"/>
      <c r="X610" s="38"/>
      <c r="Y610" s="38"/>
      <c r="Z610" s="38">
        <f t="shared" si="63"/>
        <v>557</v>
      </c>
      <c r="AA610" t="e">
        <f t="shared" si="61"/>
        <v>#DIV/0!</v>
      </c>
      <c r="AB610" s="1" t="e">
        <f t="shared" si="62"/>
        <v>#DIV/0!</v>
      </c>
    </row>
    <row r="611" spans="11:28" ht="33" customHeight="1">
      <c r="K611" s="38"/>
      <c r="L611" s="38"/>
      <c r="M611" s="38"/>
      <c r="N611" s="38"/>
      <c r="O611" s="38"/>
      <c r="P611" s="38"/>
      <c r="Q611" s="38"/>
      <c r="R611" s="38"/>
      <c r="S611" s="38"/>
      <c r="T611" s="38"/>
      <c r="U611" s="38"/>
      <c r="V611" s="38"/>
      <c r="W611" s="38"/>
      <c r="X611" s="38"/>
      <c r="Y611" s="38"/>
      <c r="Z611" s="38">
        <f t="shared" si="63"/>
        <v>558</v>
      </c>
      <c r="AA611" t="e">
        <f t="shared" si="61"/>
        <v>#DIV/0!</v>
      </c>
      <c r="AB611" s="1" t="e">
        <f t="shared" si="62"/>
        <v>#DIV/0!</v>
      </c>
    </row>
    <row r="612" spans="11:28" ht="33" customHeight="1">
      <c r="K612" s="38"/>
      <c r="L612" s="38"/>
      <c r="M612" s="38"/>
      <c r="N612" s="38"/>
      <c r="O612" s="38"/>
      <c r="P612" s="38"/>
      <c r="Q612" s="38"/>
      <c r="R612" s="38"/>
      <c r="S612" s="38"/>
      <c r="T612" s="38"/>
      <c r="U612" s="38"/>
      <c r="V612" s="38"/>
      <c r="W612" s="38"/>
      <c r="X612" s="38"/>
      <c r="Y612" s="38"/>
      <c r="Z612" s="38">
        <f t="shared" si="63"/>
        <v>559</v>
      </c>
      <c r="AA612" t="e">
        <f t="shared" si="61"/>
        <v>#DIV/0!</v>
      </c>
      <c r="AB612" s="1" t="e">
        <f t="shared" si="62"/>
        <v>#DIV/0!</v>
      </c>
    </row>
    <row r="613" spans="11:28" ht="33" customHeight="1">
      <c r="K613" s="38"/>
      <c r="L613" s="38"/>
      <c r="M613" s="38"/>
      <c r="N613" s="38"/>
      <c r="O613" s="38"/>
      <c r="P613" s="38"/>
      <c r="Q613" s="38"/>
      <c r="R613" s="38"/>
      <c r="S613" s="38"/>
      <c r="T613" s="38"/>
      <c r="U613" s="38"/>
      <c r="V613" s="38"/>
      <c r="W613" s="38"/>
      <c r="X613" s="38"/>
      <c r="Y613" s="38"/>
      <c r="Z613" s="38">
        <f t="shared" si="63"/>
        <v>560</v>
      </c>
      <c r="AA613" t="e">
        <f t="shared" si="61"/>
        <v>#DIV/0!</v>
      </c>
      <c r="AB613" s="1" t="e">
        <f t="shared" si="62"/>
        <v>#DIV/0!</v>
      </c>
    </row>
    <row r="614" spans="11:28" ht="33" customHeight="1">
      <c r="K614" s="38"/>
      <c r="L614" s="38"/>
      <c r="M614" s="38"/>
      <c r="N614" s="38"/>
      <c r="O614" s="38"/>
      <c r="P614" s="38"/>
      <c r="Q614" s="38"/>
      <c r="R614" s="38"/>
      <c r="S614" s="38"/>
      <c r="T614" s="38"/>
      <c r="U614" s="38"/>
      <c r="V614" s="38"/>
      <c r="W614" s="38"/>
      <c r="X614" s="38"/>
      <c r="Y614" s="38"/>
      <c r="Z614" s="38">
        <f t="shared" si="63"/>
        <v>561</v>
      </c>
      <c r="AA614" t="e">
        <f t="shared" si="61"/>
        <v>#DIV/0!</v>
      </c>
      <c r="AB614" s="1" t="e">
        <f t="shared" si="62"/>
        <v>#DIV/0!</v>
      </c>
    </row>
    <row r="615" spans="11:28" ht="33" customHeight="1">
      <c r="K615" s="38"/>
      <c r="L615" s="38"/>
      <c r="M615" s="38"/>
      <c r="N615" s="38"/>
      <c r="O615" s="38"/>
      <c r="P615" s="38"/>
      <c r="Q615" s="38"/>
      <c r="R615" s="38"/>
      <c r="S615" s="38"/>
      <c r="T615" s="38"/>
      <c r="U615" s="38"/>
      <c r="V615" s="38"/>
      <c r="W615" s="38"/>
      <c r="X615" s="38"/>
      <c r="Y615" s="38"/>
      <c r="Z615" s="38">
        <f t="shared" si="63"/>
        <v>562</v>
      </c>
      <c r="AA615" t="e">
        <f t="shared" si="61"/>
        <v>#DIV/0!</v>
      </c>
      <c r="AB615" s="1" t="e">
        <f t="shared" si="62"/>
        <v>#DIV/0!</v>
      </c>
    </row>
    <row r="616" spans="11:28" ht="33" customHeight="1">
      <c r="K616" s="38"/>
      <c r="L616" s="38"/>
      <c r="M616" s="38"/>
      <c r="N616" s="38"/>
      <c r="O616" s="38"/>
      <c r="P616" s="38"/>
      <c r="Q616" s="38"/>
      <c r="R616" s="38"/>
      <c r="S616" s="38"/>
      <c r="T616" s="38"/>
      <c r="U616" s="38"/>
      <c r="V616" s="38"/>
      <c r="W616" s="38"/>
      <c r="X616" s="38"/>
      <c r="Y616" s="38"/>
      <c r="Z616" s="38">
        <f t="shared" si="63"/>
        <v>563</v>
      </c>
      <c r="AA616" t="e">
        <f t="shared" si="61"/>
        <v>#DIV/0!</v>
      </c>
      <c r="AB616" s="1" t="e">
        <f t="shared" si="62"/>
        <v>#DIV/0!</v>
      </c>
    </row>
    <row r="617" spans="11:28" ht="33" customHeight="1">
      <c r="K617" s="38"/>
      <c r="L617" s="38"/>
      <c r="M617" s="38"/>
      <c r="N617" s="38"/>
      <c r="O617" s="38"/>
      <c r="P617" s="38"/>
      <c r="Q617" s="38"/>
      <c r="R617" s="38"/>
      <c r="S617" s="38"/>
      <c r="T617" s="38"/>
      <c r="U617" s="38"/>
      <c r="V617" s="38"/>
      <c r="W617" s="38"/>
      <c r="X617" s="38"/>
      <c r="Y617" s="38"/>
      <c r="Z617" s="38">
        <f t="shared" si="63"/>
        <v>564</v>
      </c>
      <c r="AA617" t="e">
        <f t="shared" si="61"/>
        <v>#DIV/0!</v>
      </c>
      <c r="AB617" s="1" t="e">
        <f t="shared" si="62"/>
        <v>#DIV/0!</v>
      </c>
    </row>
    <row r="618" spans="11:28" ht="33" customHeight="1">
      <c r="K618" s="38"/>
      <c r="L618" s="38"/>
      <c r="M618" s="38"/>
      <c r="N618" s="38"/>
      <c r="O618" s="38"/>
      <c r="P618" s="38"/>
      <c r="Q618" s="38"/>
      <c r="R618" s="38"/>
      <c r="S618" s="38"/>
      <c r="T618" s="38"/>
      <c r="U618" s="38"/>
      <c r="V618" s="38"/>
      <c r="W618" s="38"/>
      <c r="X618" s="38"/>
      <c r="Y618" s="38"/>
      <c r="Z618" s="38">
        <f t="shared" si="63"/>
        <v>565</v>
      </c>
      <c r="AA618" t="e">
        <f t="shared" si="61"/>
        <v>#DIV/0!</v>
      </c>
      <c r="AB618" s="1" t="e">
        <f t="shared" si="62"/>
        <v>#DIV/0!</v>
      </c>
    </row>
    <row r="619" spans="11:28" ht="33" customHeight="1">
      <c r="K619" s="38"/>
      <c r="L619" s="38"/>
      <c r="M619" s="38"/>
      <c r="N619" s="38"/>
      <c r="O619" s="38"/>
      <c r="P619" s="38"/>
      <c r="Q619" s="38"/>
      <c r="R619" s="38"/>
      <c r="S619" s="38"/>
      <c r="T619" s="38"/>
      <c r="U619" s="38"/>
      <c r="V619" s="38"/>
      <c r="W619" s="38"/>
      <c r="X619" s="38"/>
      <c r="Y619" s="38"/>
      <c r="Z619" s="38">
        <f t="shared" si="63"/>
        <v>566</v>
      </c>
      <c r="AA619" t="e">
        <f t="shared" si="61"/>
        <v>#DIV/0!</v>
      </c>
      <c r="AB619" s="1" t="e">
        <f t="shared" si="62"/>
        <v>#DIV/0!</v>
      </c>
    </row>
    <row r="620" spans="11:28" ht="33" customHeight="1">
      <c r="K620" s="38"/>
      <c r="L620" s="38"/>
      <c r="M620" s="38"/>
      <c r="N620" s="38"/>
      <c r="O620" s="38"/>
      <c r="P620" s="38"/>
      <c r="Q620" s="38"/>
      <c r="R620" s="38"/>
      <c r="S620" s="38"/>
      <c r="T620" s="38"/>
      <c r="U620" s="38"/>
      <c r="V620" s="38"/>
      <c r="W620" s="38"/>
      <c r="X620" s="38"/>
      <c r="Y620" s="38"/>
      <c r="Z620" s="38">
        <f t="shared" si="63"/>
        <v>567</v>
      </c>
      <c r="AA620" t="e">
        <f t="shared" si="61"/>
        <v>#DIV/0!</v>
      </c>
      <c r="AB620" s="1" t="e">
        <f t="shared" si="62"/>
        <v>#DIV/0!</v>
      </c>
    </row>
    <row r="621" spans="11:28" ht="33" customHeight="1">
      <c r="K621" s="38"/>
      <c r="L621" s="38"/>
      <c r="M621" s="38"/>
      <c r="N621" s="38"/>
      <c r="O621" s="38"/>
      <c r="P621" s="38"/>
      <c r="Q621" s="38"/>
      <c r="R621" s="38"/>
      <c r="S621" s="38"/>
      <c r="T621" s="38"/>
      <c r="U621" s="38"/>
      <c r="V621" s="38"/>
      <c r="W621" s="38"/>
      <c r="X621" s="38"/>
      <c r="Y621" s="38"/>
      <c r="Z621" s="38">
        <f t="shared" si="63"/>
        <v>568</v>
      </c>
      <c r="AA621" t="e">
        <f t="shared" si="61"/>
        <v>#DIV/0!</v>
      </c>
      <c r="AB621" s="1" t="e">
        <f t="shared" si="62"/>
        <v>#DIV/0!</v>
      </c>
    </row>
    <row r="622" spans="11:28" ht="33" customHeight="1">
      <c r="K622" s="38"/>
      <c r="L622" s="38"/>
      <c r="M622" s="38"/>
      <c r="N622" s="38"/>
      <c r="O622" s="38"/>
      <c r="P622" s="38"/>
      <c r="Q622" s="38"/>
      <c r="R622" s="38"/>
      <c r="S622" s="38"/>
      <c r="T622" s="38"/>
      <c r="U622" s="38"/>
      <c r="V622" s="38"/>
      <c r="W622" s="38"/>
      <c r="X622" s="38"/>
      <c r="Y622" s="38"/>
      <c r="Z622" s="38">
        <f t="shared" si="63"/>
        <v>569</v>
      </c>
      <c r="AA622" t="e">
        <f t="shared" si="61"/>
        <v>#DIV/0!</v>
      </c>
      <c r="AB622" s="1" t="e">
        <f t="shared" si="62"/>
        <v>#DIV/0!</v>
      </c>
    </row>
    <row r="623" spans="11:28" ht="33" customHeight="1">
      <c r="K623" s="38"/>
      <c r="L623" s="38"/>
      <c r="M623" s="38"/>
      <c r="N623" s="38"/>
      <c r="O623" s="38"/>
      <c r="P623" s="38"/>
      <c r="Q623" s="38"/>
      <c r="R623" s="38"/>
      <c r="S623" s="38"/>
      <c r="T623" s="38"/>
      <c r="U623" s="38"/>
      <c r="V623" s="38"/>
      <c r="W623" s="38"/>
      <c r="X623" s="38"/>
      <c r="Y623" s="38"/>
      <c r="Z623" s="38">
        <f t="shared" si="63"/>
        <v>570</v>
      </c>
      <c r="AA623" t="e">
        <f t="shared" si="61"/>
        <v>#DIV/0!</v>
      </c>
      <c r="AB623" s="1" t="e">
        <f t="shared" si="62"/>
        <v>#DIV/0!</v>
      </c>
    </row>
    <row r="624" spans="11:28" ht="33" customHeight="1">
      <c r="K624" s="38"/>
      <c r="L624" s="38"/>
      <c r="M624" s="38"/>
      <c r="N624" s="38"/>
      <c r="O624" s="38"/>
      <c r="P624" s="38"/>
      <c r="Q624" s="38"/>
      <c r="R624" s="38"/>
      <c r="S624" s="38"/>
      <c r="T624" s="38"/>
      <c r="U624" s="38"/>
      <c r="V624" s="38"/>
      <c r="W624" s="38"/>
      <c r="X624" s="38"/>
      <c r="Y624" s="38"/>
      <c r="Z624" s="38">
        <f t="shared" si="63"/>
        <v>571</v>
      </c>
      <c r="AA624" t="e">
        <f t="shared" si="61"/>
        <v>#DIV/0!</v>
      </c>
      <c r="AB624" s="1" t="e">
        <f t="shared" si="62"/>
        <v>#DIV/0!</v>
      </c>
    </row>
    <row r="625" spans="11:28" ht="33" customHeight="1">
      <c r="K625" s="38"/>
      <c r="L625" s="38"/>
      <c r="M625" s="38"/>
      <c r="N625" s="38"/>
      <c r="O625" s="38"/>
      <c r="P625" s="38"/>
      <c r="Q625" s="38"/>
      <c r="R625" s="38"/>
      <c r="S625" s="38"/>
      <c r="T625" s="38"/>
      <c r="U625" s="38"/>
      <c r="V625" s="38"/>
      <c r="W625" s="38"/>
      <c r="X625" s="38"/>
      <c r="Y625" s="38"/>
      <c r="Z625" s="38">
        <f t="shared" si="63"/>
        <v>572</v>
      </c>
      <c r="AA625" t="e">
        <f t="shared" si="61"/>
        <v>#DIV/0!</v>
      </c>
      <c r="AB625" s="1" t="e">
        <f t="shared" si="62"/>
        <v>#DIV/0!</v>
      </c>
    </row>
    <row r="626" spans="11:28" ht="33" customHeight="1">
      <c r="K626" s="38"/>
      <c r="L626" s="38"/>
      <c r="M626" s="38"/>
      <c r="N626" s="38"/>
      <c r="O626" s="38"/>
      <c r="P626" s="38"/>
      <c r="Q626" s="38"/>
      <c r="R626" s="38"/>
      <c r="S626" s="38"/>
      <c r="T626" s="38"/>
      <c r="U626" s="38"/>
      <c r="V626" s="38"/>
      <c r="W626" s="38"/>
      <c r="X626" s="38"/>
      <c r="Y626" s="38"/>
      <c r="Z626" s="38">
        <f t="shared" si="63"/>
        <v>573</v>
      </c>
      <c r="AA626" t="e">
        <f t="shared" si="61"/>
        <v>#DIV/0!</v>
      </c>
      <c r="AB626" s="1" t="e">
        <f t="shared" si="62"/>
        <v>#DIV/0!</v>
      </c>
    </row>
    <row r="627" spans="11:28" ht="33" customHeight="1">
      <c r="K627" s="38"/>
      <c r="L627" s="38"/>
      <c r="M627" s="38"/>
      <c r="N627" s="38"/>
      <c r="O627" s="38"/>
      <c r="P627" s="38"/>
      <c r="Q627" s="38"/>
      <c r="R627" s="38"/>
      <c r="S627" s="38"/>
      <c r="T627" s="38"/>
      <c r="U627" s="38"/>
      <c r="V627" s="38"/>
      <c r="W627" s="38"/>
      <c r="X627" s="38"/>
      <c r="Y627" s="38"/>
      <c r="Z627" s="38">
        <f t="shared" si="63"/>
        <v>574</v>
      </c>
      <c r="AA627" t="e">
        <f t="shared" si="61"/>
        <v>#DIV/0!</v>
      </c>
      <c r="AB627" s="1" t="e">
        <f t="shared" si="62"/>
        <v>#DIV/0!</v>
      </c>
    </row>
    <row r="628" spans="11:28" ht="33" customHeight="1">
      <c r="K628" s="38"/>
      <c r="L628" s="38"/>
      <c r="M628" s="38"/>
      <c r="N628" s="38"/>
      <c r="O628" s="38"/>
      <c r="P628" s="38"/>
      <c r="Q628" s="38"/>
      <c r="R628" s="38"/>
      <c r="S628" s="38"/>
      <c r="T628" s="38"/>
      <c r="U628" s="38"/>
      <c r="V628" s="38"/>
      <c r="W628" s="38"/>
      <c r="X628" s="38"/>
      <c r="Y628" s="38"/>
      <c r="Z628" s="38">
        <f t="shared" si="63"/>
        <v>575</v>
      </c>
      <c r="AA628" t="e">
        <f t="shared" si="61"/>
        <v>#DIV/0!</v>
      </c>
      <c r="AB628" s="1" t="e">
        <f t="shared" si="62"/>
        <v>#DIV/0!</v>
      </c>
    </row>
    <row r="629" spans="11:28" ht="33" customHeight="1">
      <c r="K629" s="38"/>
      <c r="L629" s="38"/>
      <c r="M629" s="38"/>
      <c r="N629" s="38"/>
      <c r="O629" s="38"/>
      <c r="P629" s="38"/>
      <c r="Q629" s="38"/>
      <c r="R629" s="38"/>
      <c r="S629" s="38"/>
      <c r="T629" s="38"/>
      <c r="U629" s="38"/>
      <c r="V629" s="38"/>
      <c r="W629" s="38"/>
      <c r="X629" s="38"/>
      <c r="Y629" s="38"/>
      <c r="Z629" s="38">
        <f t="shared" si="63"/>
        <v>576</v>
      </c>
      <c r="AA629" t="e">
        <f t="shared" si="61"/>
        <v>#DIV/0!</v>
      </c>
      <c r="AB629" s="1" t="e">
        <f t="shared" si="62"/>
        <v>#DIV/0!</v>
      </c>
    </row>
    <row r="630" spans="11:28" ht="33" customHeight="1">
      <c r="K630" s="38"/>
      <c r="L630" s="38"/>
      <c r="M630" s="38"/>
      <c r="N630" s="38"/>
      <c r="O630" s="38"/>
      <c r="P630" s="38"/>
      <c r="Q630" s="38"/>
      <c r="R630" s="38"/>
      <c r="S630" s="38"/>
      <c r="T630" s="38"/>
      <c r="U630" s="38"/>
      <c r="V630" s="38"/>
      <c r="W630" s="38"/>
      <c r="X630" s="38"/>
      <c r="Y630" s="38"/>
      <c r="Z630" s="38">
        <f t="shared" si="63"/>
        <v>577</v>
      </c>
      <c r="AA630" t="e">
        <f t="shared" si="61"/>
        <v>#DIV/0!</v>
      </c>
      <c r="AB630" s="1" t="e">
        <f t="shared" si="62"/>
        <v>#DIV/0!</v>
      </c>
    </row>
    <row r="631" spans="11:28" ht="33" customHeight="1">
      <c r="K631" s="38"/>
      <c r="L631" s="38"/>
      <c r="M631" s="38"/>
      <c r="N631" s="38"/>
      <c r="O631" s="38"/>
      <c r="P631" s="38"/>
      <c r="Q631" s="38"/>
      <c r="R631" s="38"/>
      <c r="S631" s="38"/>
      <c r="T631" s="38"/>
      <c r="U631" s="38"/>
      <c r="V631" s="38"/>
      <c r="W631" s="38"/>
      <c r="X631" s="38"/>
      <c r="Y631" s="38"/>
      <c r="Z631" s="38">
        <f t="shared" si="63"/>
        <v>578</v>
      </c>
      <c r="AA631" t="e">
        <f t="shared" si="61"/>
        <v>#DIV/0!</v>
      </c>
      <c r="AB631" s="1" t="e">
        <f t="shared" si="62"/>
        <v>#DIV/0!</v>
      </c>
    </row>
    <row r="632" spans="11:28" ht="33" customHeight="1">
      <c r="K632" s="38"/>
      <c r="L632" s="38"/>
      <c r="M632" s="38"/>
      <c r="N632" s="38"/>
      <c r="O632" s="38"/>
      <c r="P632" s="38"/>
      <c r="Q632" s="38"/>
      <c r="R632" s="38"/>
      <c r="S632" s="38"/>
      <c r="T632" s="38"/>
      <c r="U632" s="38"/>
      <c r="V632" s="38"/>
      <c r="W632" s="38"/>
      <c r="X632" s="38"/>
      <c r="Y632" s="38"/>
      <c r="Z632" s="38">
        <f t="shared" si="63"/>
        <v>579</v>
      </c>
      <c r="AA632" t="e">
        <f t="shared" si="61"/>
        <v>#DIV/0!</v>
      </c>
      <c r="AB632" s="1" t="e">
        <f t="shared" si="62"/>
        <v>#DIV/0!</v>
      </c>
    </row>
    <row r="633" spans="11:28" ht="33" customHeight="1">
      <c r="K633" s="38"/>
      <c r="L633" s="38"/>
      <c r="M633" s="38"/>
      <c r="N633" s="38"/>
      <c r="O633" s="38"/>
      <c r="P633" s="38"/>
      <c r="Q633" s="38"/>
      <c r="R633" s="38"/>
      <c r="S633" s="38"/>
      <c r="T633" s="38"/>
      <c r="U633" s="38"/>
      <c r="V633" s="38"/>
      <c r="W633" s="38"/>
      <c r="X633" s="38"/>
      <c r="Y633" s="38"/>
      <c r="Z633" s="38">
        <f t="shared" si="63"/>
        <v>580</v>
      </c>
      <c r="AA633" t="e">
        <f t="shared" si="61"/>
        <v>#DIV/0!</v>
      </c>
      <c r="AB633" s="1" t="e">
        <f t="shared" si="62"/>
        <v>#DIV/0!</v>
      </c>
    </row>
    <row r="634" spans="11:28" ht="33" customHeight="1">
      <c r="K634" s="38"/>
      <c r="L634" s="38"/>
      <c r="M634" s="38"/>
      <c r="N634" s="38"/>
      <c r="O634" s="38"/>
      <c r="P634" s="38"/>
      <c r="Q634" s="38"/>
      <c r="R634" s="38"/>
      <c r="S634" s="38"/>
      <c r="T634" s="38"/>
      <c r="U634" s="38"/>
      <c r="V634" s="38"/>
      <c r="W634" s="38"/>
      <c r="X634" s="38"/>
      <c r="Y634" s="38"/>
      <c r="Z634" s="38">
        <f t="shared" si="63"/>
        <v>581</v>
      </c>
      <c r="AA634" t="e">
        <f t="shared" si="61"/>
        <v>#DIV/0!</v>
      </c>
      <c r="AB634" s="1" t="e">
        <f t="shared" si="62"/>
        <v>#DIV/0!</v>
      </c>
    </row>
    <row r="635" spans="11:28" ht="33" customHeight="1">
      <c r="K635" s="38"/>
      <c r="L635" s="38"/>
      <c r="M635" s="38"/>
      <c r="N635" s="38"/>
      <c r="O635" s="38"/>
      <c r="P635" s="38"/>
      <c r="Q635" s="38"/>
      <c r="R635" s="38"/>
      <c r="S635" s="38"/>
      <c r="T635" s="38"/>
      <c r="U635" s="38"/>
      <c r="V635" s="38"/>
      <c r="W635" s="38"/>
      <c r="X635" s="38"/>
      <c r="Y635" s="38"/>
      <c r="Z635" s="38">
        <f t="shared" si="63"/>
        <v>582</v>
      </c>
      <c r="AA635" t="e">
        <f t="shared" si="61"/>
        <v>#DIV/0!</v>
      </c>
      <c r="AB635" s="1" t="e">
        <f t="shared" si="62"/>
        <v>#DIV/0!</v>
      </c>
    </row>
    <row r="636" spans="11:28" ht="33" customHeight="1">
      <c r="K636" s="38"/>
      <c r="L636" s="38"/>
      <c r="M636" s="38"/>
      <c r="N636" s="38"/>
      <c r="O636" s="38"/>
      <c r="P636" s="38"/>
      <c r="Q636" s="38"/>
      <c r="R636" s="38"/>
      <c r="S636" s="38"/>
      <c r="T636" s="38"/>
      <c r="U636" s="38"/>
      <c r="V636" s="38"/>
      <c r="W636" s="38"/>
      <c r="X636" s="38"/>
      <c r="Y636" s="38"/>
      <c r="Z636" s="38">
        <f t="shared" si="63"/>
        <v>583</v>
      </c>
      <c r="AA636" t="e">
        <f t="shared" si="61"/>
        <v>#DIV/0!</v>
      </c>
      <c r="AB636" s="1" t="e">
        <f t="shared" si="62"/>
        <v>#DIV/0!</v>
      </c>
    </row>
    <row r="637" spans="11:28" ht="33" customHeight="1">
      <c r="K637" s="38"/>
      <c r="L637" s="38"/>
      <c r="M637" s="38"/>
      <c r="N637" s="38"/>
      <c r="O637" s="38"/>
      <c r="P637" s="38"/>
      <c r="Q637" s="38"/>
      <c r="R637" s="38"/>
      <c r="S637" s="38"/>
      <c r="T637" s="38"/>
      <c r="U637" s="38"/>
      <c r="V637" s="38"/>
      <c r="W637" s="38"/>
      <c r="X637" s="38"/>
      <c r="Y637" s="38"/>
      <c r="Z637" s="38">
        <f t="shared" si="63"/>
        <v>584</v>
      </c>
      <c r="AA637" t="e">
        <f t="shared" si="61"/>
        <v>#DIV/0!</v>
      </c>
      <c r="AB637" s="1" t="e">
        <f t="shared" si="62"/>
        <v>#DIV/0!</v>
      </c>
    </row>
    <row r="638" spans="11:28" ht="33" customHeight="1">
      <c r="K638" s="38"/>
      <c r="L638" s="38"/>
      <c r="M638" s="38"/>
      <c r="N638" s="38"/>
      <c r="O638" s="38"/>
      <c r="P638" s="38"/>
      <c r="Q638" s="38"/>
      <c r="R638" s="38"/>
      <c r="S638" s="38"/>
      <c r="T638" s="38"/>
      <c r="U638" s="38"/>
      <c r="V638" s="38"/>
      <c r="W638" s="38"/>
      <c r="X638" s="38"/>
      <c r="Y638" s="38"/>
      <c r="Z638" s="38">
        <f t="shared" si="63"/>
        <v>585</v>
      </c>
      <c r="AA638" t="e">
        <f t="shared" si="61"/>
        <v>#DIV/0!</v>
      </c>
      <c r="AB638" s="1" t="e">
        <f t="shared" si="62"/>
        <v>#DIV/0!</v>
      </c>
    </row>
    <row r="639" spans="11:28" ht="33" customHeight="1">
      <c r="K639" s="38"/>
      <c r="L639" s="38"/>
      <c r="M639" s="38"/>
      <c r="N639" s="38"/>
      <c r="O639" s="38"/>
      <c r="P639" s="38"/>
      <c r="Q639" s="38"/>
      <c r="R639" s="38"/>
      <c r="S639" s="38"/>
      <c r="T639" s="38"/>
      <c r="U639" s="38"/>
      <c r="V639" s="38"/>
      <c r="W639" s="38"/>
      <c r="X639" s="38"/>
      <c r="Y639" s="38"/>
      <c r="Z639" s="38">
        <f t="shared" si="63"/>
        <v>586</v>
      </c>
      <c r="AA639" t="e">
        <f t="shared" si="61"/>
        <v>#DIV/0!</v>
      </c>
      <c r="AB639" s="1" t="e">
        <f t="shared" si="62"/>
        <v>#DIV/0!</v>
      </c>
    </row>
    <row r="640" spans="11:28" ht="33" customHeight="1">
      <c r="K640" s="38"/>
      <c r="L640" s="38"/>
      <c r="M640" s="38"/>
      <c r="N640" s="38"/>
      <c r="O640" s="38"/>
      <c r="P640" s="38"/>
      <c r="Q640" s="38"/>
      <c r="R640" s="38"/>
      <c r="S640" s="38"/>
      <c r="T640" s="38"/>
      <c r="U640" s="38"/>
      <c r="V640" s="38"/>
      <c r="W640" s="38"/>
      <c r="X640" s="38"/>
      <c r="Y640" s="38"/>
      <c r="Z640" s="38">
        <f t="shared" si="63"/>
        <v>587</v>
      </c>
      <c r="AA640" t="e">
        <f t="shared" si="61"/>
        <v>#DIV/0!</v>
      </c>
      <c r="AB640" s="1" t="e">
        <f t="shared" si="62"/>
        <v>#DIV/0!</v>
      </c>
    </row>
    <row r="641" spans="11:28" ht="33" customHeight="1">
      <c r="K641" s="38"/>
      <c r="L641" s="38"/>
      <c r="M641" s="38"/>
      <c r="N641" s="38"/>
      <c r="O641" s="38"/>
      <c r="P641" s="38"/>
      <c r="Q641" s="38"/>
      <c r="R641" s="38"/>
      <c r="S641" s="38"/>
      <c r="T641" s="38"/>
      <c r="U641" s="38"/>
      <c r="V641" s="38"/>
      <c r="W641" s="38"/>
      <c r="X641" s="38"/>
      <c r="Y641" s="38"/>
      <c r="Z641" s="38">
        <f t="shared" si="63"/>
        <v>588</v>
      </c>
      <c r="AA641" t="e">
        <f t="shared" si="61"/>
        <v>#DIV/0!</v>
      </c>
      <c r="AB641" s="1" t="e">
        <f t="shared" si="62"/>
        <v>#DIV/0!</v>
      </c>
    </row>
    <row r="642" spans="11:28" ht="33" customHeight="1">
      <c r="K642" s="38"/>
      <c r="L642" s="38"/>
      <c r="M642" s="38"/>
      <c r="N642" s="38"/>
      <c r="O642" s="38"/>
      <c r="P642" s="38"/>
      <c r="Q642" s="38"/>
      <c r="R642" s="38"/>
      <c r="S642" s="38"/>
      <c r="T642" s="38"/>
      <c r="U642" s="38"/>
      <c r="V642" s="38"/>
      <c r="W642" s="38"/>
      <c r="X642" s="38"/>
      <c r="Y642" s="38"/>
      <c r="Z642" s="38">
        <f t="shared" si="63"/>
        <v>589</v>
      </c>
      <c r="AA642" t="e">
        <f t="shared" si="61"/>
        <v>#DIV/0!</v>
      </c>
      <c r="AB642" s="1" t="e">
        <f t="shared" si="62"/>
        <v>#DIV/0!</v>
      </c>
    </row>
    <row r="643" spans="11:28" ht="33" customHeight="1">
      <c r="K643" s="38"/>
      <c r="L643" s="38"/>
      <c r="M643" s="38"/>
      <c r="N643" s="38"/>
      <c r="O643" s="38"/>
      <c r="P643" s="38"/>
      <c r="Q643" s="38"/>
      <c r="R643" s="38"/>
      <c r="S643" s="38"/>
      <c r="T643" s="38"/>
      <c r="U643" s="38"/>
      <c r="V643" s="38"/>
      <c r="W643" s="38"/>
      <c r="X643" s="38"/>
      <c r="Y643" s="38"/>
      <c r="Z643" s="38">
        <f t="shared" si="63"/>
        <v>590</v>
      </c>
      <c r="AA643" t="e">
        <f t="shared" si="61"/>
        <v>#DIV/0!</v>
      </c>
      <c r="AB643" s="1" t="e">
        <f t="shared" si="62"/>
        <v>#DIV/0!</v>
      </c>
    </row>
    <row r="644" spans="11:28" ht="33" customHeight="1">
      <c r="K644" s="38"/>
      <c r="L644" s="38"/>
      <c r="M644" s="38"/>
      <c r="N644" s="38"/>
      <c r="O644" s="38"/>
      <c r="P644" s="38"/>
      <c r="Q644" s="38"/>
      <c r="R644" s="38"/>
      <c r="S644" s="38"/>
      <c r="T644" s="38"/>
      <c r="U644" s="38"/>
      <c r="V644" s="38"/>
      <c r="W644" s="38"/>
      <c r="X644" s="38"/>
      <c r="Y644" s="38"/>
      <c r="Z644" s="38">
        <f t="shared" si="63"/>
        <v>591</v>
      </c>
      <c r="AA644" t="e">
        <f t="shared" si="61"/>
        <v>#DIV/0!</v>
      </c>
      <c r="AB644" s="1" t="e">
        <f t="shared" si="62"/>
        <v>#DIV/0!</v>
      </c>
    </row>
    <row r="645" spans="11:28" ht="33" customHeight="1">
      <c r="K645" s="38"/>
      <c r="L645" s="38"/>
      <c r="M645" s="38"/>
      <c r="N645" s="38"/>
      <c r="O645" s="38"/>
      <c r="P645" s="38"/>
      <c r="Q645" s="38"/>
      <c r="R645" s="38"/>
      <c r="S645" s="38"/>
      <c r="T645" s="38"/>
      <c r="U645" s="38"/>
      <c r="V645" s="38"/>
      <c r="W645" s="38"/>
      <c r="X645" s="38"/>
      <c r="Y645" s="38"/>
      <c r="Z645" s="38">
        <f t="shared" si="63"/>
        <v>592</v>
      </c>
      <c r="AA645" t="e">
        <f t="shared" si="61"/>
        <v>#DIV/0!</v>
      </c>
      <c r="AB645" s="1" t="e">
        <f t="shared" si="62"/>
        <v>#DIV/0!</v>
      </c>
    </row>
    <row r="646" spans="11:28" ht="33" customHeight="1">
      <c r="K646" s="38"/>
      <c r="L646" s="38"/>
      <c r="M646" s="38"/>
      <c r="N646" s="38"/>
      <c r="O646" s="38"/>
      <c r="P646" s="38"/>
      <c r="Q646" s="38"/>
      <c r="R646" s="38"/>
      <c r="S646" s="38"/>
      <c r="T646" s="38"/>
      <c r="U646" s="38"/>
      <c r="V646" s="38"/>
      <c r="W646" s="38"/>
      <c r="X646" s="38"/>
      <c r="Y646" s="38"/>
      <c r="Z646" s="38">
        <f t="shared" si="63"/>
        <v>593</v>
      </c>
      <c r="AA646" t="e">
        <f t="shared" si="61"/>
        <v>#DIV/0!</v>
      </c>
      <c r="AB646" s="1" t="e">
        <f t="shared" si="62"/>
        <v>#DIV/0!</v>
      </c>
    </row>
    <row r="647" spans="11:28" ht="33" customHeight="1">
      <c r="K647" s="38"/>
      <c r="L647" s="38"/>
      <c r="M647" s="38"/>
      <c r="N647" s="38"/>
      <c r="O647" s="38"/>
      <c r="P647" s="38"/>
      <c r="Q647" s="38"/>
      <c r="R647" s="38"/>
      <c r="S647" s="38"/>
      <c r="T647" s="38"/>
      <c r="U647" s="38"/>
      <c r="V647" s="38"/>
      <c r="W647" s="38"/>
      <c r="X647" s="38"/>
      <c r="Y647" s="38"/>
      <c r="Z647" s="38">
        <f t="shared" si="63"/>
        <v>594</v>
      </c>
      <c r="AA647" t="e">
        <f t="shared" si="61"/>
        <v>#DIV/0!</v>
      </c>
      <c r="AB647" s="1" t="e">
        <f t="shared" si="62"/>
        <v>#DIV/0!</v>
      </c>
    </row>
    <row r="648" spans="11:28" ht="33" customHeight="1">
      <c r="K648" s="38"/>
      <c r="L648" s="38"/>
      <c r="M648" s="38"/>
      <c r="N648" s="38"/>
      <c r="O648" s="38"/>
      <c r="P648" s="38"/>
      <c r="Q648" s="38"/>
      <c r="R648" s="38"/>
      <c r="S648" s="38"/>
      <c r="T648" s="38"/>
      <c r="U648" s="38"/>
      <c r="V648" s="38"/>
      <c r="W648" s="38"/>
      <c r="X648" s="38"/>
      <c r="Y648" s="38"/>
      <c r="Z648" s="38">
        <f t="shared" si="63"/>
        <v>595</v>
      </c>
      <c r="AA648" t="e">
        <f t="shared" si="61"/>
        <v>#DIV/0!</v>
      </c>
      <c r="AB648" s="1" t="e">
        <f t="shared" si="62"/>
        <v>#DIV/0!</v>
      </c>
    </row>
    <row r="649" spans="11:28" ht="33" customHeight="1">
      <c r="K649" s="38"/>
      <c r="L649" s="38"/>
      <c r="M649" s="38"/>
      <c r="N649" s="38"/>
      <c r="O649" s="38"/>
      <c r="P649" s="38"/>
      <c r="Q649" s="38"/>
      <c r="R649" s="38"/>
      <c r="S649" s="38"/>
      <c r="T649" s="38"/>
      <c r="U649" s="38"/>
      <c r="V649" s="38"/>
      <c r="W649" s="38"/>
      <c r="X649" s="38"/>
      <c r="Y649" s="38"/>
      <c r="Z649" s="38">
        <f t="shared" si="63"/>
        <v>596</v>
      </c>
      <c r="AA649" t="e">
        <f t="shared" si="61"/>
        <v>#DIV/0!</v>
      </c>
      <c r="AB649" s="1" t="e">
        <f t="shared" si="62"/>
        <v>#DIV/0!</v>
      </c>
    </row>
    <row r="650" spans="11:28" ht="33" customHeight="1">
      <c r="K650" s="38"/>
      <c r="L650" s="38"/>
      <c r="M650" s="38"/>
      <c r="N650" s="38"/>
      <c r="O650" s="38"/>
      <c r="P650" s="38"/>
      <c r="Q650" s="38"/>
      <c r="R650" s="38"/>
      <c r="S650" s="38"/>
      <c r="T650" s="38"/>
      <c r="U650" s="38"/>
      <c r="V650" s="38"/>
      <c r="W650" s="38"/>
      <c r="X650" s="38"/>
      <c r="Y650" s="38"/>
      <c r="Z650" s="38">
        <f t="shared" si="63"/>
        <v>597</v>
      </c>
      <c r="AA650" t="e">
        <f t="shared" si="61"/>
        <v>#DIV/0!</v>
      </c>
      <c r="AB650" s="1" t="e">
        <f t="shared" si="62"/>
        <v>#DIV/0!</v>
      </c>
    </row>
    <row r="651" spans="11:28" ht="33" customHeight="1">
      <c r="K651" s="38"/>
      <c r="L651" s="38"/>
      <c r="M651" s="38"/>
      <c r="N651" s="38"/>
      <c r="O651" s="38"/>
      <c r="P651" s="38"/>
      <c r="Q651" s="38"/>
      <c r="R651" s="38"/>
      <c r="S651" s="38"/>
      <c r="T651" s="38"/>
      <c r="U651" s="38"/>
      <c r="V651" s="38"/>
      <c r="W651" s="38"/>
      <c r="X651" s="38"/>
      <c r="Y651" s="38"/>
      <c r="Z651" s="38">
        <f t="shared" si="63"/>
        <v>598</v>
      </c>
      <c r="AA651" t="e">
        <f t="shared" ref="AA651:AA714" si="64">IF(AB651=Z651,1,0)</f>
        <v>#DIV/0!</v>
      </c>
      <c r="AB651" s="1" t="e">
        <f t="shared" ref="AB651:AB714" si="65">$AB$8</f>
        <v>#DIV/0!</v>
      </c>
    </row>
    <row r="652" spans="11:28" ht="33" customHeight="1">
      <c r="K652" s="38"/>
      <c r="L652" s="38"/>
      <c r="M652" s="38"/>
      <c r="N652" s="38"/>
      <c r="O652" s="38"/>
      <c r="P652" s="38"/>
      <c r="Q652" s="38"/>
      <c r="R652" s="38"/>
      <c r="S652" s="38"/>
      <c r="T652" s="38"/>
      <c r="U652" s="38"/>
      <c r="V652" s="38"/>
      <c r="W652" s="38"/>
      <c r="X652" s="38"/>
      <c r="Y652" s="38"/>
      <c r="Z652" s="38">
        <f t="shared" ref="Z652:Z715" si="66">Z651+1</f>
        <v>599</v>
      </c>
      <c r="AA652" t="e">
        <f t="shared" si="64"/>
        <v>#DIV/0!</v>
      </c>
      <c r="AB652" s="1" t="e">
        <f t="shared" si="65"/>
        <v>#DIV/0!</v>
      </c>
    </row>
    <row r="653" spans="11:28" ht="33" customHeight="1">
      <c r="K653" s="38"/>
      <c r="L653" s="38"/>
      <c r="M653" s="38"/>
      <c r="N653" s="38"/>
      <c r="O653" s="38"/>
      <c r="P653" s="38"/>
      <c r="Q653" s="38"/>
      <c r="R653" s="38"/>
      <c r="S653" s="38"/>
      <c r="T653" s="38"/>
      <c r="U653" s="38"/>
      <c r="V653" s="38"/>
      <c r="W653" s="38"/>
      <c r="X653" s="38"/>
      <c r="Y653" s="38"/>
      <c r="Z653" s="38">
        <f t="shared" si="66"/>
        <v>600</v>
      </c>
      <c r="AA653" t="e">
        <f t="shared" si="64"/>
        <v>#DIV/0!</v>
      </c>
      <c r="AB653" s="1" t="e">
        <f t="shared" si="65"/>
        <v>#DIV/0!</v>
      </c>
    </row>
    <row r="654" spans="11:28" ht="33" customHeight="1">
      <c r="K654" s="38"/>
      <c r="L654" s="38"/>
      <c r="M654" s="38"/>
      <c r="N654" s="38"/>
      <c r="O654" s="38"/>
      <c r="P654" s="38"/>
      <c r="Q654" s="38"/>
      <c r="R654" s="38"/>
      <c r="S654" s="38"/>
      <c r="T654" s="38"/>
      <c r="U654" s="38"/>
      <c r="V654" s="38"/>
      <c r="W654" s="38"/>
      <c r="X654" s="38"/>
      <c r="Y654" s="38"/>
      <c r="Z654" s="38">
        <f t="shared" si="66"/>
        <v>601</v>
      </c>
      <c r="AA654" t="e">
        <f t="shared" si="64"/>
        <v>#DIV/0!</v>
      </c>
      <c r="AB654" s="1" t="e">
        <f t="shared" si="65"/>
        <v>#DIV/0!</v>
      </c>
    </row>
    <row r="655" spans="11:28" ht="33" customHeight="1">
      <c r="K655" s="38"/>
      <c r="L655" s="38"/>
      <c r="M655" s="38"/>
      <c r="N655" s="38"/>
      <c r="O655" s="38"/>
      <c r="P655" s="38"/>
      <c r="Q655" s="38"/>
      <c r="R655" s="38"/>
      <c r="S655" s="38"/>
      <c r="T655" s="38"/>
      <c r="U655" s="38"/>
      <c r="V655" s="38"/>
      <c r="W655" s="38"/>
      <c r="X655" s="38"/>
      <c r="Y655" s="38"/>
      <c r="Z655" s="38">
        <f t="shared" si="66"/>
        <v>602</v>
      </c>
      <c r="AA655" t="e">
        <f t="shared" si="64"/>
        <v>#DIV/0!</v>
      </c>
      <c r="AB655" s="1" t="e">
        <f t="shared" si="65"/>
        <v>#DIV/0!</v>
      </c>
    </row>
    <row r="656" spans="11:28" ht="33" customHeight="1">
      <c r="K656" s="38"/>
      <c r="L656" s="38"/>
      <c r="M656" s="38"/>
      <c r="N656" s="38"/>
      <c r="O656" s="38"/>
      <c r="P656" s="38"/>
      <c r="Q656" s="38"/>
      <c r="R656" s="38"/>
      <c r="S656" s="38"/>
      <c r="T656" s="38"/>
      <c r="U656" s="38"/>
      <c r="V656" s="38"/>
      <c r="W656" s="38"/>
      <c r="X656" s="38"/>
      <c r="Y656" s="38"/>
      <c r="Z656" s="38">
        <f t="shared" si="66"/>
        <v>603</v>
      </c>
      <c r="AA656" t="e">
        <f t="shared" si="64"/>
        <v>#DIV/0!</v>
      </c>
      <c r="AB656" s="1" t="e">
        <f t="shared" si="65"/>
        <v>#DIV/0!</v>
      </c>
    </row>
    <row r="657" spans="11:28" ht="33" customHeight="1">
      <c r="K657" s="38"/>
      <c r="L657" s="38"/>
      <c r="M657" s="38"/>
      <c r="N657" s="38"/>
      <c r="O657" s="38"/>
      <c r="P657" s="38"/>
      <c r="Q657" s="38"/>
      <c r="R657" s="38"/>
      <c r="S657" s="38"/>
      <c r="T657" s="38"/>
      <c r="U657" s="38"/>
      <c r="V657" s="38"/>
      <c r="W657" s="38"/>
      <c r="X657" s="38"/>
      <c r="Y657" s="38"/>
      <c r="Z657" s="38">
        <f t="shared" si="66"/>
        <v>604</v>
      </c>
      <c r="AA657" t="e">
        <f t="shared" si="64"/>
        <v>#DIV/0!</v>
      </c>
      <c r="AB657" s="1" t="e">
        <f t="shared" si="65"/>
        <v>#DIV/0!</v>
      </c>
    </row>
    <row r="658" spans="11:28" ht="33" customHeight="1">
      <c r="K658" s="38"/>
      <c r="L658" s="38"/>
      <c r="M658" s="38"/>
      <c r="N658" s="38"/>
      <c r="O658" s="38"/>
      <c r="P658" s="38"/>
      <c r="Q658" s="38"/>
      <c r="R658" s="38"/>
      <c r="S658" s="38"/>
      <c r="T658" s="38"/>
      <c r="U658" s="38"/>
      <c r="V658" s="38"/>
      <c r="W658" s="38"/>
      <c r="X658" s="38"/>
      <c r="Y658" s="38"/>
      <c r="Z658" s="38">
        <f t="shared" si="66"/>
        <v>605</v>
      </c>
      <c r="AA658" t="e">
        <f t="shared" si="64"/>
        <v>#DIV/0!</v>
      </c>
      <c r="AB658" s="1" t="e">
        <f t="shared" si="65"/>
        <v>#DIV/0!</v>
      </c>
    </row>
    <row r="659" spans="11:28" ht="33" customHeight="1">
      <c r="K659" s="38"/>
      <c r="L659" s="38"/>
      <c r="M659" s="38"/>
      <c r="N659" s="38"/>
      <c r="O659" s="38"/>
      <c r="P659" s="38"/>
      <c r="Q659" s="38"/>
      <c r="R659" s="38"/>
      <c r="S659" s="38"/>
      <c r="T659" s="38"/>
      <c r="U659" s="38"/>
      <c r="V659" s="38"/>
      <c r="W659" s="38"/>
      <c r="X659" s="38"/>
      <c r="Y659" s="38"/>
      <c r="Z659" s="38">
        <f t="shared" si="66"/>
        <v>606</v>
      </c>
      <c r="AA659" t="e">
        <f t="shared" si="64"/>
        <v>#DIV/0!</v>
      </c>
      <c r="AB659" s="1" t="e">
        <f t="shared" si="65"/>
        <v>#DIV/0!</v>
      </c>
    </row>
    <row r="660" spans="11:28" ht="33" customHeight="1">
      <c r="K660" s="38"/>
      <c r="L660" s="38"/>
      <c r="M660" s="38"/>
      <c r="N660" s="38"/>
      <c r="O660" s="38"/>
      <c r="P660" s="38"/>
      <c r="Q660" s="38"/>
      <c r="R660" s="38"/>
      <c r="S660" s="38"/>
      <c r="T660" s="38"/>
      <c r="U660" s="38"/>
      <c r="V660" s="38"/>
      <c r="W660" s="38"/>
      <c r="X660" s="38"/>
      <c r="Y660" s="38"/>
      <c r="Z660" s="38">
        <f t="shared" si="66"/>
        <v>607</v>
      </c>
      <c r="AA660" t="e">
        <f t="shared" si="64"/>
        <v>#DIV/0!</v>
      </c>
      <c r="AB660" s="1" t="e">
        <f t="shared" si="65"/>
        <v>#DIV/0!</v>
      </c>
    </row>
    <row r="661" spans="11:28" ht="33" customHeight="1">
      <c r="K661" s="38"/>
      <c r="L661" s="38"/>
      <c r="M661" s="38"/>
      <c r="N661" s="38"/>
      <c r="O661" s="38"/>
      <c r="P661" s="38"/>
      <c r="Q661" s="38"/>
      <c r="R661" s="38"/>
      <c r="S661" s="38"/>
      <c r="T661" s="38"/>
      <c r="U661" s="38"/>
      <c r="V661" s="38"/>
      <c r="W661" s="38"/>
      <c r="X661" s="38"/>
      <c r="Y661" s="38"/>
      <c r="Z661" s="38">
        <f t="shared" si="66"/>
        <v>608</v>
      </c>
      <c r="AA661" t="e">
        <f t="shared" si="64"/>
        <v>#DIV/0!</v>
      </c>
      <c r="AB661" s="1" t="e">
        <f t="shared" si="65"/>
        <v>#DIV/0!</v>
      </c>
    </row>
    <row r="662" spans="11:28" ht="33" customHeight="1">
      <c r="K662" s="38"/>
      <c r="L662" s="38"/>
      <c r="M662" s="38"/>
      <c r="N662" s="38"/>
      <c r="O662" s="38"/>
      <c r="P662" s="38"/>
      <c r="Q662" s="38"/>
      <c r="R662" s="38"/>
      <c r="S662" s="38"/>
      <c r="T662" s="38"/>
      <c r="U662" s="38"/>
      <c r="V662" s="38"/>
      <c r="W662" s="38"/>
      <c r="X662" s="38"/>
      <c r="Y662" s="38"/>
      <c r="Z662" s="38">
        <f t="shared" si="66"/>
        <v>609</v>
      </c>
      <c r="AA662" t="e">
        <f t="shared" si="64"/>
        <v>#DIV/0!</v>
      </c>
      <c r="AB662" s="1" t="e">
        <f t="shared" si="65"/>
        <v>#DIV/0!</v>
      </c>
    </row>
    <row r="663" spans="11:28" ht="33" customHeight="1">
      <c r="K663" s="38"/>
      <c r="L663" s="38"/>
      <c r="M663" s="38"/>
      <c r="N663" s="38"/>
      <c r="O663" s="38"/>
      <c r="P663" s="38"/>
      <c r="Q663" s="38"/>
      <c r="R663" s="38"/>
      <c r="S663" s="38"/>
      <c r="T663" s="38"/>
      <c r="U663" s="38"/>
      <c r="V663" s="38"/>
      <c r="W663" s="38"/>
      <c r="X663" s="38"/>
      <c r="Y663" s="38"/>
      <c r="Z663" s="38">
        <f t="shared" si="66"/>
        <v>610</v>
      </c>
      <c r="AA663" t="e">
        <f t="shared" si="64"/>
        <v>#DIV/0!</v>
      </c>
      <c r="AB663" s="1" t="e">
        <f t="shared" si="65"/>
        <v>#DIV/0!</v>
      </c>
    </row>
    <row r="664" spans="11:28" ht="33" customHeight="1">
      <c r="K664" s="38"/>
      <c r="L664" s="38"/>
      <c r="M664" s="38"/>
      <c r="N664" s="38"/>
      <c r="O664" s="38"/>
      <c r="P664" s="38"/>
      <c r="Q664" s="38"/>
      <c r="R664" s="38"/>
      <c r="S664" s="38"/>
      <c r="T664" s="38"/>
      <c r="U664" s="38"/>
      <c r="V664" s="38"/>
      <c r="W664" s="38"/>
      <c r="X664" s="38"/>
      <c r="Y664" s="38"/>
      <c r="Z664" s="38">
        <f t="shared" si="66"/>
        <v>611</v>
      </c>
      <c r="AA664" t="e">
        <f t="shared" si="64"/>
        <v>#DIV/0!</v>
      </c>
      <c r="AB664" s="1" t="e">
        <f t="shared" si="65"/>
        <v>#DIV/0!</v>
      </c>
    </row>
    <row r="665" spans="11:28" ht="33" customHeight="1">
      <c r="K665" s="38"/>
      <c r="L665" s="38"/>
      <c r="M665" s="38"/>
      <c r="N665" s="38"/>
      <c r="O665" s="38"/>
      <c r="P665" s="38"/>
      <c r="Q665" s="38"/>
      <c r="R665" s="38"/>
      <c r="S665" s="38"/>
      <c r="T665" s="38"/>
      <c r="U665" s="38"/>
      <c r="V665" s="38"/>
      <c r="W665" s="38"/>
      <c r="X665" s="38"/>
      <c r="Y665" s="38"/>
      <c r="Z665" s="38">
        <f t="shared" si="66"/>
        <v>612</v>
      </c>
      <c r="AA665" t="e">
        <f t="shared" si="64"/>
        <v>#DIV/0!</v>
      </c>
      <c r="AB665" s="1" t="e">
        <f t="shared" si="65"/>
        <v>#DIV/0!</v>
      </c>
    </row>
    <row r="666" spans="11:28" ht="33" customHeight="1">
      <c r="K666" s="38"/>
      <c r="L666" s="38"/>
      <c r="M666" s="38"/>
      <c r="N666" s="38"/>
      <c r="O666" s="38"/>
      <c r="P666" s="38"/>
      <c r="Q666" s="38"/>
      <c r="R666" s="38"/>
      <c r="S666" s="38"/>
      <c r="T666" s="38"/>
      <c r="U666" s="38"/>
      <c r="V666" s="38"/>
      <c r="W666" s="38"/>
      <c r="X666" s="38"/>
      <c r="Y666" s="38"/>
      <c r="Z666" s="38">
        <f t="shared" si="66"/>
        <v>613</v>
      </c>
      <c r="AA666" t="e">
        <f t="shared" si="64"/>
        <v>#DIV/0!</v>
      </c>
      <c r="AB666" s="1" t="e">
        <f t="shared" si="65"/>
        <v>#DIV/0!</v>
      </c>
    </row>
    <row r="667" spans="11:28" ht="33" customHeight="1">
      <c r="K667" s="38"/>
      <c r="L667" s="38"/>
      <c r="M667" s="38"/>
      <c r="N667" s="38"/>
      <c r="O667" s="38"/>
      <c r="P667" s="38"/>
      <c r="Q667" s="38"/>
      <c r="R667" s="38"/>
      <c r="S667" s="38"/>
      <c r="T667" s="38"/>
      <c r="U667" s="38"/>
      <c r="V667" s="38"/>
      <c r="W667" s="38"/>
      <c r="X667" s="38"/>
      <c r="Y667" s="38"/>
      <c r="Z667" s="38">
        <f t="shared" si="66"/>
        <v>614</v>
      </c>
      <c r="AA667" t="e">
        <f t="shared" si="64"/>
        <v>#DIV/0!</v>
      </c>
      <c r="AB667" s="1" t="e">
        <f t="shared" si="65"/>
        <v>#DIV/0!</v>
      </c>
    </row>
    <row r="668" spans="11:28" ht="33" customHeight="1">
      <c r="K668" s="38"/>
      <c r="L668" s="38"/>
      <c r="M668" s="38"/>
      <c r="N668" s="38"/>
      <c r="O668" s="38"/>
      <c r="P668" s="38"/>
      <c r="Q668" s="38"/>
      <c r="R668" s="38"/>
      <c r="S668" s="38"/>
      <c r="T668" s="38"/>
      <c r="U668" s="38"/>
      <c r="V668" s="38"/>
      <c r="W668" s="38"/>
      <c r="X668" s="38"/>
      <c r="Y668" s="38"/>
      <c r="Z668" s="38">
        <f t="shared" si="66"/>
        <v>615</v>
      </c>
      <c r="AA668" t="e">
        <f t="shared" si="64"/>
        <v>#DIV/0!</v>
      </c>
      <c r="AB668" s="1" t="e">
        <f t="shared" si="65"/>
        <v>#DIV/0!</v>
      </c>
    </row>
    <row r="669" spans="11:28" ht="33" customHeight="1">
      <c r="K669" s="38"/>
      <c r="L669" s="38"/>
      <c r="M669" s="38"/>
      <c r="N669" s="38"/>
      <c r="O669" s="38"/>
      <c r="P669" s="38"/>
      <c r="Q669" s="38"/>
      <c r="R669" s="38"/>
      <c r="S669" s="38"/>
      <c r="T669" s="38"/>
      <c r="U669" s="38"/>
      <c r="V669" s="38"/>
      <c r="W669" s="38"/>
      <c r="X669" s="38"/>
      <c r="Y669" s="38"/>
      <c r="Z669" s="38">
        <f t="shared" si="66"/>
        <v>616</v>
      </c>
      <c r="AA669" t="e">
        <f t="shared" si="64"/>
        <v>#DIV/0!</v>
      </c>
      <c r="AB669" s="1" t="e">
        <f t="shared" si="65"/>
        <v>#DIV/0!</v>
      </c>
    </row>
    <row r="670" spans="11:28" ht="33" customHeight="1">
      <c r="K670" s="38"/>
      <c r="L670" s="38"/>
      <c r="M670" s="38"/>
      <c r="N670" s="38"/>
      <c r="O670" s="38"/>
      <c r="P670" s="38"/>
      <c r="Q670" s="38"/>
      <c r="R670" s="38"/>
      <c r="S670" s="38"/>
      <c r="T670" s="38"/>
      <c r="U670" s="38"/>
      <c r="V670" s="38"/>
      <c r="W670" s="38"/>
      <c r="X670" s="38"/>
      <c r="Y670" s="38"/>
      <c r="Z670" s="38">
        <f t="shared" si="66"/>
        <v>617</v>
      </c>
      <c r="AA670" t="e">
        <f t="shared" si="64"/>
        <v>#DIV/0!</v>
      </c>
      <c r="AB670" s="1" t="e">
        <f t="shared" si="65"/>
        <v>#DIV/0!</v>
      </c>
    </row>
    <row r="671" spans="11:28" ht="33" customHeight="1">
      <c r="K671" s="38"/>
      <c r="L671" s="38"/>
      <c r="M671" s="38"/>
      <c r="N671" s="38"/>
      <c r="O671" s="38"/>
      <c r="P671" s="38"/>
      <c r="Q671" s="38"/>
      <c r="R671" s="38"/>
      <c r="S671" s="38"/>
      <c r="T671" s="38"/>
      <c r="U671" s="38"/>
      <c r="V671" s="38"/>
      <c r="W671" s="38"/>
      <c r="X671" s="38"/>
      <c r="Y671" s="38"/>
      <c r="Z671" s="38">
        <f t="shared" si="66"/>
        <v>618</v>
      </c>
      <c r="AA671" t="e">
        <f t="shared" si="64"/>
        <v>#DIV/0!</v>
      </c>
      <c r="AB671" s="1" t="e">
        <f t="shared" si="65"/>
        <v>#DIV/0!</v>
      </c>
    </row>
    <row r="672" spans="11:28" ht="33" customHeight="1">
      <c r="K672" s="38"/>
      <c r="L672" s="38"/>
      <c r="M672" s="38"/>
      <c r="N672" s="38"/>
      <c r="O672" s="38"/>
      <c r="P672" s="38"/>
      <c r="Q672" s="38"/>
      <c r="R672" s="38"/>
      <c r="S672" s="38"/>
      <c r="T672" s="38"/>
      <c r="U672" s="38"/>
      <c r="V672" s="38"/>
      <c r="W672" s="38"/>
      <c r="X672" s="38"/>
      <c r="Y672" s="38"/>
      <c r="Z672" s="38">
        <f t="shared" si="66"/>
        <v>619</v>
      </c>
      <c r="AA672" t="e">
        <f t="shared" si="64"/>
        <v>#DIV/0!</v>
      </c>
      <c r="AB672" s="1" t="e">
        <f t="shared" si="65"/>
        <v>#DIV/0!</v>
      </c>
    </row>
    <row r="673" spans="11:28" ht="33" customHeight="1">
      <c r="K673" s="38"/>
      <c r="L673" s="38"/>
      <c r="M673" s="38"/>
      <c r="N673" s="38"/>
      <c r="O673" s="38"/>
      <c r="P673" s="38"/>
      <c r="Q673" s="38"/>
      <c r="R673" s="38"/>
      <c r="S673" s="38"/>
      <c r="T673" s="38"/>
      <c r="U673" s="38"/>
      <c r="V673" s="38"/>
      <c r="W673" s="38"/>
      <c r="X673" s="38"/>
      <c r="Y673" s="38"/>
      <c r="Z673" s="38">
        <f t="shared" si="66"/>
        <v>620</v>
      </c>
      <c r="AA673" t="e">
        <f t="shared" si="64"/>
        <v>#DIV/0!</v>
      </c>
      <c r="AB673" s="1" t="e">
        <f t="shared" si="65"/>
        <v>#DIV/0!</v>
      </c>
    </row>
    <row r="674" spans="11:28" ht="33" customHeight="1">
      <c r="K674" s="38"/>
      <c r="L674" s="38"/>
      <c r="M674" s="38"/>
      <c r="N674" s="38"/>
      <c r="O674" s="38"/>
      <c r="P674" s="38"/>
      <c r="Q674" s="38"/>
      <c r="R674" s="38"/>
      <c r="S674" s="38"/>
      <c r="T674" s="38"/>
      <c r="U674" s="38"/>
      <c r="V674" s="38"/>
      <c r="W674" s="38"/>
      <c r="X674" s="38"/>
      <c r="Y674" s="38"/>
      <c r="Z674" s="38">
        <f t="shared" si="66"/>
        <v>621</v>
      </c>
      <c r="AA674" t="e">
        <f t="shared" si="64"/>
        <v>#DIV/0!</v>
      </c>
      <c r="AB674" s="1" t="e">
        <f t="shared" si="65"/>
        <v>#DIV/0!</v>
      </c>
    </row>
    <row r="675" spans="11:28" ht="33" customHeight="1">
      <c r="K675" s="38"/>
      <c r="L675" s="38"/>
      <c r="M675" s="38"/>
      <c r="N675" s="38"/>
      <c r="O675" s="38"/>
      <c r="P675" s="38"/>
      <c r="Q675" s="38"/>
      <c r="R675" s="38"/>
      <c r="S675" s="38"/>
      <c r="T675" s="38"/>
      <c r="U675" s="38"/>
      <c r="V675" s="38"/>
      <c r="W675" s="38"/>
      <c r="X675" s="38"/>
      <c r="Y675" s="38"/>
      <c r="Z675" s="38">
        <f t="shared" si="66"/>
        <v>622</v>
      </c>
      <c r="AA675" t="e">
        <f t="shared" si="64"/>
        <v>#DIV/0!</v>
      </c>
      <c r="AB675" s="1" t="e">
        <f t="shared" si="65"/>
        <v>#DIV/0!</v>
      </c>
    </row>
    <row r="676" spans="11:28" ht="33" customHeight="1">
      <c r="K676" s="38"/>
      <c r="L676" s="38"/>
      <c r="M676" s="38"/>
      <c r="N676" s="38"/>
      <c r="O676" s="38"/>
      <c r="P676" s="38"/>
      <c r="Q676" s="38"/>
      <c r="R676" s="38"/>
      <c r="S676" s="38"/>
      <c r="T676" s="38"/>
      <c r="U676" s="38"/>
      <c r="V676" s="38"/>
      <c r="W676" s="38"/>
      <c r="X676" s="38"/>
      <c r="Y676" s="38"/>
      <c r="Z676" s="38">
        <f t="shared" si="66"/>
        <v>623</v>
      </c>
      <c r="AA676" t="e">
        <f t="shared" si="64"/>
        <v>#DIV/0!</v>
      </c>
      <c r="AB676" s="1" t="e">
        <f t="shared" si="65"/>
        <v>#DIV/0!</v>
      </c>
    </row>
    <row r="677" spans="11:28" ht="33" customHeight="1">
      <c r="K677" s="38"/>
      <c r="L677" s="38"/>
      <c r="M677" s="38"/>
      <c r="N677" s="38"/>
      <c r="O677" s="38"/>
      <c r="P677" s="38"/>
      <c r="Q677" s="38"/>
      <c r="R677" s="38"/>
      <c r="S677" s="38"/>
      <c r="T677" s="38"/>
      <c r="U677" s="38"/>
      <c r="V677" s="38"/>
      <c r="W677" s="38"/>
      <c r="X677" s="38"/>
      <c r="Y677" s="38"/>
      <c r="Z677" s="38">
        <f t="shared" si="66"/>
        <v>624</v>
      </c>
      <c r="AA677" t="e">
        <f t="shared" si="64"/>
        <v>#DIV/0!</v>
      </c>
      <c r="AB677" s="1" t="e">
        <f t="shared" si="65"/>
        <v>#DIV/0!</v>
      </c>
    </row>
    <row r="678" spans="11:28" ht="33" customHeight="1">
      <c r="K678" s="38"/>
      <c r="L678" s="38"/>
      <c r="M678" s="38"/>
      <c r="N678" s="38"/>
      <c r="O678" s="38"/>
      <c r="P678" s="38"/>
      <c r="Q678" s="38"/>
      <c r="R678" s="38"/>
      <c r="S678" s="38"/>
      <c r="T678" s="38"/>
      <c r="U678" s="38"/>
      <c r="V678" s="38"/>
      <c r="W678" s="38"/>
      <c r="X678" s="38"/>
      <c r="Y678" s="38"/>
      <c r="Z678" s="38">
        <f t="shared" si="66"/>
        <v>625</v>
      </c>
      <c r="AA678" t="e">
        <f t="shared" si="64"/>
        <v>#DIV/0!</v>
      </c>
      <c r="AB678" s="1" t="e">
        <f t="shared" si="65"/>
        <v>#DIV/0!</v>
      </c>
    </row>
    <row r="679" spans="11:28" ht="33" customHeight="1">
      <c r="K679" s="38"/>
      <c r="L679" s="38"/>
      <c r="M679" s="38"/>
      <c r="N679" s="38"/>
      <c r="O679" s="38"/>
      <c r="P679" s="38"/>
      <c r="Q679" s="38"/>
      <c r="R679" s="38"/>
      <c r="S679" s="38"/>
      <c r="T679" s="38"/>
      <c r="U679" s="38"/>
      <c r="V679" s="38"/>
      <c r="W679" s="38"/>
      <c r="X679" s="38"/>
      <c r="Y679" s="38"/>
      <c r="Z679" s="38">
        <f t="shared" si="66"/>
        <v>626</v>
      </c>
      <c r="AA679" t="e">
        <f t="shared" si="64"/>
        <v>#DIV/0!</v>
      </c>
      <c r="AB679" s="1" t="e">
        <f t="shared" si="65"/>
        <v>#DIV/0!</v>
      </c>
    </row>
    <row r="680" spans="11:28" ht="33" customHeight="1">
      <c r="K680" s="38"/>
      <c r="L680" s="38"/>
      <c r="M680" s="38"/>
      <c r="N680" s="38"/>
      <c r="O680" s="38"/>
      <c r="P680" s="38"/>
      <c r="Q680" s="38"/>
      <c r="R680" s="38"/>
      <c r="S680" s="38"/>
      <c r="T680" s="38"/>
      <c r="U680" s="38"/>
      <c r="V680" s="38"/>
      <c r="W680" s="38"/>
      <c r="X680" s="38"/>
      <c r="Y680" s="38"/>
      <c r="Z680" s="38">
        <f t="shared" si="66"/>
        <v>627</v>
      </c>
      <c r="AA680" t="e">
        <f t="shared" si="64"/>
        <v>#DIV/0!</v>
      </c>
      <c r="AB680" s="1" t="e">
        <f t="shared" si="65"/>
        <v>#DIV/0!</v>
      </c>
    </row>
    <row r="681" spans="11:28" ht="33" customHeight="1">
      <c r="K681" s="38"/>
      <c r="L681" s="38"/>
      <c r="M681" s="38"/>
      <c r="N681" s="38"/>
      <c r="O681" s="38"/>
      <c r="P681" s="38"/>
      <c r="Q681" s="38"/>
      <c r="R681" s="38"/>
      <c r="S681" s="38"/>
      <c r="T681" s="38"/>
      <c r="U681" s="38"/>
      <c r="V681" s="38"/>
      <c r="W681" s="38"/>
      <c r="X681" s="38"/>
      <c r="Y681" s="38"/>
      <c r="Z681" s="38">
        <f t="shared" si="66"/>
        <v>628</v>
      </c>
      <c r="AA681" t="e">
        <f t="shared" si="64"/>
        <v>#DIV/0!</v>
      </c>
      <c r="AB681" s="1" t="e">
        <f t="shared" si="65"/>
        <v>#DIV/0!</v>
      </c>
    </row>
    <row r="682" spans="11:28" ht="33" customHeight="1">
      <c r="K682" s="38"/>
      <c r="L682" s="38"/>
      <c r="M682" s="38"/>
      <c r="N682" s="38"/>
      <c r="O682" s="38"/>
      <c r="P682" s="38"/>
      <c r="Q682" s="38"/>
      <c r="R682" s="38"/>
      <c r="S682" s="38"/>
      <c r="T682" s="38"/>
      <c r="U682" s="38"/>
      <c r="V682" s="38"/>
      <c r="W682" s="38"/>
      <c r="X682" s="38"/>
      <c r="Y682" s="38"/>
      <c r="Z682" s="38">
        <f t="shared" si="66"/>
        <v>629</v>
      </c>
      <c r="AA682" t="e">
        <f t="shared" si="64"/>
        <v>#DIV/0!</v>
      </c>
      <c r="AB682" s="1" t="e">
        <f t="shared" si="65"/>
        <v>#DIV/0!</v>
      </c>
    </row>
    <row r="683" spans="11:28" ht="33" customHeight="1">
      <c r="K683" s="38"/>
      <c r="L683" s="38"/>
      <c r="M683" s="38"/>
      <c r="N683" s="38"/>
      <c r="O683" s="38"/>
      <c r="P683" s="38"/>
      <c r="Q683" s="38"/>
      <c r="R683" s="38"/>
      <c r="S683" s="38"/>
      <c r="T683" s="38"/>
      <c r="U683" s="38"/>
      <c r="V683" s="38"/>
      <c r="W683" s="38"/>
      <c r="X683" s="38"/>
      <c r="Y683" s="38"/>
      <c r="Z683" s="38">
        <f t="shared" si="66"/>
        <v>630</v>
      </c>
      <c r="AA683" t="e">
        <f t="shared" si="64"/>
        <v>#DIV/0!</v>
      </c>
      <c r="AB683" s="1" t="e">
        <f t="shared" si="65"/>
        <v>#DIV/0!</v>
      </c>
    </row>
    <row r="684" spans="11:28" ht="33" customHeight="1">
      <c r="K684" s="38"/>
      <c r="L684" s="38"/>
      <c r="M684" s="38"/>
      <c r="N684" s="38"/>
      <c r="O684" s="38"/>
      <c r="P684" s="38"/>
      <c r="Q684" s="38"/>
      <c r="R684" s="38"/>
      <c r="S684" s="38"/>
      <c r="T684" s="38"/>
      <c r="U684" s="38"/>
      <c r="V684" s="38"/>
      <c r="W684" s="38"/>
      <c r="X684" s="38"/>
      <c r="Y684" s="38"/>
      <c r="Z684" s="38">
        <f t="shared" si="66"/>
        <v>631</v>
      </c>
      <c r="AA684" t="e">
        <f t="shared" si="64"/>
        <v>#DIV/0!</v>
      </c>
      <c r="AB684" s="1" t="e">
        <f t="shared" si="65"/>
        <v>#DIV/0!</v>
      </c>
    </row>
    <row r="685" spans="11:28" ht="33" customHeight="1">
      <c r="K685" s="38"/>
      <c r="L685" s="38"/>
      <c r="M685" s="38"/>
      <c r="N685" s="38"/>
      <c r="O685" s="38"/>
      <c r="P685" s="38"/>
      <c r="Q685" s="38"/>
      <c r="R685" s="38"/>
      <c r="S685" s="38"/>
      <c r="T685" s="38"/>
      <c r="U685" s="38"/>
      <c r="V685" s="38"/>
      <c r="W685" s="38"/>
      <c r="X685" s="38"/>
      <c r="Y685" s="38"/>
      <c r="Z685" s="38">
        <f t="shared" si="66"/>
        <v>632</v>
      </c>
      <c r="AA685" t="e">
        <f t="shared" si="64"/>
        <v>#DIV/0!</v>
      </c>
      <c r="AB685" s="1" t="e">
        <f t="shared" si="65"/>
        <v>#DIV/0!</v>
      </c>
    </row>
    <row r="686" spans="11:28" ht="33" customHeight="1">
      <c r="K686" s="38"/>
      <c r="L686" s="38"/>
      <c r="M686" s="38"/>
      <c r="N686" s="38"/>
      <c r="O686" s="38"/>
      <c r="P686" s="38"/>
      <c r="Q686" s="38"/>
      <c r="R686" s="38"/>
      <c r="S686" s="38"/>
      <c r="T686" s="38"/>
      <c r="U686" s="38"/>
      <c r="V686" s="38"/>
      <c r="W686" s="38"/>
      <c r="X686" s="38"/>
      <c r="Y686" s="38"/>
      <c r="Z686" s="38">
        <f t="shared" si="66"/>
        <v>633</v>
      </c>
      <c r="AA686" t="e">
        <f t="shared" si="64"/>
        <v>#DIV/0!</v>
      </c>
      <c r="AB686" s="1" t="e">
        <f t="shared" si="65"/>
        <v>#DIV/0!</v>
      </c>
    </row>
    <row r="687" spans="11:28" ht="33" customHeight="1">
      <c r="K687" s="38"/>
      <c r="L687" s="38"/>
      <c r="M687" s="38"/>
      <c r="N687" s="38"/>
      <c r="O687" s="38"/>
      <c r="P687" s="38"/>
      <c r="Q687" s="38"/>
      <c r="R687" s="38"/>
      <c r="S687" s="38"/>
      <c r="T687" s="38"/>
      <c r="U687" s="38"/>
      <c r="V687" s="38"/>
      <c r="W687" s="38"/>
      <c r="X687" s="38"/>
      <c r="Y687" s="38"/>
      <c r="Z687" s="38">
        <f t="shared" si="66"/>
        <v>634</v>
      </c>
      <c r="AA687" t="e">
        <f t="shared" si="64"/>
        <v>#DIV/0!</v>
      </c>
      <c r="AB687" s="1" t="e">
        <f t="shared" si="65"/>
        <v>#DIV/0!</v>
      </c>
    </row>
    <row r="688" spans="11:28" ht="33" customHeight="1">
      <c r="K688" s="38"/>
      <c r="L688" s="38"/>
      <c r="M688" s="38"/>
      <c r="N688" s="38"/>
      <c r="O688" s="38"/>
      <c r="P688" s="38"/>
      <c r="Q688" s="38"/>
      <c r="R688" s="38"/>
      <c r="S688" s="38"/>
      <c r="T688" s="38"/>
      <c r="U688" s="38"/>
      <c r="V688" s="38"/>
      <c r="W688" s="38"/>
      <c r="X688" s="38"/>
      <c r="Y688" s="38"/>
      <c r="Z688" s="38">
        <f t="shared" si="66"/>
        <v>635</v>
      </c>
      <c r="AA688" t="e">
        <f t="shared" si="64"/>
        <v>#DIV/0!</v>
      </c>
      <c r="AB688" s="1" t="e">
        <f t="shared" si="65"/>
        <v>#DIV/0!</v>
      </c>
    </row>
    <row r="689" spans="11:28" ht="33" customHeight="1">
      <c r="K689" s="38"/>
      <c r="L689" s="38"/>
      <c r="M689" s="38"/>
      <c r="N689" s="38"/>
      <c r="O689" s="38"/>
      <c r="P689" s="38"/>
      <c r="Q689" s="38"/>
      <c r="R689" s="38"/>
      <c r="S689" s="38"/>
      <c r="T689" s="38"/>
      <c r="U689" s="38"/>
      <c r="V689" s="38"/>
      <c r="W689" s="38"/>
      <c r="X689" s="38"/>
      <c r="Y689" s="38"/>
      <c r="Z689" s="38">
        <f t="shared" si="66"/>
        <v>636</v>
      </c>
      <c r="AA689" t="e">
        <f t="shared" si="64"/>
        <v>#DIV/0!</v>
      </c>
      <c r="AB689" s="1" t="e">
        <f t="shared" si="65"/>
        <v>#DIV/0!</v>
      </c>
    </row>
    <row r="690" spans="11:28" ht="33" customHeight="1">
      <c r="K690" s="38"/>
      <c r="L690" s="38"/>
      <c r="M690" s="38"/>
      <c r="N690" s="38"/>
      <c r="O690" s="38"/>
      <c r="P690" s="38"/>
      <c r="Q690" s="38"/>
      <c r="R690" s="38"/>
      <c r="S690" s="38"/>
      <c r="T690" s="38"/>
      <c r="U690" s="38"/>
      <c r="V690" s="38"/>
      <c r="W690" s="38"/>
      <c r="X690" s="38"/>
      <c r="Y690" s="38"/>
      <c r="Z690" s="38">
        <f t="shared" si="66"/>
        <v>637</v>
      </c>
      <c r="AA690" t="e">
        <f t="shared" si="64"/>
        <v>#DIV/0!</v>
      </c>
      <c r="AB690" s="1" t="e">
        <f t="shared" si="65"/>
        <v>#DIV/0!</v>
      </c>
    </row>
    <row r="691" spans="11:28" ht="33" customHeight="1">
      <c r="K691" s="38"/>
      <c r="L691" s="38"/>
      <c r="M691" s="38"/>
      <c r="N691" s="38"/>
      <c r="O691" s="38"/>
      <c r="P691" s="38"/>
      <c r="Q691" s="38"/>
      <c r="R691" s="38"/>
      <c r="S691" s="38"/>
      <c r="T691" s="38"/>
      <c r="U691" s="38"/>
      <c r="V691" s="38"/>
      <c r="W691" s="38"/>
      <c r="X691" s="38"/>
      <c r="Y691" s="38"/>
      <c r="Z691" s="38">
        <f t="shared" si="66"/>
        <v>638</v>
      </c>
      <c r="AA691" t="e">
        <f t="shared" si="64"/>
        <v>#DIV/0!</v>
      </c>
      <c r="AB691" s="1" t="e">
        <f t="shared" si="65"/>
        <v>#DIV/0!</v>
      </c>
    </row>
    <row r="692" spans="11:28" ht="33" customHeight="1">
      <c r="K692" s="38"/>
      <c r="L692" s="38"/>
      <c r="M692" s="38"/>
      <c r="N692" s="38"/>
      <c r="O692" s="38"/>
      <c r="P692" s="38"/>
      <c r="Q692" s="38"/>
      <c r="R692" s="38"/>
      <c r="S692" s="38"/>
      <c r="T692" s="38"/>
      <c r="U692" s="38"/>
      <c r="V692" s="38"/>
      <c r="W692" s="38"/>
      <c r="X692" s="38"/>
      <c r="Y692" s="38"/>
      <c r="Z692" s="38">
        <f t="shared" si="66"/>
        <v>639</v>
      </c>
      <c r="AA692" t="e">
        <f t="shared" si="64"/>
        <v>#DIV/0!</v>
      </c>
      <c r="AB692" s="1" t="e">
        <f t="shared" si="65"/>
        <v>#DIV/0!</v>
      </c>
    </row>
    <row r="693" spans="11:28" ht="33" customHeight="1">
      <c r="K693" s="38"/>
      <c r="L693" s="38"/>
      <c r="M693" s="38"/>
      <c r="N693" s="38"/>
      <c r="O693" s="38"/>
      <c r="P693" s="38"/>
      <c r="Q693" s="38"/>
      <c r="R693" s="38"/>
      <c r="S693" s="38"/>
      <c r="T693" s="38"/>
      <c r="U693" s="38"/>
      <c r="V693" s="38"/>
      <c r="W693" s="38"/>
      <c r="X693" s="38"/>
      <c r="Y693" s="38"/>
      <c r="Z693" s="38">
        <f t="shared" si="66"/>
        <v>640</v>
      </c>
      <c r="AA693" t="e">
        <f t="shared" si="64"/>
        <v>#DIV/0!</v>
      </c>
      <c r="AB693" s="1" t="e">
        <f t="shared" si="65"/>
        <v>#DIV/0!</v>
      </c>
    </row>
    <row r="694" spans="11:28" ht="33" customHeight="1">
      <c r="K694" s="38"/>
      <c r="L694" s="38"/>
      <c r="M694" s="38"/>
      <c r="N694" s="38"/>
      <c r="O694" s="38"/>
      <c r="P694" s="38"/>
      <c r="Q694" s="38"/>
      <c r="R694" s="38"/>
      <c r="S694" s="38"/>
      <c r="T694" s="38"/>
      <c r="U694" s="38"/>
      <c r="V694" s="38"/>
      <c r="W694" s="38"/>
      <c r="X694" s="38"/>
      <c r="Y694" s="38"/>
      <c r="Z694" s="38">
        <f t="shared" si="66"/>
        <v>641</v>
      </c>
      <c r="AA694" t="e">
        <f t="shared" si="64"/>
        <v>#DIV/0!</v>
      </c>
      <c r="AB694" s="1" t="e">
        <f t="shared" si="65"/>
        <v>#DIV/0!</v>
      </c>
    </row>
    <row r="695" spans="11:28" ht="33" customHeight="1">
      <c r="K695" s="38"/>
      <c r="L695" s="38"/>
      <c r="M695" s="38"/>
      <c r="N695" s="38"/>
      <c r="O695" s="38"/>
      <c r="P695" s="38"/>
      <c r="Q695" s="38"/>
      <c r="R695" s="38"/>
      <c r="S695" s="38"/>
      <c r="T695" s="38"/>
      <c r="U695" s="38"/>
      <c r="V695" s="38"/>
      <c r="W695" s="38"/>
      <c r="X695" s="38"/>
      <c r="Y695" s="38"/>
      <c r="Z695" s="38">
        <f t="shared" si="66"/>
        <v>642</v>
      </c>
      <c r="AA695" t="e">
        <f t="shared" si="64"/>
        <v>#DIV/0!</v>
      </c>
      <c r="AB695" s="1" t="e">
        <f t="shared" si="65"/>
        <v>#DIV/0!</v>
      </c>
    </row>
    <row r="696" spans="11:28" ht="33" customHeight="1">
      <c r="K696" s="38"/>
      <c r="L696" s="38"/>
      <c r="M696" s="38"/>
      <c r="N696" s="38"/>
      <c r="O696" s="38"/>
      <c r="P696" s="38"/>
      <c r="Q696" s="38"/>
      <c r="R696" s="38"/>
      <c r="S696" s="38"/>
      <c r="T696" s="38"/>
      <c r="U696" s="38"/>
      <c r="V696" s="38"/>
      <c r="W696" s="38"/>
      <c r="X696" s="38"/>
      <c r="Y696" s="38"/>
      <c r="Z696" s="38">
        <f t="shared" si="66"/>
        <v>643</v>
      </c>
      <c r="AA696" t="e">
        <f t="shared" si="64"/>
        <v>#DIV/0!</v>
      </c>
      <c r="AB696" s="1" t="e">
        <f t="shared" si="65"/>
        <v>#DIV/0!</v>
      </c>
    </row>
    <row r="697" spans="11:28" ht="33" customHeight="1">
      <c r="K697" s="38"/>
      <c r="L697" s="38"/>
      <c r="M697" s="38"/>
      <c r="N697" s="38"/>
      <c r="O697" s="38"/>
      <c r="P697" s="38"/>
      <c r="Q697" s="38"/>
      <c r="R697" s="38"/>
      <c r="S697" s="38"/>
      <c r="T697" s="38"/>
      <c r="U697" s="38"/>
      <c r="V697" s="38"/>
      <c r="W697" s="38"/>
      <c r="X697" s="38"/>
      <c r="Y697" s="38"/>
      <c r="Z697" s="38">
        <f t="shared" si="66"/>
        <v>644</v>
      </c>
      <c r="AA697" t="e">
        <f t="shared" si="64"/>
        <v>#DIV/0!</v>
      </c>
      <c r="AB697" s="1" t="e">
        <f t="shared" si="65"/>
        <v>#DIV/0!</v>
      </c>
    </row>
    <row r="698" spans="11:28" ht="33" customHeight="1">
      <c r="K698" s="38"/>
      <c r="L698" s="38"/>
      <c r="M698" s="38"/>
      <c r="N698" s="38"/>
      <c r="O698" s="38"/>
      <c r="P698" s="38"/>
      <c r="Q698" s="38"/>
      <c r="R698" s="38"/>
      <c r="S698" s="38"/>
      <c r="T698" s="38"/>
      <c r="U698" s="38"/>
      <c r="V698" s="38"/>
      <c r="W698" s="38"/>
      <c r="X698" s="38"/>
      <c r="Y698" s="38"/>
      <c r="Z698" s="38">
        <f t="shared" si="66"/>
        <v>645</v>
      </c>
      <c r="AA698" t="e">
        <f t="shared" si="64"/>
        <v>#DIV/0!</v>
      </c>
      <c r="AB698" s="1" t="e">
        <f t="shared" si="65"/>
        <v>#DIV/0!</v>
      </c>
    </row>
    <row r="699" spans="11:28" ht="33" customHeight="1">
      <c r="K699" s="38"/>
      <c r="L699" s="38"/>
      <c r="M699" s="38"/>
      <c r="N699" s="38"/>
      <c r="O699" s="38"/>
      <c r="P699" s="38"/>
      <c r="Q699" s="38"/>
      <c r="R699" s="38"/>
      <c r="S699" s="38"/>
      <c r="T699" s="38"/>
      <c r="U699" s="38"/>
      <c r="V699" s="38"/>
      <c r="W699" s="38"/>
      <c r="X699" s="38"/>
      <c r="Y699" s="38"/>
      <c r="Z699" s="38">
        <f t="shared" si="66"/>
        <v>646</v>
      </c>
      <c r="AA699" t="e">
        <f t="shared" si="64"/>
        <v>#DIV/0!</v>
      </c>
      <c r="AB699" s="1" t="e">
        <f t="shared" si="65"/>
        <v>#DIV/0!</v>
      </c>
    </row>
    <row r="700" spans="11:28" ht="33" customHeight="1">
      <c r="K700" s="38"/>
      <c r="L700" s="38"/>
      <c r="M700" s="38"/>
      <c r="N700" s="38"/>
      <c r="O700" s="38"/>
      <c r="P700" s="38"/>
      <c r="Q700" s="38"/>
      <c r="R700" s="38"/>
      <c r="S700" s="38"/>
      <c r="T700" s="38"/>
      <c r="U700" s="38"/>
      <c r="V700" s="38"/>
      <c r="W700" s="38"/>
      <c r="X700" s="38"/>
      <c r="Y700" s="38"/>
      <c r="Z700" s="38">
        <f t="shared" si="66"/>
        <v>647</v>
      </c>
      <c r="AA700" t="e">
        <f t="shared" si="64"/>
        <v>#DIV/0!</v>
      </c>
      <c r="AB700" s="1" t="e">
        <f t="shared" si="65"/>
        <v>#DIV/0!</v>
      </c>
    </row>
    <row r="701" spans="11:28" ht="33" customHeight="1">
      <c r="K701" s="38"/>
      <c r="L701" s="38"/>
      <c r="M701" s="38"/>
      <c r="N701" s="38"/>
      <c r="O701" s="38"/>
      <c r="P701" s="38"/>
      <c r="Q701" s="38"/>
      <c r="R701" s="38"/>
      <c r="S701" s="38"/>
      <c r="T701" s="38"/>
      <c r="U701" s="38"/>
      <c r="V701" s="38"/>
      <c r="W701" s="38"/>
      <c r="X701" s="38"/>
      <c r="Y701" s="38"/>
      <c r="Z701" s="38">
        <f t="shared" si="66"/>
        <v>648</v>
      </c>
      <c r="AA701" t="e">
        <f t="shared" si="64"/>
        <v>#DIV/0!</v>
      </c>
      <c r="AB701" s="1" t="e">
        <f t="shared" si="65"/>
        <v>#DIV/0!</v>
      </c>
    </row>
    <row r="702" spans="11:28" ht="33" customHeight="1">
      <c r="K702" s="38"/>
      <c r="L702" s="38"/>
      <c r="M702" s="38"/>
      <c r="N702" s="38"/>
      <c r="O702" s="38"/>
      <c r="P702" s="38"/>
      <c r="Q702" s="38"/>
      <c r="R702" s="38"/>
      <c r="S702" s="38"/>
      <c r="T702" s="38"/>
      <c r="U702" s="38"/>
      <c r="V702" s="38"/>
      <c r="W702" s="38"/>
      <c r="X702" s="38"/>
      <c r="Y702" s="38"/>
      <c r="Z702" s="38">
        <f t="shared" si="66"/>
        <v>649</v>
      </c>
      <c r="AA702" t="e">
        <f t="shared" si="64"/>
        <v>#DIV/0!</v>
      </c>
      <c r="AB702" s="1" t="e">
        <f t="shared" si="65"/>
        <v>#DIV/0!</v>
      </c>
    </row>
    <row r="703" spans="11:28" ht="33" customHeight="1">
      <c r="K703" s="38"/>
      <c r="L703" s="38"/>
      <c r="M703" s="38"/>
      <c r="N703" s="38"/>
      <c r="O703" s="38"/>
      <c r="P703" s="38"/>
      <c r="Q703" s="38"/>
      <c r="R703" s="38"/>
      <c r="S703" s="38"/>
      <c r="T703" s="38"/>
      <c r="U703" s="38"/>
      <c r="V703" s="38"/>
      <c r="W703" s="38"/>
      <c r="X703" s="38"/>
      <c r="Y703" s="38"/>
      <c r="Z703" s="38">
        <f t="shared" si="66"/>
        <v>650</v>
      </c>
      <c r="AA703" t="e">
        <f t="shared" si="64"/>
        <v>#DIV/0!</v>
      </c>
      <c r="AB703" s="1" t="e">
        <f t="shared" si="65"/>
        <v>#DIV/0!</v>
      </c>
    </row>
    <row r="704" spans="11:28" ht="33" customHeight="1">
      <c r="K704" s="38"/>
      <c r="L704" s="38"/>
      <c r="M704" s="38"/>
      <c r="N704" s="38"/>
      <c r="O704" s="38"/>
      <c r="P704" s="38"/>
      <c r="Q704" s="38"/>
      <c r="R704" s="38"/>
      <c r="S704" s="38"/>
      <c r="T704" s="38"/>
      <c r="U704" s="38"/>
      <c r="V704" s="38"/>
      <c r="W704" s="38"/>
      <c r="X704" s="38"/>
      <c r="Y704" s="38"/>
      <c r="Z704" s="38">
        <f t="shared" si="66"/>
        <v>651</v>
      </c>
      <c r="AA704" t="e">
        <f t="shared" si="64"/>
        <v>#DIV/0!</v>
      </c>
      <c r="AB704" s="1" t="e">
        <f t="shared" si="65"/>
        <v>#DIV/0!</v>
      </c>
    </row>
    <row r="705" spans="11:28" ht="33" customHeight="1">
      <c r="K705" s="38"/>
      <c r="L705" s="38"/>
      <c r="M705" s="38"/>
      <c r="N705" s="38"/>
      <c r="O705" s="38"/>
      <c r="P705" s="38"/>
      <c r="Q705" s="38"/>
      <c r="R705" s="38"/>
      <c r="S705" s="38"/>
      <c r="T705" s="38"/>
      <c r="U705" s="38"/>
      <c r="V705" s="38"/>
      <c r="W705" s="38"/>
      <c r="X705" s="38"/>
      <c r="Y705" s="38"/>
      <c r="Z705" s="38">
        <f t="shared" si="66"/>
        <v>652</v>
      </c>
      <c r="AA705" t="e">
        <f t="shared" si="64"/>
        <v>#DIV/0!</v>
      </c>
      <c r="AB705" s="1" t="e">
        <f t="shared" si="65"/>
        <v>#DIV/0!</v>
      </c>
    </row>
    <row r="706" spans="11:28" ht="33" customHeight="1">
      <c r="K706" s="38"/>
      <c r="L706" s="38"/>
      <c r="M706" s="38"/>
      <c r="N706" s="38"/>
      <c r="O706" s="38"/>
      <c r="P706" s="38"/>
      <c r="Q706" s="38"/>
      <c r="R706" s="38"/>
      <c r="S706" s="38"/>
      <c r="T706" s="38"/>
      <c r="U706" s="38"/>
      <c r="V706" s="38"/>
      <c r="W706" s="38"/>
      <c r="X706" s="38"/>
      <c r="Y706" s="38"/>
      <c r="Z706" s="38">
        <f t="shared" si="66"/>
        <v>653</v>
      </c>
      <c r="AA706" t="e">
        <f t="shared" si="64"/>
        <v>#DIV/0!</v>
      </c>
      <c r="AB706" s="1" t="e">
        <f t="shared" si="65"/>
        <v>#DIV/0!</v>
      </c>
    </row>
    <row r="707" spans="11:28" ht="33" customHeight="1">
      <c r="K707" s="38"/>
      <c r="L707" s="38"/>
      <c r="M707" s="38"/>
      <c r="N707" s="38"/>
      <c r="O707" s="38"/>
      <c r="P707" s="38"/>
      <c r="Q707" s="38"/>
      <c r="R707" s="38"/>
      <c r="S707" s="38"/>
      <c r="T707" s="38"/>
      <c r="U707" s="38"/>
      <c r="V707" s="38"/>
      <c r="W707" s="38"/>
      <c r="X707" s="38"/>
      <c r="Y707" s="38"/>
      <c r="Z707" s="38">
        <f t="shared" si="66"/>
        <v>654</v>
      </c>
      <c r="AA707" t="e">
        <f t="shared" si="64"/>
        <v>#DIV/0!</v>
      </c>
      <c r="AB707" s="1" t="e">
        <f t="shared" si="65"/>
        <v>#DIV/0!</v>
      </c>
    </row>
    <row r="708" spans="11:28" ht="33" customHeight="1">
      <c r="K708" s="38"/>
      <c r="L708" s="38"/>
      <c r="M708" s="38"/>
      <c r="N708" s="38"/>
      <c r="O708" s="38"/>
      <c r="P708" s="38"/>
      <c r="Q708" s="38"/>
      <c r="R708" s="38"/>
      <c r="S708" s="38"/>
      <c r="T708" s="38"/>
      <c r="U708" s="38"/>
      <c r="V708" s="38"/>
      <c r="W708" s="38"/>
      <c r="X708" s="38"/>
      <c r="Y708" s="38"/>
      <c r="Z708" s="38">
        <f t="shared" si="66"/>
        <v>655</v>
      </c>
      <c r="AA708" t="e">
        <f t="shared" si="64"/>
        <v>#DIV/0!</v>
      </c>
      <c r="AB708" s="1" t="e">
        <f t="shared" si="65"/>
        <v>#DIV/0!</v>
      </c>
    </row>
    <row r="709" spans="11:28" ht="33" customHeight="1">
      <c r="K709" s="38"/>
      <c r="L709" s="38"/>
      <c r="M709" s="38"/>
      <c r="N709" s="38"/>
      <c r="O709" s="38"/>
      <c r="P709" s="38"/>
      <c r="Q709" s="38"/>
      <c r="R709" s="38"/>
      <c r="S709" s="38"/>
      <c r="T709" s="38"/>
      <c r="U709" s="38"/>
      <c r="V709" s="38"/>
      <c r="W709" s="38"/>
      <c r="X709" s="38"/>
      <c r="Y709" s="38"/>
      <c r="Z709" s="38">
        <f t="shared" si="66"/>
        <v>656</v>
      </c>
      <c r="AA709" t="e">
        <f t="shared" si="64"/>
        <v>#DIV/0!</v>
      </c>
      <c r="AB709" s="1" t="e">
        <f t="shared" si="65"/>
        <v>#DIV/0!</v>
      </c>
    </row>
    <row r="710" spans="11:28" ht="33" customHeight="1">
      <c r="K710" s="38"/>
      <c r="L710" s="38"/>
      <c r="M710" s="38"/>
      <c r="N710" s="38"/>
      <c r="O710" s="38"/>
      <c r="P710" s="38"/>
      <c r="Q710" s="38"/>
      <c r="R710" s="38"/>
      <c r="S710" s="38"/>
      <c r="T710" s="38"/>
      <c r="U710" s="38"/>
      <c r="V710" s="38"/>
      <c r="W710" s="38"/>
      <c r="X710" s="38"/>
      <c r="Y710" s="38"/>
      <c r="Z710" s="38">
        <f t="shared" si="66"/>
        <v>657</v>
      </c>
      <c r="AA710" t="e">
        <f t="shared" si="64"/>
        <v>#DIV/0!</v>
      </c>
      <c r="AB710" s="1" t="e">
        <f t="shared" si="65"/>
        <v>#DIV/0!</v>
      </c>
    </row>
    <row r="711" spans="11:28" ht="33" customHeight="1">
      <c r="K711" s="38"/>
      <c r="L711" s="38"/>
      <c r="M711" s="38"/>
      <c r="N711" s="38"/>
      <c r="O711" s="38"/>
      <c r="P711" s="38"/>
      <c r="Q711" s="38"/>
      <c r="R711" s="38"/>
      <c r="S711" s="38"/>
      <c r="T711" s="38"/>
      <c r="U711" s="38"/>
      <c r="V711" s="38"/>
      <c r="W711" s="38"/>
      <c r="X711" s="38"/>
      <c r="Y711" s="38"/>
      <c r="Z711" s="38">
        <f t="shared" si="66"/>
        <v>658</v>
      </c>
      <c r="AA711" t="e">
        <f t="shared" si="64"/>
        <v>#DIV/0!</v>
      </c>
      <c r="AB711" s="1" t="e">
        <f t="shared" si="65"/>
        <v>#DIV/0!</v>
      </c>
    </row>
    <row r="712" spans="11:28" ht="33" customHeight="1">
      <c r="K712" s="38"/>
      <c r="L712" s="38"/>
      <c r="M712" s="38"/>
      <c r="N712" s="38"/>
      <c r="O712" s="38"/>
      <c r="P712" s="38"/>
      <c r="Q712" s="38"/>
      <c r="R712" s="38"/>
      <c r="S712" s="38"/>
      <c r="T712" s="38"/>
      <c r="U712" s="38"/>
      <c r="V712" s="38"/>
      <c r="W712" s="38"/>
      <c r="X712" s="38"/>
      <c r="Y712" s="38"/>
      <c r="Z712" s="38">
        <f t="shared" si="66"/>
        <v>659</v>
      </c>
      <c r="AA712" t="e">
        <f t="shared" si="64"/>
        <v>#DIV/0!</v>
      </c>
      <c r="AB712" s="1" t="e">
        <f t="shared" si="65"/>
        <v>#DIV/0!</v>
      </c>
    </row>
    <row r="713" spans="11:28" ht="33" customHeight="1">
      <c r="K713" s="38"/>
      <c r="L713" s="38"/>
      <c r="M713" s="38"/>
      <c r="N713" s="38"/>
      <c r="O713" s="38"/>
      <c r="P713" s="38"/>
      <c r="Q713" s="38"/>
      <c r="R713" s="38"/>
      <c r="S713" s="38"/>
      <c r="T713" s="38"/>
      <c r="U713" s="38"/>
      <c r="V713" s="38"/>
      <c r="W713" s="38"/>
      <c r="X713" s="38"/>
      <c r="Y713" s="38"/>
      <c r="Z713" s="38">
        <f t="shared" si="66"/>
        <v>660</v>
      </c>
      <c r="AA713" t="e">
        <f t="shared" si="64"/>
        <v>#DIV/0!</v>
      </c>
      <c r="AB713" s="1" t="e">
        <f t="shared" si="65"/>
        <v>#DIV/0!</v>
      </c>
    </row>
    <row r="714" spans="11:28" ht="33" customHeight="1">
      <c r="K714" s="38"/>
      <c r="L714" s="38"/>
      <c r="M714" s="38"/>
      <c r="N714" s="38"/>
      <c r="O714" s="38"/>
      <c r="P714" s="38"/>
      <c r="Q714" s="38"/>
      <c r="R714" s="38"/>
      <c r="S714" s="38"/>
      <c r="T714" s="38"/>
      <c r="U714" s="38"/>
      <c r="V714" s="38"/>
      <c r="W714" s="38"/>
      <c r="X714" s="38"/>
      <c r="Y714" s="38"/>
      <c r="Z714" s="38">
        <f t="shared" si="66"/>
        <v>661</v>
      </c>
      <c r="AA714" t="e">
        <f t="shared" si="64"/>
        <v>#DIV/0!</v>
      </c>
      <c r="AB714" s="1" t="e">
        <f t="shared" si="65"/>
        <v>#DIV/0!</v>
      </c>
    </row>
    <row r="715" spans="11:28" ht="33" customHeight="1">
      <c r="K715" s="38"/>
      <c r="L715" s="38"/>
      <c r="M715" s="38"/>
      <c r="N715" s="38"/>
      <c r="O715" s="38"/>
      <c r="P715" s="38"/>
      <c r="Q715" s="38"/>
      <c r="R715" s="38"/>
      <c r="S715" s="38"/>
      <c r="T715" s="38"/>
      <c r="U715" s="38"/>
      <c r="V715" s="38"/>
      <c r="W715" s="38"/>
      <c r="X715" s="38"/>
      <c r="Y715" s="38"/>
      <c r="Z715" s="38">
        <f t="shared" si="66"/>
        <v>662</v>
      </c>
      <c r="AA715" t="e">
        <f t="shared" ref="AA715:AA778" si="67">IF(AB715=Z715,1,0)</f>
        <v>#DIV/0!</v>
      </c>
      <c r="AB715" s="1" t="e">
        <f t="shared" ref="AB715:AB778" si="68">$AB$8</f>
        <v>#DIV/0!</v>
      </c>
    </row>
    <row r="716" spans="11:28" ht="33" customHeight="1">
      <c r="K716" s="38"/>
      <c r="L716" s="38"/>
      <c r="M716" s="38"/>
      <c r="N716" s="38"/>
      <c r="O716" s="38"/>
      <c r="P716" s="38"/>
      <c r="Q716" s="38"/>
      <c r="R716" s="38"/>
      <c r="S716" s="38"/>
      <c r="T716" s="38"/>
      <c r="U716" s="38"/>
      <c r="V716" s="38"/>
      <c r="W716" s="38"/>
      <c r="X716" s="38"/>
      <c r="Y716" s="38"/>
      <c r="Z716" s="38">
        <f t="shared" ref="Z716:Z779" si="69">Z715+1</f>
        <v>663</v>
      </c>
      <c r="AA716" t="e">
        <f t="shared" si="67"/>
        <v>#DIV/0!</v>
      </c>
      <c r="AB716" s="1" t="e">
        <f t="shared" si="68"/>
        <v>#DIV/0!</v>
      </c>
    </row>
    <row r="717" spans="11:28" ht="33" customHeight="1">
      <c r="K717" s="38"/>
      <c r="L717" s="38"/>
      <c r="M717" s="38"/>
      <c r="N717" s="38"/>
      <c r="O717" s="38"/>
      <c r="P717" s="38"/>
      <c r="Q717" s="38"/>
      <c r="R717" s="38"/>
      <c r="S717" s="38"/>
      <c r="T717" s="38"/>
      <c r="U717" s="38"/>
      <c r="V717" s="38"/>
      <c r="W717" s="38"/>
      <c r="X717" s="38"/>
      <c r="Y717" s="38"/>
      <c r="Z717" s="38">
        <f t="shared" si="69"/>
        <v>664</v>
      </c>
      <c r="AA717" t="e">
        <f t="shared" si="67"/>
        <v>#DIV/0!</v>
      </c>
      <c r="AB717" s="1" t="e">
        <f t="shared" si="68"/>
        <v>#DIV/0!</v>
      </c>
    </row>
    <row r="718" spans="11:28" ht="33" customHeight="1">
      <c r="K718" s="38"/>
      <c r="L718" s="38"/>
      <c r="M718" s="38"/>
      <c r="N718" s="38"/>
      <c r="O718" s="38"/>
      <c r="P718" s="38"/>
      <c r="Q718" s="38"/>
      <c r="R718" s="38"/>
      <c r="S718" s="38"/>
      <c r="T718" s="38"/>
      <c r="U718" s="38"/>
      <c r="V718" s="38"/>
      <c r="W718" s="38"/>
      <c r="X718" s="38"/>
      <c r="Y718" s="38"/>
      <c r="Z718" s="38">
        <f t="shared" si="69"/>
        <v>665</v>
      </c>
      <c r="AA718" t="e">
        <f t="shared" si="67"/>
        <v>#DIV/0!</v>
      </c>
      <c r="AB718" s="1" t="e">
        <f t="shared" si="68"/>
        <v>#DIV/0!</v>
      </c>
    </row>
    <row r="719" spans="11:28" ht="33" customHeight="1">
      <c r="K719" s="38"/>
      <c r="L719" s="38"/>
      <c r="M719" s="38"/>
      <c r="N719" s="38"/>
      <c r="O719" s="38"/>
      <c r="P719" s="38"/>
      <c r="Q719" s="38"/>
      <c r="R719" s="38"/>
      <c r="S719" s="38"/>
      <c r="T719" s="38"/>
      <c r="U719" s="38"/>
      <c r="V719" s="38"/>
      <c r="W719" s="38"/>
      <c r="X719" s="38"/>
      <c r="Y719" s="38"/>
      <c r="Z719" s="38">
        <f t="shared" si="69"/>
        <v>666</v>
      </c>
      <c r="AA719" t="e">
        <f t="shared" si="67"/>
        <v>#DIV/0!</v>
      </c>
      <c r="AB719" s="1" t="e">
        <f t="shared" si="68"/>
        <v>#DIV/0!</v>
      </c>
    </row>
    <row r="720" spans="11:28" ht="33" customHeight="1">
      <c r="K720" s="38"/>
      <c r="L720" s="38"/>
      <c r="M720" s="38"/>
      <c r="N720" s="38"/>
      <c r="O720" s="38"/>
      <c r="P720" s="38"/>
      <c r="Q720" s="38"/>
      <c r="R720" s="38"/>
      <c r="S720" s="38"/>
      <c r="T720" s="38"/>
      <c r="U720" s="38"/>
      <c r="V720" s="38"/>
      <c r="W720" s="38"/>
      <c r="X720" s="38"/>
      <c r="Y720" s="38"/>
      <c r="Z720" s="38">
        <f t="shared" si="69"/>
        <v>667</v>
      </c>
      <c r="AA720" t="e">
        <f t="shared" si="67"/>
        <v>#DIV/0!</v>
      </c>
      <c r="AB720" s="1" t="e">
        <f t="shared" si="68"/>
        <v>#DIV/0!</v>
      </c>
    </row>
    <row r="721" spans="11:28" ht="33" customHeight="1">
      <c r="K721" s="38"/>
      <c r="L721" s="38"/>
      <c r="M721" s="38"/>
      <c r="N721" s="38"/>
      <c r="O721" s="38"/>
      <c r="P721" s="38"/>
      <c r="Q721" s="38"/>
      <c r="R721" s="38"/>
      <c r="S721" s="38"/>
      <c r="T721" s="38"/>
      <c r="U721" s="38"/>
      <c r="V721" s="38"/>
      <c r="W721" s="38"/>
      <c r="X721" s="38"/>
      <c r="Y721" s="38"/>
      <c r="Z721" s="38">
        <f t="shared" si="69"/>
        <v>668</v>
      </c>
      <c r="AA721" t="e">
        <f t="shared" si="67"/>
        <v>#DIV/0!</v>
      </c>
      <c r="AB721" s="1" t="e">
        <f t="shared" si="68"/>
        <v>#DIV/0!</v>
      </c>
    </row>
    <row r="722" spans="11:28" ht="33" customHeight="1">
      <c r="K722" s="38"/>
      <c r="L722" s="38"/>
      <c r="M722" s="38"/>
      <c r="N722" s="38"/>
      <c r="O722" s="38"/>
      <c r="P722" s="38"/>
      <c r="Q722" s="38"/>
      <c r="R722" s="38"/>
      <c r="S722" s="38"/>
      <c r="T722" s="38"/>
      <c r="U722" s="38"/>
      <c r="V722" s="38"/>
      <c r="W722" s="38"/>
      <c r="X722" s="38"/>
      <c r="Y722" s="38"/>
      <c r="Z722" s="38">
        <f t="shared" si="69"/>
        <v>669</v>
      </c>
      <c r="AA722" t="e">
        <f t="shared" si="67"/>
        <v>#DIV/0!</v>
      </c>
      <c r="AB722" s="1" t="e">
        <f t="shared" si="68"/>
        <v>#DIV/0!</v>
      </c>
    </row>
    <row r="723" spans="11:28" ht="33" customHeight="1">
      <c r="K723" s="38"/>
      <c r="L723" s="38"/>
      <c r="M723" s="38"/>
      <c r="N723" s="38"/>
      <c r="O723" s="38"/>
      <c r="P723" s="38"/>
      <c r="Q723" s="38"/>
      <c r="R723" s="38"/>
      <c r="S723" s="38"/>
      <c r="T723" s="38"/>
      <c r="U723" s="38"/>
      <c r="V723" s="38"/>
      <c r="W723" s="38"/>
      <c r="X723" s="38"/>
      <c r="Y723" s="38"/>
      <c r="Z723" s="38">
        <f t="shared" si="69"/>
        <v>670</v>
      </c>
      <c r="AA723" t="e">
        <f t="shared" si="67"/>
        <v>#DIV/0!</v>
      </c>
      <c r="AB723" s="1" t="e">
        <f t="shared" si="68"/>
        <v>#DIV/0!</v>
      </c>
    </row>
    <row r="724" spans="11:28" ht="33" customHeight="1">
      <c r="K724" s="38"/>
      <c r="L724" s="38"/>
      <c r="M724" s="38"/>
      <c r="N724" s="38"/>
      <c r="O724" s="38"/>
      <c r="P724" s="38"/>
      <c r="Q724" s="38"/>
      <c r="R724" s="38"/>
      <c r="S724" s="38"/>
      <c r="T724" s="38"/>
      <c r="U724" s="38"/>
      <c r="V724" s="38"/>
      <c r="W724" s="38"/>
      <c r="X724" s="38"/>
      <c r="Y724" s="38"/>
      <c r="Z724" s="38">
        <f t="shared" si="69"/>
        <v>671</v>
      </c>
      <c r="AA724" t="e">
        <f t="shared" si="67"/>
        <v>#DIV/0!</v>
      </c>
      <c r="AB724" s="1" t="e">
        <f t="shared" si="68"/>
        <v>#DIV/0!</v>
      </c>
    </row>
    <row r="725" spans="11:28" ht="33" customHeight="1">
      <c r="K725" s="38"/>
      <c r="L725" s="38"/>
      <c r="M725" s="38"/>
      <c r="N725" s="38"/>
      <c r="O725" s="38"/>
      <c r="P725" s="38"/>
      <c r="Q725" s="38"/>
      <c r="R725" s="38"/>
      <c r="S725" s="38"/>
      <c r="T725" s="38"/>
      <c r="U725" s="38"/>
      <c r="V725" s="38"/>
      <c r="W725" s="38"/>
      <c r="X725" s="38"/>
      <c r="Y725" s="38"/>
      <c r="Z725" s="38">
        <f t="shared" si="69"/>
        <v>672</v>
      </c>
      <c r="AA725" t="e">
        <f t="shared" si="67"/>
        <v>#DIV/0!</v>
      </c>
      <c r="AB725" s="1" t="e">
        <f t="shared" si="68"/>
        <v>#DIV/0!</v>
      </c>
    </row>
    <row r="726" spans="11:28" ht="33" customHeight="1">
      <c r="K726" s="38"/>
      <c r="L726" s="38"/>
      <c r="M726" s="38"/>
      <c r="N726" s="38"/>
      <c r="O726" s="38"/>
      <c r="P726" s="38"/>
      <c r="Q726" s="38"/>
      <c r="R726" s="38"/>
      <c r="S726" s="38"/>
      <c r="T726" s="38"/>
      <c r="U726" s="38"/>
      <c r="V726" s="38"/>
      <c r="W726" s="38"/>
      <c r="X726" s="38"/>
      <c r="Y726" s="38"/>
      <c r="Z726" s="38">
        <f t="shared" si="69"/>
        <v>673</v>
      </c>
      <c r="AA726" t="e">
        <f t="shared" si="67"/>
        <v>#DIV/0!</v>
      </c>
      <c r="AB726" s="1" t="e">
        <f t="shared" si="68"/>
        <v>#DIV/0!</v>
      </c>
    </row>
    <row r="727" spans="11:28" ht="33" customHeight="1">
      <c r="K727" s="38"/>
      <c r="L727" s="38"/>
      <c r="M727" s="38"/>
      <c r="N727" s="38"/>
      <c r="O727" s="38"/>
      <c r="P727" s="38"/>
      <c r="Q727" s="38"/>
      <c r="R727" s="38"/>
      <c r="S727" s="38"/>
      <c r="T727" s="38"/>
      <c r="U727" s="38"/>
      <c r="V727" s="38"/>
      <c r="W727" s="38"/>
      <c r="X727" s="38"/>
      <c r="Y727" s="38"/>
      <c r="Z727" s="38">
        <f t="shared" si="69"/>
        <v>674</v>
      </c>
      <c r="AA727" t="e">
        <f t="shared" si="67"/>
        <v>#DIV/0!</v>
      </c>
      <c r="AB727" s="1" t="e">
        <f t="shared" si="68"/>
        <v>#DIV/0!</v>
      </c>
    </row>
    <row r="728" spans="11:28" ht="33" customHeight="1">
      <c r="K728" s="38"/>
      <c r="L728" s="38"/>
      <c r="M728" s="38"/>
      <c r="N728" s="38"/>
      <c r="O728" s="38"/>
      <c r="P728" s="38"/>
      <c r="Q728" s="38"/>
      <c r="R728" s="38"/>
      <c r="S728" s="38"/>
      <c r="T728" s="38"/>
      <c r="U728" s="38"/>
      <c r="V728" s="38"/>
      <c r="W728" s="38"/>
      <c r="X728" s="38"/>
      <c r="Y728" s="38"/>
      <c r="Z728" s="38">
        <f t="shared" si="69"/>
        <v>675</v>
      </c>
      <c r="AA728" t="e">
        <f t="shared" si="67"/>
        <v>#DIV/0!</v>
      </c>
      <c r="AB728" s="1" t="e">
        <f t="shared" si="68"/>
        <v>#DIV/0!</v>
      </c>
    </row>
    <row r="729" spans="11:28" ht="33" customHeight="1">
      <c r="K729" s="38"/>
      <c r="L729" s="38"/>
      <c r="M729" s="38"/>
      <c r="N729" s="38"/>
      <c r="O729" s="38"/>
      <c r="P729" s="38"/>
      <c r="Q729" s="38"/>
      <c r="R729" s="38"/>
      <c r="S729" s="38"/>
      <c r="T729" s="38"/>
      <c r="U729" s="38"/>
      <c r="V729" s="38"/>
      <c r="W729" s="38"/>
      <c r="X729" s="38"/>
      <c r="Y729" s="38"/>
      <c r="Z729" s="38">
        <f t="shared" si="69"/>
        <v>676</v>
      </c>
      <c r="AA729" t="e">
        <f t="shared" si="67"/>
        <v>#DIV/0!</v>
      </c>
      <c r="AB729" s="1" t="e">
        <f t="shared" si="68"/>
        <v>#DIV/0!</v>
      </c>
    </row>
    <row r="730" spans="11:28" ht="33" customHeight="1">
      <c r="K730" s="38"/>
      <c r="L730" s="38"/>
      <c r="M730" s="38"/>
      <c r="N730" s="38"/>
      <c r="O730" s="38"/>
      <c r="P730" s="38"/>
      <c r="Q730" s="38"/>
      <c r="R730" s="38"/>
      <c r="S730" s="38"/>
      <c r="T730" s="38"/>
      <c r="U730" s="38"/>
      <c r="V730" s="38"/>
      <c r="W730" s="38"/>
      <c r="X730" s="38"/>
      <c r="Y730" s="38"/>
      <c r="Z730" s="38">
        <f t="shared" si="69"/>
        <v>677</v>
      </c>
      <c r="AA730" t="e">
        <f t="shared" si="67"/>
        <v>#DIV/0!</v>
      </c>
      <c r="AB730" s="1" t="e">
        <f t="shared" si="68"/>
        <v>#DIV/0!</v>
      </c>
    </row>
    <row r="731" spans="11:28" ht="33" customHeight="1">
      <c r="K731" s="38"/>
      <c r="L731" s="38"/>
      <c r="M731" s="38"/>
      <c r="N731" s="38"/>
      <c r="O731" s="38"/>
      <c r="P731" s="38"/>
      <c r="Q731" s="38"/>
      <c r="R731" s="38"/>
      <c r="S731" s="38"/>
      <c r="T731" s="38"/>
      <c r="U731" s="38"/>
      <c r="V731" s="38"/>
      <c r="W731" s="38"/>
      <c r="X731" s="38"/>
      <c r="Y731" s="38"/>
      <c r="Z731" s="38">
        <f t="shared" si="69"/>
        <v>678</v>
      </c>
      <c r="AA731" t="e">
        <f t="shared" si="67"/>
        <v>#DIV/0!</v>
      </c>
      <c r="AB731" s="1" t="e">
        <f t="shared" si="68"/>
        <v>#DIV/0!</v>
      </c>
    </row>
    <row r="732" spans="11:28" ht="33" customHeight="1">
      <c r="K732" s="38"/>
      <c r="L732" s="38"/>
      <c r="M732" s="38"/>
      <c r="N732" s="38"/>
      <c r="O732" s="38"/>
      <c r="P732" s="38"/>
      <c r="Q732" s="38"/>
      <c r="R732" s="38"/>
      <c r="S732" s="38"/>
      <c r="T732" s="38"/>
      <c r="U732" s="38"/>
      <c r="V732" s="38"/>
      <c r="W732" s="38"/>
      <c r="X732" s="38"/>
      <c r="Y732" s="38"/>
      <c r="Z732" s="38">
        <f t="shared" si="69"/>
        <v>679</v>
      </c>
      <c r="AA732" t="e">
        <f t="shared" si="67"/>
        <v>#DIV/0!</v>
      </c>
      <c r="AB732" s="1" t="e">
        <f t="shared" si="68"/>
        <v>#DIV/0!</v>
      </c>
    </row>
    <row r="733" spans="11:28" ht="33" customHeight="1">
      <c r="K733" s="38"/>
      <c r="L733" s="38"/>
      <c r="M733" s="38"/>
      <c r="N733" s="38"/>
      <c r="O733" s="38"/>
      <c r="P733" s="38"/>
      <c r="Q733" s="38"/>
      <c r="R733" s="38"/>
      <c r="S733" s="38"/>
      <c r="T733" s="38"/>
      <c r="U733" s="38"/>
      <c r="V733" s="38"/>
      <c r="W733" s="38"/>
      <c r="X733" s="38"/>
      <c r="Y733" s="38"/>
      <c r="Z733" s="38">
        <f t="shared" si="69"/>
        <v>680</v>
      </c>
      <c r="AA733" t="e">
        <f t="shared" si="67"/>
        <v>#DIV/0!</v>
      </c>
      <c r="AB733" s="1" t="e">
        <f t="shared" si="68"/>
        <v>#DIV/0!</v>
      </c>
    </row>
    <row r="734" spans="11:28" ht="33" customHeight="1">
      <c r="K734" s="38"/>
      <c r="L734" s="38"/>
      <c r="M734" s="38"/>
      <c r="N734" s="38"/>
      <c r="O734" s="38"/>
      <c r="P734" s="38"/>
      <c r="Q734" s="38"/>
      <c r="R734" s="38"/>
      <c r="S734" s="38"/>
      <c r="T734" s="38"/>
      <c r="U734" s="38"/>
      <c r="V734" s="38"/>
      <c r="W734" s="38"/>
      <c r="X734" s="38"/>
      <c r="Y734" s="38"/>
      <c r="Z734" s="38">
        <f t="shared" si="69"/>
        <v>681</v>
      </c>
      <c r="AA734" t="e">
        <f t="shared" si="67"/>
        <v>#DIV/0!</v>
      </c>
      <c r="AB734" s="1" t="e">
        <f t="shared" si="68"/>
        <v>#DIV/0!</v>
      </c>
    </row>
    <row r="735" spans="11:28" ht="33" customHeight="1">
      <c r="K735" s="38"/>
      <c r="L735" s="38"/>
      <c r="M735" s="38"/>
      <c r="N735" s="38"/>
      <c r="O735" s="38"/>
      <c r="P735" s="38"/>
      <c r="Q735" s="38"/>
      <c r="R735" s="38"/>
      <c r="S735" s="38"/>
      <c r="T735" s="38"/>
      <c r="U735" s="38"/>
      <c r="V735" s="38"/>
      <c r="W735" s="38"/>
      <c r="X735" s="38"/>
      <c r="Y735" s="38"/>
      <c r="Z735" s="38">
        <f t="shared" si="69"/>
        <v>682</v>
      </c>
      <c r="AA735" t="e">
        <f t="shared" si="67"/>
        <v>#DIV/0!</v>
      </c>
      <c r="AB735" s="1" t="e">
        <f t="shared" si="68"/>
        <v>#DIV/0!</v>
      </c>
    </row>
    <row r="736" spans="11:28" ht="33" customHeight="1">
      <c r="K736" s="38"/>
      <c r="L736" s="38"/>
      <c r="M736" s="38"/>
      <c r="N736" s="38"/>
      <c r="O736" s="38"/>
      <c r="P736" s="38"/>
      <c r="Q736" s="38"/>
      <c r="R736" s="38"/>
      <c r="S736" s="38"/>
      <c r="T736" s="38"/>
      <c r="U736" s="38"/>
      <c r="V736" s="38"/>
      <c r="W736" s="38"/>
      <c r="X736" s="38"/>
      <c r="Y736" s="38"/>
      <c r="Z736" s="38">
        <f t="shared" si="69"/>
        <v>683</v>
      </c>
      <c r="AA736" t="e">
        <f t="shared" si="67"/>
        <v>#DIV/0!</v>
      </c>
      <c r="AB736" s="1" t="e">
        <f t="shared" si="68"/>
        <v>#DIV/0!</v>
      </c>
    </row>
    <row r="737" spans="11:28" ht="33" customHeight="1">
      <c r="K737" s="38"/>
      <c r="L737" s="38"/>
      <c r="M737" s="38"/>
      <c r="N737" s="38"/>
      <c r="O737" s="38"/>
      <c r="P737" s="38"/>
      <c r="Q737" s="38"/>
      <c r="R737" s="38"/>
      <c r="S737" s="38"/>
      <c r="T737" s="38"/>
      <c r="U737" s="38"/>
      <c r="V737" s="38"/>
      <c r="W737" s="38"/>
      <c r="X737" s="38"/>
      <c r="Y737" s="38"/>
      <c r="Z737" s="38">
        <f t="shared" si="69"/>
        <v>684</v>
      </c>
      <c r="AA737" t="e">
        <f t="shared" si="67"/>
        <v>#DIV/0!</v>
      </c>
      <c r="AB737" s="1" t="e">
        <f t="shared" si="68"/>
        <v>#DIV/0!</v>
      </c>
    </row>
    <row r="738" spans="11:28" ht="33" customHeight="1">
      <c r="K738" s="38"/>
      <c r="L738" s="38"/>
      <c r="M738" s="38"/>
      <c r="N738" s="38"/>
      <c r="O738" s="38"/>
      <c r="P738" s="38"/>
      <c r="Q738" s="38"/>
      <c r="R738" s="38"/>
      <c r="S738" s="38"/>
      <c r="T738" s="38"/>
      <c r="U738" s="38"/>
      <c r="V738" s="38"/>
      <c r="W738" s="38"/>
      <c r="X738" s="38"/>
      <c r="Y738" s="38"/>
      <c r="Z738" s="38">
        <f t="shared" si="69"/>
        <v>685</v>
      </c>
      <c r="AA738" t="e">
        <f t="shared" si="67"/>
        <v>#DIV/0!</v>
      </c>
      <c r="AB738" s="1" t="e">
        <f t="shared" si="68"/>
        <v>#DIV/0!</v>
      </c>
    </row>
    <row r="739" spans="11:28" ht="33" customHeight="1">
      <c r="K739" s="38"/>
      <c r="L739" s="38"/>
      <c r="M739" s="38"/>
      <c r="N739" s="38"/>
      <c r="O739" s="38"/>
      <c r="P739" s="38"/>
      <c r="Q739" s="38"/>
      <c r="R739" s="38"/>
      <c r="S739" s="38"/>
      <c r="T739" s="38"/>
      <c r="U739" s="38"/>
      <c r="V739" s="38"/>
      <c r="W739" s="38"/>
      <c r="X739" s="38"/>
      <c r="Y739" s="38"/>
      <c r="Z739" s="38">
        <f t="shared" si="69"/>
        <v>686</v>
      </c>
      <c r="AA739" t="e">
        <f t="shared" si="67"/>
        <v>#DIV/0!</v>
      </c>
      <c r="AB739" s="1" t="e">
        <f t="shared" si="68"/>
        <v>#DIV/0!</v>
      </c>
    </row>
    <row r="740" spans="11:28" ht="33" customHeight="1">
      <c r="K740" s="38"/>
      <c r="L740" s="38"/>
      <c r="M740" s="38"/>
      <c r="N740" s="38"/>
      <c r="O740" s="38"/>
      <c r="P740" s="38"/>
      <c r="Q740" s="38"/>
      <c r="R740" s="38"/>
      <c r="S740" s="38"/>
      <c r="T740" s="38"/>
      <c r="U740" s="38"/>
      <c r="V740" s="38"/>
      <c r="W740" s="38"/>
      <c r="X740" s="38"/>
      <c r="Y740" s="38"/>
      <c r="Z740" s="38">
        <f t="shared" si="69"/>
        <v>687</v>
      </c>
      <c r="AA740" t="e">
        <f t="shared" si="67"/>
        <v>#DIV/0!</v>
      </c>
      <c r="AB740" s="1" t="e">
        <f t="shared" si="68"/>
        <v>#DIV/0!</v>
      </c>
    </row>
    <row r="741" spans="11:28" ht="33" customHeight="1">
      <c r="K741" s="38"/>
      <c r="L741" s="38"/>
      <c r="M741" s="38"/>
      <c r="N741" s="38"/>
      <c r="O741" s="38"/>
      <c r="P741" s="38"/>
      <c r="Q741" s="38"/>
      <c r="R741" s="38"/>
      <c r="S741" s="38"/>
      <c r="T741" s="38"/>
      <c r="U741" s="38"/>
      <c r="V741" s="38"/>
      <c r="W741" s="38"/>
      <c r="X741" s="38"/>
      <c r="Y741" s="38"/>
      <c r="Z741" s="38">
        <f t="shared" si="69"/>
        <v>688</v>
      </c>
      <c r="AA741" t="e">
        <f t="shared" si="67"/>
        <v>#DIV/0!</v>
      </c>
      <c r="AB741" s="1" t="e">
        <f t="shared" si="68"/>
        <v>#DIV/0!</v>
      </c>
    </row>
    <row r="742" spans="11:28" ht="33" customHeight="1">
      <c r="K742" s="38"/>
      <c r="L742" s="38"/>
      <c r="M742" s="38"/>
      <c r="N742" s="38"/>
      <c r="O742" s="38"/>
      <c r="P742" s="38"/>
      <c r="Q742" s="38"/>
      <c r="R742" s="38"/>
      <c r="S742" s="38"/>
      <c r="T742" s="38"/>
      <c r="U742" s="38"/>
      <c r="V742" s="38"/>
      <c r="W742" s="38"/>
      <c r="X742" s="38"/>
      <c r="Y742" s="38"/>
      <c r="Z742" s="38">
        <f t="shared" si="69"/>
        <v>689</v>
      </c>
      <c r="AA742" t="e">
        <f t="shared" si="67"/>
        <v>#DIV/0!</v>
      </c>
      <c r="AB742" s="1" t="e">
        <f t="shared" si="68"/>
        <v>#DIV/0!</v>
      </c>
    </row>
    <row r="743" spans="11:28" ht="33" customHeight="1">
      <c r="K743" s="38"/>
      <c r="L743" s="38"/>
      <c r="M743" s="38"/>
      <c r="N743" s="38"/>
      <c r="O743" s="38"/>
      <c r="P743" s="38"/>
      <c r="Q743" s="38"/>
      <c r="R743" s="38"/>
      <c r="S743" s="38"/>
      <c r="T743" s="38"/>
      <c r="U743" s="38"/>
      <c r="V743" s="38"/>
      <c r="W743" s="38"/>
      <c r="X743" s="38"/>
      <c r="Y743" s="38"/>
      <c r="Z743" s="38">
        <f t="shared" si="69"/>
        <v>690</v>
      </c>
      <c r="AA743" t="e">
        <f t="shared" si="67"/>
        <v>#DIV/0!</v>
      </c>
      <c r="AB743" s="1" t="e">
        <f t="shared" si="68"/>
        <v>#DIV/0!</v>
      </c>
    </row>
    <row r="744" spans="11:28" ht="33" customHeight="1">
      <c r="K744" s="38"/>
      <c r="L744" s="38"/>
      <c r="M744" s="38"/>
      <c r="N744" s="38"/>
      <c r="O744" s="38"/>
      <c r="P744" s="38"/>
      <c r="Q744" s="38"/>
      <c r="R744" s="38"/>
      <c r="S744" s="38"/>
      <c r="T744" s="38"/>
      <c r="U744" s="38"/>
      <c r="V744" s="38"/>
      <c r="W744" s="38"/>
      <c r="X744" s="38"/>
      <c r="Y744" s="38"/>
      <c r="Z744" s="38">
        <f t="shared" si="69"/>
        <v>691</v>
      </c>
      <c r="AA744" t="e">
        <f t="shared" si="67"/>
        <v>#DIV/0!</v>
      </c>
      <c r="AB744" s="1" t="e">
        <f t="shared" si="68"/>
        <v>#DIV/0!</v>
      </c>
    </row>
    <row r="745" spans="11:28" ht="33" customHeight="1">
      <c r="K745" s="38"/>
      <c r="L745" s="38"/>
      <c r="M745" s="38"/>
      <c r="N745" s="38"/>
      <c r="O745" s="38"/>
      <c r="P745" s="38"/>
      <c r="Q745" s="38"/>
      <c r="R745" s="38"/>
      <c r="S745" s="38"/>
      <c r="T745" s="38"/>
      <c r="U745" s="38"/>
      <c r="V745" s="38"/>
      <c r="W745" s="38"/>
      <c r="X745" s="38"/>
      <c r="Y745" s="38"/>
      <c r="Z745" s="38">
        <f t="shared" si="69"/>
        <v>692</v>
      </c>
      <c r="AA745" t="e">
        <f t="shared" si="67"/>
        <v>#DIV/0!</v>
      </c>
      <c r="AB745" s="1" t="e">
        <f t="shared" si="68"/>
        <v>#DIV/0!</v>
      </c>
    </row>
    <row r="746" spans="11:28" ht="33" customHeight="1">
      <c r="K746" s="38"/>
      <c r="L746" s="38"/>
      <c r="M746" s="38"/>
      <c r="N746" s="38"/>
      <c r="O746" s="38"/>
      <c r="P746" s="38"/>
      <c r="Q746" s="38"/>
      <c r="R746" s="38"/>
      <c r="S746" s="38"/>
      <c r="T746" s="38"/>
      <c r="U746" s="38"/>
      <c r="V746" s="38"/>
      <c r="W746" s="38"/>
      <c r="X746" s="38"/>
      <c r="Y746" s="38"/>
      <c r="Z746" s="38">
        <f t="shared" si="69"/>
        <v>693</v>
      </c>
      <c r="AA746" t="e">
        <f t="shared" si="67"/>
        <v>#DIV/0!</v>
      </c>
      <c r="AB746" s="1" t="e">
        <f t="shared" si="68"/>
        <v>#DIV/0!</v>
      </c>
    </row>
    <row r="747" spans="11:28" ht="33" customHeight="1">
      <c r="K747" s="38"/>
      <c r="L747" s="38"/>
      <c r="M747" s="38"/>
      <c r="N747" s="38"/>
      <c r="O747" s="38"/>
      <c r="P747" s="38"/>
      <c r="Q747" s="38"/>
      <c r="R747" s="38"/>
      <c r="S747" s="38"/>
      <c r="T747" s="38"/>
      <c r="U747" s="38"/>
      <c r="V747" s="38"/>
      <c r="W747" s="38"/>
      <c r="X747" s="38"/>
      <c r="Y747" s="38"/>
      <c r="Z747" s="38">
        <f t="shared" si="69"/>
        <v>694</v>
      </c>
      <c r="AA747" t="e">
        <f t="shared" si="67"/>
        <v>#DIV/0!</v>
      </c>
      <c r="AB747" s="1" t="e">
        <f t="shared" si="68"/>
        <v>#DIV/0!</v>
      </c>
    </row>
    <row r="748" spans="11:28" ht="33" customHeight="1">
      <c r="K748" s="38"/>
      <c r="L748" s="38"/>
      <c r="M748" s="38"/>
      <c r="N748" s="38"/>
      <c r="O748" s="38"/>
      <c r="P748" s="38"/>
      <c r="Q748" s="38"/>
      <c r="R748" s="38"/>
      <c r="S748" s="38"/>
      <c r="T748" s="38"/>
      <c r="U748" s="38"/>
      <c r="V748" s="38"/>
      <c r="W748" s="38"/>
      <c r="X748" s="38"/>
      <c r="Y748" s="38"/>
      <c r="Z748" s="38">
        <f t="shared" si="69"/>
        <v>695</v>
      </c>
      <c r="AA748" t="e">
        <f t="shared" si="67"/>
        <v>#DIV/0!</v>
      </c>
      <c r="AB748" s="1" t="e">
        <f t="shared" si="68"/>
        <v>#DIV/0!</v>
      </c>
    </row>
    <row r="749" spans="11:28" ht="33" customHeight="1">
      <c r="K749" s="38"/>
      <c r="L749" s="38"/>
      <c r="M749" s="38"/>
      <c r="N749" s="38"/>
      <c r="O749" s="38"/>
      <c r="P749" s="38"/>
      <c r="Q749" s="38"/>
      <c r="R749" s="38"/>
      <c r="S749" s="38"/>
      <c r="T749" s="38"/>
      <c r="U749" s="38"/>
      <c r="V749" s="38"/>
      <c r="W749" s="38"/>
      <c r="X749" s="38"/>
      <c r="Y749" s="38"/>
      <c r="Z749" s="38">
        <f t="shared" si="69"/>
        <v>696</v>
      </c>
      <c r="AA749" t="e">
        <f t="shared" si="67"/>
        <v>#DIV/0!</v>
      </c>
      <c r="AB749" s="1" t="e">
        <f t="shared" si="68"/>
        <v>#DIV/0!</v>
      </c>
    </row>
    <row r="750" spans="11:28" ht="33" customHeight="1">
      <c r="K750" s="38"/>
      <c r="L750" s="38"/>
      <c r="M750" s="38"/>
      <c r="N750" s="38"/>
      <c r="O750" s="38"/>
      <c r="P750" s="38"/>
      <c r="Q750" s="38"/>
      <c r="R750" s="38"/>
      <c r="S750" s="38"/>
      <c r="T750" s="38"/>
      <c r="U750" s="38"/>
      <c r="V750" s="38"/>
      <c r="W750" s="38"/>
      <c r="X750" s="38"/>
      <c r="Y750" s="38"/>
      <c r="Z750" s="38">
        <f t="shared" si="69"/>
        <v>697</v>
      </c>
      <c r="AA750" t="e">
        <f t="shared" si="67"/>
        <v>#DIV/0!</v>
      </c>
      <c r="AB750" s="1" t="e">
        <f t="shared" si="68"/>
        <v>#DIV/0!</v>
      </c>
    </row>
    <row r="751" spans="11:28" ht="33" customHeight="1">
      <c r="K751" s="38"/>
      <c r="L751" s="38"/>
      <c r="M751" s="38"/>
      <c r="N751" s="38"/>
      <c r="O751" s="38"/>
      <c r="P751" s="38"/>
      <c r="Q751" s="38"/>
      <c r="R751" s="38"/>
      <c r="S751" s="38"/>
      <c r="T751" s="38"/>
      <c r="U751" s="38"/>
      <c r="V751" s="38"/>
      <c r="W751" s="38"/>
      <c r="X751" s="38"/>
      <c r="Y751" s="38"/>
      <c r="Z751" s="38">
        <f t="shared" si="69"/>
        <v>698</v>
      </c>
      <c r="AA751" t="e">
        <f t="shared" si="67"/>
        <v>#DIV/0!</v>
      </c>
      <c r="AB751" s="1" t="e">
        <f t="shared" si="68"/>
        <v>#DIV/0!</v>
      </c>
    </row>
    <row r="752" spans="11:28" ht="33" customHeight="1">
      <c r="K752" s="38"/>
      <c r="L752" s="38"/>
      <c r="M752" s="38"/>
      <c r="N752" s="38"/>
      <c r="O752" s="38"/>
      <c r="P752" s="38"/>
      <c r="Q752" s="38"/>
      <c r="R752" s="38"/>
      <c r="S752" s="38"/>
      <c r="T752" s="38"/>
      <c r="U752" s="38"/>
      <c r="V752" s="38"/>
      <c r="W752" s="38"/>
      <c r="X752" s="38"/>
      <c r="Y752" s="38"/>
      <c r="Z752" s="38">
        <f t="shared" si="69"/>
        <v>699</v>
      </c>
      <c r="AA752" t="e">
        <f t="shared" si="67"/>
        <v>#DIV/0!</v>
      </c>
      <c r="AB752" s="1" t="e">
        <f t="shared" si="68"/>
        <v>#DIV/0!</v>
      </c>
    </row>
    <row r="753" spans="11:28" ht="33" customHeight="1">
      <c r="K753" s="38"/>
      <c r="L753" s="38"/>
      <c r="M753" s="38"/>
      <c r="N753" s="38"/>
      <c r="O753" s="38"/>
      <c r="P753" s="38"/>
      <c r="Q753" s="38"/>
      <c r="R753" s="38"/>
      <c r="S753" s="38"/>
      <c r="T753" s="38"/>
      <c r="U753" s="38"/>
      <c r="V753" s="38"/>
      <c r="W753" s="38"/>
      <c r="X753" s="38"/>
      <c r="Y753" s="38"/>
      <c r="Z753" s="38">
        <f t="shared" si="69"/>
        <v>700</v>
      </c>
      <c r="AA753" t="e">
        <f t="shared" si="67"/>
        <v>#DIV/0!</v>
      </c>
      <c r="AB753" s="1" t="e">
        <f t="shared" si="68"/>
        <v>#DIV/0!</v>
      </c>
    </row>
    <row r="754" spans="11:28" ht="33" customHeight="1">
      <c r="K754" s="38"/>
      <c r="L754" s="38"/>
      <c r="M754" s="38"/>
      <c r="N754" s="38"/>
      <c r="O754" s="38"/>
      <c r="P754" s="38"/>
      <c r="Q754" s="38"/>
      <c r="R754" s="38"/>
      <c r="S754" s="38"/>
      <c r="T754" s="38"/>
      <c r="U754" s="38"/>
      <c r="V754" s="38"/>
      <c r="W754" s="38"/>
      <c r="X754" s="38"/>
      <c r="Y754" s="38"/>
      <c r="Z754" s="38">
        <f t="shared" si="69"/>
        <v>701</v>
      </c>
      <c r="AA754" t="e">
        <f t="shared" si="67"/>
        <v>#DIV/0!</v>
      </c>
      <c r="AB754" s="1" t="e">
        <f t="shared" si="68"/>
        <v>#DIV/0!</v>
      </c>
    </row>
    <row r="755" spans="11:28" ht="33" customHeight="1">
      <c r="K755" s="38"/>
      <c r="L755" s="38"/>
      <c r="M755" s="38"/>
      <c r="N755" s="38"/>
      <c r="O755" s="38"/>
      <c r="P755" s="38"/>
      <c r="Q755" s="38"/>
      <c r="R755" s="38"/>
      <c r="S755" s="38"/>
      <c r="T755" s="38"/>
      <c r="U755" s="38"/>
      <c r="V755" s="38"/>
      <c r="W755" s="38"/>
      <c r="X755" s="38"/>
      <c r="Y755" s="38"/>
      <c r="Z755" s="38">
        <f t="shared" si="69"/>
        <v>702</v>
      </c>
      <c r="AA755" t="e">
        <f t="shared" si="67"/>
        <v>#DIV/0!</v>
      </c>
      <c r="AB755" s="1" t="e">
        <f t="shared" si="68"/>
        <v>#DIV/0!</v>
      </c>
    </row>
    <row r="756" spans="11:28" ht="33" customHeight="1">
      <c r="K756" s="38"/>
      <c r="L756" s="38"/>
      <c r="M756" s="38"/>
      <c r="N756" s="38"/>
      <c r="O756" s="38"/>
      <c r="P756" s="38"/>
      <c r="Q756" s="38"/>
      <c r="R756" s="38"/>
      <c r="S756" s="38"/>
      <c r="T756" s="38"/>
      <c r="U756" s="38"/>
      <c r="V756" s="38"/>
      <c r="W756" s="38"/>
      <c r="X756" s="38"/>
      <c r="Y756" s="38"/>
      <c r="Z756" s="38">
        <f t="shared" si="69"/>
        <v>703</v>
      </c>
      <c r="AA756" t="e">
        <f t="shared" si="67"/>
        <v>#DIV/0!</v>
      </c>
      <c r="AB756" s="1" t="e">
        <f t="shared" si="68"/>
        <v>#DIV/0!</v>
      </c>
    </row>
    <row r="757" spans="11:28" ht="33" customHeight="1">
      <c r="K757" s="38"/>
      <c r="L757" s="38"/>
      <c r="M757" s="38"/>
      <c r="N757" s="38"/>
      <c r="O757" s="38"/>
      <c r="P757" s="38"/>
      <c r="Q757" s="38"/>
      <c r="R757" s="38"/>
      <c r="S757" s="38"/>
      <c r="T757" s="38"/>
      <c r="U757" s="38"/>
      <c r="V757" s="38"/>
      <c r="W757" s="38"/>
      <c r="X757" s="38"/>
      <c r="Y757" s="38"/>
      <c r="Z757" s="38">
        <f t="shared" si="69"/>
        <v>704</v>
      </c>
      <c r="AA757" t="e">
        <f t="shared" si="67"/>
        <v>#DIV/0!</v>
      </c>
      <c r="AB757" s="1" t="e">
        <f t="shared" si="68"/>
        <v>#DIV/0!</v>
      </c>
    </row>
    <row r="758" spans="11:28" ht="33" customHeight="1">
      <c r="K758" s="38"/>
      <c r="L758" s="38"/>
      <c r="M758" s="38"/>
      <c r="N758" s="38"/>
      <c r="O758" s="38"/>
      <c r="P758" s="38"/>
      <c r="Q758" s="38"/>
      <c r="R758" s="38"/>
      <c r="S758" s="38"/>
      <c r="T758" s="38"/>
      <c r="U758" s="38"/>
      <c r="V758" s="38"/>
      <c r="W758" s="38"/>
      <c r="X758" s="38"/>
      <c r="Y758" s="38"/>
      <c r="Z758" s="38">
        <f t="shared" si="69"/>
        <v>705</v>
      </c>
      <c r="AA758" t="e">
        <f t="shared" si="67"/>
        <v>#DIV/0!</v>
      </c>
      <c r="AB758" s="1" t="e">
        <f t="shared" si="68"/>
        <v>#DIV/0!</v>
      </c>
    </row>
    <row r="759" spans="11:28" ht="33" customHeight="1">
      <c r="K759" s="38"/>
      <c r="L759" s="38"/>
      <c r="M759" s="38"/>
      <c r="N759" s="38"/>
      <c r="O759" s="38"/>
      <c r="P759" s="38"/>
      <c r="Q759" s="38"/>
      <c r="R759" s="38"/>
      <c r="S759" s="38"/>
      <c r="T759" s="38"/>
      <c r="U759" s="38"/>
      <c r="V759" s="38"/>
      <c r="W759" s="38"/>
      <c r="X759" s="38"/>
      <c r="Y759" s="38"/>
      <c r="Z759" s="38">
        <f t="shared" si="69"/>
        <v>706</v>
      </c>
      <c r="AA759" t="e">
        <f t="shared" si="67"/>
        <v>#DIV/0!</v>
      </c>
      <c r="AB759" s="1" t="e">
        <f t="shared" si="68"/>
        <v>#DIV/0!</v>
      </c>
    </row>
    <row r="760" spans="11:28" ht="33" customHeight="1">
      <c r="K760" s="38"/>
      <c r="L760" s="38"/>
      <c r="M760" s="38"/>
      <c r="N760" s="38"/>
      <c r="O760" s="38"/>
      <c r="P760" s="38"/>
      <c r="Q760" s="38"/>
      <c r="R760" s="38"/>
      <c r="S760" s="38"/>
      <c r="T760" s="38"/>
      <c r="U760" s="38"/>
      <c r="V760" s="38"/>
      <c r="W760" s="38"/>
      <c r="X760" s="38"/>
      <c r="Y760" s="38"/>
      <c r="Z760" s="38">
        <f t="shared" si="69"/>
        <v>707</v>
      </c>
      <c r="AA760" t="e">
        <f t="shared" si="67"/>
        <v>#DIV/0!</v>
      </c>
      <c r="AB760" s="1" t="e">
        <f t="shared" si="68"/>
        <v>#DIV/0!</v>
      </c>
    </row>
    <row r="761" spans="11:28" ht="33" customHeight="1">
      <c r="K761" s="38"/>
      <c r="L761" s="38"/>
      <c r="M761" s="38"/>
      <c r="N761" s="38"/>
      <c r="O761" s="38"/>
      <c r="P761" s="38"/>
      <c r="Q761" s="38"/>
      <c r="R761" s="38"/>
      <c r="S761" s="38"/>
      <c r="T761" s="38"/>
      <c r="U761" s="38"/>
      <c r="V761" s="38"/>
      <c r="W761" s="38"/>
      <c r="X761" s="38"/>
      <c r="Y761" s="38"/>
      <c r="Z761" s="38">
        <f t="shared" si="69"/>
        <v>708</v>
      </c>
      <c r="AA761" t="e">
        <f t="shared" si="67"/>
        <v>#DIV/0!</v>
      </c>
      <c r="AB761" s="1" t="e">
        <f t="shared" si="68"/>
        <v>#DIV/0!</v>
      </c>
    </row>
    <row r="762" spans="11:28" ht="33" customHeight="1">
      <c r="K762" s="38"/>
      <c r="L762" s="38"/>
      <c r="M762" s="38"/>
      <c r="N762" s="38"/>
      <c r="O762" s="38"/>
      <c r="P762" s="38"/>
      <c r="Q762" s="38"/>
      <c r="R762" s="38"/>
      <c r="S762" s="38"/>
      <c r="T762" s="38"/>
      <c r="U762" s="38"/>
      <c r="V762" s="38"/>
      <c r="W762" s="38"/>
      <c r="X762" s="38"/>
      <c r="Y762" s="38"/>
      <c r="Z762" s="38">
        <f t="shared" si="69"/>
        <v>709</v>
      </c>
      <c r="AA762" t="e">
        <f t="shared" si="67"/>
        <v>#DIV/0!</v>
      </c>
      <c r="AB762" s="1" t="e">
        <f t="shared" si="68"/>
        <v>#DIV/0!</v>
      </c>
    </row>
    <row r="763" spans="11:28" ht="33" customHeight="1">
      <c r="K763" s="38"/>
      <c r="L763" s="38"/>
      <c r="M763" s="38"/>
      <c r="N763" s="38"/>
      <c r="O763" s="38"/>
      <c r="P763" s="38"/>
      <c r="Q763" s="38"/>
      <c r="R763" s="38"/>
      <c r="S763" s="38"/>
      <c r="T763" s="38"/>
      <c r="U763" s="38"/>
      <c r="V763" s="38"/>
      <c r="W763" s="38"/>
      <c r="X763" s="38"/>
      <c r="Y763" s="38"/>
      <c r="Z763" s="38">
        <f t="shared" si="69"/>
        <v>710</v>
      </c>
      <c r="AA763" t="e">
        <f t="shared" si="67"/>
        <v>#DIV/0!</v>
      </c>
      <c r="AB763" s="1" t="e">
        <f t="shared" si="68"/>
        <v>#DIV/0!</v>
      </c>
    </row>
    <row r="764" spans="11:28" ht="33" customHeight="1">
      <c r="K764" s="38"/>
      <c r="L764" s="38"/>
      <c r="M764" s="38"/>
      <c r="N764" s="38"/>
      <c r="O764" s="38"/>
      <c r="P764" s="38"/>
      <c r="Q764" s="38"/>
      <c r="R764" s="38"/>
      <c r="S764" s="38"/>
      <c r="T764" s="38"/>
      <c r="U764" s="38"/>
      <c r="V764" s="38"/>
      <c r="W764" s="38"/>
      <c r="X764" s="38"/>
      <c r="Y764" s="38"/>
      <c r="Z764" s="38">
        <f t="shared" si="69"/>
        <v>711</v>
      </c>
      <c r="AA764" t="e">
        <f t="shared" si="67"/>
        <v>#DIV/0!</v>
      </c>
      <c r="AB764" s="1" t="e">
        <f t="shared" si="68"/>
        <v>#DIV/0!</v>
      </c>
    </row>
    <row r="765" spans="11:28" ht="33" customHeight="1">
      <c r="K765" s="38"/>
      <c r="L765" s="38"/>
      <c r="M765" s="38"/>
      <c r="N765" s="38"/>
      <c r="O765" s="38"/>
      <c r="P765" s="38"/>
      <c r="Q765" s="38"/>
      <c r="R765" s="38"/>
      <c r="S765" s="38"/>
      <c r="T765" s="38"/>
      <c r="U765" s="38"/>
      <c r="V765" s="38"/>
      <c r="W765" s="38"/>
      <c r="X765" s="38"/>
      <c r="Y765" s="38"/>
      <c r="Z765" s="38">
        <f t="shared" si="69"/>
        <v>712</v>
      </c>
      <c r="AA765" t="e">
        <f t="shared" si="67"/>
        <v>#DIV/0!</v>
      </c>
      <c r="AB765" s="1" t="e">
        <f t="shared" si="68"/>
        <v>#DIV/0!</v>
      </c>
    </row>
    <row r="766" spans="11:28" ht="33" customHeight="1">
      <c r="K766" s="38"/>
      <c r="L766" s="38"/>
      <c r="M766" s="38"/>
      <c r="N766" s="38"/>
      <c r="O766" s="38"/>
      <c r="P766" s="38"/>
      <c r="Q766" s="38"/>
      <c r="R766" s="38"/>
      <c r="S766" s="38"/>
      <c r="T766" s="38"/>
      <c r="U766" s="38"/>
      <c r="V766" s="38"/>
      <c r="W766" s="38"/>
      <c r="X766" s="38"/>
      <c r="Y766" s="38"/>
      <c r="Z766" s="38">
        <f t="shared" si="69"/>
        <v>713</v>
      </c>
      <c r="AA766" t="e">
        <f t="shared" si="67"/>
        <v>#DIV/0!</v>
      </c>
      <c r="AB766" s="1" t="e">
        <f t="shared" si="68"/>
        <v>#DIV/0!</v>
      </c>
    </row>
    <row r="767" spans="11:28" ht="33" customHeight="1">
      <c r="K767" s="38"/>
      <c r="L767" s="38"/>
      <c r="M767" s="38"/>
      <c r="N767" s="38"/>
      <c r="O767" s="38"/>
      <c r="P767" s="38"/>
      <c r="Q767" s="38"/>
      <c r="R767" s="38"/>
      <c r="S767" s="38"/>
      <c r="T767" s="38"/>
      <c r="U767" s="38"/>
      <c r="V767" s="38"/>
      <c r="W767" s="38"/>
      <c r="X767" s="38"/>
      <c r="Y767" s="38"/>
      <c r="Z767" s="38">
        <f t="shared" si="69"/>
        <v>714</v>
      </c>
      <c r="AA767" t="e">
        <f t="shared" si="67"/>
        <v>#DIV/0!</v>
      </c>
      <c r="AB767" s="1" t="e">
        <f t="shared" si="68"/>
        <v>#DIV/0!</v>
      </c>
    </row>
    <row r="768" spans="11:28" ht="33" customHeight="1">
      <c r="K768" s="38"/>
      <c r="L768" s="38"/>
      <c r="M768" s="38"/>
      <c r="N768" s="38"/>
      <c r="O768" s="38"/>
      <c r="P768" s="38"/>
      <c r="Q768" s="38"/>
      <c r="R768" s="38"/>
      <c r="S768" s="38"/>
      <c r="T768" s="38"/>
      <c r="U768" s="38"/>
      <c r="V768" s="38"/>
      <c r="W768" s="38"/>
      <c r="X768" s="38"/>
      <c r="Y768" s="38"/>
      <c r="Z768" s="38">
        <f t="shared" si="69"/>
        <v>715</v>
      </c>
      <c r="AA768" t="e">
        <f t="shared" si="67"/>
        <v>#DIV/0!</v>
      </c>
      <c r="AB768" s="1" t="e">
        <f t="shared" si="68"/>
        <v>#DIV/0!</v>
      </c>
    </row>
    <row r="769" spans="11:28" ht="33" customHeight="1">
      <c r="K769" s="38"/>
      <c r="L769" s="38"/>
      <c r="M769" s="38"/>
      <c r="N769" s="38"/>
      <c r="O769" s="38"/>
      <c r="P769" s="38"/>
      <c r="Q769" s="38"/>
      <c r="R769" s="38"/>
      <c r="S769" s="38"/>
      <c r="T769" s="38"/>
      <c r="U769" s="38"/>
      <c r="V769" s="38"/>
      <c r="W769" s="38"/>
      <c r="X769" s="38"/>
      <c r="Y769" s="38"/>
      <c r="Z769" s="38">
        <f t="shared" si="69"/>
        <v>716</v>
      </c>
      <c r="AA769" t="e">
        <f t="shared" si="67"/>
        <v>#DIV/0!</v>
      </c>
      <c r="AB769" s="1" t="e">
        <f t="shared" si="68"/>
        <v>#DIV/0!</v>
      </c>
    </row>
    <row r="770" spans="11:28" ht="33" customHeight="1">
      <c r="K770" s="38"/>
      <c r="L770" s="38"/>
      <c r="M770" s="38"/>
      <c r="N770" s="38"/>
      <c r="O770" s="38"/>
      <c r="P770" s="38"/>
      <c r="Q770" s="38"/>
      <c r="R770" s="38"/>
      <c r="S770" s="38"/>
      <c r="T770" s="38"/>
      <c r="U770" s="38"/>
      <c r="V770" s="38"/>
      <c r="W770" s="38"/>
      <c r="X770" s="38"/>
      <c r="Y770" s="38"/>
      <c r="Z770" s="38">
        <f t="shared" si="69"/>
        <v>717</v>
      </c>
      <c r="AA770" t="e">
        <f t="shared" si="67"/>
        <v>#DIV/0!</v>
      </c>
      <c r="AB770" s="1" t="e">
        <f t="shared" si="68"/>
        <v>#DIV/0!</v>
      </c>
    </row>
    <row r="771" spans="11:28" ht="33" customHeight="1">
      <c r="K771" s="38"/>
      <c r="L771" s="38"/>
      <c r="M771" s="38"/>
      <c r="N771" s="38"/>
      <c r="O771" s="38"/>
      <c r="P771" s="38"/>
      <c r="Q771" s="38"/>
      <c r="R771" s="38"/>
      <c r="S771" s="38"/>
      <c r="T771" s="38"/>
      <c r="U771" s="38"/>
      <c r="V771" s="38"/>
      <c r="W771" s="38"/>
      <c r="X771" s="38"/>
      <c r="Y771" s="38"/>
      <c r="Z771" s="38">
        <f t="shared" si="69"/>
        <v>718</v>
      </c>
      <c r="AA771" t="e">
        <f t="shared" si="67"/>
        <v>#DIV/0!</v>
      </c>
      <c r="AB771" s="1" t="e">
        <f t="shared" si="68"/>
        <v>#DIV/0!</v>
      </c>
    </row>
    <row r="772" spans="11:28" ht="33" customHeight="1">
      <c r="K772" s="38"/>
      <c r="L772" s="38"/>
      <c r="M772" s="38"/>
      <c r="N772" s="38"/>
      <c r="O772" s="38"/>
      <c r="P772" s="38"/>
      <c r="Q772" s="38"/>
      <c r="R772" s="38"/>
      <c r="S772" s="38"/>
      <c r="T772" s="38"/>
      <c r="U772" s="38"/>
      <c r="V772" s="38"/>
      <c r="W772" s="38"/>
      <c r="X772" s="38"/>
      <c r="Y772" s="38"/>
      <c r="Z772" s="38">
        <f t="shared" si="69"/>
        <v>719</v>
      </c>
      <c r="AA772" t="e">
        <f t="shared" si="67"/>
        <v>#DIV/0!</v>
      </c>
      <c r="AB772" s="1" t="e">
        <f t="shared" si="68"/>
        <v>#DIV/0!</v>
      </c>
    </row>
    <row r="773" spans="11:28" ht="33" customHeight="1">
      <c r="K773" s="38"/>
      <c r="L773" s="38"/>
      <c r="M773" s="38"/>
      <c r="N773" s="38"/>
      <c r="O773" s="38"/>
      <c r="P773" s="38"/>
      <c r="Q773" s="38"/>
      <c r="R773" s="38"/>
      <c r="S773" s="38"/>
      <c r="T773" s="38"/>
      <c r="U773" s="38"/>
      <c r="V773" s="38"/>
      <c r="W773" s="38"/>
      <c r="X773" s="38"/>
      <c r="Y773" s="38"/>
      <c r="Z773" s="38">
        <f t="shared" si="69"/>
        <v>720</v>
      </c>
      <c r="AA773" t="e">
        <f t="shared" si="67"/>
        <v>#DIV/0!</v>
      </c>
      <c r="AB773" s="1" t="e">
        <f t="shared" si="68"/>
        <v>#DIV/0!</v>
      </c>
    </row>
    <row r="774" spans="11:28" ht="33" customHeight="1">
      <c r="K774" s="38"/>
      <c r="L774" s="38"/>
      <c r="M774" s="38"/>
      <c r="N774" s="38"/>
      <c r="O774" s="38"/>
      <c r="P774" s="38"/>
      <c r="Q774" s="38"/>
      <c r="R774" s="38"/>
      <c r="S774" s="38"/>
      <c r="T774" s="38"/>
      <c r="U774" s="38"/>
      <c r="V774" s="38"/>
      <c r="W774" s="38"/>
      <c r="X774" s="38"/>
      <c r="Y774" s="38"/>
      <c r="Z774" s="38">
        <f t="shared" si="69"/>
        <v>721</v>
      </c>
      <c r="AA774" t="e">
        <f t="shared" si="67"/>
        <v>#DIV/0!</v>
      </c>
      <c r="AB774" s="1" t="e">
        <f t="shared" si="68"/>
        <v>#DIV/0!</v>
      </c>
    </row>
    <row r="775" spans="11:28" ht="33" customHeight="1">
      <c r="K775" s="38"/>
      <c r="L775" s="38"/>
      <c r="M775" s="38"/>
      <c r="N775" s="38"/>
      <c r="O775" s="38"/>
      <c r="P775" s="38"/>
      <c r="Q775" s="38"/>
      <c r="R775" s="38"/>
      <c r="S775" s="38"/>
      <c r="T775" s="38"/>
      <c r="U775" s="38"/>
      <c r="V775" s="38"/>
      <c r="W775" s="38"/>
      <c r="X775" s="38"/>
      <c r="Y775" s="38"/>
      <c r="Z775" s="38">
        <f t="shared" si="69"/>
        <v>722</v>
      </c>
      <c r="AA775" t="e">
        <f t="shared" si="67"/>
        <v>#DIV/0!</v>
      </c>
      <c r="AB775" s="1" t="e">
        <f t="shared" si="68"/>
        <v>#DIV/0!</v>
      </c>
    </row>
    <row r="776" spans="11:28" ht="33" customHeight="1">
      <c r="K776" s="38"/>
      <c r="L776" s="38"/>
      <c r="M776" s="38"/>
      <c r="N776" s="38"/>
      <c r="O776" s="38"/>
      <c r="P776" s="38"/>
      <c r="Q776" s="38"/>
      <c r="R776" s="38"/>
      <c r="S776" s="38"/>
      <c r="T776" s="38"/>
      <c r="U776" s="38"/>
      <c r="V776" s="38"/>
      <c r="W776" s="38"/>
      <c r="X776" s="38"/>
      <c r="Y776" s="38"/>
      <c r="Z776" s="38">
        <f t="shared" si="69"/>
        <v>723</v>
      </c>
      <c r="AA776" t="e">
        <f t="shared" si="67"/>
        <v>#DIV/0!</v>
      </c>
      <c r="AB776" s="1" t="e">
        <f t="shared" si="68"/>
        <v>#DIV/0!</v>
      </c>
    </row>
    <row r="777" spans="11:28" ht="33" customHeight="1">
      <c r="K777" s="38"/>
      <c r="L777" s="38"/>
      <c r="M777" s="38"/>
      <c r="N777" s="38"/>
      <c r="O777" s="38"/>
      <c r="P777" s="38"/>
      <c r="Q777" s="38"/>
      <c r="R777" s="38"/>
      <c r="S777" s="38"/>
      <c r="T777" s="38"/>
      <c r="U777" s="38"/>
      <c r="V777" s="38"/>
      <c r="W777" s="38"/>
      <c r="X777" s="38"/>
      <c r="Y777" s="38"/>
      <c r="Z777" s="38">
        <f t="shared" si="69"/>
        <v>724</v>
      </c>
      <c r="AA777" t="e">
        <f t="shared" si="67"/>
        <v>#DIV/0!</v>
      </c>
      <c r="AB777" s="1" t="e">
        <f t="shared" si="68"/>
        <v>#DIV/0!</v>
      </c>
    </row>
    <row r="778" spans="11:28" ht="33" customHeight="1">
      <c r="K778" s="38"/>
      <c r="L778" s="38"/>
      <c r="M778" s="38"/>
      <c r="N778" s="38"/>
      <c r="O778" s="38"/>
      <c r="P778" s="38"/>
      <c r="Q778" s="38"/>
      <c r="R778" s="38"/>
      <c r="S778" s="38"/>
      <c r="T778" s="38"/>
      <c r="U778" s="38"/>
      <c r="V778" s="38"/>
      <c r="W778" s="38"/>
      <c r="X778" s="38"/>
      <c r="Y778" s="38"/>
      <c r="Z778" s="38">
        <f t="shared" si="69"/>
        <v>725</v>
      </c>
      <c r="AA778" t="e">
        <f t="shared" si="67"/>
        <v>#DIV/0!</v>
      </c>
      <c r="AB778" s="1" t="e">
        <f t="shared" si="68"/>
        <v>#DIV/0!</v>
      </c>
    </row>
    <row r="779" spans="11:28" ht="33" customHeight="1">
      <c r="K779" s="38"/>
      <c r="L779" s="38"/>
      <c r="M779" s="38"/>
      <c r="N779" s="38"/>
      <c r="O779" s="38"/>
      <c r="P779" s="38"/>
      <c r="Q779" s="38"/>
      <c r="R779" s="38"/>
      <c r="S779" s="38"/>
      <c r="T779" s="38"/>
      <c r="U779" s="38"/>
      <c r="V779" s="38"/>
      <c r="W779" s="38"/>
      <c r="X779" s="38"/>
      <c r="Y779" s="38"/>
      <c r="Z779" s="38">
        <f t="shared" si="69"/>
        <v>726</v>
      </c>
      <c r="AA779" t="e">
        <f t="shared" ref="AA779:AA842" si="70">IF(AB779=Z779,1,0)</f>
        <v>#DIV/0!</v>
      </c>
      <c r="AB779" s="1" t="e">
        <f t="shared" ref="AB779:AB842" si="71">$AB$8</f>
        <v>#DIV/0!</v>
      </c>
    </row>
    <row r="780" spans="11:28" ht="33" customHeight="1">
      <c r="K780" s="38"/>
      <c r="L780" s="38"/>
      <c r="M780" s="38"/>
      <c r="N780" s="38"/>
      <c r="O780" s="38"/>
      <c r="P780" s="38"/>
      <c r="Q780" s="38"/>
      <c r="R780" s="38"/>
      <c r="S780" s="38"/>
      <c r="T780" s="38"/>
      <c r="U780" s="38"/>
      <c r="V780" s="38"/>
      <c r="W780" s="38"/>
      <c r="X780" s="38"/>
      <c r="Y780" s="38"/>
      <c r="Z780" s="38">
        <f t="shared" ref="Z780:Z843" si="72">Z779+1</f>
        <v>727</v>
      </c>
      <c r="AA780" t="e">
        <f t="shared" si="70"/>
        <v>#DIV/0!</v>
      </c>
      <c r="AB780" s="1" t="e">
        <f t="shared" si="71"/>
        <v>#DIV/0!</v>
      </c>
    </row>
    <row r="781" spans="11:28" ht="33" customHeight="1">
      <c r="K781" s="38"/>
      <c r="L781" s="38"/>
      <c r="M781" s="38"/>
      <c r="N781" s="38"/>
      <c r="O781" s="38"/>
      <c r="P781" s="38"/>
      <c r="Q781" s="38"/>
      <c r="R781" s="38"/>
      <c r="S781" s="38"/>
      <c r="T781" s="38"/>
      <c r="U781" s="38"/>
      <c r="V781" s="38"/>
      <c r="W781" s="38"/>
      <c r="X781" s="38"/>
      <c r="Y781" s="38"/>
      <c r="Z781" s="38">
        <f t="shared" si="72"/>
        <v>728</v>
      </c>
      <c r="AA781" t="e">
        <f t="shared" si="70"/>
        <v>#DIV/0!</v>
      </c>
      <c r="AB781" s="1" t="e">
        <f t="shared" si="71"/>
        <v>#DIV/0!</v>
      </c>
    </row>
    <row r="782" spans="11:28" ht="33" customHeight="1">
      <c r="K782" s="38"/>
      <c r="L782" s="38"/>
      <c r="M782" s="38"/>
      <c r="N782" s="38"/>
      <c r="O782" s="38"/>
      <c r="P782" s="38"/>
      <c r="Q782" s="38"/>
      <c r="R782" s="38"/>
      <c r="S782" s="38"/>
      <c r="T782" s="38"/>
      <c r="U782" s="38"/>
      <c r="V782" s="38"/>
      <c r="W782" s="38"/>
      <c r="X782" s="38"/>
      <c r="Y782" s="38"/>
      <c r="Z782" s="38">
        <f t="shared" si="72"/>
        <v>729</v>
      </c>
      <c r="AA782" t="e">
        <f t="shared" si="70"/>
        <v>#DIV/0!</v>
      </c>
      <c r="AB782" s="1" t="e">
        <f t="shared" si="71"/>
        <v>#DIV/0!</v>
      </c>
    </row>
    <row r="783" spans="11:28" ht="33" customHeight="1">
      <c r="K783" s="38"/>
      <c r="L783" s="38"/>
      <c r="M783" s="38"/>
      <c r="N783" s="38"/>
      <c r="O783" s="38"/>
      <c r="P783" s="38"/>
      <c r="Q783" s="38"/>
      <c r="R783" s="38"/>
      <c r="S783" s="38"/>
      <c r="T783" s="38"/>
      <c r="U783" s="38"/>
      <c r="V783" s="38"/>
      <c r="W783" s="38"/>
      <c r="X783" s="38"/>
      <c r="Y783" s="38"/>
      <c r="Z783" s="38">
        <f t="shared" si="72"/>
        <v>730</v>
      </c>
      <c r="AA783" t="e">
        <f t="shared" si="70"/>
        <v>#DIV/0!</v>
      </c>
      <c r="AB783" s="1" t="e">
        <f t="shared" si="71"/>
        <v>#DIV/0!</v>
      </c>
    </row>
    <row r="784" spans="11:28" ht="33" customHeight="1">
      <c r="K784" s="38"/>
      <c r="L784" s="38"/>
      <c r="M784" s="38"/>
      <c r="N784" s="38"/>
      <c r="O784" s="38"/>
      <c r="P784" s="38"/>
      <c r="Q784" s="38"/>
      <c r="R784" s="38"/>
      <c r="S784" s="38"/>
      <c r="T784" s="38"/>
      <c r="U784" s="38"/>
      <c r="V784" s="38"/>
      <c r="W784" s="38"/>
      <c r="X784" s="38"/>
      <c r="Y784" s="38"/>
      <c r="Z784" s="38">
        <f t="shared" si="72"/>
        <v>731</v>
      </c>
      <c r="AA784" t="e">
        <f t="shared" si="70"/>
        <v>#DIV/0!</v>
      </c>
      <c r="AB784" s="1" t="e">
        <f t="shared" si="71"/>
        <v>#DIV/0!</v>
      </c>
    </row>
    <row r="785" spans="11:28" ht="33" customHeight="1">
      <c r="K785" s="38"/>
      <c r="L785" s="38"/>
      <c r="M785" s="38"/>
      <c r="N785" s="38"/>
      <c r="O785" s="38"/>
      <c r="P785" s="38"/>
      <c r="Q785" s="38"/>
      <c r="R785" s="38"/>
      <c r="S785" s="38"/>
      <c r="T785" s="38"/>
      <c r="U785" s="38"/>
      <c r="V785" s="38"/>
      <c r="W785" s="38"/>
      <c r="X785" s="38"/>
      <c r="Y785" s="38"/>
      <c r="Z785" s="38">
        <f t="shared" si="72"/>
        <v>732</v>
      </c>
      <c r="AA785" t="e">
        <f t="shared" si="70"/>
        <v>#DIV/0!</v>
      </c>
      <c r="AB785" s="1" t="e">
        <f t="shared" si="71"/>
        <v>#DIV/0!</v>
      </c>
    </row>
    <row r="786" spans="11:28" ht="33" customHeight="1">
      <c r="K786" s="38"/>
      <c r="L786" s="38"/>
      <c r="M786" s="38"/>
      <c r="N786" s="38"/>
      <c r="O786" s="38"/>
      <c r="P786" s="38"/>
      <c r="Q786" s="38"/>
      <c r="R786" s="38"/>
      <c r="S786" s="38"/>
      <c r="T786" s="38"/>
      <c r="U786" s="38"/>
      <c r="V786" s="38"/>
      <c r="W786" s="38"/>
      <c r="X786" s="38"/>
      <c r="Y786" s="38"/>
      <c r="Z786" s="38">
        <f t="shared" si="72"/>
        <v>733</v>
      </c>
      <c r="AA786" t="e">
        <f t="shared" si="70"/>
        <v>#DIV/0!</v>
      </c>
      <c r="AB786" s="1" t="e">
        <f t="shared" si="71"/>
        <v>#DIV/0!</v>
      </c>
    </row>
    <row r="787" spans="11:28" ht="33" customHeight="1">
      <c r="K787" s="38"/>
      <c r="L787" s="38"/>
      <c r="M787" s="38"/>
      <c r="N787" s="38"/>
      <c r="O787" s="38"/>
      <c r="P787" s="38"/>
      <c r="Q787" s="38"/>
      <c r="R787" s="38"/>
      <c r="S787" s="38"/>
      <c r="T787" s="38"/>
      <c r="U787" s="38"/>
      <c r="V787" s="38"/>
      <c r="W787" s="38"/>
      <c r="X787" s="38"/>
      <c r="Y787" s="38"/>
      <c r="Z787" s="38">
        <f t="shared" si="72"/>
        <v>734</v>
      </c>
      <c r="AA787" t="e">
        <f t="shared" si="70"/>
        <v>#DIV/0!</v>
      </c>
      <c r="AB787" s="1" t="e">
        <f t="shared" si="71"/>
        <v>#DIV/0!</v>
      </c>
    </row>
    <row r="788" spans="11:28" ht="33" customHeight="1">
      <c r="K788" s="38"/>
      <c r="L788" s="38"/>
      <c r="M788" s="38"/>
      <c r="N788" s="38"/>
      <c r="O788" s="38"/>
      <c r="P788" s="38"/>
      <c r="Q788" s="38"/>
      <c r="R788" s="38"/>
      <c r="S788" s="38"/>
      <c r="T788" s="38"/>
      <c r="U788" s="38"/>
      <c r="V788" s="38"/>
      <c r="W788" s="38"/>
      <c r="X788" s="38"/>
      <c r="Y788" s="38"/>
      <c r="Z788" s="38">
        <f t="shared" si="72"/>
        <v>735</v>
      </c>
      <c r="AA788" t="e">
        <f t="shared" si="70"/>
        <v>#DIV/0!</v>
      </c>
      <c r="AB788" s="1" t="e">
        <f t="shared" si="71"/>
        <v>#DIV/0!</v>
      </c>
    </row>
    <row r="789" spans="11:28" ht="33" customHeight="1">
      <c r="K789" s="38"/>
      <c r="L789" s="38"/>
      <c r="M789" s="38"/>
      <c r="N789" s="38"/>
      <c r="O789" s="38"/>
      <c r="P789" s="38"/>
      <c r="Q789" s="38"/>
      <c r="R789" s="38"/>
      <c r="S789" s="38"/>
      <c r="T789" s="38"/>
      <c r="U789" s="38"/>
      <c r="V789" s="38"/>
      <c r="W789" s="38"/>
      <c r="X789" s="38"/>
      <c r="Y789" s="38"/>
      <c r="Z789" s="38">
        <f t="shared" si="72"/>
        <v>736</v>
      </c>
      <c r="AA789" t="e">
        <f t="shared" si="70"/>
        <v>#DIV/0!</v>
      </c>
      <c r="AB789" s="1" t="e">
        <f t="shared" si="71"/>
        <v>#DIV/0!</v>
      </c>
    </row>
    <row r="790" spans="11:28" ht="33" customHeight="1">
      <c r="K790" s="38"/>
      <c r="L790" s="38"/>
      <c r="M790" s="38"/>
      <c r="N790" s="38"/>
      <c r="O790" s="38"/>
      <c r="P790" s="38"/>
      <c r="Q790" s="38"/>
      <c r="R790" s="38"/>
      <c r="S790" s="38"/>
      <c r="T790" s="38"/>
      <c r="U790" s="38"/>
      <c r="V790" s="38"/>
      <c r="W790" s="38"/>
      <c r="X790" s="38"/>
      <c r="Y790" s="38"/>
      <c r="Z790" s="38">
        <f t="shared" si="72"/>
        <v>737</v>
      </c>
      <c r="AA790" t="e">
        <f t="shared" si="70"/>
        <v>#DIV/0!</v>
      </c>
      <c r="AB790" s="1" t="e">
        <f t="shared" si="71"/>
        <v>#DIV/0!</v>
      </c>
    </row>
    <row r="791" spans="11:28" ht="33" customHeight="1">
      <c r="K791" s="38"/>
      <c r="L791" s="38"/>
      <c r="M791" s="38"/>
      <c r="N791" s="38"/>
      <c r="O791" s="38"/>
      <c r="P791" s="38"/>
      <c r="Q791" s="38"/>
      <c r="R791" s="38"/>
      <c r="S791" s="38"/>
      <c r="T791" s="38"/>
      <c r="U791" s="38"/>
      <c r="V791" s="38"/>
      <c r="W791" s="38"/>
      <c r="X791" s="38"/>
      <c r="Y791" s="38"/>
      <c r="Z791" s="38">
        <f t="shared" si="72"/>
        <v>738</v>
      </c>
      <c r="AA791" t="e">
        <f t="shared" si="70"/>
        <v>#DIV/0!</v>
      </c>
      <c r="AB791" s="1" t="e">
        <f t="shared" si="71"/>
        <v>#DIV/0!</v>
      </c>
    </row>
    <row r="792" spans="11:28" ht="33" customHeight="1">
      <c r="K792" s="38"/>
      <c r="L792" s="38"/>
      <c r="M792" s="38"/>
      <c r="N792" s="38"/>
      <c r="O792" s="38"/>
      <c r="P792" s="38"/>
      <c r="Q792" s="38"/>
      <c r="R792" s="38"/>
      <c r="S792" s="38"/>
      <c r="T792" s="38"/>
      <c r="U792" s="38"/>
      <c r="V792" s="38"/>
      <c r="W792" s="38"/>
      <c r="X792" s="38"/>
      <c r="Y792" s="38"/>
      <c r="Z792" s="38">
        <f t="shared" si="72"/>
        <v>739</v>
      </c>
      <c r="AA792" t="e">
        <f t="shared" si="70"/>
        <v>#DIV/0!</v>
      </c>
      <c r="AB792" s="1" t="e">
        <f t="shared" si="71"/>
        <v>#DIV/0!</v>
      </c>
    </row>
    <row r="793" spans="11:28" ht="33" customHeight="1">
      <c r="K793" s="38"/>
      <c r="L793" s="38"/>
      <c r="M793" s="38"/>
      <c r="N793" s="38"/>
      <c r="O793" s="38"/>
      <c r="P793" s="38"/>
      <c r="Q793" s="38"/>
      <c r="R793" s="38"/>
      <c r="S793" s="38"/>
      <c r="T793" s="38"/>
      <c r="U793" s="38"/>
      <c r="V793" s="38"/>
      <c r="W793" s="38"/>
      <c r="X793" s="38"/>
      <c r="Y793" s="38"/>
      <c r="Z793" s="38">
        <f t="shared" si="72"/>
        <v>740</v>
      </c>
      <c r="AA793" t="e">
        <f t="shared" si="70"/>
        <v>#DIV/0!</v>
      </c>
      <c r="AB793" s="1" t="e">
        <f t="shared" si="71"/>
        <v>#DIV/0!</v>
      </c>
    </row>
    <row r="794" spans="11:28" ht="33" customHeight="1">
      <c r="K794" s="38"/>
      <c r="L794" s="38"/>
      <c r="M794" s="38"/>
      <c r="N794" s="38"/>
      <c r="O794" s="38"/>
      <c r="P794" s="38"/>
      <c r="Q794" s="38"/>
      <c r="R794" s="38"/>
      <c r="S794" s="38"/>
      <c r="T794" s="38"/>
      <c r="U794" s="38"/>
      <c r="V794" s="38"/>
      <c r="W794" s="38"/>
      <c r="X794" s="38"/>
      <c r="Y794" s="38"/>
      <c r="Z794" s="38">
        <f t="shared" si="72"/>
        <v>741</v>
      </c>
      <c r="AA794" t="e">
        <f t="shared" si="70"/>
        <v>#DIV/0!</v>
      </c>
      <c r="AB794" s="1" t="e">
        <f t="shared" si="71"/>
        <v>#DIV/0!</v>
      </c>
    </row>
    <row r="795" spans="11:28" ht="33" customHeight="1">
      <c r="K795" s="38"/>
      <c r="L795" s="38"/>
      <c r="M795" s="38"/>
      <c r="N795" s="38"/>
      <c r="O795" s="38"/>
      <c r="P795" s="38"/>
      <c r="Q795" s="38"/>
      <c r="R795" s="38"/>
      <c r="S795" s="38"/>
      <c r="T795" s="38"/>
      <c r="U795" s="38"/>
      <c r="V795" s="38"/>
      <c r="W795" s="38"/>
      <c r="X795" s="38"/>
      <c r="Y795" s="38"/>
      <c r="Z795" s="38">
        <f t="shared" si="72"/>
        <v>742</v>
      </c>
      <c r="AA795" t="e">
        <f t="shared" si="70"/>
        <v>#DIV/0!</v>
      </c>
      <c r="AB795" s="1" t="e">
        <f t="shared" si="71"/>
        <v>#DIV/0!</v>
      </c>
    </row>
    <row r="796" spans="11:28" ht="33" customHeight="1">
      <c r="K796" s="38"/>
      <c r="L796" s="38"/>
      <c r="M796" s="38"/>
      <c r="N796" s="38"/>
      <c r="O796" s="38"/>
      <c r="P796" s="38"/>
      <c r="Q796" s="38"/>
      <c r="R796" s="38"/>
      <c r="S796" s="38"/>
      <c r="T796" s="38"/>
      <c r="U796" s="38"/>
      <c r="V796" s="38"/>
      <c r="W796" s="38"/>
      <c r="X796" s="38"/>
      <c r="Y796" s="38"/>
      <c r="Z796" s="38">
        <f t="shared" si="72"/>
        <v>743</v>
      </c>
      <c r="AA796" t="e">
        <f t="shared" si="70"/>
        <v>#DIV/0!</v>
      </c>
      <c r="AB796" s="1" t="e">
        <f t="shared" si="71"/>
        <v>#DIV/0!</v>
      </c>
    </row>
    <row r="797" spans="11:28" ht="33" customHeight="1">
      <c r="K797" s="38"/>
      <c r="L797" s="38"/>
      <c r="M797" s="38"/>
      <c r="N797" s="38"/>
      <c r="O797" s="38"/>
      <c r="P797" s="38"/>
      <c r="Q797" s="38"/>
      <c r="R797" s="38"/>
      <c r="S797" s="38"/>
      <c r="T797" s="38"/>
      <c r="U797" s="38"/>
      <c r="V797" s="38"/>
      <c r="W797" s="38"/>
      <c r="X797" s="38"/>
      <c r="Y797" s="38"/>
      <c r="Z797" s="38">
        <f t="shared" si="72"/>
        <v>744</v>
      </c>
      <c r="AA797" t="e">
        <f t="shared" si="70"/>
        <v>#DIV/0!</v>
      </c>
      <c r="AB797" s="1" t="e">
        <f t="shared" si="71"/>
        <v>#DIV/0!</v>
      </c>
    </row>
    <row r="798" spans="11:28" ht="33" customHeight="1">
      <c r="K798" s="38"/>
      <c r="L798" s="38"/>
      <c r="M798" s="38"/>
      <c r="N798" s="38"/>
      <c r="O798" s="38"/>
      <c r="P798" s="38"/>
      <c r="Q798" s="38"/>
      <c r="R798" s="38"/>
      <c r="S798" s="38"/>
      <c r="T798" s="38"/>
      <c r="U798" s="38"/>
      <c r="V798" s="38"/>
      <c r="W798" s="38"/>
      <c r="X798" s="38"/>
      <c r="Y798" s="38"/>
      <c r="Z798" s="38">
        <f t="shared" si="72"/>
        <v>745</v>
      </c>
      <c r="AA798" t="e">
        <f t="shared" si="70"/>
        <v>#DIV/0!</v>
      </c>
      <c r="AB798" s="1" t="e">
        <f t="shared" si="71"/>
        <v>#DIV/0!</v>
      </c>
    </row>
    <row r="799" spans="11:28" ht="33" customHeight="1">
      <c r="K799" s="38"/>
      <c r="L799" s="38"/>
      <c r="M799" s="38"/>
      <c r="N799" s="38"/>
      <c r="O799" s="38"/>
      <c r="P799" s="38"/>
      <c r="Q799" s="38"/>
      <c r="R799" s="38"/>
      <c r="S799" s="38"/>
      <c r="T799" s="38"/>
      <c r="U799" s="38"/>
      <c r="V799" s="38"/>
      <c r="W799" s="38"/>
      <c r="X799" s="38"/>
      <c r="Y799" s="38"/>
      <c r="Z799" s="38">
        <f t="shared" si="72"/>
        <v>746</v>
      </c>
      <c r="AA799" t="e">
        <f t="shared" si="70"/>
        <v>#DIV/0!</v>
      </c>
      <c r="AB799" s="1" t="e">
        <f t="shared" si="71"/>
        <v>#DIV/0!</v>
      </c>
    </row>
    <row r="800" spans="11:28" ht="33" customHeight="1">
      <c r="K800" s="38"/>
      <c r="L800" s="38"/>
      <c r="M800" s="38"/>
      <c r="N800" s="38"/>
      <c r="O800" s="38"/>
      <c r="P800" s="38"/>
      <c r="Q800" s="38"/>
      <c r="R800" s="38"/>
      <c r="S800" s="38"/>
      <c r="T800" s="38"/>
      <c r="U800" s="38"/>
      <c r="V800" s="38"/>
      <c r="W800" s="38"/>
      <c r="X800" s="38"/>
      <c r="Y800" s="38"/>
      <c r="Z800" s="38">
        <f t="shared" si="72"/>
        <v>747</v>
      </c>
      <c r="AA800" t="e">
        <f t="shared" si="70"/>
        <v>#DIV/0!</v>
      </c>
      <c r="AB800" s="1" t="e">
        <f t="shared" si="71"/>
        <v>#DIV/0!</v>
      </c>
    </row>
    <row r="801" spans="11:28" ht="33" customHeight="1">
      <c r="K801" s="38"/>
      <c r="L801" s="38"/>
      <c r="M801" s="38"/>
      <c r="N801" s="38"/>
      <c r="O801" s="38"/>
      <c r="P801" s="38"/>
      <c r="Q801" s="38"/>
      <c r="R801" s="38"/>
      <c r="S801" s="38"/>
      <c r="T801" s="38"/>
      <c r="U801" s="38"/>
      <c r="V801" s="38"/>
      <c r="W801" s="38"/>
      <c r="X801" s="38"/>
      <c r="Y801" s="38"/>
      <c r="Z801" s="38">
        <f t="shared" si="72"/>
        <v>748</v>
      </c>
      <c r="AA801" t="e">
        <f t="shared" si="70"/>
        <v>#DIV/0!</v>
      </c>
      <c r="AB801" s="1" t="e">
        <f t="shared" si="71"/>
        <v>#DIV/0!</v>
      </c>
    </row>
    <row r="802" spans="11:28" ht="33" customHeight="1">
      <c r="K802" s="38"/>
      <c r="L802" s="38"/>
      <c r="M802" s="38"/>
      <c r="N802" s="38"/>
      <c r="O802" s="38"/>
      <c r="P802" s="38"/>
      <c r="Q802" s="38"/>
      <c r="R802" s="38"/>
      <c r="S802" s="38"/>
      <c r="T802" s="38"/>
      <c r="U802" s="38"/>
      <c r="V802" s="38"/>
      <c r="W802" s="38"/>
      <c r="X802" s="38"/>
      <c r="Y802" s="38"/>
      <c r="Z802" s="38">
        <f t="shared" si="72"/>
        <v>749</v>
      </c>
      <c r="AA802" t="e">
        <f t="shared" si="70"/>
        <v>#DIV/0!</v>
      </c>
      <c r="AB802" s="1" t="e">
        <f t="shared" si="71"/>
        <v>#DIV/0!</v>
      </c>
    </row>
    <row r="803" spans="11:28" ht="33" customHeight="1">
      <c r="K803" s="38"/>
      <c r="L803" s="38"/>
      <c r="M803" s="38"/>
      <c r="N803" s="38"/>
      <c r="O803" s="38"/>
      <c r="P803" s="38"/>
      <c r="Q803" s="38"/>
      <c r="R803" s="38"/>
      <c r="S803" s="38"/>
      <c r="T803" s="38"/>
      <c r="U803" s="38"/>
      <c r="V803" s="38"/>
      <c r="W803" s="38"/>
      <c r="X803" s="38"/>
      <c r="Y803" s="38"/>
      <c r="Z803" s="38">
        <f t="shared" si="72"/>
        <v>750</v>
      </c>
      <c r="AA803" t="e">
        <f t="shared" si="70"/>
        <v>#DIV/0!</v>
      </c>
      <c r="AB803" s="1" t="e">
        <f t="shared" si="71"/>
        <v>#DIV/0!</v>
      </c>
    </row>
    <row r="804" spans="11:28" ht="33" customHeight="1">
      <c r="K804" s="38"/>
      <c r="L804" s="38"/>
      <c r="M804" s="38"/>
      <c r="N804" s="38"/>
      <c r="O804" s="38"/>
      <c r="P804" s="38"/>
      <c r="Q804" s="38"/>
      <c r="R804" s="38"/>
      <c r="S804" s="38"/>
      <c r="T804" s="38"/>
      <c r="U804" s="38"/>
      <c r="V804" s="38"/>
      <c r="W804" s="38"/>
      <c r="X804" s="38"/>
      <c r="Y804" s="38"/>
      <c r="Z804" s="38">
        <f t="shared" si="72"/>
        <v>751</v>
      </c>
      <c r="AA804" t="e">
        <f t="shared" si="70"/>
        <v>#DIV/0!</v>
      </c>
      <c r="AB804" s="1" t="e">
        <f t="shared" si="71"/>
        <v>#DIV/0!</v>
      </c>
    </row>
    <row r="805" spans="11:28" ht="33" customHeight="1">
      <c r="K805" s="38"/>
      <c r="L805" s="38"/>
      <c r="M805" s="38"/>
      <c r="N805" s="38"/>
      <c r="O805" s="38"/>
      <c r="P805" s="38"/>
      <c r="Q805" s="38"/>
      <c r="R805" s="38"/>
      <c r="S805" s="38"/>
      <c r="T805" s="38"/>
      <c r="U805" s="38"/>
      <c r="V805" s="38"/>
      <c r="W805" s="38"/>
      <c r="X805" s="38"/>
      <c r="Y805" s="38"/>
      <c r="Z805" s="38">
        <f t="shared" si="72"/>
        <v>752</v>
      </c>
      <c r="AA805" t="e">
        <f t="shared" si="70"/>
        <v>#DIV/0!</v>
      </c>
      <c r="AB805" s="1" t="e">
        <f t="shared" si="71"/>
        <v>#DIV/0!</v>
      </c>
    </row>
    <row r="806" spans="11:28" ht="33" customHeight="1">
      <c r="K806" s="38"/>
      <c r="L806" s="38"/>
      <c r="M806" s="38"/>
      <c r="N806" s="38"/>
      <c r="O806" s="38"/>
      <c r="P806" s="38"/>
      <c r="Q806" s="38"/>
      <c r="R806" s="38"/>
      <c r="S806" s="38"/>
      <c r="T806" s="38"/>
      <c r="U806" s="38"/>
      <c r="V806" s="38"/>
      <c r="W806" s="38"/>
      <c r="X806" s="38"/>
      <c r="Y806" s="38"/>
      <c r="Z806" s="38">
        <f t="shared" si="72"/>
        <v>753</v>
      </c>
      <c r="AA806" t="e">
        <f t="shared" si="70"/>
        <v>#DIV/0!</v>
      </c>
      <c r="AB806" s="1" t="e">
        <f t="shared" si="71"/>
        <v>#DIV/0!</v>
      </c>
    </row>
    <row r="807" spans="11:28" ht="33" customHeight="1">
      <c r="K807" s="38"/>
      <c r="L807" s="38"/>
      <c r="M807" s="38"/>
      <c r="N807" s="38"/>
      <c r="O807" s="38"/>
      <c r="P807" s="38"/>
      <c r="Q807" s="38"/>
      <c r="R807" s="38"/>
      <c r="S807" s="38"/>
      <c r="T807" s="38"/>
      <c r="U807" s="38"/>
      <c r="V807" s="38"/>
      <c r="W807" s="38"/>
      <c r="X807" s="38"/>
      <c r="Y807" s="38"/>
      <c r="Z807" s="38">
        <f t="shared" si="72"/>
        <v>754</v>
      </c>
      <c r="AA807" t="e">
        <f t="shared" si="70"/>
        <v>#DIV/0!</v>
      </c>
      <c r="AB807" s="1" t="e">
        <f t="shared" si="71"/>
        <v>#DIV/0!</v>
      </c>
    </row>
    <row r="808" spans="11:28" ht="33" customHeight="1">
      <c r="K808" s="38"/>
      <c r="L808" s="38"/>
      <c r="M808" s="38"/>
      <c r="N808" s="38"/>
      <c r="O808" s="38"/>
      <c r="P808" s="38"/>
      <c r="Q808" s="38"/>
      <c r="R808" s="38"/>
      <c r="S808" s="38"/>
      <c r="T808" s="38"/>
      <c r="U808" s="38"/>
      <c r="V808" s="38"/>
      <c r="W808" s="38"/>
      <c r="X808" s="38"/>
      <c r="Y808" s="38"/>
      <c r="Z808" s="38">
        <f t="shared" si="72"/>
        <v>755</v>
      </c>
      <c r="AA808" t="e">
        <f t="shared" si="70"/>
        <v>#DIV/0!</v>
      </c>
      <c r="AB808" s="1" t="e">
        <f t="shared" si="71"/>
        <v>#DIV/0!</v>
      </c>
    </row>
    <row r="809" spans="11:28" ht="33" customHeight="1">
      <c r="K809" s="38"/>
      <c r="L809" s="38"/>
      <c r="M809" s="38"/>
      <c r="N809" s="38"/>
      <c r="O809" s="38"/>
      <c r="P809" s="38"/>
      <c r="Q809" s="38"/>
      <c r="R809" s="38"/>
      <c r="S809" s="38"/>
      <c r="T809" s="38"/>
      <c r="U809" s="38"/>
      <c r="V809" s="38"/>
      <c r="W809" s="38"/>
      <c r="X809" s="38"/>
      <c r="Y809" s="38"/>
      <c r="Z809" s="38">
        <f t="shared" si="72"/>
        <v>756</v>
      </c>
      <c r="AA809" t="e">
        <f t="shared" si="70"/>
        <v>#DIV/0!</v>
      </c>
      <c r="AB809" s="1" t="e">
        <f t="shared" si="71"/>
        <v>#DIV/0!</v>
      </c>
    </row>
    <row r="810" spans="11:28" ht="33" customHeight="1">
      <c r="K810" s="38"/>
      <c r="L810" s="38"/>
      <c r="M810" s="38"/>
      <c r="N810" s="38"/>
      <c r="O810" s="38"/>
      <c r="P810" s="38"/>
      <c r="Q810" s="38"/>
      <c r="R810" s="38"/>
      <c r="S810" s="38"/>
      <c r="T810" s="38"/>
      <c r="U810" s="38"/>
      <c r="V810" s="38"/>
      <c r="W810" s="38"/>
      <c r="X810" s="38"/>
      <c r="Y810" s="38"/>
      <c r="Z810" s="38">
        <f t="shared" si="72"/>
        <v>757</v>
      </c>
      <c r="AA810" t="e">
        <f t="shared" si="70"/>
        <v>#DIV/0!</v>
      </c>
      <c r="AB810" s="1" t="e">
        <f t="shared" si="71"/>
        <v>#DIV/0!</v>
      </c>
    </row>
    <row r="811" spans="11:28" ht="33" customHeight="1">
      <c r="K811" s="38"/>
      <c r="L811" s="38"/>
      <c r="M811" s="38"/>
      <c r="N811" s="38"/>
      <c r="O811" s="38"/>
      <c r="P811" s="38"/>
      <c r="Q811" s="38"/>
      <c r="R811" s="38"/>
      <c r="S811" s="38"/>
      <c r="T811" s="38"/>
      <c r="U811" s="38"/>
      <c r="V811" s="38"/>
      <c r="W811" s="38"/>
      <c r="X811" s="38"/>
      <c r="Y811" s="38"/>
      <c r="Z811" s="38">
        <f t="shared" si="72"/>
        <v>758</v>
      </c>
      <c r="AA811" t="e">
        <f t="shared" si="70"/>
        <v>#DIV/0!</v>
      </c>
      <c r="AB811" s="1" t="e">
        <f t="shared" si="71"/>
        <v>#DIV/0!</v>
      </c>
    </row>
    <row r="812" spans="11:28" ht="33" customHeight="1">
      <c r="K812" s="38"/>
      <c r="L812" s="38"/>
      <c r="M812" s="38"/>
      <c r="N812" s="38"/>
      <c r="O812" s="38"/>
      <c r="P812" s="38"/>
      <c r="Q812" s="38"/>
      <c r="R812" s="38"/>
      <c r="S812" s="38"/>
      <c r="T812" s="38"/>
      <c r="U812" s="38"/>
      <c r="V812" s="38"/>
      <c r="W812" s="38"/>
      <c r="X812" s="38"/>
      <c r="Y812" s="38"/>
      <c r="Z812" s="38">
        <f t="shared" si="72"/>
        <v>759</v>
      </c>
      <c r="AA812" t="e">
        <f t="shared" si="70"/>
        <v>#DIV/0!</v>
      </c>
      <c r="AB812" s="1" t="e">
        <f t="shared" si="71"/>
        <v>#DIV/0!</v>
      </c>
    </row>
    <row r="813" spans="11:28" ht="33" customHeight="1">
      <c r="K813" s="38"/>
      <c r="L813" s="38"/>
      <c r="M813" s="38"/>
      <c r="N813" s="38"/>
      <c r="O813" s="38"/>
      <c r="P813" s="38"/>
      <c r="Q813" s="38"/>
      <c r="R813" s="38"/>
      <c r="S813" s="38"/>
      <c r="T813" s="38"/>
      <c r="U813" s="38"/>
      <c r="V813" s="38"/>
      <c r="W813" s="38"/>
      <c r="X813" s="38"/>
      <c r="Y813" s="38"/>
      <c r="Z813" s="38">
        <f t="shared" si="72"/>
        <v>760</v>
      </c>
      <c r="AA813" t="e">
        <f t="shared" si="70"/>
        <v>#DIV/0!</v>
      </c>
      <c r="AB813" s="1" t="e">
        <f t="shared" si="71"/>
        <v>#DIV/0!</v>
      </c>
    </row>
    <row r="814" spans="11:28" ht="33" customHeight="1">
      <c r="K814" s="38"/>
      <c r="L814" s="38"/>
      <c r="M814" s="38"/>
      <c r="N814" s="38"/>
      <c r="O814" s="38"/>
      <c r="P814" s="38"/>
      <c r="Q814" s="38"/>
      <c r="R814" s="38"/>
      <c r="S814" s="38"/>
      <c r="T814" s="38"/>
      <c r="U814" s="38"/>
      <c r="V814" s="38"/>
      <c r="W814" s="38"/>
      <c r="X814" s="38"/>
      <c r="Y814" s="38"/>
      <c r="Z814" s="38">
        <f t="shared" si="72"/>
        <v>761</v>
      </c>
      <c r="AA814" t="e">
        <f t="shared" si="70"/>
        <v>#DIV/0!</v>
      </c>
      <c r="AB814" s="1" t="e">
        <f t="shared" si="71"/>
        <v>#DIV/0!</v>
      </c>
    </row>
    <row r="815" spans="11:28" ht="33" customHeight="1">
      <c r="K815" s="38"/>
      <c r="L815" s="38"/>
      <c r="M815" s="38"/>
      <c r="N815" s="38"/>
      <c r="O815" s="38"/>
      <c r="P815" s="38"/>
      <c r="Q815" s="38"/>
      <c r="R815" s="38"/>
      <c r="S815" s="38"/>
      <c r="T815" s="38"/>
      <c r="U815" s="38"/>
      <c r="V815" s="38"/>
      <c r="W815" s="38"/>
      <c r="X815" s="38"/>
      <c r="Y815" s="38"/>
      <c r="Z815" s="38">
        <f t="shared" si="72"/>
        <v>762</v>
      </c>
      <c r="AA815" t="e">
        <f t="shared" si="70"/>
        <v>#DIV/0!</v>
      </c>
      <c r="AB815" s="1" t="e">
        <f t="shared" si="71"/>
        <v>#DIV/0!</v>
      </c>
    </row>
    <row r="816" spans="11:28" ht="33" customHeight="1">
      <c r="K816" s="38"/>
      <c r="L816" s="38"/>
      <c r="M816" s="38"/>
      <c r="N816" s="38"/>
      <c r="O816" s="38"/>
      <c r="P816" s="38"/>
      <c r="Q816" s="38"/>
      <c r="R816" s="38"/>
      <c r="S816" s="38"/>
      <c r="T816" s="38"/>
      <c r="U816" s="38"/>
      <c r="V816" s="38"/>
      <c r="W816" s="38"/>
      <c r="X816" s="38"/>
      <c r="Y816" s="38"/>
      <c r="Z816" s="38">
        <f t="shared" si="72"/>
        <v>763</v>
      </c>
      <c r="AA816" t="e">
        <f t="shared" si="70"/>
        <v>#DIV/0!</v>
      </c>
      <c r="AB816" s="1" t="e">
        <f t="shared" si="71"/>
        <v>#DIV/0!</v>
      </c>
    </row>
    <row r="817" spans="11:28" ht="33" customHeight="1">
      <c r="K817" s="38"/>
      <c r="L817" s="38"/>
      <c r="M817" s="38"/>
      <c r="N817" s="38"/>
      <c r="O817" s="38"/>
      <c r="P817" s="38"/>
      <c r="Q817" s="38"/>
      <c r="R817" s="38"/>
      <c r="S817" s="38"/>
      <c r="T817" s="38"/>
      <c r="U817" s="38"/>
      <c r="V817" s="38"/>
      <c r="W817" s="38"/>
      <c r="X817" s="38"/>
      <c r="Y817" s="38"/>
      <c r="Z817" s="38">
        <f t="shared" si="72"/>
        <v>764</v>
      </c>
      <c r="AA817" t="e">
        <f t="shared" si="70"/>
        <v>#DIV/0!</v>
      </c>
      <c r="AB817" s="1" t="e">
        <f t="shared" si="71"/>
        <v>#DIV/0!</v>
      </c>
    </row>
    <row r="818" spans="11:28" ht="33" customHeight="1">
      <c r="K818" s="38"/>
      <c r="L818" s="38"/>
      <c r="M818" s="38"/>
      <c r="N818" s="38"/>
      <c r="O818" s="38"/>
      <c r="P818" s="38"/>
      <c r="Q818" s="38"/>
      <c r="R818" s="38"/>
      <c r="S818" s="38"/>
      <c r="T818" s="38"/>
      <c r="U818" s="38"/>
      <c r="V818" s="38"/>
      <c r="W818" s="38"/>
      <c r="X818" s="38"/>
      <c r="Y818" s="38"/>
      <c r="Z818" s="38">
        <f t="shared" si="72"/>
        <v>765</v>
      </c>
      <c r="AA818" t="e">
        <f t="shared" si="70"/>
        <v>#DIV/0!</v>
      </c>
      <c r="AB818" s="1" t="e">
        <f t="shared" si="71"/>
        <v>#DIV/0!</v>
      </c>
    </row>
    <row r="819" spans="11:28" ht="33" customHeight="1">
      <c r="K819" s="38"/>
      <c r="L819" s="38"/>
      <c r="M819" s="38"/>
      <c r="N819" s="38"/>
      <c r="O819" s="38"/>
      <c r="P819" s="38"/>
      <c r="Q819" s="38"/>
      <c r="R819" s="38"/>
      <c r="S819" s="38"/>
      <c r="T819" s="38"/>
      <c r="U819" s="38"/>
      <c r="V819" s="38"/>
      <c r="W819" s="38"/>
      <c r="X819" s="38"/>
      <c r="Y819" s="38"/>
      <c r="Z819" s="38">
        <f t="shared" si="72"/>
        <v>766</v>
      </c>
      <c r="AA819" t="e">
        <f t="shared" si="70"/>
        <v>#DIV/0!</v>
      </c>
      <c r="AB819" s="1" t="e">
        <f t="shared" si="71"/>
        <v>#DIV/0!</v>
      </c>
    </row>
    <row r="820" spans="11:28" ht="33" customHeight="1">
      <c r="K820" s="38"/>
      <c r="L820" s="38"/>
      <c r="M820" s="38"/>
      <c r="N820" s="38"/>
      <c r="O820" s="38"/>
      <c r="P820" s="38"/>
      <c r="Q820" s="38"/>
      <c r="R820" s="38"/>
      <c r="S820" s="38"/>
      <c r="T820" s="38"/>
      <c r="U820" s="38"/>
      <c r="V820" s="38"/>
      <c r="W820" s="38"/>
      <c r="X820" s="38"/>
      <c r="Y820" s="38"/>
      <c r="Z820" s="38">
        <f t="shared" si="72"/>
        <v>767</v>
      </c>
      <c r="AA820" t="e">
        <f t="shared" si="70"/>
        <v>#DIV/0!</v>
      </c>
      <c r="AB820" s="1" t="e">
        <f t="shared" si="71"/>
        <v>#DIV/0!</v>
      </c>
    </row>
    <row r="821" spans="11:28" ht="33" customHeight="1">
      <c r="K821" s="38"/>
      <c r="L821" s="38"/>
      <c r="M821" s="38"/>
      <c r="N821" s="38"/>
      <c r="O821" s="38"/>
      <c r="P821" s="38"/>
      <c r="Q821" s="38"/>
      <c r="R821" s="38"/>
      <c r="S821" s="38"/>
      <c r="T821" s="38"/>
      <c r="U821" s="38"/>
      <c r="V821" s="38"/>
      <c r="W821" s="38"/>
      <c r="X821" s="38"/>
      <c r="Y821" s="38"/>
      <c r="Z821" s="38">
        <f t="shared" si="72"/>
        <v>768</v>
      </c>
      <c r="AA821" t="e">
        <f t="shared" si="70"/>
        <v>#DIV/0!</v>
      </c>
      <c r="AB821" s="1" t="e">
        <f t="shared" si="71"/>
        <v>#DIV/0!</v>
      </c>
    </row>
    <row r="822" spans="11:28" ht="33" customHeight="1">
      <c r="K822" s="38"/>
      <c r="L822" s="38"/>
      <c r="M822" s="38"/>
      <c r="N822" s="38"/>
      <c r="O822" s="38"/>
      <c r="P822" s="38"/>
      <c r="Q822" s="38"/>
      <c r="R822" s="38"/>
      <c r="S822" s="38"/>
      <c r="T822" s="38"/>
      <c r="U822" s="38"/>
      <c r="V822" s="38"/>
      <c r="W822" s="38"/>
      <c r="X822" s="38"/>
      <c r="Y822" s="38"/>
      <c r="Z822" s="38">
        <f t="shared" si="72"/>
        <v>769</v>
      </c>
      <c r="AA822" t="e">
        <f t="shared" si="70"/>
        <v>#DIV/0!</v>
      </c>
      <c r="AB822" s="1" t="e">
        <f t="shared" si="71"/>
        <v>#DIV/0!</v>
      </c>
    </row>
    <row r="823" spans="11:28" ht="33" customHeight="1">
      <c r="K823" s="38"/>
      <c r="L823" s="38"/>
      <c r="M823" s="38"/>
      <c r="N823" s="38"/>
      <c r="O823" s="38"/>
      <c r="P823" s="38"/>
      <c r="Q823" s="38"/>
      <c r="R823" s="38"/>
      <c r="S823" s="38"/>
      <c r="T823" s="38"/>
      <c r="U823" s="38"/>
      <c r="V823" s="38"/>
      <c r="W823" s="38"/>
      <c r="X823" s="38"/>
      <c r="Y823" s="38"/>
      <c r="Z823" s="38">
        <f t="shared" si="72"/>
        <v>770</v>
      </c>
      <c r="AA823" t="e">
        <f t="shared" si="70"/>
        <v>#DIV/0!</v>
      </c>
      <c r="AB823" s="1" t="e">
        <f t="shared" si="71"/>
        <v>#DIV/0!</v>
      </c>
    </row>
    <row r="824" spans="11:28" ht="33" customHeight="1">
      <c r="K824" s="38"/>
      <c r="L824" s="38"/>
      <c r="M824" s="38"/>
      <c r="N824" s="38"/>
      <c r="O824" s="38"/>
      <c r="P824" s="38"/>
      <c r="Q824" s="38"/>
      <c r="R824" s="38"/>
      <c r="S824" s="38"/>
      <c r="T824" s="38"/>
      <c r="U824" s="38"/>
      <c r="V824" s="38"/>
      <c r="W824" s="38"/>
      <c r="X824" s="38"/>
      <c r="Y824" s="38"/>
      <c r="Z824" s="38">
        <f t="shared" si="72"/>
        <v>771</v>
      </c>
      <c r="AA824" t="e">
        <f t="shared" si="70"/>
        <v>#DIV/0!</v>
      </c>
      <c r="AB824" s="1" t="e">
        <f t="shared" si="71"/>
        <v>#DIV/0!</v>
      </c>
    </row>
    <row r="825" spans="11:28" ht="33" customHeight="1">
      <c r="K825" s="38"/>
      <c r="L825" s="38"/>
      <c r="M825" s="38"/>
      <c r="N825" s="38"/>
      <c r="O825" s="38"/>
      <c r="P825" s="38"/>
      <c r="Q825" s="38"/>
      <c r="R825" s="38"/>
      <c r="S825" s="38"/>
      <c r="T825" s="38"/>
      <c r="U825" s="38"/>
      <c r="V825" s="38"/>
      <c r="W825" s="38"/>
      <c r="X825" s="38"/>
      <c r="Y825" s="38"/>
      <c r="Z825" s="38">
        <f t="shared" si="72"/>
        <v>772</v>
      </c>
      <c r="AA825" t="e">
        <f t="shared" si="70"/>
        <v>#DIV/0!</v>
      </c>
      <c r="AB825" s="1" t="e">
        <f t="shared" si="71"/>
        <v>#DIV/0!</v>
      </c>
    </row>
    <row r="826" spans="11:28" ht="33" customHeight="1">
      <c r="K826" s="38"/>
      <c r="L826" s="38"/>
      <c r="M826" s="38"/>
      <c r="N826" s="38"/>
      <c r="O826" s="38"/>
      <c r="P826" s="38"/>
      <c r="Q826" s="38"/>
      <c r="R826" s="38"/>
      <c r="S826" s="38"/>
      <c r="T826" s="38"/>
      <c r="U826" s="38"/>
      <c r="V826" s="38"/>
      <c r="W826" s="38"/>
      <c r="X826" s="38"/>
      <c r="Y826" s="38"/>
      <c r="Z826" s="38">
        <f t="shared" si="72"/>
        <v>773</v>
      </c>
      <c r="AA826" t="e">
        <f t="shared" si="70"/>
        <v>#DIV/0!</v>
      </c>
      <c r="AB826" s="1" t="e">
        <f t="shared" si="71"/>
        <v>#DIV/0!</v>
      </c>
    </row>
    <row r="827" spans="11:28" ht="33" customHeight="1">
      <c r="K827" s="38"/>
      <c r="L827" s="38"/>
      <c r="M827" s="38"/>
      <c r="N827" s="38"/>
      <c r="O827" s="38"/>
      <c r="P827" s="38"/>
      <c r="Q827" s="38"/>
      <c r="R827" s="38"/>
      <c r="S827" s="38"/>
      <c r="T827" s="38"/>
      <c r="U827" s="38"/>
      <c r="V827" s="38"/>
      <c r="W827" s="38"/>
      <c r="X827" s="38"/>
      <c r="Y827" s="38"/>
      <c r="Z827" s="38">
        <f t="shared" si="72"/>
        <v>774</v>
      </c>
      <c r="AA827" t="e">
        <f t="shared" si="70"/>
        <v>#DIV/0!</v>
      </c>
      <c r="AB827" s="1" t="e">
        <f t="shared" si="71"/>
        <v>#DIV/0!</v>
      </c>
    </row>
    <row r="828" spans="11:28" ht="33" customHeight="1">
      <c r="K828" s="38"/>
      <c r="L828" s="38"/>
      <c r="M828" s="38"/>
      <c r="N828" s="38"/>
      <c r="O828" s="38"/>
      <c r="P828" s="38"/>
      <c r="Q828" s="38"/>
      <c r="R828" s="38"/>
      <c r="S828" s="38"/>
      <c r="T828" s="38"/>
      <c r="U828" s="38"/>
      <c r="V828" s="38"/>
      <c r="W828" s="38"/>
      <c r="X828" s="38"/>
      <c r="Y828" s="38"/>
      <c r="Z828" s="38">
        <f t="shared" si="72"/>
        <v>775</v>
      </c>
      <c r="AA828" t="e">
        <f t="shared" si="70"/>
        <v>#DIV/0!</v>
      </c>
      <c r="AB828" s="1" t="e">
        <f t="shared" si="71"/>
        <v>#DIV/0!</v>
      </c>
    </row>
    <row r="829" spans="11:28" ht="33" customHeight="1">
      <c r="K829" s="38"/>
      <c r="L829" s="38"/>
      <c r="M829" s="38"/>
      <c r="N829" s="38"/>
      <c r="O829" s="38"/>
      <c r="P829" s="38"/>
      <c r="Q829" s="38"/>
      <c r="R829" s="38"/>
      <c r="S829" s="38"/>
      <c r="T829" s="38"/>
      <c r="U829" s="38"/>
      <c r="V829" s="38"/>
      <c r="W829" s="38"/>
      <c r="X829" s="38"/>
      <c r="Y829" s="38"/>
      <c r="Z829" s="38">
        <f t="shared" si="72"/>
        <v>776</v>
      </c>
      <c r="AA829" t="e">
        <f t="shared" si="70"/>
        <v>#DIV/0!</v>
      </c>
      <c r="AB829" s="1" t="e">
        <f t="shared" si="71"/>
        <v>#DIV/0!</v>
      </c>
    </row>
    <row r="830" spans="11:28" ht="33" customHeight="1">
      <c r="K830" s="38"/>
      <c r="L830" s="38"/>
      <c r="M830" s="38"/>
      <c r="N830" s="38"/>
      <c r="O830" s="38"/>
      <c r="P830" s="38"/>
      <c r="Q830" s="38"/>
      <c r="R830" s="38"/>
      <c r="S830" s="38"/>
      <c r="T830" s="38"/>
      <c r="U830" s="38"/>
      <c r="V830" s="38"/>
      <c r="W830" s="38"/>
      <c r="X830" s="38"/>
      <c r="Y830" s="38"/>
      <c r="Z830" s="38">
        <f t="shared" si="72"/>
        <v>777</v>
      </c>
      <c r="AA830" t="e">
        <f t="shared" si="70"/>
        <v>#DIV/0!</v>
      </c>
      <c r="AB830" s="1" t="e">
        <f t="shared" si="71"/>
        <v>#DIV/0!</v>
      </c>
    </row>
    <row r="831" spans="11:28" ht="33" customHeight="1">
      <c r="K831" s="38"/>
      <c r="L831" s="38"/>
      <c r="M831" s="38"/>
      <c r="N831" s="38"/>
      <c r="O831" s="38"/>
      <c r="P831" s="38"/>
      <c r="Q831" s="38"/>
      <c r="R831" s="38"/>
      <c r="S831" s="38"/>
      <c r="T831" s="38"/>
      <c r="U831" s="38"/>
      <c r="V831" s="38"/>
      <c r="W831" s="38"/>
      <c r="X831" s="38"/>
      <c r="Y831" s="38"/>
      <c r="Z831" s="38">
        <f t="shared" si="72"/>
        <v>778</v>
      </c>
      <c r="AA831" t="e">
        <f t="shared" si="70"/>
        <v>#DIV/0!</v>
      </c>
      <c r="AB831" s="1" t="e">
        <f t="shared" si="71"/>
        <v>#DIV/0!</v>
      </c>
    </row>
    <row r="832" spans="11:28" ht="33" customHeight="1">
      <c r="K832" s="38"/>
      <c r="L832" s="38"/>
      <c r="M832" s="38"/>
      <c r="N832" s="38"/>
      <c r="O832" s="38"/>
      <c r="P832" s="38"/>
      <c r="Q832" s="38"/>
      <c r="R832" s="38"/>
      <c r="S832" s="38"/>
      <c r="T832" s="38"/>
      <c r="U832" s="38"/>
      <c r="V832" s="38"/>
      <c r="W832" s="38"/>
      <c r="X832" s="38"/>
      <c r="Y832" s="38"/>
      <c r="Z832" s="38">
        <f t="shared" si="72"/>
        <v>779</v>
      </c>
      <c r="AA832" t="e">
        <f t="shared" si="70"/>
        <v>#DIV/0!</v>
      </c>
      <c r="AB832" s="1" t="e">
        <f t="shared" si="71"/>
        <v>#DIV/0!</v>
      </c>
    </row>
    <row r="833" spans="11:28" ht="33" customHeight="1">
      <c r="K833" s="38"/>
      <c r="L833" s="38"/>
      <c r="M833" s="38"/>
      <c r="N833" s="38"/>
      <c r="O833" s="38"/>
      <c r="P833" s="38"/>
      <c r="Q833" s="38"/>
      <c r="R833" s="38"/>
      <c r="S833" s="38"/>
      <c r="T833" s="38"/>
      <c r="U833" s="38"/>
      <c r="V833" s="38"/>
      <c r="W833" s="38"/>
      <c r="X833" s="38"/>
      <c r="Y833" s="38"/>
      <c r="Z833" s="38">
        <f t="shared" si="72"/>
        <v>780</v>
      </c>
      <c r="AA833" t="e">
        <f t="shared" si="70"/>
        <v>#DIV/0!</v>
      </c>
      <c r="AB833" s="1" t="e">
        <f t="shared" si="71"/>
        <v>#DIV/0!</v>
      </c>
    </row>
    <row r="834" spans="11:28" ht="33" customHeight="1">
      <c r="K834" s="38"/>
      <c r="L834" s="38"/>
      <c r="M834" s="38"/>
      <c r="N834" s="38"/>
      <c r="O834" s="38"/>
      <c r="P834" s="38"/>
      <c r="Q834" s="38"/>
      <c r="R834" s="38"/>
      <c r="S834" s="38"/>
      <c r="T834" s="38"/>
      <c r="U834" s="38"/>
      <c r="V834" s="38"/>
      <c r="W834" s="38"/>
      <c r="X834" s="38"/>
      <c r="Y834" s="38"/>
      <c r="Z834" s="38">
        <f t="shared" si="72"/>
        <v>781</v>
      </c>
      <c r="AA834" t="e">
        <f t="shared" si="70"/>
        <v>#DIV/0!</v>
      </c>
      <c r="AB834" s="1" t="e">
        <f t="shared" si="71"/>
        <v>#DIV/0!</v>
      </c>
    </row>
    <row r="835" spans="11:28" ht="33" customHeight="1">
      <c r="K835" s="38"/>
      <c r="L835" s="38"/>
      <c r="M835" s="38"/>
      <c r="N835" s="38"/>
      <c r="O835" s="38"/>
      <c r="P835" s="38"/>
      <c r="Q835" s="38"/>
      <c r="R835" s="38"/>
      <c r="S835" s="38"/>
      <c r="T835" s="38"/>
      <c r="U835" s="38"/>
      <c r="V835" s="38"/>
      <c r="W835" s="38"/>
      <c r="X835" s="38"/>
      <c r="Y835" s="38"/>
      <c r="Z835" s="38">
        <f t="shared" si="72"/>
        <v>782</v>
      </c>
      <c r="AA835" t="e">
        <f t="shared" si="70"/>
        <v>#DIV/0!</v>
      </c>
      <c r="AB835" s="1" t="e">
        <f t="shared" si="71"/>
        <v>#DIV/0!</v>
      </c>
    </row>
    <row r="836" spans="11:28" ht="33" customHeight="1">
      <c r="K836" s="38"/>
      <c r="L836" s="38"/>
      <c r="M836" s="38"/>
      <c r="N836" s="38"/>
      <c r="O836" s="38"/>
      <c r="P836" s="38"/>
      <c r="Q836" s="38"/>
      <c r="R836" s="38"/>
      <c r="S836" s="38"/>
      <c r="T836" s="38"/>
      <c r="U836" s="38"/>
      <c r="V836" s="38"/>
      <c r="W836" s="38"/>
      <c r="X836" s="38"/>
      <c r="Y836" s="38"/>
      <c r="Z836" s="38">
        <f t="shared" si="72"/>
        <v>783</v>
      </c>
      <c r="AA836" t="e">
        <f t="shared" si="70"/>
        <v>#DIV/0!</v>
      </c>
      <c r="AB836" s="1" t="e">
        <f t="shared" si="71"/>
        <v>#DIV/0!</v>
      </c>
    </row>
    <row r="837" spans="11:28" ht="33" customHeight="1">
      <c r="K837" s="38"/>
      <c r="L837" s="38"/>
      <c r="M837" s="38"/>
      <c r="N837" s="38"/>
      <c r="O837" s="38"/>
      <c r="P837" s="38"/>
      <c r="Q837" s="38"/>
      <c r="R837" s="38"/>
      <c r="S837" s="38"/>
      <c r="T837" s="38"/>
      <c r="U837" s="38"/>
      <c r="V837" s="38"/>
      <c r="W837" s="38"/>
      <c r="X837" s="38"/>
      <c r="Y837" s="38"/>
      <c r="Z837" s="38">
        <f t="shared" si="72"/>
        <v>784</v>
      </c>
      <c r="AA837" t="e">
        <f t="shared" si="70"/>
        <v>#DIV/0!</v>
      </c>
      <c r="AB837" s="1" t="e">
        <f t="shared" si="71"/>
        <v>#DIV/0!</v>
      </c>
    </row>
    <row r="838" spans="11:28" ht="33" customHeight="1">
      <c r="K838" s="38"/>
      <c r="L838" s="38"/>
      <c r="M838" s="38"/>
      <c r="N838" s="38"/>
      <c r="O838" s="38"/>
      <c r="P838" s="38"/>
      <c r="Q838" s="38"/>
      <c r="R838" s="38"/>
      <c r="S838" s="38"/>
      <c r="T838" s="38"/>
      <c r="U838" s="38"/>
      <c r="V838" s="38"/>
      <c r="W838" s="38"/>
      <c r="X838" s="38"/>
      <c r="Y838" s="38"/>
      <c r="Z838" s="38">
        <f t="shared" si="72"/>
        <v>785</v>
      </c>
      <c r="AA838" t="e">
        <f t="shared" si="70"/>
        <v>#DIV/0!</v>
      </c>
      <c r="AB838" s="1" t="e">
        <f t="shared" si="71"/>
        <v>#DIV/0!</v>
      </c>
    </row>
    <row r="839" spans="11:28" ht="33" customHeight="1">
      <c r="K839" s="38"/>
      <c r="L839" s="38"/>
      <c r="M839" s="38"/>
      <c r="N839" s="38"/>
      <c r="O839" s="38"/>
      <c r="P839" s="38"/>
      <c r="Q839" s="38"/>
      <c r="R839" s="38"/>
      <c r="S839" s="38"/>
      <c r="T839" s="38"/>
      <c r="U839" s="38"/>
      <c r="V839" s="38"/>
      <c r="W839" s="38"/>
      <c r="X839" s="38"/>
      <c r="Y839" s="38"/>
      <c r="Z839" s="38">
        <f t="shared" si="72"/>
        <v>786</v>
      </c>
      <c r="AA839" t="e">
        <f t="shared" si="70"/>
        <v>#DIV/0!</v>
      </c>
      <c r="AB839" s="1" t="e">
        <f t="shared" si="71"/>
        <v>#DIV/0!</v>
      </c>
    </row>
    <row r="840" spans="11:28" ht="33" customHeight="1">
      <c r="K840" s="38"/>
      <c r="L840" s="38"/>
      <c r="M840" s="38"/>
      <c r="N840" s="38"/>
      <c r="O840" s="38"/>
      <c r="P840" s="38"/>
      <c r="Q840" s="38"/>
      <c r="R840" s="38"/>
      <c r="S840" s="38"/>
      <c r="T840" s="38"/>
      <c r="U840" s="38"/>
      <c r="V840" s="38"/>
      <c r="W840" s="38"/>
      <c r="X840" s="38"/>
      <c r="Y840" s="38"/>
      <c r="Z840" s="38">
        <f t="shared" si="72"/>
        <v>787</v>
      </c>
      <c r="AA840" t="e">
        <f t="shared" si="70"/>
        <v>#DIV/0!</v>
      </c>
      <c r="AB840" s="1" t="e">
        <f t="shared" si="71"/>
        <v>#DIV/0!</v>
      </c>
    </row>
    <row r="841" spans="11:28" ht="33" customHeight="1">
      <c r="K841" s="38"/>
      <c r="L841" s="38"/>
      <c r="M841" s="38"/>
      <c r="N841" s="38"/>
      <c r="O841" s="38"/>
      <c r="P841" s="38"/>
      <c r="Q841" s="38"/>
      <c r="R841" s="38"/>
      <c r="S841" s="38"/>
      <c r="T841" s="38"/>
      <c r="U841" s="38"/>
      <c r="V841" s="38"/>
      <c r="W841" s="38"/>
      <c r="X841" s="38"/>
      <c r="Y841" s="38"/>
      <c r="Z841" s="38">
        <f t="shared" si="72"/>
        <v>788</v>
      </c>
      <c r="AA841" t="e">
        <f t="shared" si="70"/>
        <v>#DIV/0!</v>
      </c>
      <c r="AB841" s="1" t="e">
        <f t="shared" si="71"/>
        <v>#DIV/0!</v>
      </c>
    </row>
    <row r="842" spans="11:28" ht="33" customHeight="1">
      <c r="K842" s="38"/>
      <c r="L842" s="38"/>
      <c r="M842" s="38"/>
      <c r="N842" s="38"/>
      <c r="O842" s="38"/>
      <c r="P842" s="38"/>
      <c r="Q842" s="38"/>
      <c r="R842" s="38"/>
      <c r="S842" s="38"/>
      <c r="T842" s="38"/>
      <c r="U842" s="38"/>
      <c r="V842" s="38"/>
      <c r="W842" s="38"/>
      <c r="X842" s="38"/>
      <c r="Y842" s="38"/>
      <c r="Z842" s="38">
        <f t="shared" si="72"/>
        <v>789</v>
      </c>
      <c r="AA842" t="e">
        <f t="shared" si="70"/>
        <v>#DIV/0!</v>
      </c>
      <c r="AB842" s="1" t="e">
        <f t="shared" si="71"/>
        <v>#DIV/0!</v>
      </c>
    </row>
    <row r="843" spans="11:28" ht="33" customHeight="1">
      <c r="K843" s="38"/>
      <c r="L843" s="38"/>
      <c r="M843" s="38"/>
      <c r="N843" s="38"/>
      <c r="O843" s="38"/>
      <c r="P843" s="38"/>
      <c r="Q843" s="38"/>
      <c r="R843" s="38"/>
      <c r="S843" s="38"/>
      <c r="T843" s="38"/>
      <c r="U843" s="38"/>
      <c r="V843" s="38"/>
      <c r="W843" s="38"/>
      <c r="X843" s="38"/>
      <c r="Y843" s="38"/>
      <c r="Z843" s="38">
        <f t="shared" si="72"/>
        <v>790</v>
      </c>
      <c r="AA843" t="e">
        <f t="shared" ref="AA843:AA906" si="73">IF(AB843=Z843,1,0)</f>
        <v>#DIV/0!</v>
      </c>
      <c r="AB843" s="1" t="e">
        <f t="shared" ref="AB843:AB906" si="74">$AB$8</f>
        <v>#DIV/0!</v>
      </c>
    </row>
    <row r="844" spans="11:28" ht="33" customHeight="1">
      <c r="K844" s="38"/>
      <c r="L844" s="38"/>
      <c r="M844" s="38"/>
      <c r="N844" s="38"/>
      <c r="O844" s="38"/>
      <c r="P844" s="38"/>
      <c r="Q844" s="38"/>
      <c r="R844" s="38"/>
      <c r="S844" s="38"/>
      <c r="T844" s="38"/>
      <c r="U844" s="38"/>
      <c r="V844" s="38"/>
      <c r="W844" s="38"/>
      <c r="X844" s="38"/>
      <c r="Y844" s="38"/>
      <c r="Z844" s="38">
        <f t="shared" ref="Z844:Z907" si="75">Z843+1</f>
        <v>791</v>
      </c>
      <c r="AA844" t="e">
        <f t="shared" si="73"/>
        <v>#DIV/0!</v>
      </c>
      <c r="AB844" s="1" t="e">
        <f t="shared" si="74"/>
        <v>#DIV/0!</v>
      </c>
    </row>
    <row r="845" spans="11:28" ht="33" customHeight="1">
      <c r="K845" s="38"/>
      <c r="L845" s="38"/>
      <c r="M845" s="38"/>
      <c r="N845" s="38"/>
      <c r="O845" s="38"/>
      <c r="P845" s="38"/>
      <c r="Q845" s="38"/>
      <c r="R845" s="38"/>
      <c r="S845" s="38"/>
      <c r="T845" s="38"/>
      <c r="U845" s="38"/>
      <c r="V845" s="38"/>
      <c r="W845" s="38"/>
      <c r="X845" s="38"/>
      <c r="Y845" s="38"/>
      <c r="Z845" s="38">
        <f t="shared" si="75"/>
        <v>792</v>
      </c>
      <c r="AA845" t="e">
        <f t="shared" si="73"/>
        <v>#DIV/0!</v>
      </c>
      <c r="AB845" s="1" t="e">
        <f t="shared" si="74"/>
        <v>#DIV/0!</v>
      </c>
    </row>
    <row r="846" spans="11:28" ht="33" customHeight="1">
      <c r="K846" s="38"/>
      <c r="L846" s="38"/>
      <c r="M846" s="38"/>
      <c r="N846" s="38"/>
      <c r="O846" s="38"/>
      <c r="P846" s="38"/>
      <c r="Q846" s="38"/>
      <c r="R846" s="38"/>
      <c r="S846" s="38"/>
      <c r="T846" s="38"/>
      <c r="U846" s="38"/>
      <c r="V846" s="38"/>
      <c r="W846" s="38"/>
      <c r="X846" s="38"/>
      <c r="Y846" s="38"/>
      <c r="Z846" s="38">
        <f t="shared" si="75"/>
        <v>793</v>
      </c>
      <c r="AA846" t="e">
        <f t="shared" si="73"/>
        <v>#DIV/0!</v>
      </c>
      <c r="AB846" s="1" t="e">
        <f t="shared" si="74"/>
        <v>#DIV/0!</v>
      </c>
    </row>
    <row r="847" spans="11:28" ht="33" customHeight="1">
      <c r="K847" s="38"/>
      <c r="L847" s="38"/>
      <c r="M847" s="38"/>
      <c r="N847" s="38"/>
      <c r="O847" s="38"/>
      <c r="P847" s="38"/>
      <c r="Q847" s="38"/>
      <c r="R847" s="38"/>
      <c r="S847" s="38"/>
      <c r="T847" s="38"/>
      <c r="U847" s="38"/>
      <c r="V847" s="38"/>
      <c r="W847" s="38"/>
      <c r="X847" s="38"/>
      <c r="Y847" s="38"/>
      <c r="Z847" s="38">
        <f t="shared" si="75"/>
        <v>794</v>
      </c>
      <c r="AA847" t="e">
        <f t="shared" si="73"/>
        <v>#DIV/0!</v>
      </c>
      <c r="AB847" s="1" t="e">
        <f t="shared" si="74"/>
        <v>#DIV/0!</v>
      </c>
    </row>
    <row r="848" spans="11:28" ht="33" customHeight="1">
      <c r="K848" s="38"/>
      <c r="L848" s="38"/>
      <c r="M848" s="38"/>
      <c r="N848" s="38"/>
      <c r="O848" s="38"/>
      <c r="P848" s="38"/>
      <c r="Q848" s="38"/>
      <c r="R848" s="38"/>
      <c r="S848" s="38"/>
      <c r="T848" s="38"/>
      <c r="U848" s="38"/>
      <c r="V848" s="38"/>
      <c r="W848" s="38"/>
      <c r="X848" s="38"/>
      <c r="Y848" s="38"/>
      <c r="Z848" s="38">
        <f t="shared" si="75"/>
        <v>795</v>
      </c>
      <c r="AA848" t="e">
        <f t="shared" si="73"/>
        <v>#DIV/0!</v>
      </c>
      <c r="AB848" s="1" t="e">
        <f t="shared" si="74"/>
        <v>#DIV/0!</v>
      </c>
    </row>
    <row r="849" spans="11:28" ht="33" customHeight="1">
      <c r="K849" s="38"/>
      <c r="L849" s="38"/>
      <c r="M849" s="38"/>
      <c r="N849" s="38"/>
      <c r="O849" s="38"/>
      <c r="P849" s="38"/>
      <c r="Q849" s="38"/>
      <c r="R849" s="38"/>
      <c r="S849" s="38"/>
      <c r="T849" s="38"/>
      <c r="U849" s="38"/>
      <c r="V849" s="38"/>
      <c r="W849" s="38"/>
      <c r="X849" s="38"/>
      <c r="Y849" s="38"/>
      <c r="Z849" s="38">
        <f t="shared" si="75"/>
        <v>796</v>
      </c>
      <c r="AA849" t="e">
        <f t="shared" si="73"/>
        <v>#DIV/0!</v>
      </c>
      <c r="AB849" s="1" t="e">
        <f t="shared" si="74"/>
        <v>#DIV/0!</v>
      </c>
    </row>
    <row r="850" spans="11:28" ht="33" customHeight="1">
      <c r="K850" s="38"/>
      <c r="L850" s="38"/>
      <c r="M850" s="38"/>
      <c r="N850" s="38"/>
      <c r="O850" s="38"/>
      <c r="P850" s="38"/>
      <c r="Q850" s="38"/>
      <c r="R850" s="38"/>
      <c r="S850" s="38"/>
      <c r="T850" s="38"/>
      <c r="U850" s="38"/>
      <c r="V850" s="38"/>
      <c r="W850" s="38"/>
      <c r="X850" s="38"/>
      <c r="Y850" s="38"/>
      <c r="Z850" s="38">
        <f t="shared" si="75"/>
        <v>797</v>
      </c>
      <c r="AA850" t="e">
        <f t="shared" si="73"/>
        <v>#DIV/0!</v>
      </c>
      <c r="AB850" s="1" t="e">
        <f t="shared" si="74"/>
        <v>#DIV/0!</v>
      </c>
    </row>
    <row r="851" spans="11:28" ht="33" customHeight="1">
      <c r="K851" s="38"/>
      <c r="L851" s="38"/>
      <c r="M851" s="38"/>
      <c r="N851" s="38"/>
      <c r="O851" s="38"/>
      <c r="P851" s="38"/>
      <c r="Q851" s="38"/>
      <c r="R851" s="38"/>
      <c r="S851" s="38"/>
      <c r="T851" s="38"/>
      <c r="U851" s="38"/>
      <c r="V851" s="38"/>
      <c r="W851" s="38"/>
      <c r="X851" s="38"/>
      <c r="Y851" s="38"/>
      <c r="Z851" s="38">
        <f t="shared" si="75"/>
        <v>798</v>
      </c>
      <c r="AA851" t="e">
        <f t="shared" si="73"/>
        <v>#DIV/0!</v>
      </c>
      <c r="AB851" s="1" t="e">
        <f t="shared" si="74"/>
        <v>#DIV/0!</v>
      </c>
    </row>
    <row r="852" spans="11:28" ht="33" customHeight="1">
      <c r="K852" s="38"/>
      <c r="L852" s="38"/>
      <c r="M852" s="38"/>
      <c r="N852" s="38"/>
      <c r="O852" s="38"/>
      <c r="P852" s="38"/>
      <c r="Q852" s="38"/>
      <c r="R852" s="38"/>
      <c r="S852" s="38"/>
      <c r="T852" s="38"/>
      <c r="U852" s="38"/>
      <c r="V852" s="38"/>
      <c r="W852" s="38"/>
      <c r="X852" s="38"/>
      <c r="Y852" s="38"/>
      <c r="Z852" s="38">
        <f t="shared" si="75"/>
        <v>799</v>
      </c>
      <c r="AA852" t="e">
        <f t="shared" si="73"/>
        <v>#DIV/0!</v>
      </c>
      <c r="AB852" s="1" t="e">
        <f t="shared" si="74"/>
        <v>#DIV/0!</v>
      </c>
    </row>
    <row r="853" spans="11:28" ht="33" customHeight="1">
      <c r="K853" s="38"/>
      <c r="L853" s="38"/>
      <c r="M853" s="38"/>
      <c r="N853" s="38"/>
      <c r="O853" s="38"/>
      <c r="P853" s="38"/>
      <c r="Q853" s="38"/>
      <c r="R853" s="38"/>
      <c r="S853" s="38"/>
      <c r="T853" s="38"/>
      <c r="U853" s="38"/>
      <c r="V853" s="38"/>
      <c r="W853" s="38"/>
      <c r="X853" s="38"/>
      <c r="Y853" s="38"/>
      <c r="Z853" s="38">
        <f t="shared" si="75"/>
        <v>800</v>
      </c>
      <c r="AA853" t="e">
        <f t="shared" si="73"/>
        <v>#DIV/0!</v>
      </c>
      <c r="AB853" s="1" t="e">
        <f t="shared" si="74"/>
        <v>#DIV/0!</v>
      </c>
    </row>
    <row r="854" spans="11:28" ht="33" customHeight="1">
      <c r="K854" s="38"/>
      <c r="L854" s="38"/>
      <c r="M854" s="38"/>
      <c r="N854" s="38"/>
      <c r="O854" s="38"/>
      <c r="P854" s="38"/>
      <c r="Q854" s="38"/>
      <c r="R854" s="38"/>
      <c r="S854" s="38"/>
      <c r="T854" s="38"/>
      <c r="U854" s="38"/>
      <c r="V854" s="38"/>
      <c r="W854" s="38"/>
      <c r="X854" s="38"/>
      <c r="Y854" s="38"/>
      <c r="Z854" s="38">
        <f t="shared" si="75"/>
        <v>801</v>
      </c>
      <c r="AA854" t="e">
        <f t="shared" si="73"/>
        <v>#DIV/0!</v>
      </c>
      <c r="AB854" s="1" t="e">
        <f t="shared" si="74"/>
        <v>#DIV/0!</v>
      </c>
    </row>
    <row r="855" spans="11:28" ht="33" customHeight="1">
      <c r="K855" s="38"/>
      <c r="L855" s="38"/>
      <c r="M855" s="38"/>
      <c r="N855" s="38"/>
      <c r="O855" s="38"/>
      <c r="P855" s="38"/>
      <c r="Q855" s="38"/>
      <c r="R855" s="38"/>
      <c r="S855" s="38"/>
      <c r="T855" s="38"/>
      <c r="U855" s="38"/>
      <c r="V855" s="38"/>
      <c r="W855" s="38"/>
      <c r="X855" s="38"/>
      <c r="Y855" s="38"/>
      <c r="Z855" s="38">
        <f t="shared" si="75"/>
        <v>802</v>
      </c>
      <c r="AA855" t="e">
        <f t="shared" si="73"/>
        <v>#DIV/0!</v>
      </c>
      <c r="AB855" s="1" t="e">
        <f t="shared" si="74"/>
        <v>#DIV/0!</v>
      </c>
    </row>
    <row r="856" spans="11:28" ht="33" customHeight="1">
      <c r="K856" s="38"/>
      <c r="L856" s="38"/>
      <c r="M856" s="38"/>
      <c r="N856" s="38"/>
      <c r="O856" s="38"/>
      <c r="P856" s="38"/>
      <c r="Q856" s="38"/>
      <c r="R856" s="38"/>
      <c r="S856" s="38"/>
      <c r="T856" s="38"/>
      <c r="U856" s="38"/>
      <c r="V856" s="38"/>
      <c r="W856" s="38"/>
      <c r="X856" s="38"/>
      <c r="Y856" s="38"/>
      <c r="Z856" s="38">
        <f t="shared" si="75"/>
        <v>803</v>
      </c>
      <c r="AA856" t="e">
        <f t="shared" si="73"/>
        <v>#DIV/0!</v>
      </c>
      <c r="AB856" s="1" t="e">
        <f t="shared" si="74"/>
        <v>#DIV/0!</v>
      </c>
    </row>
    <row r="857" spans="11:28" ht="33" customHeight="1">
      <c r="K857" s="38"/>
      <c r="L857" s="38"/>
      <c r="M857" s="38"/>
      <c r="N857" s="38"/>
      <c r="O857" s="38"/>
      <c r="P857" s="38"/>
      <c r="Q857" s="38"/>
      <c r="R857" s="38"/>
      <c r="S857" s="38"/>
      <c r="T857" s="38"/>
      <c r="U857" s="38"/>
      <c r="V857" s="38"/>
      <c r="W857" s="38"/>
      <c r="X857" s="38"/>
      <c r="Y857" s="38"/>
      <c r="Z857" s="38">
        <f t="shared" si="75"/>
        <v>804</v>
      </c>
      <c r="AA857" t="e">
        <f t="shared" si="73"/>
        <v>#DIV/0!</v>
      </c>
      <c r="AB857" s="1" t="e">
        <f t="shared" si="74"/>
        <v>#DIV/0!</v>
      </c>
    </row>
    <row r="858" spans="11:28" ht="33" customHeight="1">
      <c r="K858" s="38"/>
      <c r="L858" s="38"/>
      <c r="M858" s="38"/>
      <c r="N858" s="38"/>
      <c r="O858" s="38"/>
      <c r="P858" s="38"/>
      <c r="Q858" s="38"/>
      <c r="R858" s="38"/>
      <c r="S858" s="38"/>
      <c r="T858" s="38"/>
      <c r="U858" s="38"/>
      <c r="V858" s="38"/>
      <c r="W858" s="38"/>
      <c r="X858" s="38"/>
      <c r="Y858" s="38"/>
      <c r="Z858" s="38">
        <f t="shared" si="75"/>
        <v>805</v>
      </c>
      <c r="AA858" t="e">
        <f t="shared" si="73"/>
        <v>#DIV/0!</v>
      </c>
      <c r="AB858" s="1" t="e">
        <f t="shared" si="74"/>
        <v>#DIV/0!</v>
      </c>
    </row>
    <row r="859" spans="11:28" ht="33" customHeight="1">
      <c r="K859" s="38"/>
      <c r="L859" s="38"/>
      <c r="M859" s="38"/>
      <c r="N859" s="38"/>
      <c r="O859" s="38"/>
      <c r="P859" s="38"/>
      <c r="Q859" s="38"/>
      <c r="R859" s="38"/>
      <c r="S859" s="38"/>
      <c r="T859" s="38"/>
      <c r="U859" s="38"/>
      <c r="V859" s="38"/>
      <c r="W859" s="38"/>
      <c r="X859" s="38"/>
      <c r="Y859" s="38"/>
      <c r="Z859" s="38">
        <f t="shared" si="75"/>
        <v>806</v>
      </c>
      <c r="AA859" t="e">
        <f t="shared" si="73"/>
        <v>#DIV/0!</v>
      </c>
      <c r="AB859" s="1" t="e">
        <f t="shared" si="74"/>
        <v>#DIV/0!</v>
      </c>
    </row>
    <row r="860" spans="11:28" ht="33" customHeight="1">
      <c r="K860" s="38"/>
      <c r="L860" s="38"/>
      <c r="M860" s="38"/>
      <c r="N860" s="38"/>
      <c r="O860" s="38"/>
      <c r="P860" s="38"/>
      <c r="Q860" s="38"/>
      <c r="R860" s="38"/>
      <c r="S860" s="38"/>
      <c r="T860" s="38"/>
      <c r="U860" s="38"/>
      <c r="V860" s="38"/>
      <c r="W860" s="38"/>
      <c r="X860" s="38"/>
      <c r="Y860" s="38"/>
      <c r="Z860" s="38">
        <f t="shared" si="75"/>
        <v>807</v>
      </c>
      <c r="AA860" t="e">
        <f t="shared" si="73"/>
        <v>#DIV/0!</v>
      </c>
      <c r="AB860" s="1" t="e">
        <f t="shared" si="74"/>
        <v>#DIV/0!</v>
      </c>
    </row>
    <row r="861" spans="11:28" ht="33" customHeight="1">
      <c r="K861" s="38"/>
      <c r="L861" s="38"/>
      <c r="M861" s="38"/>
      <c r="N861" s="38"/>
      <c r="O861" s="38"/>
      <c r="P861" s="38"/>
      <c r="Q861" s="38"/>
      <c r="R861" s="38"/>
      <c r="S861" s="38"/>
      <c r="T861" s="38"/>
      <c r="U861" s="38"/>
      <c r="V861" s="38"/>
      <c r="W861" s="38"/>
      <c r="X861" s="38"/>
      <c r="Y861" s="38"/>
      <c r="Z861" s="38">
        <f t="shared" si="75"/>
        <v>808</v>
      </c>
      <c r="AA861" t="e">
        <f t="shared" si="73"/>
        <v>#DIV/0!</v>
      </c>
      <c r="AB861" s="1" t="e">
        <f t="shared" si="74"/>
        <v>#DIV/0!</v>
      </c>
    </row>
    <row r="862" spans="11:28" ht="33" customHeight="1">
      <c r="K862" s="38"/>
      <c r="L862" s="38"/>
      <c r="M862" s="38"/>
      <c r="N862" s="38"/>
      <c r="O862" s="38"/>
      <c r="P862" s="38"/>
      <c r="Q862" s="38"/>
      <c r="R862" s="38"/>
      <c r="S862" s="38"/>
      <c r="T862" s="38"/>
      <c r="U862" s="38"/>
      <c r="V862" s="38"/>
      <c r="W862" s="38"/>
      <c r="X862" s="38"/>
      <c r="Y862" s="38"/>
      <c r="Z862" s="38">
        <f t="shared" si="75"/>
        <v>809</v>
      </c>
      <c r="AA862" t="e">
        <f t="shared" si="73"/>
        <v>#DIV/0!</v>
      </c>
      <c r="AB862" s="1" t="e">
        <f t="shared" si="74"/>
        <v>#DIV/0!</v>
      </c>
    </row>
    <row r="863" spans="11:28" ht="33" customHeight="1">
      <c r="K863" s="38"/>
      <c r="L863" s="38"/>
      <c r="M863" s="38"/>
      <c r="N863" s="38"/>
      <c r="O863" s="38"/>
      <c r="P863" s="38"/>
      <c r="Q863" s="38"/>
      <c r="R863" s="38"/>
      <c r="S863" s="38"/>
      <c r="T863" s="38"/>
      <c r="U863" s="38"/>
      <c r="V863" s="38"/>
      <c r="W863" s="38"/>
      <c r="X863" s="38"/>
      <c r="Y863" s="38"/>
      <c r="Z863" s="38">
        <f t="shared" si="75"/>
        <v>810</v>
      </c>
      <c r="AA863" t="e">
        <f t="shared" si="73"/>
        <v>#DIV/0!</v>
      </c>
      <c r="AB863" s="1" t="e">
        <f t="shared" si="74"/>
        <v>#DIV/0!</v>
      </c>
    </row>
    <row r="864" spans="11:28" ht="33" customHeight="1">
      <c r="K864" s="38"/>
      <c r="L864" s="38"/>
      <c r="M864" s="38"/>
      <c r="N864" s="38"/>
      <c r="O864" s="38"/>
      <c r="P864" s="38"/>
      <c r="Q864" s="38"/>
      <c r="R864" s="38"/>
      <c r="S864" s="38"/>
      <c r="T864" s="38"/>
      <c r="U864" s="38"/>
      <c r="V864" s="38"/>
      <c r="W864" s="38"/>
      <c r="X864" s="38"/>
      <c r="Y864" s="38"/>
      <c r="Z864" s="38">
        <f t="shared" si="75"/>
        <v>811</v>
      </c>
      <c r="AA864" t="e">
        <f t="shared" si="73"/>
        <v>#DIV/0!</v>
      </c>
      <c r="AB864" s="1" t="e">
        <f t="shared" si="74"/>
        <v>#DIV/0!</v>
      </c>
    </row>
    <row r="865" spans="11:28" ht="33" customHeight="1">
      <c r="K865" s="38"/>
      <c r="L865" s="38"/>
      <c r="M865" s="38"/>
      <c r="N865" s="38"/>
      <c r="O865" s="38"/>
      <c r="P865" s="38"/>
      <c r="Q865" s="38"/>
      <c r="R865" s="38"/>
      <c r="S865" s="38"/>
      <c r="T865" s="38"/>
      <c r="U865" s="38"/>
      <c r="V865" s="38"/>
      <c r="W865" s="38"/>
      <c r="X865" s="38"/>
      <c r="Y865" s="38"/>
      <c r="Z865" s="38">
        <f t="shared" si="75"/>
        <v>812</v>
      </c>
      <c r="AA865" t="e">
        <f t="shared" si="73"/>
        <v>#DIV/0!</v>
      </c>
      <c r="AB865" s="1" t="e">
        <f t="shared" si="74"/>
        <v>#DIV/0!</v>
      </c>
    </row>
    <row r="866" spans="11:28" ht="33" customHeight="1">
      <c r="K866" s="38"/>
      <c r="L866" s="38"/>
      <c r="M866" s="38"/>
      <c r="N866" s="38"/>
      <c r="O866" s="38"/>
      <c r="P866" s="38"/>
      <c r="Q866" s="38"/>
      <c r="R866" s="38"/>
      <c r="S866" s="38"/>
      <c r="T866" s="38"/>
      <c r="U866" s="38"/>
      <c r="V866" s="38"/>
      <c r="W866" s="38"/>
      <c r="X866" s="38"/>
      <c r="Y866" s="38"/>
      <c r="Z866" s="38">
        <f t="shared" si="75"/>
        <v>813</v>
      </c>
      <c r="AA866" t="e">
        <f t="shared" si="73"/>
        <v>#DIV/0!</v>
      </c>
      <c r="AB866" s="1" t="e">
        <f t="shared" si="74"/>
        <v>#DIV/0!</v>
      </c>
    </row>
    <row r="867" spans="11:28" ht="33" customHeight="1">
      <c r="K867" s="38"/>
      <c r="L867" s="38"/>
      <c r="M867" s="38"/>
      <c r="N867" s="38"/>
      <c r="O867" s="38"/>
      <c r="P867" s="38"/>
      <c r="Q867" s="38"/>
      <c r="R867" s="38"/>
      <c r="S867" s="38"/>
      <c r="T867" s="38"/>
      <c r="U867" s="38"/>
      <c r="V867" s="38"/>
      <c r="W867" s="38"/>
      <c r="X867" s="38"/>
      <c r="Y867" s="38"/>
      <c r="Z867" s="38">
        <f t="shared" si="75"/>
        <v>814</v>
      </c>
      <c r="AA867" t="e">
        <f t="shared" si="73"/>
        <v>#DIV/0!</v>
      </c>
      <c r="AB867" s="1" t="e">
        <f t="shared" si="74"/>
        <v>#DIV/0!</v>
      </c>
    </row>
    <row r="868" spans="11:28" ht="33" customHeight="1">
      <c r="K868" s="38"/>
      <c r="L868" s="38"/>
      <c r="M868" s="38"/>
      <c r="N868" s="38"/>
      <c r="O868" s="38"/>
      <c r="P868" s="38"/>
      <c r="Q868" s="38"/>
      <c r="R868" s="38"/>
      <c r="S868" s="38"/>
      <c r="T868" s="38"/>
      <c r="U868" s="38"/>
      <c r="V868" s="38"/>
      <c r="W868" s="38"/>
      <c r="X868" s="38"/>
      <c r="Y868" s="38"/>
      <c r="Z868" s="38">
        <f t="shared" si="75"/>
        <v>815</v>
      </c>
      <c r="AA868" t="e">
        <f t="shared" si="73"/>
        <v>#DIV/0!</v>
      </c>
      <c r="AB868" s="1" t="e">
        <f t="shared" si="74"/>
        <v>#DIV/0!</v>
      </c>
    </row>
    <row r="869" spans="11:28" ht="33" customHeight="1">
      <c r="K869" s="38"/>
      <c r="L869" s="38"/>
      <c r="M869" s="38"/>
      <c r="N869" s="38"/>
      <c r="O869" s="38"/>
      <c r="P869" s="38"/>
      <c r="Q869" s="38"/>
      <c r="R869" s="38"/>
      <c r="S869" s="38"/>
      <c r="T869" s="38"/>
      <c r="U869" s="38"/>
      <c r="V869" s="38"/>
      <c r="W869" s="38"/>
      <c r="X869" s="38"/>
      <c r="Y869" s="38"/>
      <c r="Z869" s="38">
        <f t="shared" si="75"/>
        <v>816</v>
      </c>
      <c r="AA869" t="e">
        <f t="shared" si="73"/>
        <v>#DIV/0!</v>
      </c>
      <c r="AB869" s="1" t="e">
        <f t="shared" si="74"/>
        <v>#DIV/0!</v>
      </c>
    </row>
    <row r="870" spans="11:28" ht="33" customHeight="1">
      <c r="K870" s="38"/>
      <c r="L870" s="38"/>
      <c r="M870" s="38"/>
      <c r="N870" s="38"/>
      <c r="O870" s="38"/>
      <c r="P870" s="38"/>
      <c r="Q870" s="38"/>
      <c r="R870" s="38"/>
      <c r="S870" s="38"/>
      <c r="T870" s="38"/>
      <c r="U870" s="38"/>
      <c r="V870" s="38"/>
      <c r="W870" s="38"/>
      <c r="X870" s="38"/>
      <c r="Y870" s="38"/>
      <c r="Z870" s="38">
        <f t="shared" si="75"/>
        <v>817</v>
      </c>
      <c r="AA870" t="e">
        <f t="shared" si="73"/>
        <v>#DIV/0!</v>
      </c>
      <c r="AB870" s="1" t="e">
        <f t="shared" si="74"/>
        <v>#DIV/0!</v>
      </c>
    </row>
    <row r="871" spans="11:28" ht="33" customHeight="1">
      <c r="K871" s="38"/>
      <c r="L871" s="38"/>
      <c r="M871" s="38"/>
      <c r="N871" s="38"/>
      <c r="O871" s="38"/>
      <c r="P871" s="38"/>
      <c r="Q871" s="38"/>
      <c r="R871" s="38"/>
      <c r="S871" s="38"/>
      <c r="T871" s="38"/>
      <c r="U871" s="38"/>
      <c r="V871" s="38"/>
      <c r="W871" s="38"/>
      <c r="X871" s="38"/>
      <c r="Y871" s="38"/>
      <c r="Z871" s="38">
        <f t="shared" si="75"/>
        <v>818</v>
      </c>
      <c r="AA871" t="e">
        <f t="shared" si="73"/>
        <v>#DIV/0!</v>
      </c>
      <c r="AB871" s="1" t="e">
        <f t="shared" si="74"/>
        <v>#DIV/0!</v>
      </c>
    </row>
    <row r="872" spans="11:28" ht="33" customHeight="1">
      <c r="K872" s="38"/>
      <c r="L872" s="38"/>
      <c r="M872" s="38"/>
      <c r="N872" s="38"/>
      <c r="O872" s="38"/>
      <c r="P872" s="38"/>
      <c r="Q872" s="38"/>
      <c r="R872" s="38"/>
      <c r="S872" s="38"/>
      <c r="T872" s="38"/>
      <c r="U872" s="38"/>
      <c r="V872" s="38"/>
      <c r="W872" s="38"/>
      <c r="X872" s="38"/>
      <c r="Y872" s="38"/>
      <c r="Z872" s="38">
        <f t="shared" si="75"/>
        <v>819</v>
      </c>
      <c r="AA872" t="e">
        <f t="shared" si="73"/>
        <v>#DIV/0!</v>
      </c>
      <c r="AB872" s="1" t="e">
        <f t="shared" si="74"/>
        <v>#DIV/0!</v>
      </c>
    </row>
    <row r="873" spans="11:28" ht="33" customHeight="1">
      <c r="K873" s="38"/>
      <c r="L873" s="38"/>
      <c r="M873" s="38"/>
      <c r="N873" s="38"/>
      <c r="O873" s="38"/>
      <c r="P873" s="38"/>
      <c r="Q873" s="38"/>
      <c r="R873" s="38"/>
      <c r="S873" s="38"/>
      <c r="T873" s="38"/>
      <c r="U873" s="38"/>
      <c r="V873" s="38"/>
      <c r="W873" s="38"/>
      <c r="X873" s="38"/>
      <c r="Y873" s="38"/>
      <c r="Z873" s="38">
        <f t="shared" si="75"/>
        <v>820</v>
      </c>
      <c r="AA873" t="e">
        <f t="shared" si="73"/>
        <v>#DIV/0!</v>
      </c>
      <c r="AB873" s="1" t="e">
        <f t="shared" si="74"/>
        <v>#DIV/0!</v>
      </c>
    </row>
    <row r="874" spans="11:28" ht="33" customHeight="1">
      <c r="K874" s="38"/>
      <c r="L874" s="38"/>
      <c r="M874" s="38"/>
      <c r="N874" s="38"/>
      <c r="O874" s="38"/>
      <c r="P874" s="38"/>
      <c r="Q874" s="38"/>
      <c r="R874" s="38"/>
      <c r="S874" s="38"/>
      <c r="T874" s="38"/>
      <c r="U874" s="38"/>
      <c r="V874" s="38"/>
      <c r="W874" s="38"/>
      <c r="X874" s="38"/>
      <c r="Y874" s="38"/>
      <c r="Z874" s="38">
        <f t="shared" si="75"/>
        <v>821</v>
      </c>
      <c r="AA874" t="e">
        <f t="shared" si="73"/>
        <v>#DIV/0!</v>
      </c>
      <c r="AB874" s="1" t="e">
        <f t="shared" si="74"/>
        <v>#DIV/0!</v>
      </c>
    </row>
    <row r="875" spans="11:28" ht="33" customHeight="1">
      <c r="K875" s="38"/>
      <c r="L875" s="38"/>
      <c r="M875" s="38"/>
      <c r="N875" s="38"/>
      <c r="O875" s="38"/>
      <c r="P875" s="38"/>
      <c r="Q875" s="38"/>
      <c r="R875" s="38"/>
      <c r="S875" s="38"/>
      <c r="T875" s="38"/>
      <c r="U875" s="38"/>
      <c r="V875" s="38"/>
      <c r="W875" s="38"/>
      <c r="X875" s="38"/>
      <c r="Y875" s="38"/>
      <c r="Z875" s="38">
        <f t="shared" si="75"/>
        <v>822</v>
      </c>
      <c r="AA875" t="e">
        <f t="shared" si="73"/>
        <v>#DIV/0!</v>
      </c>
      <c r="AB875" s="1" t="e">
        <f t="shared" si="74"/>
        <v>#DIV/0!</v>
      </c>
    </row>
    <row r="876" spans="11:28" ht="33" customHeight="1">
      <c r="K876" s="38"/>
      <c r="L876" s="38"/>
      <c r="M876" s="38"/>
      <c r="N876" s="38"/>
      <c r="O876" s="38"/>
      <c r="P876" s="38"/>
      <c r="Q876" s="38"/>
      <c r="R876" s="38"/>
      <c r="S876" s="38"/>
      <c r="T876" s="38"/>
      <c r="U876" s="38"/>
      <c r="V876" s="38"/>
      <c r="W876" s="38"/>
      <c r="X876" s="38"/>
      <c r="Y876" s="38"/>
      <c r="Z876" s="38">
        <f t="shared" si="75"/>
        <v>823</v>
      </c>
      <c r="AA876" t="e">
        <f t="shared" si="73"/>
        <v>#DIV/0!</v>
      </c>
      <c r="AB876" s="1" t="e">
        <f t="shared" si="74"/>
        <v>#DIV/0!</v>
      </c>
    </row>
    <row r="877" spans="11:28" ht="33" customHeight="1">
      <c r="K877" s="38"/>
      <c r="L877" s="38"/>
      <c r="M877" s="38"/>
      <c r="N877" s="38"/>
      <c r="O877" s="38"/>
      <c r="P877" s="38"/>
      <c r="Q877" s="38"/>
      <c r="R877" s="38"/>
      <c r="S877" s="38"/>
      <c r="T877" s="38"/>
      <c r="U877" s="38"/>
      <c r="V877" s="38"/>
      <c r="W877" s="38"/>
      <c r="X877" s="38"/>
      <c r="Y877" s="38"/>
      <c r="Z877" s="38">
        <f t="shared" si="75"/>
        <v>824</v>
      </c>
      <c r="AA877" t="e">
        <f t="shared" si="73"/>
        <v>#DIV/0!</v>
      </c>
      <c r="AB877" s="1" t="e">
        <f t="shared" si="74"/>
        <v>#DIV/0!</v>
      </c>
    </row>
    <row r="878" spans="11:28" ht="33" customHeight="1">
      <c r="K878" s="38"/>
      <c r="L878" s="38"/>
      <c r="M878" s="38"/>
      <c r="N878" s="38"/>
      <c r="O878" s="38"/>
      <c r="P878" s="38"/>
      <c r="Q878" s="38"/>
      <c r="R878" s="38"/>
      <c r="S878" s="38"/>
      <c r="T878" s="38"/>
      <c r="U878" s="38"/>
      <c r="V878" s="38"/>
      <c r="W878" s="38"/>
      <c r="X878" s="38"/>
      <c r="Y878" s="38"/>
      <c r="Z878" s="38">
        <f t="shared" si="75"/>
        <v>825</v>
      </c>
      <c r="AA878" t="e">
        <f t="shared" si="73"/>
        <v>#DIV/0!</v>
      </c>
      <c r="AB878" s="1" t="e">
        <f t="shared" si="74"/>
        <v>#DIV/0!</v>
      </c>
    </row>
    <row r="879" spans="11:28" ht="33" customHeight="1">
      <c r="K879" s="38"/>
      <c r="L879" s="38"/>
      <c r="M879" s="38"/>
      <c r="N879" s="38"/>
      <c r="O879" s="38"/>
      <c r="P879" s="38"/>
      <c r="Q879" s="38"/>
      <c r="R879" s="38"/>
      <c r="S879" s="38"/>
      <c r="T879" s="38"/>
      <c r="U879" s="38"/>
      <c r="V879" s="38"/>
      <c r="W879" s="38"/>
      <c r="X879" s="38"/>
      <c r="Y879" s="38"/>
      <c r="Z879" s="38">
        <f t="shared" si="75"/>
        <v>826</v>
      </c>
      <c r="AA879" t="e">
        <f t="shared" si="73"/>
        <v>#DIV/0!</v>
      </c>
      <c r="AB879" s="1" t="e">
        <f t="shared" si="74"/>
        <v>#DIV/0!</v>
      </c>
    </row>
    <row r="880" spans="11:28" ht="33" customHeight="1">
      <c r="K880" s="38"/>
      <c r="L880" s="38"/>
      <c r="M880" s="38"/>
      <c r="N880" s="38"/>
      <c r="O880" s="38"/>
      <c r="P880" s="38"/>
      <c r="Q880" s="38"/>
      <c r="R880" s="38"/>
      <c r="S880" s="38"/>
      <c r="T880" s="38"/>
      <c r="U880" s="38"/>
      <c r="V880" s="38"/>
      <c r="W880" s="38"/>
      <c r="X880" s="38"/>
      <c r="Y880" s="38"/>
      <c r="Z880" s="38">
        <f t="shared" si="75"/>
        <v>827</v>
      </c>
      <c r="AA880" t="e">
        <f t="shared" si="73"/>
        <v>#DIV/0!</v>
      </c>
      <c r="AB880" s="1" t="e">
        <f t="shared" si="74"/>
        <v>#DIV/0!</v>
      </c>
    </row>
    <row r="881" spans="11:28" ht="33" customHeight="1">
      <c r="K881" s="38"/>
      <c r="L881" s="38"/>
      <c r="M881" s="38"/>
      <c r="N881" s="38"/>
      <c r="O881" s="38"/>
      <c r="P881" s="38"/>
      <c r="Q881" s="38"/>
      <c r="R881" s="38"/>
      <c r="S881" s="38"/>
      <c r="T881" s="38"/>
      <c r="U881" s="38"/>
      <c r="V881" s="38"/>
      <c r="W881" s="38"/>
      <c r="X881" s="38"/>
      <c r="Y881" s="38"/>
      <c r="Z881" s="38">
        <f t="shared" si="75"/>
        <v>828</v>
      </c>
      <c r="AA881" t="e">
        <f t="shared" si="73"/>
        <v>#DIV/0!</v>
      </c>
      <c r="AB881" s="1" t="e">
        <f t="shared" si="74"/>
        <v>#DIV/0!</v>
      </c>
    </row>
    <row r="882" spans="11:28" ht="33" customHeight="1">
      <c r="K882" s="38"/>
      <c r="L882" s="38"/>
      <c r="M882" s="38"/>
      <c r="N882" s="38"/>
      <c r="O882" s="38"/>
      <c r="P882" s="38"/>
      <c r="Q882" s="38"/>
      <c r="R882" s="38"/>
      <c r="S882" s="38"/>
      <c r="T882" s="38"/>
      <c r="U882" s="38"/>
      <c r="V882" s="38"/>
      <c r="W882" s="38"/>
      <c r="X882" s="38"/>
      <c r="Y882" s="38"/>
      <c r="Z882" s="38">
        <f t="shared" si="75"/>
        <v>829</v>
      </c>
      <c r="AA882" t="e">
        <f t="shared" si="73"/>
        <v>#DIV/0!</v>
      </c>
      <c r="AB882" s="1" t="e">
        <f t="shared" si="74"/>
        <v>#DIV/0!</v>
      </c>
    </row>
    <row r="883" spans="11:28" ht="33" customHeight="1">
      <c r="K883" s="38"/>
      <c r="L883" s="38"/>
      <c r="M883" s="38"/>
      <c r="N883" s="38"/>
      <c r="O883" s="38"/>
      <c r="P883" s="38"/>
      <c r="Q883" s="38"/>
      <c r="R883" s="38"/>
      <c r="S883" s="38"/>
      <c r="T883" s="38"/>
      <c r="U883" s="38"/>
      <c r="V883" s="38"/>
      <c r="W883" s="38"/>
      <c r="X883" s="38"/>
      <c r="Y883" s="38"/>
      <c r="Z883" s="38">
        <f t="shared" si="75"/>
        <v>830</v>
      </c>
      <c r="AA883" t="e">
        <f t="shared" si="73"/>
        <v>#DIV/0!</v>
      </c>
      <c r="AB883" s="1" t="e">
        <f t="shared" si="74"/>
        <v>#DIV/0!</v>
      </c>
    </row>
    <row r="884" spans="11:28" ht="33" customHeight="1">
      <c r="K884" s="38"/>
      <c r="L884" s="38"/>
      <c r="M884" s="38"/>
      <c r="N884" s="38"/>
      <c r="O884" s="38"/>
      <c r="P884" s="38"/>
      <c r="Q884" s="38"/>
      <c r="R884" s="38"/>
      <c r="S884" s="38"/>
      <c r="T884" s="38"/>
      <c r="U884" s="38"/>
      <c r="V884" s="38"/>
      <c r="W884" s="38"/>
      <c r="X884" s="38"/>
      <c r="Y884" s="38"/>
      <c r="Z884" s="38">
        <f t="shared" si="75"/>
        <v>831</v>
      </c>
      <c r="AA884" t="e">
        <f t="shared" si="73"/>
        <v>#DIV/0!</v>
      </c>
      <c r="AB884" s="1" t="e">
        <f t="shared" si="74"/>
        <v>#DIV/0!</v>
      </c>
    </row>
    <row r="885" spans="11:28" ht="33" customHeight="1">
      <c r="K885" s="38"/>
      <c r="L885" s="38"/>
      <c r="M885" s="38"/>
      <c r="N885" s="38"/>
      <c r="O885" s="38"/>
      <c r="P885" s="38"/>
      <c r="Q885" s="38"/>
      <c r="R885" s="38"/>
      <c r="S885" s="38"/>
      <c r="T885" s="38"/>
      <c r="U885" s="38"/>
      <c r="V885" s="38"/>
      <c r="W885" s="38"/>
      <c r="X885" s="38"/>
      <c r="Y885" s="38"/>
      <c r="Z885" s="38">
        <f t="shared" si="75"/>
        <v>832</v>
      </c>
      <c r="AA885" t="e">
        <f t="shared" si="73"/>
        <v>#DIV/0!</v>
      </c>
      <c r="AB885" s="1" t="e">
        <f t="shared" si="74"/>
        <v>#DIV/0!</v>
      </c>
    </row>
    <row r="886" spans="11:28" ht="33" customHeight="1">
      <c r="K886" s="38"/>
      <c r="L886" s="38"/>
      <c r="M886" s="38"/>
      <c r="N886" s="38"/>
      <c r="O886" s="38"/>
      <c r="P886" s="38"/>
      <c r="Q886" s="38"/>
      <c r="R886" s="38"/>
      <c r="S886" s="38"/>
      <c r="T886" s="38"/>
      <c r="U886" s="38"/>
      <c r="V886" s="38"/>
      <c r="W886" s="38"/>
      <c r="X886" s="38"/>
      <c r="Y886" s="38"/>
      <c r="Z886" s="38">
        <f t="shared" si="75"/>
        <v>833</v>
      </c>
      <c r="AA886" t="e">
        <f t="shared" si="73"/>
        <v>#DIV/0!</v>
      </c>
      <c r="AB886" s="1" t="e">
        <f t="shared" si="74"/>
        <v>#DIV/0!</v>
      </c>
    </row>
    <row r="887" spans="11:28" ht="33" customHeight="1">
      <c r="K887" s="38"/>
      <c r="L887" s="38"/>
      <c r="M887" s="38"/>
      <c r="N887" s="38"/>
      <c r="O887" s="38"/>
      <c r="P887" s="38"/>
      <c r="Q887" s="38"/>
      <c r="R887" s="38"/>
      <c r="S887" s="38"/>
      <c r="T887" s="38"/>
      <c r="U887" s="38"/>
      <c r="V887" s="38"/>
      <c r="W887" s="38"/>
      <c r="X887" s="38"/>
      <c r="Y887" s="38"/>
      <c r="Z887" s="38">
        <f t="shared" si="75"/>
        <v>834</v>
      </c>
      <c r="AA887" t="e">
        <f t="shared" si="73"/>
        <v>#DIV/0!</v>
      </c>
      <c r="AB887" s="1" t="e">
        <f t="shared" si="74"/>
        <v>#DIV/0!</v>
      </c>
    </row>
    <row r="888" spans="11:28" ht="33" customHeight="1">
      <c r="K888" s="38"/>
      <c r="L888" s="38"/>
      <c r="M888" s="38"/>
      <c r="N888" s="38"/>
      <c r="O888" s="38"/>
      <c r="P888" s="38"/>
      <c r="Q888" s="38"/>
      <c r="R888" s="38"/>
      <c r="S888" s="38"/>
      <c r="T888" s="38"/>
      <c r="U888" s="38"/>
      <c r="V888" s="38"/>
      <c r="W888" s="38"/>
      <c r="X888" s="38"/>
      <c r="Y888" s="38"/>
      <c r="Z888" s="38">
        <f t="shared" si="75"/>
        <v>835</v>
      </c>
      <c r="AA888" t="e">
        <f t="shared" si="73"/>
        <v>#DIV/0!</v>
      </c>
      <c r="AB888" s="1" t="e">
        <f t="shared" si="74"/>
        <v>#DIV/0!</v>
      </c>
    </row>
    <row r="889" spans="11:28" ht="33" customHeight="1">
      <c r="K889" s="38"/>
      <c r="L889" s="38"/>
      <c r="M889" s="38"/>
      <c r="N889" s="38"/>
      <c r="O889" s="38"/>
      <c r="P889" s="38"/>
      <c r="Q889" s="38"/>
      <c r="R889" s="38"/>
      <c r="S889" s="38"/>
      <c r="T889" s="38"/>
      <c r="U889" s="38"/>
      <c r="V889" s="38"/>
      <c r="W889" s="38"/>
      <c r="X889" s="38"/>
      <c r="Y889" s="38"/>
      <c r="Z889" s="38">
        <f t="shared" si="75"/>
        <v>836</v>
      </c>
      <c r="AA889" t="e">
        <f t="shared" si="73"/>
        <v>#DIV/0!</v>
      </c>
      <c r="AB889" s="1" t="e">
        <f t="shared" si="74"/>
        <v>#DIV/0!</v>
      </c>
    </row>
    <row r="890" spans="11:28" ht="33" customHeight="1">
      <c r="K890" s="38"/>
      <c r="L890" s="38"/>
      <c r="M890" s="38"/>
      <c r="N890" s="38"/>
      <c r="O890" s="38"/>
      <c r="P890" s="38"/>
      <c r="Q890" s="38"/>
      <c r="R890" s="38"/>
      <c r="S890" s="38"/>
      <c r="T890" s="38"/>
      <c r="U890" s="38"/>
      <c r="V890" s="38"/>
      <c r="W890" s="38"/>
      <c r="X890" s="38"/>
      <c r="Y890" s="38"/>
      <c r="Z890" s="38">
        <f t="shared" si="75"/>
        <v>837</v>
      </c>
      <c r="AA890" t="e">
        <f t="shared" si="73"/>
        <v>#DIV/0!</v>
      </c>
      <c r="AB890" s="1" t="e">
        <f t="shared" si="74"/>
        <v>#DIV/0!</v>
      </c>
    </row>
    <row r="891" spans="11:28" ht="33" customHeight="1">
      <c r="K891" s="38"/>
      <c r="L891" s="38"/>
      <c r="M891" s="38"/>
      <c r="N891" s="38"/>
      <c r="O891" s="38"/>
      <c r="P891" s="38"/>
      <c r="Q891" s="38"/>
      <c r="R891" s="38"/>
      <c r="S891" s="38"/>
      <c r="T891" s="38"/>
      <c r="U891" s="38"/>
      <c r="V891" s="38"/>
      <c r="W891" s="38"/>
      <c r="X891" s="38"/>
      <c r="Y891" s="38"/>
      <c r="Z891" s="38">
        <f t="shared" si="75"/>
        <v>838</v>
      </c>
      <c r="AA891" t="e">
        <f t="shared" si="73"/>
        <v>#DIV/0!</v>
      </c>
      <c r="AB891" s="1" t="e">
        <f t="shared" si="74"/>
        <v>#DIV/0!</v>
      </c>
    </row>
    <row r="892" spans="11:28" ht="33" customHeight="1">
      <c r="K892" s="38"/>
      <c r="L892" s="38"/>
      <c r="M892" s="38"/>
      <c r="N892" s="38"/>
      <c r="O892" s="38"/>
      <c r="P892" s="38"/>
      <c r="Q892" s="38"/>
      <c r="R892" s="38"/>
      <c r="S892" s="38"/>
      <c r="T892" s="38"/>
      <c r="U892" s="38"/>
      <c r="V892" s="38"/>
      <c r="W892" s="38"/>
      <c r="X892" s="38"/>
      <c r="Y892" s="38"/>
      <c r="Z892" s="38">
        <f t="shared" si="75"/>
        <v>839</v>
      </c>
      <c r="AA892" t="e">
        <f t="shared" si="73"/>
        <v>#DIV/0!</v>
      </c>
      <c r="AB892" s="1" t="e">
        <f t="shared" si="74"/>
        <v>#DIV/0!</v>
      </c>
    </row>
    <row r="893" spans="11:28" ht="33" customHeight="1">
      <c r="K893" s="38"/>
      <c r="L893" s="38"/>
      <c r="M893" s="38"/>
      <c r="N893" s="38"/>
      <c r="O893" s="38"/>
      <c r="P893" s="38"/>
      <c r="Q893" s="38"/>
      <c r="R893" s="38"/>
      <c r="S893" s="38"/>
      <c r="T893" s="38"/>
      <c r="U893" s="38"/>
      <c r="V893" s="38"/>
      <c r="W893" s="38"/>
      <c r="X893" s="38"/>
      <c r="Y893" s="38"/>
      <c r="Z893" s="38">
        <f t="shared" si="75"/>
        <v>840</v>
      </c>
      <c r="AA893" t="e">
        <f t="shared" si="73"/>
        <v>#DIV/0!</v>
      </c>
      <c r="AB893" s="1" t="e">
        <f t="shared" si="74"/>
        <v>#DIV/0!</v>
      </c>
    </row>
    <row r="894" spans="11:28" ht="33" customHeight="1">
      <c r="K894" s="38"/>
      <c r="L894" s="38"/>
      <c r="M894" s="38"/>
      <c r="N894" s="38"/>
      <c r="O894" s="38"/>
      <c r="P894" s="38"/>
      <c r="Q894" s="38"/>
      <c r="R894" s="38"/>
      <c r="S894" s="38"/>
      <c r="T894" s="38"/>
      <c r="U894" s="38"/>
      <c r="V894" s="38"/>
      <c r="W894" s="38"/>
      <c r="X894" s="38"/>
      <c r="Y894" s="38"/>
      <c r="Z894" s="38">
        <f t="shared" si="75"/>
        <v>841</v>
      </c>
      <c r="AA894" t="e">
        <f t="shared" si="73"/>
        <v>#DIV/0!</v>
      </c>
      <c r="AB894" s="1" t="e">
        <f t="shared" si="74"/>
        <v>#DIV/0!</v>
      </c>
    </row>
    <row r="895" spans="11:28" ht="33" customHeight="1">
      <c r="K895" s="38"/>
      <c r="L895" s="38"/>
      <c r="M895" s="38"/>
      <c r="N895" s="38"/>
      <c r="O895" s="38"/>
      <c r="P895" s="38"/>
      <c r="Q895" s="38"/>
      <c r="R895" s="38"/>
      <c r="S895" s="38"/>
      <c r="T895" s="38"/>
      <c r="U895" s="38"/>
      <c r="V895" s="38"/>
      <c r="W895" s="38"/>
      <c r="X895" s="38"/>
      <c r="Y895" s="38"/>
      <c r="Z895" s="38">
        <f t="shared" si="75"/>
        <v>842</v>
      </c>
      <c r="AA895" t="e">
        <f t="shared" si="73"/>
        <v>#DIV/0!</v>
      </c>
      <c r="AB895" s="1" t="e">
        <f t="shared" si="74"/>
        <v>#DIV/0!</v>
      </c>
    </row>
    <row r="896" spans="11:28" ht="33" customHeight="1">
      <c r="K896" s="38"/>
      <c r="L896" s="38"/>
      <c r="M896" s="38"/>
      <c r="N896" s="38"/>
      <c r="O896" s="38"/>
      <c r="P896" s="38"/>
      <c r="Q896" s="38"/>
      <c r="R896" s="38"/>
      <c r="S896" s="38"/>
      <c r="T896" s="38"/>
      <c r="U896" s="38"/>
      <c r="V896" s="38"/>
      <c r="W896" s="38"/>
      <c r="X896" s="38"/>
      <c r="Y896" s="38"/>
      <c r="Z896" s="38">
        <f t="shared" si="75"/>
        <v>843</v>
      </c>
      <c r="AA896" t="e">
        <f t="shared" si="73"/>
        <v>#DIV/0!</v>
      </c>
      <c r="AB896" s="1" t="e">
        <f t="shared" si="74"/>
        <v>#DIV/0!</v>
      </c>
    </row>
    <row r="897" spans="11:28" ht="33" customHeight="1">
      <c r="K897" s="38"/>
      <c r="L897" s="38"/>
      <c r="M897" s="38"/>
      <c r="N897" s="38"/>
      <c r="O897" s="38"/>
      <c r="P897" s="38"/>
      <c r="Q897" s="38"/>
      <c r="R897" s="38"/>
      <c r="S897" s="38"/>
      <c r="T897" s="38"/>
      <c r="U897" s="38"/>
      <c r="V897" s="38"/>
      <c r="W897" s="38"/>
      <c r="X897" s="38"/>
      <c r="Y897" s="38"/>
      <c r="Z897" s="38">
        <f t="shared" si="75"/>
        <v>844</v>
      </c>
      <c r="AA897" t="e">
        <f t="shared" si="73"/>
        <v>#DIV/0!</v>
      </c>
      <c r="AB897" s="1" t="e">
        <f t="shared" si="74"/>
        <v>#DIV/0!</v>
      </c>
    </row>
    <row r="898" spans="11:28" ht="33" customHeight="1">
      <c r="K898" s="38"/>
      <c r="L898" s="38"/>
      <c r="M898" s="38"/>
      <c r="N898" s="38"/>
      <c r="O898" s="38"/>
      <c r="P898" s="38"/>
      <c r="Q898" s="38"/>
      <c r="R898" s="38"/>
      <c r="S898" s="38"/>
      <c r="T898" s="38"/>
      <c r="U898" s="38"/>
      <c r="V898" s="38"/>
      <c r="W898" s="38"/>
      <c r="X898" s="38"/>
      <c r="Y898" s="38"/>
      <c r="Z898" s="38">
        <f t="shared" si="75"/>
        <v>845</v>
      </c>
      <c r="AA898" t="e">
        <f t="shared" si="73"/>
        <v>#DIV/0!</v>
      </c>
      <c r="AB898" s="1" t="e">
        <f t="shared" si="74"/>
        <v>#DIV/0!</v>
      </c>
    </row>
    <row r="899" spans="11:28" ht="33" customHeight="1">
      <c r="K899" s="38"/>
      <c r="L899" s="38"/>
      <c r="M899" s="38"/>
      <c r="N899" s="38"/>
      <c r="O899" s="38"/>
      <c r="P899" s="38"/>
      <c r="Q899" s="38"/>
      <c r="R899" s="38"/>
      <c r="S899" s="38"/>
      <c r="T899" s="38"/>
      <c r="U899" s="38"/>
      <c r="V899" s="38"/>
      <c r="W899" s="38"/>
      <c r="X899" s="38"/>
      <c r="Y899" s="38"/>
      <c r="Z899" s="38">
        <f t="shared" si="75"/>
        <v>846</v>
      </c>
      <c r="AA899" t="e">
        <f t="shared" si="73"/>
        <v>#DIV/0!</v>
      </c>
      <c r="AB899" s="1" t="e">
        <f t="shared" si="74"/>
        <v>#DIV/0!</v>
      </c>
    </row>
    <row r="900" spans="11:28" ht="33" customHeight="1">
      <c r="K900" s="38"/>
      <c r="L900" s="38"/>
      <c r="M900" s="38"/>
      <c r="N900" s="38"/>
      <c r="O900" s="38"/>
      <c r="P900" s="38"/>
      <c r="Q900" s="38"/>
      <c r="R900" s="38"/>
      <c r="S900" s="38"/>
      <c r="T900" s="38"/>
      <c r="U900" s="38"/>
      <c r="V900" s="38"/>
      <c r="W900" s="38"/>
      <c r="X900" s="38"/>
      <c r="Y900" s="38"/>
      <c r="Z900" s="38">
        <f t="shared" si="75"/>
        <v>847</v>
      </c>
      <c r="AA900" t="e">
        <f t="shared" si="73"/>
        <v>#DIV/0!</v>
      </c>
      <c r="AB900" s="1" t="e">
        <f t="shared" si="74"/>
        <v>#DIV/0!</v>
      </c>
    </row>
    <row r="901" spans="11:28" ht="33" customHeight="1">
      <c r="K901" s="38"/>
      <c r="L901" s="38"/>
      <c r="M901" s="38"/>
      <c r="N901" s="38"/>
      <c r="O901" s="38"/>
      <c r="P901" s="38"/>
      <c r="Q901" s="38"/>
      <c r="R901" s="38"/>
      <c r="S901" s="38"/>
      <c r="T901" s="38"/>
      <c r="U901" s="38"/>
      <c r="V901" s="38"/>
      <c r="W901" s="38"/>
      <c r="X901" s="38"/>
      <c r="Y901" s="38"/>
      <c r="Z901" s="38">
        <f t="shared" si="75"/>
        <v>848</v>
      </c>
      <c r="AA901" t="e">
        <f t="shared" si="73"/>
        <v>#DIV/0!</v>
      </c>
      <c r="AB901" s="1" t="e">
        <f t="shared" si="74"/>
        <v>#DIV/0!</v>
      </c>
    </row>
    <row r="902" spans="11:28" ht="33" customHeight="1">
      <c r="K902" s="38"/>
      <c r="L902" s="38"/>
      <c r="M902" s="38"/>
      <c r="N902" s="38"/>
      <c r="O902" s="38"/>
      <c r="P902" s="38"/>
      <c r="Q902" s="38"/>
      <c r="R902" s="38"/>
      <c r="S902" s="38"/>
      <c r="T902" s="38"/>
      <c r="U902" s="38"/>
      <c r="V902" s="38"/>
      <c r="W902" s="38"/>
      <c r="X902" s="38"/>
      <c r="Y902" s="38"/>
      <c r="Z902" s="38">
        <f t="shared" si="75"/>
        <v>849</v>
      </c>
      <c r="AA902" t="e">
        <f t="shared" si="73"/>
        <v>#DIV/0!</v>
      </c>
      <c r="AB902" s="1" t="e">
        <f t="shared" si="74"/>
        <v>#DIV/0!</v>
      </c>
    </row>
    <row r="903" spans="11:28" ht="33" customHeight="1">
      <c r="K903" s="38"/>
      <c r="L903" s="38"/>
      <c r="M903" s="38"/>
      <c r="N903" s="38"/>
      <c r="O903" s="38"/>
      <c r="P903" s="38"/>
      <c r="Q903" s="38"/>
      <c r="R903" s="38"/>
      <c r="S903" s="38"/>
      <c r="T903" s="38"/>
      <c r="U903" s="38"/>
      <c r="V903" s="38"/>
      <c r="W903" s="38"/>
      <c r="X903" s="38"/>
      <c r="Y903" s="38"/>
      <c r="Z903" s="38">
        <f t="shared" si="75"/>
        <v>850</v>
      </c>
      <c r="AA903" t="e">
        <f t="shared" si="73"/>
        <v>#DIV/0!</v>
      </c>
      <c r="AB903" s="1" t="e">
        <f t="shared" si="74"/>
        <v>#DIV/0!</v>
      </c>
    </row>
    <row r="904" spans="11:28" ht="33" customHeight="1">
      <c r="K904" s="38"/>
      <c r="L904" s="38"/>
      <c r="M904" s="38"/>
      <c r="N904" s="38"/>
      <c r="O904" s="38"/>
      <c r="P904" s="38"/>
      <c r="Q904" s="38"/>
      <c r="R904" s="38"/>
      <c r="S904" s="38"/>
      <c r="T904" s="38"/>
      <c r="U904" s="38"/>
      <c r="V904" s="38"/>
      <c r="W904" s="38"/>
      <c r="X904" s="38"/>
      <c r="Y904" s="38"/>
      <c r="Z904" s="38">
        <f t="shared" si="75"/>
        <v>851</v>
      </c>
      <c r="AA904" t="e">
        <f t="shared" si="73"/>
        <v>#DIV/0!</v>
      </c>
      <c r="AB904" s="1" t="e">
        <f t="shared" si="74"/>
        <v>#DIV/0!</v>
      </c>
    </row>
    <row r="905" spans="11:28" ht="33" customHeight="1">
      <c r="K905" s="38"/>
      <c r="L905" s="38"/>
      <c r="M905" s="38"/>
      <c r="N905" s="38"/>
      <c r="O905" s="38"/>
      <c r="P905" s="38"/>
      <c r="Q905" s="38"/>
      <c r="R905" s="38"/>
      <c r="S905" s="38"/>
      <c r="T905" s="38"/>
      <c r="U905" s="38"/>
      <c r="V905" s="38"/>
      <c r="W905" s="38"/>
      <c r="X905" s="38"/>
      <c r="Y905" s="38"/>
      <c r="Z905" s="38">
        <f t="shared" si="75"/>
        <v>852</v>
      </c>
      <c r="AA905" t="e">
        <f t="shared" si="73"/>
        <v>#DIV/0!</v>
      </c>
      <c r="AB905" s="1" t="e">
        <f t="shared" si="74"/>
        <v>#DIV/0!</v>
      </c>
    </row>
    <row r="906" spans="11:28" ht="33" customHeight="1">
      <c r="K906" s="38"/>
      <c r="L906" s="38"/>
      <c r="M906" s="38"/>
      <c r="N906" s="38"/>
      <c r="O906" s="38"/>
      <c r="P906" s="38"/>
      <c r="Q906" s="38"/>
      <c r="R906" s="38"/>
      <c r="S906" s="38"/>
      <c r="T906" s="38"/>
      <c r="U906" s="38"/>
      <c r="V906" s="38"/>
      <c r="W906" s="38"/>
      <c r="X906" s="38"/>
      <c r="Y906" s="38"/>
      <c r="Z906" s="38">
        <f t="shared" si="75"/>
        <v>853</v>
      </c>
      <c r="AA906" t="e">
        <f t="shared" si="73"/>
        <v>#DIV/0!</v>
      </c>
      <c r="AB906" s="1" t="e">
        <f t="shared" si="74"/>
        <v>#DIV/0!</v>
      </c>
    </row>
    <row r="907" spans="11:28" ht="33" customHeight="1">
      <c r="K907" s="38"/>
      <c r="L907" s="38"/>
      <c r="M907" s="38"/>
      <c r="N907" s="38"/>
      <c r="O907" s="38"/>
      <c r="P907" s="38"/>
      <c r="Q907" s="38"/>
      <c r="R907" s="38"/>
      <c r="S907" s="38"/>
      <c r="T907" s="38"/>
      <c r="U907" s="38"/>
      <c r="V907" s="38"/>
      <c r="W907" s="38"/>
      <c r="X907" s="38"/>
      <c r="Y907" s="38"/>
      <c r="Z907" s="38">
        <f t="shared" si="75"/>
        <v>854</v>
      </c>
      <c r="AA907" t="e">
        <f t="shared" ref="AA907:AA970" si="76">IF(AB907=Z907,1,0)</f>
        <v>#DIV/0!</v>
      </c>
      <c r="AB907" s="1" t="e">
        <f t="shared" ref="AB907:AB970" si="77">$AB$8</f>
        <v>#DIV/0!</v>
      </c>
    </row>
    <row r="908" spans="11:28" ht="33" customHeight="1">
      <c r="K908" s="38"/>
      <c r="L908" s="38"/>
      <c r="M908" s="38"/>
      <c r="N908" s="38"/>
      <c r="O908" s="38"/>
      <c r="P908" s="38"/>
      <c r="Q908" s="38"/>
      <c r="R908" s="38"/>
      <c r="S908" s="38"/>
      <c r="T908" s="38"/>
      <c r="U908" s="38"/>
      <c r="V908" s="38"/>
      <c r="W908" s="38"/>
      <c r="X908" s="38"/>
      <c r="Y908" s="38"/>
      <c r="Z908" s="38">
        <f t="shared" ref="Z908:Z971" si="78">Z907+1</f>
        <v>855</v>
      </c>
      <c r="AA908" t="e">
        <f t="shared" si="76"/>
        <v>#DIV/0!</v>
      </c>
      <c r="AB908" s="1" t="e">
        <f t="shared" si="77"/>
        <v>#DIV/0!</v>
      </c>
    </row>
    <row r="909" spans="11:28" ht="33" customHeight="1">
      <c r="K909" s="38"/>
      <c r="L909" s="38"/>
      <c r="M909" s="38"/>
      <c r="N909" s="38"/>
      <c r="O909" s="38"/>
      <c r="P909" s="38"/>
      <c r="Q909" s="38"/>
      <c r="R909" s="38"/>
      <c r="S909" s="38"/>
      <c r="T909" s="38"/>
      <c r="U909" s="38"/>
      <c r="V909" s="38"/>
      <c r="W909" s="38"/>
      <c r="X909" s="38"/>
      <c r="Y909" s="38"/>
      <c r="Z909" s="38">
        <f t="shared" si="78"/>
        <v>856</v>
      </c>
      <c r="AA909" t="e">
        <f t="shared" si="76"/>
        <v>#DIV/0!</v>
      </c>
      <c r="AB909" s="1" t="e">
        <f t="shared" si="77"/>
        <v>#DIV/0!</v>
      </c>
    </row>
    <row r="910" spans="11:28" ht="33" customHeight="1">
      <c r="K910" s="38"/>
      <c r="L910" s="38"/>
      <c r="M910" s="38"/>
      <c r="N910" s="38"/>
      <c r="O910" s="38"/>
      <c r="P910" s="38"/>
      <c r="Q910" s="38"/>
      <c r="R910" s="38"/>
      <c r="S910" s="38"/>
      <c r="T910" s="38"/>
      <c r="U910" s="38"/>
      <c r="V910" s="38"/>
      <c r="W910" s="38"/>
      <c r="X910" s="38"/>
      <c r="Y910" s="38"/>
      <c r="Z910" s="38">
        <f t="shared" si="78"/>
        <v>857</v>
      </c>
      <c r="AA910" t="e">
        <f t="shared" si="76"/>
        <v>#DIV/0!</v>
      </c>
      <c r="AB910" s="1" t="e">
        <f t="shared" si="77"/>
        <v>#DIV/0!</v>
      </c>
    </row>
    <row r="911" spans="11:28" ht="33" customHeight="1">
      <c r="K911" s="38"/>
      <c r="L911" s="38"/>
      <c r="M911" s="38"/>
      <c r="N911" s="38"/>
      <c r="O911" s="38"/>
      <c r="P911" s="38"/>
      <c r="Q911" s="38"/>
      <c r="R911" s="38"/>
      <c r="S911" s="38"/>
      <c r="T911" s="38"/>
      <c r="U911" s="38"/>
      <c r="V911" s="38"/>
      <c r="W911" s="38"/>
      <c r="X911" s="38"/>
      <c r="Y911" s="38"/>
      <c r="Z911" s="38">
        <f t="shared" si="78"/>
        <v>858</v>
      </c>
      <c r="AA911" t="e">
        <f t="shared" si="76"/>
        <v>#DIV/0!</v>
      </c>
      <c r="AB911" s="1" t="e">
        <f t="shared" si="77"/>
        <v>#DIV/0!</v>
      </c>
    </row>
    <row r="912" spans="11:28" ht="33" customHeight="1">
      <c r="K912" s="38"/>
      <c r="L912" s="38"/>
      <c r="M912" s="38"/>
      <c r="N912" s="38"/>
      <c r="O912" s="38"/>
      <c r="P912" s="38"/>
      <c r="Q912" s="38"/>
      <c r="R912" s="38"/>
      <c r="S912" s="38"/>
      <c r="T912" s="38"/>
      <c r="U912" s="38"/>
      <c r="V912" s="38"/>
      <c r="W912" s="38"/>
      <c r="X912" s="38"/>
      <c r="Y912" s="38"/>
      <c r="Z912" s="38">
        <f t="shared" si="78"/>
        <v>859</v>
      </c>
      <c r="AA912" t="e">
        <f t="shared" si="76"/>
        <v>#DIV/0!</v>
      </c>
      <c r="AB912" s="1" t="e">
        <f t="shared" si="77"/>
        <v>#DIV/0!</v>
      </c>
    </row>
    <row r="913" spans="11:28" ht="33" customHeight="1">
      <c r="K913" s="38"/>
      <c r="L913" s="38"/>
      <c r="M913" s="38"/>
      <c r="N913" s="38"/>
      <c r="O913" s="38"/>
      <c r="P913" s="38"/>
      <c r="Q913" s="38"/>
      <c r="R913" s="38"/>
      <c r="S913" s="38"/>
      <c r="T913" s="38"/>
      <c r="U913" s="38"/>
      <c r="V913" s="38"/>
      <c r="W913" s="38"/>
      <c r="X913" s="38"/>
      <c r="Y913" s="38"/>
      <c r="Z913" s="38">
        <f t="shared" si="78"/>
        <v>860</v>
      </c>
      <c r="AA913" t="e">
        <f t="shared" si="76"/>
        <v>#DIV/0!</v>
      </c>
      <c r="AB913" s="1" t="e">
        <f t="shared" si="77"/>
        <v>#DIV/0!</v>
      </c>
    </row>
    <row r="914" spans="11:28" ht="33" customHeight="1">
      <c r="K914" s="38"/>
      <c r="L914" s="38"/>
      <c r="M914" s="38"/>
      <c r="N914" s="38"/>
      <c r="O914" s="38"/>
      <c r="P914" s="38"/>
      <c r="Q914" s="38"/>
      <c r="R914" s="38"/>
      <c r="S914" s="38"/>
      <c r="T914" s="38"/>
      <c r="U914" s="38"/>
      <c r="V914" s="38"/>
      <c r="W914" s="38"/>
      <c r="X914" s="38"/>
      <c r="Y914" s="38"/>
      <c r="Z914" s="38">
        <f t="shared" si="78"/>
        <v>861</v>
      </c>
      <c r="AA914" t="e">
        <f t="shared" si="76"/>
        <v>#DIV/0!</v>
      </c>
      <c r="AB914" s="1" t="e">
        <f t="shared" si="77"/>
        <v>#DIV/0!</v>
      </c>
    </row>
    <row r="915" spans="11:28" ht="33" customHeight="1">
      <c r="K915" s="38"/>
      <c r="L915" s="38"/>
      <c r="M915" s="38"/>
      <c r="N915" s="38"/>
      <c r="O915" s="38"/>
      <c r="P915" s="38"/>
      <c r="Q915" s="38"/>
      <c r="R915" s="38"/>
      <c r="S915" s="38"/>
      <c r="T915" s="38"/>
      <c r="U915" s="38"/>
      <c r="V915" s="38"/>
      <c r="W915" s="38"/>
      <c r="X915" s="38"/>
      <c r="Y915" s="38"/>
      <c r="Z915" s="38">
        <f t="shared" si="78"/>
        <v>862</v>
      </c>
      <c r="AA915" t="e">
        <f t="shared" si="76"/>
        <v>#DIV/0!</v>
      </c>
      <c r="AB915" s="1" t="e">
        <f t="shared" si="77"/>
        <v>#DIV/0!</v>
      </c>
    </row>
    <row r="916" spans="11:28" ht="33" customHeight="1">
      <c r="K916" s="38"/>
      <c r="L916" s="38"/>
      <c r="M916" s="38"/>
      <c r="N916" s="38"/>
      <c r="O916" s="38"/>
      <c r="P916" s="38"/>
      <c r="Q916" s="38"/>
      <c r="R916" s="38"/>
      <c r="S916" s="38"/>
      <c r="T916" s="38"/>
      <c r="U916" s="38"/>
      <c r="V916" s="38"/>
      <c r="W916" s="38"/>
      <c r="X916" s="38"/>
      <c r="Y916" s="38"/>
      <c r="Z916" s="38">
        <f t="shared" si="78"/>
        <v>863</v>
      </c>
      <c r="AA916" t="e">
        <f t="shared" si="76"/>
        <v>#DIV/0!</v>
      </c>
      <c r="AB916" s="1" t="e">
        <f t="shared" si="77"/>
        <v>#DIV/0!</v>
      </c>
    </row>
    <row r="917" spans="11:28" ht="33" customHeight="1">
      <c r="K917" s="38"/>
      <c r="L917" s="38"/>
      <c r="M917" s="38"/>
      <c r="N917" s="38"/>
      <c r="O917" s="38"/>
      <c r="P917" s="38"/>
      <c r="Q917" s="38"/>
      <c r="R917" s="38"/>
      <c r="S917" s="38"/>
      <c r="T917" s="38"/>
      <c r="U917" s="38"/>
      <c r="V917" s="38"/>
      <c r="W917" s="38"/>
      <c r="X917" s="38"/>
      <c r="Y917" s="38"/>
      <c r="Z917" s="38">
        <f t="shared" si="78"/>
        <v>864</v>
      </c>
      <c r="AA917" t="e">
        <f t="shared" si="76"/>
        <v>#DIV/0!</v>
      </c>
      <c r="AB917" s="1" t="e">
        <f t="shared" si="77"/>
        <v>#DIV/0!</v>
      </c>
    </row>
    <row r="918" spans="11:28" ht="33" customHeight="1">
      <c r="K918" s="38"/>
      <c r="L918" s="38"/>
      <c r="M918" s="38"/>
      <c r="N918" s="38"/>
      <c r="O918" s="38"/>
      <c r="P918" s="38"/>
      <c r="Q918" s="38"/>
      <c r="R918" s="38"/>
      <c r="S918" s="38"/>
      <c r="T918" s="38"/>
      <c r="U918" s="38"/>
      <c r="V918" s="38"/>
      <c r="W918" s="38"/>
      <c r="X918" s="38"/>
      <c r="Y918" s="38"/>
      <c r="Z918" s="38">
        <f t="shared" si="78"/>
        <v>865</v>
      </c>
      <c r="AA918" t="e">
        <f t="shared" si="76"/>
        <v>#DIV/0!</v>
      </c>
      <c r="AB918" s="1" t="e">
        <f t="shared" si="77"/>
        <v>#DIV/0!</v>
      </c>
    </row>
    <row r="919" spans="11:28" ht="33" customHeight="1">
      <c r="K919" s="38"/>
      <c r="L919" s="38"/>
      <c r="M919" s="38"/>
      <c r="N919" s="38"/>
      <c r="O919" s="38"/>
      <c r="P919" s="38"/>
      <c r="Q919" s="38"/>
      <c r="R919" s="38"/>
      <c r="S919" s="38"/>
      <c r="T919" s="38"/>
      <c r="U919" s="38"/>
      <c r="V919" s="38"/>
      <c r="W919" s="38"/>
      <c r="X919" s="38"/>
      <c r="Y919" s="38"/>
      <c r="Z919" s="38">
        <f t="shared" si="78"/>
        <v>866</v>
      </c>
      <c r="AA919" t="e">
        <f t="shared" si="76"/>
        <v>#DIV/0!</v>
      </c>
      <c r="AB919" s="1" t="e">
        <f t="shared" si="77"/>
        <v>#DIV/0!</v>
      </c>
    </row>
    <row r="920" spans="11:28" ht="33" customHeight="1">
      <c r="K920" s="38"/>
      <c r="L920" s="38"/>
      <c r="M920" s="38"/>
      <c r="N920" s="38"/>
      <c r="O920" s="38"/>
      <c r="P920" s="38"/>
      <c r="Q920" s="38"/>
      <c r="R920" s="38"/>
      <c r="S920" s="38"/>
      <c r="T920" s="38"/>
      <c r="U920" s="38"/>
      <c r="V920" s="38"/>
      <c r="W920" s="38"/>
      <c r="X920" s="38"/>
      <c r="Y920" s="38"/>
      <c r="Z920" s="38">
        <f t="shared" si="78"/>
        <v>867</v>
      </c>
      <c r="AA920" t="e">
        <f t="shared" si="76"/>
        <v>#DIV/0!</v>
      </c>
      <c r="AB920" s="1" t="e">
        <f t="shared" si="77"/>
        <v>#DIV/0!</v>
      </c>
    </row>
    <row r="921" spans="11:28" ht="33" customHeight="1">
      <c r="K921" s="38"/>
      <c r="L921" s="38"/>
      <c r="M921" s="38"/>
      <c r="N921" s="38"/>
      <c r="O921" s="38"/>
      <c r="P921" s="38"/>
      <c r="Q921" s="38"/>
      <c r="R921" s="38"/>
      <c r="S921" s="38"/>
      <c r="T921" s="38"/>
      <c r="U921" s="38"/>
      <c r="V921" s="38"/>
      <c r="W921" s="38"/>
      <c r="X921" s="38"/>
      <c r="Y921" s="38"/>
      <c r="Z921" s="38">
        <f t="shared" si="78"/>
        <v>868</v>
      </c>
      <c r="AA921" t="e">
        <f t="shared" si="76"/>
        <v>#DIV/0!</v>
      </c>
      <c r="AB921" s="1" t="e">
        <f t="shared" si="77"/>
        <v>#DIV/0!</v>
      </c>
    </row>
    <row r="922" spans="11:28" ht="33" customHeight="1">
      <c r="K922" s="38"/>
      <c r="L922" s="38"/>
      <c r="M922" s="38"/>
      <c r="N922" s="38"/>
      <c r="O922" s="38"/>
      <c r="P922" s="38"/>
      <c r="Q922" s="38"/>
      <c r="R922" s="38"/>
      <c r="S922" s="38"/>
      <c r="T922" s="38"/>
      <c r="U922" s="38"/>
      <c r="V922" s="38"/>
      <c r="W922" s="38"/>
      <c r="X922" s="38"/>
      <c r="Y922" s="38"/>
      <c r="Z922" s="38">
        <f t="shared" si="78"/>
        <v>869</v>
      </c>
      <c r="AA922" t="e">
        <f t="shared" si="76"/>
        <v>#DIV/0!</v>
      </c>
      <c r="AB922" s="1" t="e">
        <f t="shared" si="77"/>
        <v>#DIV/0!</v>
      </c>
    </row>
    <row r="923" spans="11:28" ht="33" customHeight="1">
      <c r="K923" s="38"/>
      <c r="L923" s="38"/>
      <c r="M923" s="38"/>
      <c r="N923" s="38"/>
      <c r="O923" s="38"/>
      <c r="P923" s="38"/>
      <c r="Q923" s="38"/>
      <c r="R923" s="38"/>
      <c r="S923" s="38"/>
      <c r="T923" s="38"/>
      <c r="U923" s="38"/>
      <c r="V923" s="38"/>
      <c r="W923" s="38"/>
      <c r="X923" s="38"/>
      <c r="Y923" s="38"/>
      <c r="Z923" s="38">
        <f t="shared" si="78"/>
        <v>870</v>
      </c>
      <c r="AA923" t="e">
        <f t="shared" si="76"/>
        <v>#DIV/0!</v>
      </c>
      <c r="AB923" s="1" t="e">
        <f t="shared" si="77"/>
        <v>#DIV/0!</v>
      </c>
    </row>
    <row r="924" spans="11:28" ht="33" customHeight="1">
      <c r="K924" s="38"/>
      <c r="L924" s="38"/>
      <c r="M924" s="38"/>
      <c r="N924" s="38"/>
      <c r="O924" s="38"/>
      <c r="P924" s="38"/>
      <c r="Q924" s="38"/>
      <c r="R924" s="38"/>
      <c r="S924" s="38"/>
      <c r="T924" s="38"/>
      <c r="U924" s="38"/>
      <c r="V924" s="38"/>
      <c r="W924" s="38"/>
      <c r="X924" s="38"/>
      <c r="Y924" s="38"/>
      <c r="Z924" s="38">
        <f t="shared" si="78"/>
        <v>871</v>
      </c>
      <c r="AA924" t="e">
        <f t="shared" si="76"/>
        <v>#DIV/0!</v>
      </c>
      <c r="AB924" s="1" t="e">
        <f t="shared" si="77"/>
        <v>#DIV/0!</v>
      </c>
    </row>
    <row r="925" spans="11:28" ht="33" customHeight="1">
      <c r="K925" s="38"/>
      <c r="L925" s="38"/>
      <c r="M925" s="38"/>
      <c r="N925" s="38"/>
      <c r="O925" s="38"/>
      <c r="P925" s="38"/>
      <c r="Q925" s="38"/>
      <c r="R925" s="38"/>
      <c r="S925" s="38"/>
      <c r="T925" s="38"/>
      <c r="U925" s="38"/>
      <c r="V925" s="38"/>
      <c r="W925" s="38"/>
      <c r="X925" s="38"/>
      <c r="Y925" s="38"/>
      <c r="Z925" s="38">
        <f t="shared" si="78"/>
        <v>872</v>
      </c>
      <c r="AA925" t="e">
        <f t="shared" si="76"/>
        <v>#DIV/0!</v>
      </c>
      <c r="AB925" s="1" t="e">
        <f t="shared" si="77"/>
        <v>#DIV/0!</v>
      </c>
    </row>
    <row r="926" spans="11:28" ht="33" customHeight="1">
      <c r="K926" s="38"/>
      <c r="L926" s="38"/>
      <c r="M926" s="38"/>
      <c r="N926" s="38"/>
      <c r="O926" s="38"/>
      <c r="P926" s="38"/>
      <c r="Q926" s="38"/>
      <c r="R926" s="38"/>
      <c r="S926" s="38"/>
      <c r="T926" s="38"/>
      <c r="U926" s="38"/>
      <c r="V926" s="38"/>
      <c r="W926" s="38"/>
      <c r="X926" s="38"/>
      <c r="Y926" s="38"/>
      <c r="Z926" s="38">
        <f t="shared" si="78"/>
        <v>873</v>
      </c>
      <c r="AA926" t="e">
        <f t="shared" si="76"/>
        <v>#DIV/0!</v>
      </c>
      <c r="AB926" s="1" t="e">
        <f t="shared" si="77"/>
        <v>#DIV/0!</v>
      </c>
    </row>
    <row r="927" spans="11:28" ht="33" customHeight="1">
      <c r="K927" s="38"/>
      <c r="L927" s="38"/>
      <c r="M927" s="38"/>
      <c r="N927" s="38"/>
      <c r="O927" s="38"/>
      <c r="P927" s="38"/>
      <c r="Q927" s="38"/>
      <c r="R927" s="38"/>
      <c r="S927" s="38"/>
      <c r="T927" s="38"/>
      <c r="U927" s="38"/>
      <c r="V927" s="38"/>
      <c r="W927" s="38"/>
      <c r="X927" s="38"/>
      <c r="Y927" s="38"/>
      <c r="Z927" s="38">
        <f t="shared" si="78"/>
        <v>874</v>
      </c>
      <c r="AA927" t="e">
        <f t="shared" si="76"/>
        <v>#DIV/0!</v>
      </c>
      <c r="AB927" s="1" t="e">
        <f t="shared" si="77"/>
        <v>#DIV/0!</v>
      </c>
    </row>
    <row r="928" spans="11:28" ht="33" customHeight="1">
      <c r="K928" s="38"/>
      <c r="L928" s="38"/>
      <c r="M928" s="38"/>
      <c r="N928" s="38"/>
      <c r="O928" s="38"/>
      <c r="P928" s="38"/>
      <c r="Q928" s="38"/>
      <c r="R928" s="38"/>
      <c r="S928" s="38"/>
      <c r="T928" s="38"/>
      <c r="U928" s="38"/>
      <c r="V928" s="38"/>
      <c r="W928" s="38"/>
      <c r="X928" s="38"/>
      <c r="Y928" s="38"/>
      <c r="Z928" s="38">
        <f t="shared" si="78"/>
        <v>875</v>
      </c>
      <c r="AA928" t="e">
        <f t="shared" si="76"/>
        <v>#DIV/0!</v>
      </c>
      <c r="AB928" s="1" t="e">
        <f t="shared" si="77"/>
        <v>#DIV/0!</v>
      </c>
    </row>
    <row r="929" spans="11:28" ht="33" customHeight="1">
      <c r="K929" s="38"/>
      <c r="L929" s="38"/>
      <c r="M929" s="38"/>
      <c r="N929" s="38"/>
      <c r="O929" s="38"/>
      <c r="P929" s="38"/>
      <c r="Q929" s="38"/>
      <c r="R929" s="38"/>
      <c r="S929" s="38"/>
      <c r="T929" s="38"/>
      <c r="U929" s="38"/>
      <c r="V929" s="38"/>
      <c r="W929" s="38"/>
      <c r="X929" s="38"/>
      <c r="Y929" s="38"/>
      <c r="Z929" s="38">
        <f t="shared" si="78"/>
        <v>876</v>
      </c>
      <c r="AA929" t="e">
        <f t="shared" si="76"/>
        <v>#DIV/0!</v>
      </c>
      <c r="AB929" s="1" t="e">
        <f t="shared" si="77"/>
        <v>#DIV/0!</v>
      </c>
    </row>
    <row r="930" spans="11:28" ht="33" customHeight="1">
      <c r="K930" s="38"/>
      <c r="L930" s="38"/>
      <c r="M930" s="38"/>
      <c r="N930" s="38"/>
      <c r="O930" s="38"/>
      <c r="P930" s="38"/>
      <c r="Q930" s="38"/>
      <c r="R930" s="38"/>
      <c r="S930" s="38"/>
      <c r="T930" s="38"/>
      <c r="U930" s="38"/>
      <c r="V930" s="38"/>
      <c r="W930" s="38"/>
      <c r="X930" s="38"/>
      <c r="Y930" s="38"/>
      <c r="Z930" s="38">
        <f t="shared" si="78"/>
        <v>877</v>
      </c>
      <c r="AA930" t="e">
        <f t="shared" si="76"/>
        <v>#DIV/0!</v>
      </c>
      <c r="AB930" s="1" t="e">
        <f t="shared" si="77"/>
        <v>#DIV/0!</v>
      </c>
    </row>
    <row r="931" spans="11:28" ht="33" customHeight="1">
      <c r="K931" s="38"/>
      <c r="L931" s="38"/>
      <c r="M931" s="38"/>
      <c r="N931" s="38"/>
      <c r="O931" s="38"/>
      <c r="P931" s="38"/>
      <c r="Q931" s="38"/>
      <c r="R931" s="38"/>
      <c r="S931" s="38"/>
      <c r="T931" s="38"/>
      <c r="U931" s="38"/>
      <c r="V931" s="38"/>
      <c r="W931" s="38"/>
      <c r="X931" s="38"/>
      <c r="Y931" s="38"/>
      <c r="Z931" s="38">
        <f t="shared" si="78"/>
        <v>878</v>
      </c>
      <c r="AA931" t="e">
        <f t="shared" si="76"/>
        <v>#DIV/0!</v>
      </c>
      <c r="AB931" s="1" t="e">
        <f t="shared" si="77"/>
        <v>#DIV/0!</v>
      </c>
    </row>
    <row r="932" spans="11:28" ht="33" customHeight="1">
      <c r="K932" s="38"/>
      <c r="L932" s="38"/>
      <c r="M932" s="38"/>
      <c r="N932" s="38"/>
      <c r="O932" s="38"/>
      <c r="P932" s="38"/>
      <c r="Q932" s="38"/>
      <c r="R932" s="38"/>
      <c r="S932" s="38"/>
      <c r="T932" s="38"/>
      <c r="U932" s="38"/>
      <c r="V932" s="38"/>
      <c r="W932" s="38"/>
      <c r="X932" s="38"/>
      <c r="Y932" s="38"/>
      <c r="Z932" s="38">
        <f t="shared" si="78"/>
        <v>879</v>
      </c>
      <c r="AA932" t="e">
        <f t="shared" si="76"/>
        <v>#DIV/0!</v>
      </c>
      <c r="AB932" s="1" t="e">
        <f t="shared" si="77"/>
        <v>#DIV/0!</v>
      </c>
    </row>
    <row r="933" spans="11:28" ht="33" customHeight="1">
      <c r="K933" s="38"/>
      <c r="L933" s="38"/>
      <c r="M933" s="38"/>
      <c r="N933" s="38"/>
      <c r="O933" s="38"/>
      <c r="P933" s="38"/>
      <c r="Q933" s="38"/>
      <c r="R933" s="38"/>
      <c r="S933" s="38"/>
      <c r="T933" s="38"/>
      <c r="U933" s="38"/>
      <c r="V933" s="38"/>
      <c r="W933" s="38"/>
      <c r="X933" s="38"/>
      <c r="Y933" s="38"/>
      <c r="Z933" s="38">
        <f t="shared" si="78"/>
        <v>880</v>
      </c>
      <c r="AA933" t="e">
        <f t="shared" si="76"/>
        <v>#DIV/0!</v>
      </c>
      <c r="AB933" s="1" t="e">
        <f t="shared" si="77"/>
        <v>#DIV/0!</v>
      </c>
    </row>
    <row r="934" spans="11:28" ht="33" customHeight="1">
      <c r="K934" s="38"/>
      <c r="L934" s="38"/>
      <c r="M934" s="38"/>
      <c r="N934" s="38"/>
      <c r="O934" s="38"/>
      <c r="P934" s="38"/>
      <c r="Q934" s="38"/>
      <c r="R934" s="38"/>
      <c r="S934" s="38"/>
      <c r="T934" s="38"/>
      <c r="U934" s="38"/>
      <c r="V934" s="38"/>
      <c r="W934" s="38"/>
      <c r="X934" s="38"/>
      <c r="Y934" s="38"/>
      <c r="Z934" s="38">
        <f t="shared" si="78"/>
        <v>881</v>
      </c>
      <c r="AA934" t="e">
        <f t="shared" si="76"/>
        <v>#DIV/0!</v>
      </c>
      <c r="AB934" s="1" t="e">
        <f t="shared" si="77"/>
        <v>#DIV/0!</v>
      </c>
    </row>
    <row r="935" spans="11:28" ht="33" customHeight="1">
      <c r="K935" s="38"/>
      <c r="L935" s="38"/>
      <c r="M935" s="38"/>
      <c r="N935" s="38"/>
      <c r="O935" s="38"/>
      <c r="P935" s="38"/>
      <c r="Q935" s="38"/>
      <c r="R935" s="38"/>
      <c r="S935" s="38"/>
      <c r="T935" s="38"/>
      <c r="U935" s="38"/>
      <c r="V935" s="38"/>
      <c r="W935" s="38"/>
      <c r="X935" s="38"/>
      <c r="Y935" s="38"/>
      <c r="Z935" s="38">
        <f t="shared" si="78"/>
        <v>882</v>
      </c>
      <c r="AA935" t="e">
        <f t="shared" si="76"/>
        <v>#DIV/0!</v>
      </c>
      <c r="AB935" s="1" t="e">
        <f t="shared" si="77"/>
        <v>#DIV/0!</v>
      </c>
    </row>
    <row r="936" spans="11:28" ht="33" customHeight="1">
      <c r="K936" s="38"/>
      <c r="L936" s="38"/>
      <c r="M936" s="38"/>
      <c r="N936" s="38"/>
      <c r="O936" s="38"/>
      <c r="P936" s="38"/>
      <c r="Q936" s="38"/>
      <c r="R936" s="38"/>
      <c r="S936" s="38"/>
      <c r="T936" s="38"/>
      <c r="U936" s="38"/>
      <c r="V936" s="38"/>
      <c r="W936" s="38"/>
      <c r="X936" s="38"/>
      <c r="Y936" s="38"/>
      <c r="Z936" s="38">
        <f t="shared" si="78"/>
        <v>883</v>
      </c>
      <c r="AA936" t="e">
        <f t="shared" si="76"/>
        <v>#DIV/0!</v>
      </c>
      <c r="AB936" s="1" t="e">
        <f t="shared" si="77"/>
        <v>#DIV/0!</v>
      </c>
    </row>
    <row r="937" spans="11:28" ht="33" customHeight="1">
      <c r="K937" s="38"/>
      <c r="L937" s="38"/>
      <c r="M937" s="38"/>
      <c r="N937" s="38"/>
      <c r="O937" s="38"/>
      <c r="P937" s="38"/>
      <c r="Q937" s="38"/>
      <c r="R937" s="38"/>
      <c r="S937" s="38"/>
      <c r="T937" s="38"/>
      <c r="U937" s="38"/>
      <c r="V937" s="38"/>
      <c r="W937" s="38"/>
      <c r="X937" s="38"/>
      <c r="Y937" s="38"/>
      <c r="Z937" s="38">
        <f t="shared" si="78"/>
        <v>884</v>
      </c>
      <c r="AA937" t="e">
        <f t="shared" si="76"/>
        <v>#DIV/0!</v>
      </c>
      <c r="AB937" s="1" t="e">
        <f t="shared" si="77"/>
        <v>#DIV/0!</v>
      </c>
    </row>
    <row r="938" spans="11:28" ht="33" customHeight="1">
      <c r="K938" s="38"/>
      <c r="L938" s="38"/>
      <c r="M938" s="38"/>
      <c r="N938" s="38"/>
      <c r="O938" s="38"/>
      <c r="P938" s="38"/>
      <c r="Q938" s="38"/>
      <c r="R938" s="38"/>
      <c r="S938" s="38"/>
      <c r="T938" s="38"/>
      <c r="U938" s="38"/>
      <c r="V938" s="38"/>
      <c r="W938" s="38"/>
      <c r="X938" s="38"/>
      <c r="Y938" s="38"/>
      <c r="Z938" s="38">
        <f t="shared" si="78"/>
        <v>885</v>
      </c>
      <c r="AA938" t="e">
        <f t="shared" si="76"/>
        <v>#DIV/0!</v>
      </c>
      <c r="AB938" s="1" t="e">
        <f t="shared" si="77"/>
        <v>#DIV/0!</v>
      </c>
    </row>
    <row r="939" spans="11:28" ht="33" customHeight="1">
      <c r="K939" s="38"/>
      <c r="L939" s="38"/>
      <c r="M939" s="38"/>
      <c r="N939" s="38"/>
      <c r="O939" s="38"/>
      <c r="P939" s="38"/>
      <c r="Q939" s="38"/>
      <c r="R939" s="38"/>
      <c r="S939" s="38"/>
      <c r="T939" s="38"/>
      <c r="U939" s="38"/>
      <c r="V939" s="38"/>
      <c r="W939" s="38"/>
      <c r="X939" s="38"/>
      <c r="Y939" s="38"/>
      <c r="Z939" s="38">
        <f t="shared" si="78"/>
        <v>886</v>
      </c>
      <c r="AA939" t="e">
        <f t="shared" si="76"/>
        <v>#DIV/0!</v>
      </c>
      <c r="AB939" s="1" t="e">
        <f t="shared" si="77"/>
        <v>#DIV/0!</v>
      </c>
    </row>
    <row r="940" spans="11:28" ht="33" customHeight="1">
      <c r="K940" s="38"/>
      <c r="L940" s="38"/>
      <c r="M940" s="38"/>
      <c r="N940" s="38"/>
      <c r="O940" s="38"/>
      <c r="P940" s="38"/>
      <c r="Q940" s="38"/>
      <c r="R940" s="38"/>
      <c r="S940" s="38"/>
      <c r="T940" s="38"/>
      <c r="U940" s="38"/>
      <c r="V940" s="38"/>
      <c r="W940" s="38"/>
      <c r="X940" s="38"/>
      <c r="Y940" s="38"/>
      <c r="Z940" s="38">
        <f t="shared" si="78"/>
        <v>887</v>
      </c>
      <c r="AA940" t="e">
        <f t="shared" si="76"/>
        <v>#DIV/0!</v>
      </c>
      <c r="AB940" s="1" t="e">
        <f t="shared" si="77"/>
        <v>#DIV/0!</v>
      </c>
    </row>
    <row r="941" spans="11:28" ht="33" customHeight="1">
      <c r="K941" s="38"/>
      <c r="L941" s="38"/>
      <c r="M941" s="38"/>
      <c r="N941" s="38"/>
      <c r="O941" s="38"/>
      <c r="P941" s="38"/>
      <c r="Q941" s="38"/>
      <c r="R941" s="38"/>
      <c r="S941" s="38"/>
      <c r="T941" s="38"/>
      <c r="U941" s="38"/>
      <c r="V941" s="38"/>
      <c r="W941" s="38"/>
      <c r="X941" s="38"/>
      <c r="Y941" s="38"/>
      <c r="Z941" s="38">
        <f t="shared" si="78"/>
        <v>888</v>
      </c>
      <c r="AA941" t="e">
        <f t="shared" si="76"/>
        <v>#DIV/0!</v>
      </c>
      <c r="AB941" s="1" t="e">
        <f t="shared" si="77"/>
        <v>#DIV/0!</v>
      </c>
    </row>
    <row r="942" spans="11:28" ht="33" customHeight="1">
      <c r="K942" s="38"/>
      <c r="L942" s="38"/>
      <c r="M942" s="38"/>
      <c r="N942" s="38"/>
      <c r="O942" s="38"/>
      <c r="P942" s="38"/>
      <c r="Q942" s="38"/>
      <c r="R942" s="38"/>
      <c r="S942" s="38"/>
      <c r="T942" s="38"/>
      <c r="U942" s="38"/>
      <c r="V942" s="38"/>
      <c r="W942" s="38"/>
      <c r="X942" s="38"/>
      <c r="Y942" s="38"/>
      <c r="Z942" s="38">
        <f t="shared" si="78"/>
        <v>889</v>
      </c>
      <c r="AA942" t="e">
        <f t="shared" si="76"/>
        <v>#DIV/0!</v>
      </c>
      <c r="AB942" s="1" t="e">
        <f t="shared" si="77"/>
        <v>#DIV/0!</v>
      </c>
    </row>
    <row r="943" spans="11:28" ht="33" customHeight="1">
      <c r="K943" s="38"/>
      <c r="L943" s="38"/>
      <c r="M943" s="38"/>
      <c r="N943" s="38"/>
      <c r="O943" s="38"/>
      <c r="P943" s="38"/>
      <c r="Q943" s="38"/>
      <c r="R943" s="38"/>
      <c r="S943" s="38"/>
      <c r="T943" s="38"/>
      <c r="U943" s="38"/>
      <c r="V943" s="38"/>
      <c r="W943" s="38"/>
      <c r="X943" s="38"/>
      <c r="Y943" s="38"/>
      <c r="Z943" s="38">
        <f t="shared" si="78"/>
        <v>890</v>
      </c>
      <c r="AA943" t="e">
        <f t="shared" si="76"/>
        <v>#DIV/0!</v>
      </c>
      <c r="AB943" s="1" t="e">
        <f t="shared" si="77"/>
        <v>#DIV/0!</v>
      </c>
    </row>
    <row r="944" spans="11:28" ht="33" customHeight="1">
      <c r="K944" s="38"/>
      <c r="L944" s="38"/>
      <c r="M944" s="38"/>
      <c r="N944" s="38"/>
      <c r="O944" s="38"/>
      <c r="P944" s="38"/>
      <c r="Q944" s="38"/>
      <c r="R944" s="38"/>
      <c r="S944" s="38"/>
      <c r="T944" s="38"/>
      <c r="U944" s="38"/>
      <c r="V944" s="38"/>
      <c r="W944" s="38"/>
      <c r="X944" s="38"/>
      <c r="Y944" s="38"/>
      <c r="Z944" s="38">
        <f t="shared" si="78"/>
        <v>891</v>
      </c>
      <c r="AA944" t="e">
        <f t="shared" si="76"/>
        <v>#DIV/0!</v>
      </c>
      <c r="AB944" s="1" t="e">
        <f t="shared" si="77"/>
        <v>#DIV/0!</v>
      </c>
    </row>
    <row r="945" spans="11:28" ht="33" customHeight="1">
      <c r="K945" s="38"/>
      <c r="L945" s="38"/>
      <c r="M945" s="38"/>
      <c r="N945" s="38"/>
      <c r="O945" s="38"/>
      <c r="P945" s="38"/>
      <c r="Q945" s="38"/>
      <c r="R945" s="38"/>
      <c r="S945" s="38"/>
      <c r="T945" s="38"/>
      <c r="U945" s="38"/>
      <c r="V945" s="38"/>
      <c r="W945" s="38"/>
      <c r="X945" s="38"/>
      <c r="Y945" s="38"/>
      <c r="Z945" s="38">
        <f t="shared" si="78"/>
        <v>892</v>
      </c>
      <c r="AA945" t="e">
        <f t="shared" si="76"/>
        <v>#DIV/0!</v>
      </c>
      <c r="AB945" s="1" t="e">
        <f t="shared" si="77"/>
        <v>#DIV/0!</v>
      </c>
    </row>
    <row r="946" spans="11:28" ht="33" customHeight="1">
      <c r="K946" s="38"/>
      <c r="L946" s="38"/>
      <c r="M946" s="38"/>
      <c r="N946" s="38"/>
      <c r="O946" s="38"/>
      <c r="P946" s="38"/>
      <c r="Q946" s="38"/>
      <c r="R946" s="38"/>
      <c r="S946" s="38"/>
      <c r="T946" s="38"/>
      <c r="U946" s="38"/>
      <c r="V946" s="38"/>
      <c r="W946" s="38"/>
      <c r="X946" s="38"/>
      <c r="Y946" s="38"/>
      <c r="Z946" s="38">
        <f t="shared" si="78"/>
        <v>893</v>
      </c>
      <c r="AA946" t="e">
        <f t="shared" si="76"/>
        <v>#DIV/0!</v>
      </c>
      <c r="AB946" s="1" t="e">
        <f t="shared" si="77"/>
        <v>#DIV/0!</v>
      </c>
    </row>
    <row r="947" spans="11:28" ht="33" customHeight="1">
      <c r="K947" s="38"/>
      <c r="L947" s="38"/>
      <c r="M947" s="38"/>
      <c r="N947" s="38"/>
      <c r="O947" s="38"/>
      <c r="P947" s="38"/>
      <c r="Q947" s="38"/>
      <c r="R947" s="38"/>
      <c r="S947" s="38"/>
      <c r="T947" s="38"/>
      <c r="U947" s="38"/>
      <c r="V947" s="38"/>
      <c r="W947" s="38"/>
      <c r="X947" s="38"/>
      <c r="Y947" s="38"/>
      <c r="Z947" s="38">
        <f t="shared" si="78"/>
        <v>894</v>
      </c>
      <c r="AA947" t="e">
        <f t="shared" si="76"/>
        <v>#DIV/0!</v>
      </c>
      <c r="AB947" s="1" t="e">
        <f t="shared" si="77"/>
        <v>#DIV/0!</v>
      </c>
    </row>
    <row r="948" spans="11:28" ht="33" customHeight="1">
      <c r="K948" s="38"/>
      <c r="L948" s="38"/>
      <c r="M948" s="38"/>
      <c r="N948" s="38"/>
      <c r="O948" s="38"/>
      <c r="P948" s="38"/>
      <c r="Q948" s="38"/>
      <c r="R948" s="38"/>
      <c r="S948" s="38"/>
      <c r="T948" s="38"/>
      <c r="U948" s="38"/>
      <c r="V948" s="38"/>
      <c r="W948" s="38"/>
      <c r="X948" s="38"/>
      <c r="Y948" s="38"/>
      <c r="Z948" s="38">
        <f t="shared" si="78"/>
        <v>895</v>
      </c>
      <c r="AA948" t="e">
        <f t="shared" si="76"/>
        <v>#DIV/0!</v>
      </c>
      <c r="AB948" s="1" t="e">
        <f t="shared" si="77"/>
        <v>#DIV/0!</v>
      </c>
    </row>
    <row r="949" spans="11:28" ht="33" customHeight="1">
      <c r="K949" s="38"/>
      <c r="L949" s="38"/>
      <c r="M949" s="38"/>
      <c r="N949" s="38"/>
      <c r="O949" s="38"/>
      <c r="P949" s="38"/>
      <c r="Q949" s="38"/>
      <c r="R949" s="38"/>
      <c r="S949" s="38"/>
      <c r="T949" s="38"/>
      <c r="U949" s="38"/>
      <c r="V949" s="38"/>
      <c r="W949" s="38"/>
      <c r="X949" s="38"/>
      <c r="Y949" s="38"/>
      <c r="Z949" s="38">
        <f t="shared" si="78"/>
        <v>896</v>
      </c>
      <c r="AA949" t="e">
        <f t="shared" si="76"/>
        <v>#DIV/0!</v>
      </c>
      <c r="AB949" s="1" t="e">
        <f t="shared" si="77"/>
        <v>#DIV/0!</v>
      </c>
    </row>
    <row r="950" spans="11:28" ht="33" customHeight="1">
      <c r="K950" s="38"/>
      <c r="L950" s="38"/>
      <c r="M950" s="38"/>
      <c r="N950" s="38"/>
      <c r="O950" s="38"/>
      <c r="P950" s="38"/>
      <c r="Q950" s="38"/>
      <c r="R950" s="38"/>
      <c r="S950" s="38"/>
      <c r="T950" s="38"/>
      <c r="U950" s="38"/>
      <c r="V950" s="38"/>
      <c r="W950" s="38"/>
      <c r="X950" s="38"/>
      <c r="Y950" s="38"/>
      <c r="Z950" s="38">
        <f t="shared" si="78"/>
        <v>897</v>
      </c>
      <c r="AA950" t="e">
        <f t="shared" si="76"/>
        <v>#DIV/0!</v>
      </c>
      <c r="AB950" s="1" t="e">
        <f t="shared" si="77"/>
        <v>#DIV/0!</v>
      </c>
    </row>
    <row r="951" spans="11:28" ht="33" customHeight="1">
      <c r="K951" s="38"/>
      <c r="L951" s="38"/>
      <c r="M951" s="38"/>
      <c r="N951" s="38"/>
      <c r="O951" s="38"/>
      <c r="P951" s="38"/>
      <c r="Q951" s="38"/>
      <c r="R951" s="38"/>
      <c r="S951" s="38"/>
      <c r="T951" s="38"/>
      <c r="U951" s="38"/>
      <c r="V951" s="38"/>
      <c r="W951" s="38"/>
      <c r="X951" s="38"/>
      <c r="Y951" s="38"/>
      <c r="Z951" s="38">
        <f t="shared" si="78"/>
        <v>898</v>
      </c>
      <c r="AA951" t="e">
        <f t="shared" si="76"/>
        <v>#DIV/0!</v>
      </c>
      <c r="AB951" s="1" t="e">
        <f t="shared" si="77"/>
        <v>#DIV/0!</v>
      </c>
    </row>
    <row r="952" spans="11:28" ht="33" customHeight="1">
      <c r="K952" s="38"/>
      <c r="L952" s="38"/>
      <c r="M952" s="38"/>
      <c r="N952" s="38"/>
      <c r="O952" s="38"/>
      <c r="P952" s="38"/>
      <c r="Q952" s="38"/>
      <c r="R952" s="38"/>
      <c r="S952" s="38"/>
      <c r="T952" s="38"/>
      <c r="U952" s="38"/>
      <c r="V952" s="38"/>
      <c r="W952" s="38"/>
      <c r="X952" s="38"/>
      <c r="Y952" s="38"/>
      <c r="Z952" s="38">
        <f t="shared" si="78"/>
        <v>899</v>
      </c>
      <c r="AA952" t="e">
        <f t="shared" si="76"/>
        <v>#DIV/0!</v>
      </c>
      <c r="AB952" s="1" t="e">
        <f t="shared" si="77"/>
        <v>#DIV/0!</v>
      </c>
    </row>
    <row r="953" spans="11:28" ht="33" customHeight="1">
      <c r="K953" s="38"/>
      <c r="L953" s="38"/>
      <c r="M953" s="38"/>
      <c r="N953" s="38"/>
      <c r="O953" s="38"/>
      <c r="P953" s="38"/>
      <c r="Q953" s="38"/>
      <c r="R953" s="38"/>
      <c r="S953" s="38"/>
      <c r="T953" s="38"/>
      <c r="U953" s="38"/>
      <c r="V953" s="38"/>
      <c r="W953" s="38"/>
      <c r="X953" s="38"/>
      <c r="Y953" s="38"/>
      <c r="Z953" s="38">
        <f t="shared" si="78"/>
        <v>900</v>
      </c>
      <c r="AA953" t="e">
        <f t="shared" si="76"/>
        <v>#DIV/0!</v>
      </c>
      <c r="AB953" s="1" t="e">
        <f t="shared" si="77"/>
        <v>#DIV/0!</v>
      </c>
    </row>
    <row r="954" spans="11:28" ht="33" customHeight="1">
      <c r="K954" s="38"/>
      <c r="L954" s="38"/>
      <c r="M954" s="38"/>
      <c r="N954" s="38"/>
      <c r="O954" s="38"/>
      <c r="P954" s="38"/>
      <c r="Q954" s="38"/>
      <c r="R954" s="38"/>
      <c r="S954" s="38"/>
      <c r="T954" s="38"/>
      <c r="U954" s="38"/>
      <c r="V954" s="38"/>
      <c r="W954" s="38"/>
      <c r="X954" s="38"/>
      <c r="Y954" s="38"/>
      <c r="Z954" s="38">
        <f t="shared" si="78"/>
        <v>901</v>
      </c>
      <c r="AA954" t="e">
        <f t="shared" si="76"/>
        <v>#DIV/0!</v>
      </c>
      <c r="AB954" s="1" t="e">
        <f t="shared" si="77"/>
        <v>#DIV/0!</v>
      </c>
    </row>
    <row r="955" spans="11:28" ht="33" customHeight="1">
      <c r="K955" s="38"/>
      <c r="L955" s="38"/>
      <c r="M955" s="38"/>
      <c r="N955" s="38"/>
      <c r="O955" s="38"/>
      <c r="P955" s="38"/>
      <c r="Q955" s="38"/>
      <c r="R955" s="38"/>
      <c r="S955" s="38"/>
      <c r="T955" s="38"/>
      <c r="U955" s="38"/>
      <c r="V955" s="38"/>
      <c r="W955" s="38"/>
      <c r="X955" s="38"/>
      <c r="Y955" s="38"/>
      <c r="Z955" s="38">
        <f t="shared" si="78"/>
        <v>902</v>
      </c>
      <c r="AA955" t="e">
        <f t="shared" si="76"/>
        <v>#DIV/0!</v>
      </c>
      <c r="AB955" s="1" t="e">
        <f t="shared" si="77"/>
        <v>#DIV/0!</v>
      </c>
    </row>
    <row r="956" spans="11:28" ht="33" customHeight="1">
      <c r="K956" s="38"/>
      <c r="L956" s="38"/>
      <c r="M956" s="38"/>
      <c r="N956" s="38"/>
      <c r="O956" s="38"/>
      <c r="P956" s="38"/>
      <c r="Q956" s="38"/>
      <c r="R956" s="38"/>
      <c r="S956" s="38"/>
      <c r="T956" s="38"/>
      <c r="U956" s="38"/>
      <c r="V956" s="38"/>
      <c r="W956" s="38"/>
      <c r="X956" s="38"/>
      <c r="Y956" s="38"/>
      <c r="Z956" s="38">
        <f t="shared" si="78"/>
        <v>903</v>
      </c>
      <c r="AA956" t="e">
        <f t="shared" si="76"/>
        <v>#DIV/0!</v>
      </c>
      <c r="AB956" s="1" t="e">
        <f t="shared" si="77"/>
        <v>#DIV/0!</v>
      </c>
    </row>
    <row r="957" spans="11:28" ht="33" customHeight="1">
      <c r="K957" s="38"/>
      <c r="L957" s="38"/>
      <c r="M957" s="38"/>
      <c r="N957" s="38"/>
      <c r="O957" s="38"/>
      <c r="P957" s="38"/>
      <c r="Q957" s="38"/>
      <c r="R957" s="38"/>
      <c r="S957" s="38"/>
      <c r="T957" s="38"/>
      <c r="U957" s="38"/>
      <c r="V957" s="38"/>
      <c r="W957" s="38"/>
      <c r="X957" s="38"/>
      <c r="Y957" s="38"/>
      <c r="Z957" s="38">
        <f t="shared" si="78"/>
        <v>904</v>
      </c>
      <c r="AA957" t="e">
        <f t="shared" si="76"/>
        <v>#DIV/0!</v>
      </c>
      <c r="AB957" s="1" t="e">
        <f t="shared" si="77"/>
        <v>#DIV/0!</v>
      </c>
    </row>
    <row r="958" spans="11:28" ht="33" customHeight="1">
      <c r="K958" s="38"/>
      <c r="L958" s="38"/>
      <c r="M958" s="38"/>
      <c r="N958" s="38"/>
      <c r="O958" s="38"/>
      <c r="P958" s="38"/>
      <c r="Q958" s="38"/>
      <c r="R958" s="38"/>
      <c r="S958" s="38"/>
      <c r="T958" s="38"/>
      <c r="U958" s="38"/>
      <c r="V958" s="38"/>
      <c r="W958" s="38"/>
      <c r="X958" s="38"/>
      <c r="Y958" s="38"/>
      <c r="Z958" s="38">
        <f t="shared" si="78"/>
        <v>905</v>
      </c>
      <c r="AA958" t="e">
        <f t="shared" si="76"/>
        <v>#DIV/0!</v>
      </c>
      <c r="AB958" s="1" t="e">
        <f t="shared" si="77"/>
        <v>#DIV/0!</v>
      </c>
    </row>
    <row r="959" spans="11:28" ht="33" customHeight="1">
      <c r="K959" s="38"/>
      <c r="L959" s="38"/>
      <c r="M959" s="38"/>
      <c r="N959" s="38"/>
      <c r="O959" s="38"/>
      <c r="P959" s="38"/>
      <c r="Q959" s="38"/>
      <c r="R959" s="38"/>
      <c r="S959" s="38"/>
      <c r="T959" s="38"/>
      <c r="U959" s="38"/>
      <c r="V959" s="38"/>
      <c r="W959" s="38"/>
      <c r="X959" s="38"/>
      <c r="Y959" s="38"/>
      <c r="Z959" s="38">
        <f t="shared" si="78"/>
        <v>906</v>
      </c>
      <c r="AA959" t="e">
        <f t="shared" si="76"/>
        <v>#DIV/0!</v>
      </c>
      <c r="AB959" s="1" t="e">
        <f t="shared" si="77"/>
        <v>#DIV/0!</v>
      </c>
    </row>
    <row r="960" spans="11:28" ht="33" customHeight="1">
      <c r="K960" s="38"/>
      <c r="L960" s="38"/>
      <c r="M960" s="38"/>
      <c r="N960" s="38"/>
      <c r="O960" s="38"/>
      <c r="P960" s="38"/>
      <c r="Q960" s="38"/>
      <c r="R960" s="38"/>
      <c r="S960" s="38"/>
      <c r="T960" s="38"/>
      <c r="U960" s="38"/>
      <c r="V960" s="38"/>
      <c r="W960" s="38"/>
      <c r="X960" s="38"/>
      <c r="Y960" s="38"/>
      <c r="Z960" s="38">
        <f t="shared" si="78"/>
        <v>907</v>
      </c>
      <c r="AA960" t="e">
        <f t="shared" si="76"/>
        <v>#DIV/0!</v>
      </c>
      <c r="AB960" s="1" t="e">
        <f t="shared" si="77"/>
        <v>#DIV/0!</v>
      </c>
    </row>
    <row r="961" spans="11:28" ht="33" customHeight="1">
      <c r="K961" s="38"/>
      <c r="L961" s="38"/>
      <c r="M961" s="38"/>
      <c r="N961" s="38"/>
      <c r="O961" s="38"/>
      <c r="P961" s="38"/>
      <c r="Q961" s="38"/>
      <c r="R961" s="38"/>
      <c r="S961" s="38"/>
      <c r="T961" s="38"/>
      <c r="U961" s="38"/>
      <c r="V961" s="38"/>
      <c r="W961" s="38"/>
      <c r="X961" s="38"/>
      <c r="Y961" s="38"/>
      <c r="Z961" s="38">
        <f t="shared" si="78"/>
        <v>908</v>
      </c>
      <c r="AA961" t="e">
        <f t="shared" si="76"/>
        <v>#DIV/0!</v>
      </c>
      <c r="AB961" s="1" t="e">
        <f t="shared" si="77"/>
        <v>#DIV/0!</v>
      </c>
    </row>
    <row r="962" spans="11:28" ht="33" customHeight="1">
      <c r="K962" s="38"/>
      <c r="L962" s="38"/>
      <c r="M962" s="38"/>
      <c r="N962" s="38"/>
      <c r="O962" s="38"/>
      <c r="P962" s="38"/>
      <c r="Q962" s="38"/>
      <c r="R962" s="38"/>
      <c r="S962" s="38"/>
      <c r="T962" s="38"/>
      <c r="U962" s="38"/>
      <c r="V962" s="38"/>
      <c r="W962" s="38"/>
      <c r="X962" s="38"/>
      <c r="Y962" s="38"/>
      <c r="Z962" s="38">
        <f t="shared" si="78"/>
        <v>909</v>
      </c>
      <c r="AA962" t="e">
        <f t="shared" si="76"/>
        <v>#DIV/0!</v>
      </c>
      <c r="AB962" s="1" t="e">
        <f t="shared" si="77"/>
        <v>#DIV/0!</v>
      </c>
    </row>
    <row r="963" spans="11:28" ht="33" customHeight="1">
      <c r="K963" s="38"/>
      <c r="L963" s="38"/>
      <c r="M963" s="38"/>
      <c r="N963" s="38"/>
      <c r="O963" s="38"/>
      <c r="P963" s="38"/>
      <c r="Q963" s="38"/>
      <c r="R963" s="38"/>
      <c r="S963" s="38"/>
      <c r="T963" s="38"/>
      <c r="U963" s="38"/>
      <c r="V963" s="38"/>
      <c r="W963" s="38"/>
      <c r="X963" s="38"/>
      <c r="Y963" s="38"/>
      <c r="Z963" s="38">
        <f t="shared" si="78"/>
        <v>910</v>
      </c>
      <c r="AA963" t="e">
        <f t="shared" si="76"/>
        <v>#DIV/0!</v>
      </c>
      <c r="AB963" s="1" t="e">
        <f t="shared" si="77"/>
        <v>#DIV/0!</v>
      </c>
    </row>
    <row r="964" spans="11:28" ht="33" customHeight="1">
      <c r="K964" s="38"/>
      <c r="L964" s="38"/>
      <c r="M964" s="38"/>
      <c r="N964" s="38"/>
      <c r="O964" s="38"/>
      <c r="P964" s="38"/>
      <c r="Q964" s="38"/>
      <c r="R964" s="38"/>
      <c r="S964" s="38"/>
      <c r="T964" s="38"/>
      <c r="U964" s="38"/>
      <c r="V964" s="38"/>
      <c r="W964" s="38"/>
      <c r="X964" s="38"/>
      <c r="Y964" s="38"/>
      <c r="Z964" s="38">
        <f t="shared" si="78"/>
        <v>911</v>
      </c>
      <c r="AA964" t="e">
        <f t="shared" si="76"/>
        <v>#DIV/0!</v>
      </c>
      <c r="AB964" s="1" t="e">
        <f t="shared" si="77"/>
        <v>#DIV/0!</v>
      </c>
    </row>
    <row r="965" spans="11:28" ht="33" customHeight="1">
      <c r="K965" s="38"/>
      <c r="L965" s="38"/>
      <c r="M965" s="38"/>
      <c r="N965" s="38"/>
      <c r="O965" s="38"/>
      <c r="P965" s="38"/>
      <c r="Q965" s="38"/>
      <c r="R965" s="38"/>
      <c r="S965" s="38"/>
      <c r="T965" s="38"/>
      <c r="U965" s="38"/>
      <c r="V965" s="38"/>
      <c r="W965" s="38"/>
      <c r="X965" s="38"/>
      <c r="Y965" s="38"/>
      <c r="Z965" s="38">
        <f t="shared" si="78"/>
        <v>912</v>
      </c>
      <c r="AA965" t="e">
        <f t="shared" si="76"/>
        <v>#DIV/0!</v>
      </c>
      <c r="AB965" s="1" t="e">
        <f t="shared" si="77"/>
        <v>#DIV/0!</v>
      </c>
    </row>
    <row r="966" spans="11:28" ht="33" customHeight="1">
      <c r="K966" s="38"/>
      <c r="L966" s="38"/>
      <c r="M966" s="38"/>
      <c r="N966" s="38"/>
      <c r="O966" s="38"/>
      <c r="P966" s="38"/>
      <c r="Q966" s="38"/>
      <c r="R966" s="38"/>
      <c r="S966" s="38"/>
      <c r="T966" s="38"/>
      <c r="U966" s="38"/>
      <c r="V966" s="38"/>
      <c r="W966" s="38"/>
      <c r="X966" s="38"/>
      <c r="Y966" s="38"/>
      <c r="Z966" s="38">
        <f t="shared" si="78"/>
        <v>913</v>
      </c>
      <c r="AA966" t="e">
        <f t="shared" si="76"/>
        <v>#DIV/0!</v>
      </c>
      <c r="AB966" s="1" t="e">
        <f t="shared" si="77"/>
        <v>#DIV/0!</v>
      </c>
    </row>
    <row r="967" spans="11:28" ht="33" customHeight="1">
      <c r="K967" s="38"/>
      <c r="L967" s="38"/>
      <c r="M967" s="38"/>
      <c r="N967" s="38"/>
      <c r="O967" s="38"/>
      <c r="P967" s="38"/>
      <c r="Q967" s="38"/>
      <c r="R967" s="38"/>
      <c r="S967" s="38"/>
      <c r="T967" s="38"/>
      <c r="U967" s="38"/>
      <c r="V967" s="38"/>
      <c r="W967" s="38"/>
      <c r="X967" s="38"/>
      <c r="Y967" s="38"/>
      <c r="Z967" s="38">
        <f t="shared" si="78"/>
        <v>914</v>
      </c>
      <c r="AA967" t="e">
        <f t="shared" si="76"/>
        <v>#DIV/0!</v>
      </c>
      <c r="AB967" s="1" t="e">
        <f t="shared" si="77"/>
        <v>#DIV/0!</v>
      </c>
    </row>
    <row r="968" spans="11:28" ht="33" customHeight="1">
      <c r="K968" s="38"/>
      <c r="L968" s="38"/>
      <c r="M968" s="38"/>
      <c r="N968" s="38"/>
      <c r="O968" s="38"/>
      <c r="P968" s="38"/>
      <c r="Q968" s="38"/>
      <c r="R968" s="38"/>
      <c r="S968" s="38"/>
      <c r="T968" s="38"/>
      <c r="U968" s="38"/>
      <c r="V968" s="38"/>
      <c r="W968" s="38"/>
      <c r="X968" s="38"/>
      <c r="Y968" s="38"/>
      <c r="Z968" s="38">
        <f t="shared" si="78"/>
        <v>915</v>
      </c>
      <c r="AA968" t="e">
        <f t="shared" si="76"/>
        <v>#DIV/0!</v>
      </c>
      <c r="AB968" s="1" t="e">
        <f t="shared" si="77"/>
        <v>#DIV/0!</v>
      </c>
    </row>
    <row r="969" spans="11:28" ht="33" customHeight="1">
      <c r="K969" s="38"/>
      <c r="L969" s="38"/>
      <c r="M969" s="38"/>
      <c r="N969" s="38"/>
      <c r="O969" s="38"/>
      <c r="P969" s="38"/>
      <c r="Q969" s="38"/>
      <c r="R969" s="38"/>
      <c r="S969" s="38"/>
      <c r="T969" s="38"/>
      <c r="U969" s="38"/>
      <c r="V969" s="38"/>
      <c r="W969" s="38"/>
      <c r="X969" s="38"/>
      <c r="Y969" s="38"/>
      <c r="Z969" s="38">
        <f t="shared" si="78"/>
        <v>916</v>
      </c>
      <c r="AA969" t="e">
        <f t="shared" si="76"/>
        <v>#DIV/0!</v>
      </c>
      <c r="AB969" s="1" t="e">
        <f t="shared" si="77"/>
        <v>#DIV/0!</v>
      </c>
    </row>
    <row r="970" spans="11:28" ht="33" customHeight="1">
      <c r="K970" s="38"/>
      <c r="L970" s="38"/>
      <c r="M970" s="38"/>
      <c r="N970" s="38"/>
      <c r="O970" s="38"/>
      <c r="P970" s="38"/>
      <c r="Q970" s="38"/>
      <c r="R970" s="38"/>
      <c r="S970" s="38"/>
      <c r="T970" s="38"/>
      <c r="U970" s="38"/>
      <c r="V970" s="38"/>
      <c r="W970" s="38"/>
      <c r="X970" s="38"/>
      <c r="Y970" s="38"/>
      <c r="Z970" s="38">
        <f t="shared" si="78"/>
        <v>917</v>
      </c>
      <c r="AA970" t="e">
        <f t="shared" si="76"/>
        <v>#DIV/0!</v>
      </c>
      <c r="AB970" s="1" t="e">
        <f t="shared" si="77"/>
        <v>#DIV/0!</v>
      </c>
    </row>
    <row r="971" spans="11:28" ht="33" customHeight="1">
      <c r="K971" s="38"/>
      <c r="L971" s="38"/>
      <c r="M971" s="38"/>
      <c r="N971" s="38"/>
      <c r="O971" s="38"/>
      <c r="P971" s="38"/>
      <c r="Q971" s="38"/>
      <c r="R971" s="38"/>
      <c r="S971" s="38"/>
      <c r="T971" s="38"/>
      <c r="U971" s="38"/>
      <c r="V971" s="38"/>
      <c r="W971" s="38"/>
      <c r="X971" s="38"/>
      <c r="Y971" s="38"/>
      <c r="Z971" s="38">
        <f t="shared" si="78"/>
        <v>918</v>
      </c>
      <c r="AA971" t="e">
        <f t="shared" ref="AA971:AA1034" si="79">IF(AB971=Z971,1,0)</f>
        <v>#DIV/0!</v>
      </c>
      <c r="AB971" s="1" t="e">
        <f t="shared" ref="AB971:AB1034" si="80">$AB$8</f>
        <v>#DIV/0!</v>
      </c>
    </row>
    <row r="972" spans="11:28" ht="33" customHeight="1">
      <c r="K972" s="38"/>
      <c r="L972" s="38"/>
      <c r="M972" s="38"/>
      <c r="N972" s="38"/>
      <c r="O972" s="38"/>
      <c r="P972" s="38"/>
      <c r="Q972" s="38"/>
      <c r="R972" s="38"/>
      <c r="S972" s="38"/>
      <c r="T972" s="38"/>
      <c r="U972" s="38"/>
      <c r="V972" s="38"/>
      <c r="W972" s="38"/>
      <c r="X972" s="38"/>
      <c r="Y972" s="38"/>
      <c r="Z972" s="38">
        <f t="shared" ref="Z972:Z1035" si="81">Z971+1</f>
        <v>919</v>
      </c>
      <c r="AA972" t="e">
        <f t="shared" si="79"/>
        <v>#DIV/0!</v>
      </c>
      <c r="AB972" s="1" t="e">
        <f t="shared" si="80"/>
        <v>#DIV/0!</v>
      </c>
    </row>
    <row r="973" spans="11:28" ht="33" customHeight="1">
      <c r="K973" s="38"/>
      <c r="L973" s="38"/>
      <c r="M973" s="38"/>
      <c r="N973" s="38"/>
      <c r="O973" s="38"/>
      <c r="P973" s="38"/>
      <c r="Q973" s="38"/>
      <c r="R973" s="38"/>
      <c r="S973" s="38"/>
      <c r="T973" s="38"/>
      <c r="U973" s="38"/>
      <c r="V973" s="38"/>
      <c r="W973" s="38"/>
      <c r="X973" s="38"/>
      <c r="Y973" s="38"/>
      <c r="Z973" s="38">
        <f t="shared" si="81"/>
        <v>920</v>
      </c>
      <c r="AA973" t="e">
        <f t="shared" si="79"/>
        <v>#DIV/0!</v>
      </c>
      <c r="AB973" s="1" t="e">
        <f t="shared" si="80"/>
        <v>#DIV/0!</v>
      </c>
    </row>
    <row r="974" spans="11:28" ht="33" customHeight="1">
      <c r="K974" s="38"/>
      <c r="L974" s="38"/>
      <c r="M974" s="38"/>
      <c r="N974" s="38"/>
      <c r="O974" s="38"/>
      <c r="P974" s="38"/>
      <c r="Q974" s="38"/>
      <c r="R974" s="38"/>
      <c r="S974" s="38"/>
      <c r="T974" s="38"/>
      <c r="U974" s="38"/>
      <c r="V974" s="38"/>
      <c r="W974" s="38"/>
      <c r="X974" s="38"/>
      <c r="Y974" s="38"/>
      <c r="Z974" s="38">
        <f t="shared" si="81"/>
        <v>921</v>
      </c>
      <c r="AA974" t="e">
        <f t="shared" si="79"/>
        <v>#DIV/0!</v>
      </c>
      <c r="AB974" s="1" t="e">
        <f t="shared" si="80"/>
        <v>#DIV/0!</v>
      </c>
    </row>
    <row r="975" spans="11:28" ht="33" customHeight="1">
      <c r="K975" s="38"/>
      <c r="L975" s="38"/>
      <c r="M975" s="38"/>
      <c r="N975" s="38"/>
      <c r="O975" s="38"/>
      <c r="P975" s="38"/>
      <c r="Q975" s="38"/>
      <c r="R975" s="38"/>
      <c r="S975" s="38"/>
      <c r="T975" s="38"/>
      <c r="U975" s="38"/>
      <c r="V975" s="38"/>
      <c r="W975" s="38"/>
      <c r="X975" s="38"/>
      <c r="Y975" s="38"/>
      <c r="Z975" s="38">
        <f t="shared" si="81"/>
        <v>922</v>
      </c>
      <c r="AA975" t="e">
        <f t="shared" si="79"/>
        <v>#DIV/0!</v>
      </c>
      <c r="AB975" s="1" t="e">
        <f t="shared" si="80"/>
        <v>#DIV/0!</v>
      </c>
    </row>
    <row r="976" spans="11:28" ht="33" customHeight="1">
      <c r="K976" s="38"/>
      <c r="L976" s="38"/>
      <c r="M976" s="38"/>
      <c r="N976" s="38"/>
      <c r="O976" s="38"/>
      <c r="P976" s="38"/>
      <c r="Q976" s="38"/>
      <c r="R976" s="38"/>
      <c r="S976" s="38"/>
      <c r="T976" s="38"/>
      <c r="U976" s="38"/>
      <c r="V976" s="38"/>
      <c r="W976" s="38"/>
      <c r="X976" s="38"/>
      <c r="Y976" s="38"/>
      <c r="Z976" s="38">
        <f t="shared" si="81"/>
        <v>923</v>
      </c>
      <c r="AA976" t="e">
        <f t="shared" si="79"/>
        <v>#DIV/0!</v>
      </c>
      <c r="AB976" s="1" t="e">
        <f t="shared" si="80"/>
        <v>#DIV/0!</v>
      </c>
    </row>
    <row r="977" spans="11:28" ht="33" customHeight="1">
      <c r="K977" s="38"/>
      <c r="L977" s="38"/>
      <c r="M977" s="38"/>
      <c r="N977" s="38"/>
      <c r="O977" s="38"/>
      <c r="P977" s="38"/>
      <c r="Q977" s="38"/>
      <c r="R977" s="38"/>
      <c r="S977" s="38"/>
      <c r="T977" s="38"/>
      <c r="U977" s="38"/>
      <c r="V977" s="38"/>
      <c r="W977" s="38"/>
      <c r="X977" s="38"/>
      <c r="Y977" s="38"/>
      <c r="Z977" s="38">
        <f t="shared" si="81"/>
        <v>924</v>
      </c>
      <c r="AA977" t="e">
        <f t="shared" si="79"/>
        <v>#DIV/0!</v>
      </c>
      <c r="AB977" s="1" t="e">
        <f t="shared" si="80"/>
        <v>#DIV/0!</v>
      </c>
    </row>
    <row r="978" spans="11:28" ht="33" customHeight="1">
      <c r="K978" s="38"/>
      <c r="L978" s="38"/>
      <c r="M978" s="38"/>
      <c r="N978" s="38"/>
      <c r="O978" s="38"/>
      <c r="P978" s="38"/>
      <c r="Q978" s="38"/>
      <c r="R978" s="38"/>
      <c r="S978" s="38"/>
      <c r="T978" s="38"/>
      <c r="U978" s="38"/>
      <c r="V978" s="38"/>
      <c r="W978" s="38"/>
      <c r="X978" s="38"/>
      <c r="Y978" s="38"/>
      <c r="Z978" s="38">
        <f t="shared" si="81"/>
        <v>925</v>
      </c>
      <c r="AA978" t="e">
        <f t="shared" si="79"/>
        <v>#DIV/0!</v>
      </c>
      <c r="AB978" s="1" t="e">
        <f t="shared" si="80"/>
        <v>#DIV/0!</v>
      </c>
    </row>
    <row r="979" spans="11:28" ht="33" customHeight="1">
      <c r="K979" s="38"/>
      <c r="L979" s="38"/>
      <c r="M979" s="38"/>
      <c r="N979" s="38"/>
      <c r="O979" s="38"/>
      <c r="P979" s="38"/>
      <c r="Q979" s="38"/>
      <c r="R979" s="38"/>
      <c r="S979" s="38"/>
      <c r="T979" s="38"/>
      <c r="U979" s="38"/>
      <c r="V979" s="38"/>
      <c r="W979" s="38"/>
      <c r="X979" s="38"/>
      <c r="Y979" s="38"/>
      <c r="Z979" s="38">
        <f t="shared" si="81"/>
        <v>926</v>
      </c>
      <c r="AA979" t="e">
        <f t="shared" si="79"/>
        <v>#DIV/0!</v>
      </c>
      <c r="AB979" s="1" t="e">
        <f t="shared" si="80"/>
        <v>#DIV/0!</v>
      </c>
    </row>
    <row r="980" spans="11:28" ht="33" customHeight="1">
      <c r="K980" s="38"/>
      <c r="L980" s="38"/>
      <c r="M980" s="38"/>
      <c r="N980" s="38"/>
      <c r="O980" s="38"/>
      <c r="P980" s="38"/>
      <c r="Q980" s="38"/>
      <c r="R980" s="38"/>
      <c r="S980" s="38"/>
      <c r="T980" s="38"/>
      <c r="U980" s="38"/>
      <c r="V980" s="38"/>
      <c r="W980" s="38"/>
      <c r="X980" s="38"/>
      <c r="Y980" s="38"/>
      <c r="Z980" s="38">
        <f t="shared" si="81"/>
        <v>927</v>
      </c>
      <c r="AA980" t="e">
        <f t="shared" si="79"/>
        <v>#DIV/0!</v>
      </c>
      <c r="AB980" s="1" t="e">
        <f t="shared" si="80"/>
        <v>#DIV/0!</v>
      </c>
    </row>
    <row r="981" spans="11:28" ht="33" customHeight="1">
      <c r="K981" s="38"/>
      <c r="L981" s="38"/>
      <c r="M981" s="38"/>
      <c r="N981" s="38"/>
      <c r="O981" s="38"/>
      <c r="P981" s="38"/>
      <c r="Q981" s="38"/>
      <c r="R981" s="38"/>
      <c r="S981" s="38"/>
      <c r="T981" s="38"/>
      <c r="U981" s="38"/>
      <c r="V981" s="38"/>
      <c r="W981" s="38"/>
      <c r="X981" s="38"/>
      <c r="Y981" s="38"/>
      <c r="Z981" s="38">
        <f t="shared" si="81"/>
        <v>928</v>
      </c>
      <c r="AA981" t="e">
        <f t="shared" si="79"/>
        <v>#DIV/0!</v>
      </c>
      <c r="AB981" s="1" t="e">
        <f t="shared" si="80"/>
        <v>#DIV/0!</v>
      </c>
    </row>
    <row r="982" spans="11:28" ht="33" customHeight="1">
      <c r="K982" s="38"/>
      <c r="L982" s="38"/>
      <c r="M982" s="38"/>
      <c r="N982" s="38"/>
      <c r="O982" s="38"/>
      <c r="P982" s="38"/>
      <c r="Q982" s="38"/>
      <c r="R982" s="38"/>
      <c r="S982" s="38"/>
      <c r="T982" s="38"/>
      <c r="U982" s="38"/>
      <c r="V982" s="38"/>
      <c r="W982" s="38"/>
      <c r="X982" s="38"/>
      <c r="Y982" s="38"/>
      <c r="Z982" s="38">
        <f t="shared" si="81"/>
        <v>929</v>
      </c>
      <c r="AA982" t="e">
        <f t="shared" si="79"/>
        <v>#DIV/0!</v>
      </c>
      <c r="AB982" s="1" t="e">
        <f t="shared" si="80"/>
        <v>#DIV/0!</v>
      </c>
    </row>
    <row r="983" spans="11:28" ht="33" customHeight="1">
      <c r="K983" s="38"/>
      <c r="L983" s="38"/>
      <c r="M983" s="38"/>
      <c r="N983" s="38"/>
      <c r="O983" s="38"/>
      <c r="P983" s="38"/>
      <c r="Q983" s="38"/>
      <c r="R983" s="38"/>
      <c r="S983" s="38"/>
      <c r="T983" s="38"/>
      <c r="U983" s="38"/>
      <c r="V983" s="38"/>
      <c r="W983" s="38"/>
      <c r="X983" s="38"/>
      <c r="Y983" s="38"/>
      <c r="Z983" s="38">
        <f t="shared" si="81"/>
        <v>930</v>
      </c>
      <c r="AA983" t="e">
        <f t="shared" si="79"/>
        <v>#DIV/0!</v>
      </c>
      <c r="AB983" s="1" t="e">
        <f t="shared" si="80"/>
        <v>#DIV/0!</v>
      </c>
    </row>
    <row r="984" spans="11:28" ht="33" customHeight="1">
      <c r="K984" s="38"/>
      <c r="L984" s="38"/>
      <c r="M984" s="38"/>
      <c r="N984" s="38"/>
      <c r="O984" s="38"/>
      <c r="P984" s="38"/>
      <c r="Q984" s="38"/>
      <c r="R984" s="38"/>
      <c r="S984" s="38"/>
      <c r="T984" s="38"/>
      <c r="U984" s="38"/>
      <c r="V984" s="38"/>
      <c r="W984" s="38"/>
      <c r="X984" s="38"/>
      <c r="Y984" s="38"/>
      <c r="Z984" s="38">
        <f t="shared" si="81"/>
        <v>931</v>
      </c>
      <c r="AA984" t="e">
        <f t="shared" si="79"/>
        <v>#DIV/0!</v>
      </c>
      <c r="AB984" s="1" t="e">
        <f t="shared" si="80"/>
        <v>#DIV/0!</v>
      </c>
    </row>
    <row r="985" spans="11:28" ht="33" customHeight="1">
      <c r="K985" s="38"/>
      <c r="L985" s="38"/>
      <c r="M985" s="38"/>
      <c r="N985" s="38"/>
      <c r="O985" s="38"/>
      <c r="P985" s="38"/>
      <c r="Q985" s="38"/>
      <c r="R985" s="38"/>
      <c r="S985" s="38"/>
      <c r="T985" s="38"/>
      <c r="U985" s="38"/>
      <c r="V985" s="38"/>
      <c r="W985" s="38"/>
      <c r="X985" s="38"/>
      <c r="Y985" s="38"/>
      <c r="Z985" s="38">
        <f t="shared" si="81"/>
        <v>932</v>
      </c>
      <c r="AA985" t="e">
        <f t="shared" si="79"/>
        <v>#DIV/0!</v>
      </c>
      <c r="AB985" s="1" t="e">
        <f t="shared" si="80"/>
        <v>#DIV/0!</v>
      </c>
    </row>
    <row r="986" spans="11:28" ht="33" customHeight="1">
      <c r="K986" s="38"/>
      <c r="L986" s="38"/>
      <c r="M986" s="38"/>
      <c r="N986" s="38"/>
      <c r="O986" s="38"/>
      <c r="P986" s="38"/>
      <c r="Q986" s="38"/>
      <c r="R986" s="38"/>
      <c r="S986" s="38"/>
      <c r="T986" s="38"/>
      <c r="U986" s="38"/>
      <c r="V986" s="38"/>
      <c r="W986" s="38"/>
      <c r="X986" s="38"/>
      <c r="Y986" s="38"/>
      <c r="Z986" s="38">
        <f t="shared" si="81"/>
        <v>933</v>
      </c>
      <c r="AA986" t="e">
        <f t="shared" si="79"/>
        <v>#DIV/0!</v>
      </c>
      <c r="AB986" s="1" t="e">
        <f t="shared" si="80"/>
        <v>#DIV/0!</v>
      </c>
    </row>
    <row r="987" spans="11:28" ht="33" customHeight="1">
      <c r="K987" s="38"/>
      <c r="L987" s="38"/>
      <c r="M987" s="38"/>
      <c r="N987" s="38"/>
      <c r="O987" s="38"/>
      <c r="P987" s="38"/>
      <c r="Q987" s="38"/>
      <c r="R987" s="38"/>
      <c r="S987" s="38"/>
      <c r="T987" s="38"/>
      <c r="U987" s="38"/>
      <c r="V987" s="38"/>
      <c r="W987" s="38"/>
      <c r="X987" s="38"/>
      <c r="Y987" s="38"/>
      <c r="Z987" s="38">
        <f t="shared" si="81"/>
        <v>934</v>
      </c>
      <c r="AA987" t="e">
        <f t="shared" si="79"/>
        <v>#DIV/0!</v>
      </c>
      <c r="AB987" s="1" t="e">
        <f t="shared" si="80"/>
        <v>#DIV/0!</v>
      </c>
    </row>
    <row r="988" spans="11:28" ht="33" customHeight="1">
      <c r="K988" s="38"/>
      <c r="L988" s="38"/>
      <c r="M988" s="38"/>
      <c r="N988" s="38"/>
      <c r="O988" s="38"/>
      <c r="P988" s="38"/>
      <c r="Q988" s="38"/>
      <c r="R988" s="38"/>
      <c r="S988" s="38"/>
      <c r="T988" s="38"/>
      <c r="U988" s="38"/>
      <c r="V988" s="38"/>
      <c r="W988" s="38"/>
      <c r="X988" s="38"/>
      <c r="Y988" s="38"/>
      <c r="Z988" s="38">
        <f t="shared" si="81"/>
        <v>935</v>
      </c>
      <c r="AA988" t="e">
        <f t="shared" si="79"/>
        <v>#DIV/0!</v>
      </c>
      <c r="AB988" s="1" t="e">
        <f t="shared" si="80"/>
        <v>#DIV/0!</v>
      </c>
    </row>
    <row r="989" spans="11:28" ht="33" customHeight="1">
      <c r="K989" s="38"/>
      <c r="L989" s="38"/>
      <c r="M989" s="38"/>
      <c r="N989" s="38"/>
      <c r="O989" s="38"/>
      <c r="P989" s="38"/>
      <c r="Q989" s="38"/>
      <c r="R989" s="38"/>
      <c r="S989" s="38"/>
      <c r="T989" s="38"/>
      <c r="U989" s="38"/>
      <c r="V989" s="38"/>
      <c r="W989" s="38"/>
      <c r="X989" s="38"/>
      <c r="Y989" s="38"/>
      <c r="Z989" s="38">
        <f t="shared" si="81"/>
        <v>936</v>
      </c>
      <c r="AA989" t="e">
        <f t="shared" si="79"/>
        <v>#DIV/0!</v>
      </c>
      <c r="AB989" s="1" t="e">
        <f t="shared" si="80"/>
        <v>#DIV/0!</v>
      </c>
    </row>
    <row r="990" spans="11:28" ht="33" customHeight="1">
      <c r="K990" s="38"/>
      <c r="L990" s="38"/>
      <c r="M990" s="38"/>
      <c r="N990" s="38"/>
      <c r="O990" s="38"/>
      <c r="P990" s="38"/>
      <c r="Q990" s="38"/>
      <c r="R990" s="38"/>
      <c r="S990" s="38"/>
      <c r="T990" s="38"/>
      <c r="U990" s="38"/>
      <c r="V990" s="38"/>
      <c r="W990" s="38"/>
      <c r="X990" s="38"/>
      <c r="Y990" s="38"/>
      <c r="Z990" s="38">
        <f t="shared" si="81"/>
        <v>937</v>
      </c>
      <c r="AA990" t="e">
        <f t="shared" si="79"/>
        <v>#DIV/0!</v>
      </c>
      <c r="AB990" s="1" t="e">
        <f t="shared" si="80"/>
        <v>#DIV/0!</v>
      </c>
    </row>
    <row r="991" spans="11:28" ht="33" customHeight="1">
      <c r="K991" s="38"/>
      <c r="L991" s="38"/>
      <c r="M991" s="38"/>
      <c r="N991" s="38"/>
      <c r="O991" s="38"/>
      <c r="P991" s="38"/>
      <c r="Q991" s="38"/>
      <c r="R991" s="38"/>
      <c r="S991" s="38"/>
      <c r="T991" s="38"/>
      <c r="U991" s="38"/>
      <c r="V991" s="38"/>
      <c r="W991" s="38"/>
      <c r="X991" s="38"/>
      <c r="Y991" s="38"/>
      <c r="Z991" s="38">
        <f t="shared" si="81"/>
        <v>938</v>
      </c>
      <c r="AA991" t="e">
        <f t="shared" si="79"/>
        <v>#DIV/0!</v>
      </c>
      <c r="AB991" s="1" t="e">
        <f t="shared" si="80"/>
        <v>#DIV/0!</v>
      </c>
    </row>
    <row r="992" spans="11:28" ht="33" customHeight="1">
      <c r="K992" s="38"/>
      <c r="L992" s="38"/>
      <c r="M992" s="38"/>
      <c r="N992" s="38"/>
      <c r="O992" s="38"/>
      <c r="P992" s="38"/>
      <c r="Q992" s="38"/>
      <c r="R992" s="38"/>
      <c r="S992" s="38"/>
      <c r="T992" s="38"/>
      <c r="U992" s="38"/>
      <c r="V992" s="38"/>
      <c r="W992" s="38"/>
      <c r="X992" s="38"/>
      <c r="Y992" s="38"/>
      <c r="Z992" s="38">
        <f t="shared" si="81"/>
        <v>939</v>
      </c>
      <c r="AA992" t="e">
        <f t="shared" si="79"/>
        <v>#DIV/0!</v>
      </c>
      <c r="AB992" s="1" t="e">
        <f t="shared" si="80"/>
        <v>#DIV/0!</v>
      </c>
    </row>
    <row r="993" spans="11:28" ht="33" customHeight="1">
      <c r="K993" s="38"/>
      <c r="L993" s="38"/>
      <c r="M993" s="38"/>
      <c r="N993" s="38"/>
      <c r="O993" s="38"/>
      <c r="P993" s="38"/>
      <c r="Q993" s="38"/>
      <c r="R993" s="38"/>
      <c r="S993" s="38"/>
      <c r="T993" s="38"/>
      <c r="U993" s="38"/>
      <c r="V993" s="38"/>
      <c r="W993" s="38"/>
      <c r="X993" s="38"/>
      <c r="Y993" s="38"/>
      <c r="Z993" s="38">
        <f t="shared" si="81"/>
        <v>940</v>
      </c>
      <c r="AA993" t="e">
        <f t="shared" si="79"/>
        <v>#DIV/0!</v>
      </c>
      <c r="AB993" s="1" t="e">
        <f t="shared" si="80"/>
        <v>#DIV/0!</v>
      </c>
    </row>
    <row r="994" spans="11:28" ht="33" customHeight="1">
      <c r="K994" s="38"/>
      <c r="L994" s="38"/>
      <c r="M994" s="38"/>
      <c r="N994" s="38"/>
      <c r="O994" s="38"/>
      <c r="P994" s="38"/>
      <c r="Q994" s="38"/>
      <c r="R994" s="38"/>
      <c r="S994" s="38"/>
      <c r="T994" s="38"/>
      <c r="U994" s="38"/>
      <c r="V994" s="38"/>
      <c r="W994" s="38"/>
      <c r="X994" s="38"/>
      <c r="Y994" s="38"/>
      <c r="Z994" s="38">
        <f t="shared" si="81"/>
        <v>941</v>
      </c>
      <c r="AA994" t="e">
        <f t="shared" si="79"/>
        <v>#DIV/0!</v>
      </c>
      <c r="AB994" s="1" t="e">
        <f t="shared" si="80"/>
        <v>#DIV/0!</v>
      </c>
    </row>
    <row r="995" spans="11:28" ht="33" customHeight="1">
      <c r="K995" s="38"/>
      <c r="L995" s="38"/>
      <c r="M995" s="38"/>
      <c r="N995" s="38"/>
      <c r="O995" s="38"/>
      <c r="P995" s="38"/>
      <c r="Q995" s="38"/>
      <c r="R995" s="38"/>
      <c r="S995" s="38"/>
      <c r="T995" s="38"/>
      <c r="U995" s="38"/>
      <c r="V995" s="38"/>
      <c r="W995" s="38"/>
      <c r="X995" s="38"/>
      <c r="Y995" s="38"/>
      <c r="Z995" s="38">
        <f t="shared" si="81"/>
        <v>942</v>
      </c>
      <c r="AA995" t="e">
        <f t="shared" si="79"/>
        <v>#DIV/0!</v>
      </c>
      <c r="AB995" s="1" t="e">
        <f t="shared" si="80"/>
        <v>#DIV/0!</v>
      </c>
    </row>
    <row r="996" spans="11:28" ht="33" customHeight="1">
      <c r="K996" s="38"/>
      <c r="L996" s="38"/>
      <c r="M996" s="38"/>
      <c r="N996" s="38"/>
      <c r="O996" s="38"/>
      <c r="P996" s="38"/>
      <c r="Q996" s="38"/>
      <c r="R996" s="38"/>
      <c r="S996" s="38"/>
      <c r="T996" s="38"/>
      <c r="U996" s="38"/>
      <c r="V996" s="38"/>
      <c r="W996" s="38"/>
      <c r="X996" s="38"/>
      <c r="Y996" s="38"/>
      <c r="Z996" s="38">
        <f t="shared" si="81"/>
        <v>943</v>
      </c>
      <c r="AA996" t="e">
        <f t="shared" si="79"/>
        <v>#DIV/0!</v>
      </c>
      <c r="AB996" s="1" t="e">
        <f t="shared" si="80"/>
        <v>#DIV/0!</v>
      </c>
    </row>
    <row r="997" spans="11:28" ht="33" customHeight="1">
      <c r="K997" s="38"/>
      <c r="L997" s="38"/>
      <c r="M997" s="38"/>
      <c r="N997" s="38"/>
      <c r="O997" s="38"/>
      <c r="P997" s="38"/>
      <c r="Q997" s="38"/>
      <c r="R997" s="38"/>
      <c r="S997" s="38"/>
      <c r="T997" s="38"/>
      <c r="U997" s="38"/>
      <c r="V997" s="38"/>
      <c r="W997" s="38"/>
      <c r="X997" s="38"/>
      <c r="Y997" s="38"/>
      <c r="Z997" s="38">
        <f t="shared" si="81"/>
        <v>944</v>
      </c>
      <c r="AA997" t="e">
        <f t="shared" si="79"/>
        <v>#DIV/0!</v>
      </c>
      <c r="AB997" s="1" t="e">
        <f t="shared" si="80"/>
        <v>#DIV/0!</v>
      </c>
    </row>
    <row r="998" spans="11:28" ht="33" customHeight="1">
      <c r="K998" s="38"/>
      <c r="L998" s="38"/>
      <c r="M998" s="38"/>
      <c r="N998" s="38"/>
      <c r="O998" s="38"/>
      <c r="P998" s="38"/>
      <c r="Q998" s="38"/>
      <c r="R998" s="38"/>
      <c r="S998" s="38"/>
      <c r="T998" s="38"/>
      <c r="U998" s="38"/>
      <c r="V998" s="38"/>
      <c r="W998" s="38"/>
      <c r="X998" s="38"/>
      <c r="Y998" s="38"/>
      <c r="Z998" s="38">
        <f t="shared" si="81"/>
        <v>945</v>
      </c>
      <c r="AA998" t="e">
        <f t="shared" si="79"/>
        <v>#DIV/0!</v>
      </c>
      <c r="AB998" s="1" t="e">
        <f t="shared" si="80"/>
        <v>#DIV/0!</v>
      </c>
    </row>
    <row r="999" spans="11:28" ht="33" customHeight="1">
      <c r="K999" s="38"/>
      <c r="L999" s="38"/>
      <c r="M999" s="38"/>
      <c r="N999" s="38"/>
      <c r="O999" s="38"/>
      <c r="P999" s="38"/>
      <c r="Q999" s="38"/>
      <c r="R999" s="38"/>
      <c r="S999" s="38"/>
      <c r="T999" s="38"/>
      <c r="U999" s="38"/>
      <c r="V999" s="38"/>
      <c r="W999" s="38"/>
      <c r="X999" s="38"/>
      <c r="Y999" s="38"/>
      <c r="Z999" s="38">
        <f t="shared" si="81"/>
        <v>946</v>
      </c>
      <c r="AA999" t="e">
        <f t="shared" si="79"/>
        <v>#DIV/0!</v>
      </c>
      <c r="AB999" s="1" t="e">
        <f t="shared" si="80"/>
        <v>#DIV/0!</v>
      </c>
    </row>
    <row r="1000" spans="11:28" ht="33" customHeight="1">
      <c r="K1000" s="38"/>
      <c r="L1000" s="38"/>
      <c r="M1000" s="38"/>
      <c r="N1000" s="38"/>
      <c r="O1000" s="38"/>
      <c r="P1000" s="38"/>
      <c r="Q1000" s="38"/>
      <c r="R1000" s="38"/>
      <c r="S1000" s="38"/>
      <c r="T1000" s="38"/>
      <c r="U1000" s="38"/>
      <c r="V1000" s="38"/>
      <c r="W1000" s="38"/>
      <c r="X1000" s="38"/>
      <c r="Y1000" s="38"/>
      <c r="Z1000" s="38">
        <f t="shared" si="81"/>
        <v>947</v>
      </c>
      <c r="AA1000" t="e">
        <f t="shared" si="79"/>
        <v>#DIV/0!</v>
      </c>
      <c r="AB1000" s="1" t="e">
        <f t="shared" si="80"/>
        <v>#DIV/0!</v>
      </c>
    </row>
    <row r="1001" spans="11:28" ht="33" customHeight="1">
      <c r="K1001" s="38"/>
      <c r="L1001" s="38"/>
      <c r="M1001" s="38"/>
      <c r="N1001" s="38"/>
      <c r="O1001" s="38"/>
      <c r="P1001" s="38"/>
      <c r="Q1001" s="38"/>
      <c r="R1001" s="38"/>
      <c r="S1001" s="38"/>
      <c r="T1001" s="38"/>
      <c r="U1001" s="38"/>
      <c r="V1001" s="38"/>
      <c r="W1001" s="38"/>
      <c r="X1001" s="38"/>
      <c r="Y1001" s="38"/>
      <c r="Z1001" s="38">
        <f t="shared" si="81"/>
        <v>948</v>
      </c>
      <c r="AA1001" t="e">
        <f t="shared" si="79"/>
        <v>#DIV/0!</v>
      </c>
      <c r="AB1001" s="1" t="e">
        <f t="shared" si="80"/>
        <v>#DIV/0!</v>
      </c>
    </row>
    <row r="1002" spans="11:28" ht="33" customHeight="1">
      <c r="K1002" s="38"/>
      <c r="L1002" s="38"/>
      <c r="M1002" s="38"/>
      <c r="N1002" s="38"/>
      <c r="O1002" s="38"/>
      <c r="P1002" s="38"/>
      <c r="Q1002" s="38"/>
      <c r="R1002" s="38"/>
      <c r="S1002" s="38"/>
      <c r="T1002" s="38"/>
      <c r="U1002" s="38"/>
      <c r="V1002" s="38"/>
      <c r="W1002" s="38"/>
      <c r="X1002" s="38"/>
      <c r="Y1002" s="38"/>
      <c r="Z1002" s="38">
        <f t="shared" si="81"/>
        <v>949</v>
      </c>
      <c r="AA1002" t="e">
        <f t="shared" si="79"/>
        <v>#DIV/0!</v>
      </c>
      <c r="AB1002" s="1" t="e">
        <f t="shared" si="80"/>
        <v>#DIV/0!</v>
      </c>
    </row>
    <row r="1003" spans="11:28" ht="33" customHeight="1">
      <c r="K1003" s="38"/>
      <c r="L1003" s="38"/>
      <c r="M1003" s="38"/>
      <c r="N1003" s="38"/>
      <c r="O1003" s="38"/>
      <c r="P1003" s="38"/>
      <c r="Q1003" s="38"/>
      <c r="R1003" s="38"/>
      <c r="S1003" s="38"/>
      <c r="T1003" s="38"/>
      <c r="U1003" s="38"/>
      <c r="V1003" s="38"/>
      <c r="W1003" s="38"/>
      <c r="X1003" s="38"/>
      <c r="Y1003" s="38"/>
      <c r="Z1003" s="38">
        <f t="shared" si="81"/>
        <v>950</v>
      </c>
      <c r="AA1003" t="e">
        <f t="shared" si="79"/>
        <v>#DIV/0!</v>
      </c>
      <c r="AB1003" s="1" t="e">
        <f t="shared" si="80"/>
        <v>#DIV/0!</v>
      </c>
    </row>
    <row r="1004" spans="11:28" ht="33" customHeight="1">
      <c r="K1004" s="38"/>
      <c r="L1004" s="38"/>
      <c r="M1004" s="38"/>
      <c r="N1004" s="38"/>
      <c r="O1004" s="38"/>
      <c r="P1004" s="38"/>
      <c r="Q1004" s="38"/>
      <c r="R1004" s="38"/>
      <c r="S1004" s="38"/>
      <c r="T1004" s="38"/>
      <c r="U1004" s="38"/>
      <c r="V1004" s="38"/>
      <c r="W1004" s="38"/>
      <c r="X1004" s="38"/>
      <c r="Y1004" s="38"/>
      <c r="Z1004" s="38">
        <f t="shared" si="81"/>
        <v>951</v>
      </c>
      <c r="AA1004" t="e">
        <f t="shared" si="79"/>
        <v>#DIV/0!</v>
      </c>
      <c r="AB1004" s="1" t="e">
        <f t="shared" si="80"/>
        <v>#DIV/0!</v>
      </c>
    </row>
    <row r="1005" spans="11:28" ht="33" customHeight="1">
      <c r="K1005" s="38"/>
      <c r="L1005" s="38"/>
      <c r="M1005" s="38"/>
      <c r="N1005" s="38"/>
      <c r="O1005" s="38"/>
      <c r="P1005" s="38"/>
      <c r="Q1005" s="38"/>
      <c r="R1005" s="38"/>
      <c r="S1005" s="38"/>
      <c r="T1005" s="38"/>
      <c r="U1005" s="38"/>
      <c r="V1005" s="38"/>
      <c r="W1005" s="38"/>
      <c r="X1005" s="38"/>
      <c r="Y1005" s="38"/>
      <c r="Z1005" s="38">
        <f t="shared" si="81"/>
        <v>952</v>
      </c>
      <c r="AA1005" t="e">
        <f t="shared" si="79"/>
        <v>#DIV/0!</v>
      </c>
      <c r="AB1005" s="1" t="e">
        <f t="shared" si="80"/>
        <v>#DIV/0!</v>
      </c>
    </row>
    <row r="1006" spans="11:28" ht="33" customHeight="1">
      <c r="K1006" s="38"/>
      <c r="L1006" s="38"/>
      <c r="M1006" s="38"/>
      <c r="N1006" s="38"/>
      <c r="O1006" s="38"/>
      <c r="P1006" s="38"/>
      <c r="Q1006" s="38"/>
      <c r="R1006" s="38"/>
      <c r="S1006" s="38"/>
      <c r="T1006" s="38"/>
      <c r="U1006" s="38"/>
      <c r="V1006" s="38"/>
      <c r="W1006" s="38"/>
      <c r="X1006" s="38"/>
      <c r="Y1006" s="38"/>
      <c r="Z1006" s="38">
        <f t="shared" si="81"/>
        <v>953</v>
      </c>
      <c r="AA1006" t="e">
        <f t="shared" si="79"/>
        <v>#DIV/0!</v>
      </c>
      <c r="AB1006" s="1" t="e">
        <f t="shared" si="80"/>
        <v>#DIV/0!</v>
      </c>
    </row>
    <row r="1007" spans="11:28" ht="33" customHeight="1">
      <c r="K1007" s="38"/>
      <c r="L1007" s="38"/>
      <c r="M1007" s="38"/>
      <c r="N1007" s="38"/>
      <c r="O1007" s="38"/>
      <c r="P1007" s="38"/>
      <c r="Q1007" s="38"/>
      <c r="R1007" s="38"/>
      <c r="S1007" s="38"/>
      <c r="T1007" s="38"/>
      <c r="U1007" s="38"/>
      <c r="V1007" s="38"/>
      <c r="W1007" s="38"/>
      <c r="X1007" s="38"/>
      <c r="Y1007" s="38"/>
      <c r="Z1007" s="38">
        <f t="shared" si="81"/>
        <v>954</v>
      </c>
      <c r="AA1007" t="e">
        <f t="shared" si="79"/>
        <v>#DIV/0!</v>
      </c>
      <c r="AB1007" s="1" t="e">
        <f t="shared" si="80"/>
        <v>#DIV/0!</v>
      </c>
    </row>
    <row r="1008" spans="11:28" ht="33" customHeight="1">
      <c r="K1008" s="38"/>
      <c r="L1008" s="38"/>
      <c r="M1008" s="38"/>
      <c r="N1008" s="38"/>
      <c r="O1008" s="38"/>
      <c r="P1008" s="38"/>
      <c r="Q1008" s="38"/>
      <c r="R1008" s="38"/>
      <c r="S1008" s="38"/>
      <c r="T1008" s="38"/>
      <c r="U1008" s="38"/>
      <c r="V1008" s="38"/>
      <c r="W1008" s="38"/>
      <c r="X1008" s="38"/>
      <c r="Y1008" s="38"/>
      <c r="Z1008" s="38">
        <f t="shared" si="81"/>
        <v>955</v>
      </c>
      <c r="AA1008" t="e">
        <f t="shared" si="79"/>
        <v>#DIV/0!</v>
      </c>
      <c r="AB1008" s="1" t="e">
        <f t="shared" si="80"/>
        <v>#DIV/0!</v>
      </c>
    </row>
    <row r="1009" spans="11:28" ht="33" customHeight="1">
      <c r="K1009" s="38"/>
      <c r="L1009" s="38"/>
      <c r="M1009" s="38"/>
      <c r="N1009" s="38"/>
      <c r="O1009" s="38"/>
      <c r="P1009" s="38"/>
      <c r="Q1009" s="38"/>
      <c r="R1009" s="38"/>
      <c r="S1009" s="38"/>
      <c r="T1009" s="38"/>
      <c r="U1009" s="38"/>
      <c r="V1009" s="38"/>
      <c r="W1009" s="38"/>
      <c r="X1009" s="38"/>
      <c r="Y1009" s="38"/>
      <c r="Z1009" s="38">
        <f t="shared" si="81"/>
        <v>956</v>
      </c>
      <c r="AA1009" t="e">
        <f t="shared" si="79"/>
        <v>#DIV/0!</v>
      </c>
      <c r="AB1009" s="1" t="e">
        <f t="shared" si="80"/>
        <v>#DIV/0!</v>
      </c>
    </row>
    <row r="1010" spans="11:28" ht="33" customHeight="1">
      <c r="K1010" s="38"/>
      <c r="L1010" s="38"/>
      <c r="M1010" s="38"/>
      <c r="N1010" s="38"/>
      <c r="O1010" s="38"/>
      <c r="P1010" s="38"/>
      <c r="Q1010" s="38"/>
      <c r="R1010" s="38"/>
      <c r="S1010" s="38"/>
      <c r="T1010" s="38"/>
      <c r="U1010" s="38"/>
      <c r="V1010" s="38"/>
      <c r="W1010" s="38"/>
      <c r="X1010" s="38"/>
      <c r="Y1010" s="38"/>
      <c r="Z1010" s="38">
        <f t="shared" si="81"/>
        <v>957</v>
      </c>
      <c r="AA1010" t="e">
        <f t="shared" si="79"/>
        <v>#DIV/0!</v>
      </c>
      <c r="AB1010" s="1" t="e">
        <f t="shared" si="80"/>
        <v>#DIV/0!</v>
      </c>
    </row>
    <row r="1011" spans="11:28" ht="33" customHeight="1">
      <c r="K1011" s="38"/>
      <c r="L1011" s="38"/>
      <c r="M1011" s="38"/>
      <c r="N1011" s="38"/>
      <c r="O1011" s="38"/>
      <c r="P1011" s="38"/>
      <c r="Q1011" s="38"/>
      <c r="R1011" s="38"/>
      <c r="S1011" s="38"/>
      <c r="T1011" s="38"/>
      <c r="U1011" s="38"/>
      <c r="V1011" s="38"/>
      <c r="W1011" s="38"/>
      <c r="X1011" s="38"/>
      <c r="Y1011" s="38"/>
      <c r="Z1011" s="38">
        <f t="shared" si="81"/>
        <v>958</v>
      </c>
      <c r="AA1011" t="e">
        <f t="shared" si="79"/>
        <v>#DIV/0!</v>
      </c>
      <c r="AB1011" s="1" t="e">
        <f t="shared" si="80"/>
        <v>#DIV/0!</v>
      </c>
    </row>
    <row r="1012" spans="11:28" ht="33" customHeight="1">
      <c r="K1012" s="38"/>
      <c r="L1012" s="38"/>
      <c r="M1012" s="38"/>
      <c r="N1012" s="38"/>
      <c r="O1012" s="38"/>
      <c r="P1012" s="38"/>
      <c r="Q1012" s="38"/>
      <c r="R1012" s="38"/>
      <c r="S1012" s="38"/>
      <c r="T1012" s="38"/>
      <c r="U1012" s="38"/>
      <c r="V1012" s="38"/>
      <c r="W1012" s="38"/>
      <c r="X1012" s="38"/>
      <c r="Y1012" s="38"/>
      <c r="Z1012" s="38">
        <f t="shared" si="81"/>
        <v>959</v>
      </c>
      <c r="AA1012" t="e">
        <f t="shared" si="79"/>
        <v>#DIV/0!</v>
      </c>
      <c r="AB1012" s="1" t="e">
        <f t="shared" si="80"/>
        <v>#DIV/0!</v>
      </c>
    </row>
    <row r="1013" spans="11:28" ht="33" customHeight="1">
      <c r="K1013" s="38"/>
      <c r="L1013" s="38"/>
      <c r="M1013" s="38"/>
      <c r="N1013" s="38"/>
      <c r="O1013" s="38"/>
      <c r="P1013" s="38"/>
      <c r="Q1013" s="38"/>
      <c r="R1013" s="38"/>
      <c r="S1013" s="38"/>
      <c r="T1013" s="38"/>
      <c r="U1013" s="38"/>
      <c r="V1013" s="38"/>
      <c r="W1013" s="38"/>
      <c r="X1013" s="38"/>
      <c r="Y1013" s="38"/>
      <c r="Z1013" s="38">
        <f t="shared" si="81"/>
        <v>960</v>
      </c>
      <c r="AA1013" t="e">
        <f t="shared" si="79"/>
        <v>#DIV/0!</v>
      </c>
      <c r="AB1013" s="1" t="e">
        <f t="shared" si="80"/>
        <v>#DIV/0!</v>
      </c>
    </row>
    <row r="1014" spans="11:28" ht="33" customHeight="1">
      <c r="K1014" s="38"/>
      <c r="L1014" s="38"/>
      <c r="M1014" s="38"/>
      <c r="N1014" s="38"/>
      <c r="O1014" s="38"/>
      <c r="P1014" s="38"/>
      <c r="Q1014" s="38"/>
      <c r="R1014" s="38"/>
      <c r="S1014" s="38"/>
      <c r="T1014" s="38"/>
      <c r="U1014" s="38"/>
      <c r="V1014" s="38"/>
      <c r="W1014" s="38"/>
      <c r="X1014" s="38"/>
      <c r="Y1014" s="38"/>
      <c r="Z1014" s="38">
        <f t="shared" si="81"/>
        <v>961</v>
      </c>
      <c r="AA1014" t="e">
        <f t="shared" si="79"/>
        <v>#DIV/0!</v>
      </c>
      <c r="AB1014" s="1" t="e">
        <f t="shared" si="80"/>
        <v>#DIV/0!</v>
      </c>
    </row>
    <row r="1015" spans="11:28" ht="33" customHeight="1">
      <c r="K1015" s="38"/>
      <c r="L1015" s="38"/>
      <c r="M1015" s="38"/>
      <c r="N1015" s="38"/>
      <c r="O1015" s="38"/>
      <c r="P1015" s="38"/>
      <c r="Q1015" s="38"/>
      <c r="R1015" s="38"/>
      <c r="S1015" s="38"/>
      <c r="T1015" s="38"/>
      <c r="U1015" s="38"/>
      <c r="V1015" s="38"/>
      <c r="W1015" s="38"/>
      <c r="X1015" s="38"/>
      <c r="Y1015" s="38"/>
      <c r="Z1015" s="38">
        <f t="shared" si="81"/>
        <v>962</v>
      </c>
      <c r="AA1015" t="e">
        <f t="shared" si="79"/>
        <v>#DIV/0!</v>
      </c>
      <c r="AB1015" s="1" t="e">
        <f t="shared" si="80"/>
        <v>#DIV/0!</v>
      </c>
    </row>
    <row r="1016" spans="11:28" ht="33" customHeight="1">
      <c r="K1016" s="38"/>
      <c r="L1016" s="38"/>
      <c r="M1016" s="38"/>
      <c r="N1016" s="38"/>
      <c r="O1016" s="38"/>
      <c r="P1016" s="38"/>
      <c r="Q1016" s="38"/>
      <c r="R1016" s="38"/>
      <c r="S1016" s="38"/>
      <c r="T1016" s="38"/>
      <c r="U1016" s="38"/>
      <c r="V1016" s="38"/>
      <c r="W1016" s="38"/>
      <c r="X1016" s="38"/>
      <c r="Y1016" s="38"/>
      <c r="Z1016" s="38">
        <f t="shared" si="81"/>
        <v>963</v>
      </c>
      <c r="AA1016" t="e">
        <f t="shared" si="79"/>
        <v>#DIV/0!</v>
      </c>
      <c r="AB1016" s="1" t="e">
        <f t="shared" si="80"/>
        <v>#DIV/0!</v>
      </c>
    </row>
    <row r="1017" spans="11:28" ht="33" customHeight="1">
      <c r="K1017" s="38"/>
      <c r="L1017" s="38"/>
      <c r="M1017" s="38"/>
      <c r="N1017" s="38"/>
      <c r="O1017" s="38"/>
      <c r="P1017" s="38"/>
      <c r="Q1017" s="38"/>
      <c r="R1017" s="38"/>
      <c r="S1017" s="38"/>
      <c r="T1017" s="38"/>
      <c r="U1017" s="38"/>
      <c r="V1017" s="38"/>
      <c r="W1017" s="38"/>
      <c r="X1017" s="38"/>
      <c r="Y1017" s="38"/>
      <c r="Z1017" s="38">
        <f t="shared" si="81"/>
        <v>964</v>
      </c>
      <c r="AA1017" t="e">
        <f t="shared" si="79"/>
        <v>#DIV/0!</v>
      </c>
      <c r="AB1017" s="1" t="e">
        <f t="shared" si="80"/>
        <v>#DIV/0!</v>
      </c>
    </row>
    <row r="1018" spans="11:28" ht="33" customHeight="1">
      <c r="K1018" s="38"/>
      <c r="L1018" s="38"/>
      <c r="M1018" s="38"/>
      <c r="N1018" s="38"/>
      <c r="O1018" s="38"/>
      <c r="P1018" s="38"/>
      <c r="Q1018" s="38"/>
      <c r="R1018" s="38"/>
      <c r="S1018" s="38"/>
      <c r="T1018" s="38"/>
      <c r="U1018" s="38"/>
      <c r="V1018" s="38"/>
      <c r="W1018" s="38"/>
      <c r="X1018" s="38"/>
      <c r="Y1018" s="38"/>
      <c r="Z1018" s="38">
        <f t="shared" si="81"/>
        <v>965</v>
      </c>
      <c r="AA1018" t="e">
        <f t="shared" si="79"/>
        <v>#DIV/0!</v>
      </c>
      <c r="AB1018" s="1" t="e">
        <f t="shared" si="80"/>
        <v>#DIV/0!</v>
      </c>
    </row>
    <row r="1019" spans="11:28" ht="33" customHeight="1">
      <c r="K1019" s="38"/>
      <c r="L1019" s="38"/>
      <c r="M1019" s="38"/>
      <c r="N1019" s="38"/>
      <c r="O1019" s="38"/>
      <c r="P1019" s="38"/>
      <c r="Q1019" s="38"/>
      <c r="R1019" s="38"/>
      <c r="S1019" s="38"/>
      <c r="T1019" s="38"/>
      <c r="U1019" s="38"/>
      <c r="V1019" s="38"/>
      <c r="W1019" s="38"/>
      <c r="X1019" s="38"/>
      <c r="Y1019" s="38"/>
      <c r="Z1019" s="38">
        <f t="shared" si="81"/>
        <v>966</v>
      </c>
      <c r="AA1019" t="e">
        <f t="shared" si="79"/>
        <v>#DIV/0!</v>
      </c>
      <c r="AB1019" s="1" t="e">
        <f t="shared" si="80"/>
        <v>#DIV/0!</v>
      </c>
    </row>
    <row r="1020" spans="11:28" ht="33" customHeight="1">
      <c r="K1020" s="38"/>
      <c r="L1020" s="38"/>
      <c r="M1020" s="38"/>
      <c r="N1020" s="38"/>
      <c r="O1020" s="38"/>
      <c r="P1020" s="38"/>
      <c r="Q1020" s="38"/>
      <c r="R1020" s="38"/>
      <c r="S1020" s="38"/>
      <c r="T1020" s="38"/>
      <c r="U1020" s="38"/>
      <c r="V1020" s="38"/>
      <c r="W1020" s="38"/>
      <c r="X1020" s="38"/>
      <c r="Y1020" s="38"/>
      <c r="Z1020" s="38">
        <f t="shared" si="81"/>
        <v>967</v>
      </c>
      <c r="AA1020" t="e">
        <f t="shared" si="79"/>
        <v>#DIV/0!</v>
      </c>
      <c r="AB1020" s="1" t="e">
        <f t="shared" si="80"/>
        <v>#DIV/0!</v>
      </c>
    </row>
    <row r="1021" spans="11:28" ht="33" customHeight="1">
      <c r="K1021" s="38"/>
      <c r="L1021" s="38"/>
      <c r="M1021" s="38"/>
      <c r="N1021" s="38"/>
      <c r="O1021" s="38"/>
      <c r="P1021" s="38"/>
      <c r="Q1021" s="38"/>
      <c r="R1021" s="38"/>
      <c r="S1021" s="38"/>
      <c r="T1021" s="38"/>
      <c r="U1021" s="38"/>
      <c r="V1021" s="38"/>
      <c r="W1021" s="38"/>
      <c r="X1021" s="38"/>
      <c r="Y1021" s="38"/>
      <c r="Z1021" s="38">
        <f t="shared" si="81"/>
        <v>968</v>
      </c>
      <c r="AA1021" t="e">
        <f t="shared" si="79"/>
        <v>#DIV/0!</v>
      </c>
      <c r="AB1021" s="1" t="e">
        <f t="shared" si="80"/>
        <v>#DIV/0!</v>
      </c>
    </row>
    <row r="1022" spans="11:28" ht="33" customHeight="1">
      <c r="K1022" s="38"/>
      <c r="L1022" s="38"/>
      <c r="M1022" s="38"/>
      <c r="N1022" s="38"/>
      <c r="O1022" s="38"/>
      <c r="P1022" s="38"/>
      <c r="Q1022" s="38"/>
      <c r="R1022" s="38"/>
      <c r="S1022" s="38"/>
      <c r="T1022" s="38"/>
      <c r="U1022" s="38"/>
      <c r="V1022" s="38"/>
      <c r="W1022" s="38"/>
      <c r="X1022" s="38"/>
      <c r="Y1022" s="38"/>
      <c r="Z1022" s="38">
        <f t="shared" si="81"/>
        <v>969</v>
      </c>
      <c r="AA1022" t="e">
        <f t="shared" si="79"/>
        <v>#DIV/0!</v>
      </c>
      <c r="AB1022" s="1" t="e">
        <f t="shared" si="80"/>
        <v>#DIV/0!</v>
      </c>
    </row>
    <row r="1023" spans="11:28" ht="33" customHeight="1">
      <c r="K1023" s="38"/>
      <c r="L1023" s="38"/>
      <c r="M1023" s="38"/>
      <c r="N1023" s="38"/>
      <c r="O1023" s="38"/>
      <c r="P1023" s="38"/>
      <c r="Q1023" s="38"/>
      <c r="R1023" s="38"/>
      <c r="S1023" s="38"/>
      <c r="T1023" s="38"/>
      <c r="U1023" s="38"/>
      <c r="V1023" s="38"/>
      <c r="W1023" s="38"/>
      <c r="X1023" s="38"/>
      <c r="Y1023" s="38"/>
      <c r="Z1023" s="38">
        <f t="shared" si="81"/>
        <v>970</v>
      </c>
      <c r="AA1023" t="e">
        <f t="shared" si="79"/>
        <v>#DIV/0!</v>
      </c>
      <c r="AB1023" s="1" t="e">
        <f t="shared" si="80"/>
        <v>#DIV/0!</v>
      </c>
    </row>
    <row r="1024" spans="11:28" ht="33" customHeight="1">
      <c r="K1024" s="38"/>
      <c r="L1024" s="38"/>
      <c r="M1024" s="38"/>
      <c r="N1024" s="38"/>
      <c r="O1024" s="38"/>
      <c r="P1024" s="38"/>
      <c r="Q1024" s="38"/>
      <c r="R1024" s="38"/>
      <c r="S1024" s="38"/>
      <c r="T1024" s="38"/>
      <c r="U1024" s="38"/>
      <c r="V1024" s="38"/>
      <c r="W1024" s="38"/>
      <c r="X1024" s="38"/>
      <c r="Y1024" s="38"/>
      <c r="Z1024" s="38">
        <f t="shared" si="81"/>
        <v>971</v>
      </c>
      <c r="AA1024" t="e">
        <f t="shared" si="79"/>
        <v>#DIV/0!</v>
      </c>
      <c r="AB1024" s="1" t="e">
        <f t="shared" si="80"/>
        <v>#DIV/0!</v>
      </c>
    </row>
    <row r="1025" spans="11:28" ht="33" customHeight="1">
      <c r="K1025" s="38"/>
      <c r="L1025" s="38"/>
      <c r="M1025" s="38"/>
      <c r="N1025" s="38"/>
      <c r="O1025" s="38"/>
      <c r="P1025" s="38"/>
      <c r="Q1025" s="38"/>
      <c r="R1025" s="38"/>
      <c r="S1025" s="38"/>
      <c r="T1025" s="38"/>
      <c r="U1025" s="38"/>
      <c r="V1025" s="38"/>
      <c r="W1025" s="38"/>
      <c r="X1025" s="38"/>
      <c r="Y1025" s="38"/>
      <c r="Z1025" s="38">
        <f t="shared" si="81"/>
        <v>972</v>
      </c>
      <c r="AA1025" t="e">
        <f t="shared" si="79"/>
        <v>#DIV/0!</v>
      </c>
      <c r="AB1025" s="1" t="e">
        <f t="shared" si="80"/>
        <v>#DIV/0!</v>
      </c>
    </row>
    <row r="1026" spans="11:28" ht="33" customHeight="1">
      <c r="K1026" s="38"/>
      <c r="L1026" s="38"/>
      <c r="M1026" s="38"/>
      <c r="N1026" s="38"/>
      <c r="O1026" s="38"/>
      <c r="P1026" s="38"/>
      <c r="Q1026" s="38"/>
      <c r="R1026" s="38"/>
      <c r="S1026" s="38"/>
      <c r="T1026" s="38"/>
      <c r="U1026" s="38"/>
      <c r="V1026" s="38"/>
      <c r="W1026" s="38"/>
      <c r="X1026" s="38"/>
      <c r="Y1026" s="38"/>
      <c r="Z1026" s="38">
        <f t="shared" si="81"/>
        <v>973</v>
      </c>
      <c r="AA1026" t="e">
        <f t="shared" si="79"/>
        <v>#DIV/0!</v>
      </c>
      <c r="AB1026" s="1" t="e">
        <f t="shared" si="80"/>
        <v>#DIV/0!</v>
      </c>
    </row>
    <row r="1027" spans="11:28" ht="33" customHeight="1">
      <c r="K1027" s="38"/>
      <c r="L1027" s="38"/>
      <c r="M1027" s="38"/>
      <c r="N1027" s="38"/>
      <c r="O1027" s="38"/>
      <c r="P1027" s="38"/>
      <c r="Q1027" s="38"/>
      <c r="R1027" s="38"/>
      <c r="S1027" s="38"/>
      <c r="T1027" s="38"/>
      <c r="U1027" s="38"/>
      <c r="V1027" s="38"/>
      <c r="W1027" s="38"/>
      <c r="X1027" s="38"/>
      <c r="Y1027" s="38"/>
      <c r="Z1027" s="38">
        <f t="shared" si="81"/>
        <v>974</v>
      </c>
      <c r="AA1027" t="e">
        <f t="shared" si="79"/>
        <v>#DIV/0!</v>
      </c>
      <c r="AB1027" s="1" t="e">
        <f t="shared" si="80"/>
        <v>#DIV/0!</v>
      </c>
    </row>
    <row r="1028" spans="11:28" ht="33" customHeight="1">
      <c r="K1028" s="38"/>
      <c r="L1028" s="38"/>
      <c r="M1028" s="38"/>
      <c r="N1028" s="38"/>
      <c r="O1028" s="38"/>
      <c r="P1028" s="38"/>
      <c r="Q1028" s="38"/>
      <c r="R1028" s="38"/>
      <c r="S1028" s="38"/>
      <c r="T1028" s="38"/>
      <c r="U1028" s="38"/>
      <c r="V1028" s="38"/>
      <c r="W1028" s="38"/>
      <c r="X1028" s="38"/>
      <c r="Y1028" s="38"/>
      <c r="Z1028" s="38">
        <f t="shared" si="81"/>
        <v>975</v>
      </c>
      <c r="AA1028" t="e">
        <f t="shared" si="79"/>
        <v>#DIV/0!</v>
      </c>
      <c r="AB1028" s="1" t="e">
        <f t="shared" si="80"/>
        <v>#DIV/0!</v>
      </c>
    </row>
    <row r="1029" spans="11:28" ht="33" customHeight="1">
      <c r="K1029" s="38"/>
      <c r="L1029" s="38"/>
      <c r="M1029" s="38"/>
      <c r="N1029" s="38"/>
      <c r="O1029" s="38"/>
      <c r="P1029" s="38"/>
      <c r="Q1029" s="38"/>
      <c r="R1029" s="38"/>
      <c r="S1029" s="38"/>
      <c r="T1029" s="38"/>
      <c r="U1029" s="38"/>
      <c r="V1029" s="38"/>
      <c r="W1029" s="38"/>
      <c r="X1029" s="38"/>
      <c r="Y1029" s="38"/>
      <c r="Z1029" s="38">
        <f t="shared" si="81"/>
        <v>976</v>
      </c>
      <c r="AA1029" t="e">
        <f t="shared" si="79"/>
        <v>#DIV/0!</v>
      </c>
      <c r="AB1029" s="1" t="e">
        <f t="shared" si="80"/>
        <v>#DIV/0!</v>
      </c>
    </row>
    <row r="1030" spans="11:28" ht="33" customHeight="1">
      <c r="K1030" s="38"/>
      <c r="L1030" s="38"/>
      <c r="M1030" s="38"/>
      <c r="N1030" s="38"/>
      <c r="O1030" s="38"/>
      <c r="P1030" s="38"/>
      <c r="Q1030" s="38"/>
      <c r="R1030" s="38"/>
      <c r="S1030" s="38"/>
      <c r="T1030" s="38"/>
      <c r="U1030" s="38"/>
      <c r="V1030" s="38"/>
      <c r="W1030" s="38"/>
      <c r="X1030" s="38"/>
      <c r="Y1030" s="38"/>
      <c r="Z1030" s="38">
        <f t="shared" si="81"/>
        <v>977</v>
      </c>
      <c r="AA1030" t="e">
        <f t="shared" si="79"/>
        <v>#DIV/0!</v>
      </c>
      <c r="AB1030" s="1" t="e">
        <f t="shared" si="80"/>
        <v>#DIV/0!</v>
      </c>
    </row>
    <row r="1031" spans="11:28" ht="33" customHeight="1">
      <c r="K1031" s="38"/>
      <c r="L1031" s="38"/>
      <c r="M1031" s="38"/>
      <c r="N1031" s="38"/>
      <c r="O1031" s="38"/>
      <c r="P1031" s="38"/>
      <c r="Q1031" s="38"/>
      <c r="R1031" s="38"/>
      <c r="S1031" s="38"/>
      <c r="T1031" s="38"/>
      <c r="U1031" s="38"/>
      <c r="V1031" s="38"/>
      <c r="W1031" s="38"/>
      <c r="X1031" s="38"/>
      <c r="Y1031" s="38"/>
      <c r="Z1031" s="38">
        <f t="shared" si="81"/>
        <v>978</v>
      </c>
      <c r="AA1031" t="e">
        <f t="shared" si="79"/>
        <v>#DIV/0!</v>
      </c>
      <c r="AB1031" s="1" t="e">
        <f t="shared" si="80"/>
        <v>#DIV/0!</v>
      </c>
    </row>
    <row r="1032" spans="11:28" ht="33" customHeight="1">
      <c r="K1032" s="38"/>
      <c r="L1032" s="38"/>
      <c r="M1032" s="38"/>
      <c r="N1032" s="38"/>
      <c r="O1032" s="38"/>
      <c r="P1032" s="38"/>
      <c r="Q1032" s="38"/>
      <c r="R1032" s="38"/>
      <c r="S1032" s="38"/>
      <c r="T1032" s="38"/>
      <c r="U1032" s="38"/>
      <c r="V1032" s="38"/>
      <c r="W1032" s="38"/>
      <c r="X1032" s="38"/>
      <c r="Y1032" s="38"/>
      <c r="Z1032" s="38">
        <f t="shared" si="81"/>
        <v>979</v>
      </c>
      <c r="AA1032" t="e">
        <f t="shared" si="79"/>
        <v>#DIV/0!</v>
      </c>
      <c r="AB1032" s="1" t="e">
        <f t="shared" si="80"/>
        <v>#DIV/0!</v>
      </c>
    </row>
    <row r="1033" spans="11:28" ht="33" customHeight="1">
      <c r="K1033" s="38"/>
      <c r="L1033" s="38"/>
      <c r="M1033" s="38"/>
      <c r="N1033" s="38"/>
      <c r="O1033" s="38"/>
      <c r="P1033" s="38"/>
      <c r="Q1033" s="38"/>
      <c r="R1033" s="38"/>
      <c r="S1033" s="38"/>
      <c r="T1033" s="38"/>
      <c r="U1033" s="38"/>
      <c r="V1033" s="38"/>
      <c r="W1033" s="38"/>
      <c r="X1033" s="38"/>
      <c r="Y1033" s="38"/>
      <c r="Z1033" s="38">
        <f t="shared" si="81"/>
        <v>980</v>
      </c>
      <c r="AA1033" t="e">
        <f t="shared" si="79"/>
        <v>#DIV/0!</v>
      </c>
      <c r="AB1033" s="1" t="e">
        <f t="shared" si="80"/>
        <v>#DIV/0!</v>
      </c>
    </row>
    <row r="1034" spans="11:28" ht="33" customHeight="1">
      <c r="K1034" s="38"/>
      <c r="L1034" s="38"/>
      <c r="M1034" s="38"/>
      <c r="N1034" s="38"/>
      <c r="O1034" s="38"/>
      <c r="P1034" s="38"/>
      <c r="Q1034" s="38"/>
      <c r="R1034" s="38"/>
      <c r="S1034" s="38"/>
      <c r="T1034" s="38"/>
      <c r="U1034" s="38"/>
      <c r="V1034" s="38"/>
      <c r="W1034" s="38"/>
      <c r="X1034" s="38"/>
      <c r="Y1034" s="38"/>
      <c r="Z1034" s="38">
        <f t="shared" si="81"/>
        <v>981</v>
      </c>
      <c r="AA1034" t="e">
        <f t="shared" si="79"/>
        <v>#DIV/0!</v>
      </c>
      <c r="AB1034" s="1" t="e">
        <f t="shared" si="80"/>
        <v>#DIV/0!</v>
      </c>
    </row>
    <row r="1035" spans="11:28" ht="33" customHeight="1">
      <c r="K1035" s="38"/>
      <c r="L1035" s="38"/>
      <c r="M1035" s="38"/>
      <c r="N1035" s="38"/>
      <c r="O1035" s="38"/>
      <c r="P1035" s="38"/>
      <c r="Q1035" s="38"/>
      <c r="R1035" s="38"/>
      <c r="S1035" s="38"/>
      <c r="T1035" s="38"/>
      <c r="U1035" s="38"/>
      <c r="V1035" s="38"/>
      <c r="W1035" s="38"/>
      <c r="X1035" s="38"/>
      <c r="Y1035" s="38"/>
      <c r="Z1035" s="38">
        <f t="shared" si="81"/>
        <v>982</v>
      </c>
      <c r="AA1035" t="e">
        <f t="shared" ref="AA1035:AA1098" si="82">IF(AB1035=Z1035,1,0)</f>
        <v>#DIV/0!</v>
      </c>
      <c r="AB1035" s="1" t="e">
        <f t="shared" ref="AB1035:AB1098" si="83">$AB$8</f>
        <v>#DIV/0!</v>
      </c>
    </row>
    <row r="1036" spans="11:28" ht="33" customHeight="1">
      <c r="K1036" s="38"/>
      <c r="L1036" s="38"/>
      <c r="M1036" s="38"/>
      <c r="N1036" s="38"/>
      <c r="O1036" s="38"/>
      <c r="P1036" s="38"/>
      <c r="Q1036" s="38"/>
      <c r="R1036" s="38"/>
      <c r="S1036" s="38"/>
      <c r="T1036" s="38"/>
      <c r="U1036" s="38"/>
      <c r="V1036" s="38"/>
      <c r="W1036" s="38"/>
      <c r="X1036" s="38"/>
      <c r="Y1036" s="38"/>
      <c r="Z1036" s="38">
        <f t="shared" ref="Z1036:Z1099" si="84">Z1035+1</f>
        <v>983</v>
      </c>
      <c r="AA1036" t="e">
        <f t="shared" si="82"/>
        <v>#DIV/0!</v>
      </c>
      <c r="AB1036" s="1" t="e">
        <f t="shared" si="83"/>
        <v>#DIV/0!</v>
      </c>
    </row>
    <row r="1037" spans="11:28" ht="33" customHeight="1">
      <c r="K1037" s="38"/>
      <c r="L1037" s="38"/>
      <c r="M1037" s="38"/>
      <c r="N1037" s="38"/>
      <c r="O1037" s="38"/>
      <c r="P1037" s="38"/>
      <c r="Q1037" s="38"/>
      <c r="R1037" s="38"/>
      <c r="S1037" s="38"/>
      <c r="T1037" s="38"/>
      <c r="U1037" s="38"/>
      <c r="V1037" s="38"/>
      <c r="W1037" s="38"/>
      <c r="X1037" s="38"/>
      <c r="Y1037" s="38"/>
      <c r="Z1037" s="38">
        <f t="shared" si="84"/>
        <v>984</v>
      </c>
      <c r="AA1037" t="e">
        <f t="shared" si="82"/>
        <v>#DIV/0!</v>
      </c>
      <c r="AB1037" s="1" t="e">
        <f t="shared" si="83"/>
        <v>#DIV/0!</v>
      </c>
    </row>
    <row r="1038" spans="11:28" ht="33" customHeight="1">
      <c r="K1038" s="38"/>
      <c r="L1038" s="38"/>
      <c r="M1038" s="38"/>
      <c r="N1038" s="38"/>
      <c r="O1038" s="38"/>
      <c r="P1038" s="38"/>
      <c r="Q1038" s="38"/>
      <c r="R1038" s="38"/>
      <c r="S1038" s="38"/>
      <c r="T1038" s="38"/>
      <c r="U1038" s="38"/>
      <c r="V1038" s="38"/>
      <c r="W1038" s="38"/>
      <c r="X1038" s="38"/>
      <c r="Y1038" s="38"/>
      <c r="Z1038" s="38">
        <f t="shared" si="84"/>
        <v>985</v>
      </c>
      <c r="AA1038" t="e">
        <f t="shared" si="82"/>
        <v>#DIV/0!</v>
      </c>
      <c r="AB1038" s="1" t="e">
        <f t="shared" si="83"/>
        <v>#DIV/0!</v>
      </c>
    </row>
    <row r="1039" spans="11:28" ht="33" customHeight="1">
      <c r="K1039" s="38"/>
      <c r="L1039" s="38"/>
      <c r="M1039" s="38"/>
      <c r="N1039" s="38"/>
      <c r="O1039" s="38"/>
      <c r="P1039" s="38"/>
      <c r="Q1039" s="38"/>
      <c r="R1039" s="38"/>
      <c r="S1039" s="38"/>
      <c r="T1039" s="38"/>
      <c r="U1039" s="38"/>
      <c r="V1039" s="38"/>
      <c r="W1039" s="38"/>
      <c r="X1039" s="38"/>
      <c r="Y1039" s="38"/>
      <c r="Z1039" s="38">
        <f t="shared" si="84"/>
        <v>986</v>
      </c>
      <c r="AA1039" t="e">
        <f t="shared" si="82"/>
        <v>#DIV/0!</v>
      </c>
      <c r="AB1039" s="1" t="e">
        <f t="shared" si="83"/>
        <v>#DIV/0!</v>
      </c>
    </row>
    <row r="1040" spans="11:28" ht="33" customHeight="1">
      <c r="K1040" s="38"/>
      <c r="L1040" s="38"/>
      <c r="M1040" s="38"/>
      <c r="N1040" s="38"/>
      <c r="O1040" s="38"/>
      <c r="P1040" s="38"/>
      <c r="Q1040" s="38"/>
      <c r="R1040" s="38"/>
      <c r="S1040" s="38"/>
      <c r="T1040" s="38"/>
      <c r="U1040" s="38"/>
      <c r="V1040" s="38"/>
      <c r="W1040" s="38"/>
      <c r="X1040" s="38"/>
      <c r="Y1040" s="38"/>
      <c r="Z1040" s="38">
        <f t="shared" si="84"/>
        <v>987</v>
      </c>
      <c r="AA1040" t="e">
        <f t="shared" si="82"/>
        <v>#DIV/0!</v>
      </c>
      <c r="AB1040" s="1" t="e">
        <f t="shared" si="83"/>
        <v>#DIV/0!</v>
      </c>
    </row>
    <row r="1041" spans="11:28" ht="33" customHeight="1">
      <c r="K1041" s="38"/>
      <c r="L1041" s="38"/>
      <c r="M1041" s="38"/>
      <c r="N1041" s="38"/>
      <c r="O1041" s="38"/>
      <c r="P1041" s="38"/>
      <c r="Q1041" s="38"/>
      <c r="R1041" s="38"/>
      <c r="S1041" s="38"/>
      <c r="T1041" s="38"/>
      <c r="U1041" s="38"/>
      <c r="V1041" s="38"/>
      <c r="W1041" s="38"/>
      <c r="X1041" s="38"/>
      <c r="Y1041" s="38"/>
      <c r="Z1041" s="38">
        <f t="shared" si="84"/>
        <v>988</v>
      </c>
      <c r="AA1041" t="e">
        <f t="shared" si="82"/>
        <v>#DIV/0!</v>
      </c>
      <c r="AB1041" s="1" t="e">
        <f t="shared" si="83"/>
        <v>#DIV/0!</v>
      </c>
    </row>
    <row r="1042" spans="11:28" ht="33" customHeight="1">
      <c r="K1042" s="38"/>
      <c r="L1042" s="38"/>
      <c r="M1042" s="38"/>
      <c r="N1042" s="38"/>
      <c r="O1042" s="38"/>
      <c r="P1042" s="38"/>
      <c r="Q1042" s="38"/>
      <c r="R1042" s="38"/>
      <c r="S1042" s="38"/>
      <c r="T1042" s="38"/>
      <c r="U1042" s="38"/>
      <c r="V1042" s="38"/>
      <c r="W1042" s="38"/>
      <c r="X1042" s="38"/>
      <c r="Y1042" s="38"/>
      <c r="Z1042" s="38">
        <f t="shared" si="84"/>
        <v>989</v>
      </c>
      <c r="AA1042" t="e">
        <f t="shared" si="82"/>
        <v>#DIV/0!</v>
      </c>
      <c r="AB1042" s="1" t="e">
        <f t="shared" si="83"/>
        <v>#DIV/0!</v>
      </c>
    </row>
    <row r="1043" spans="11:28" ht="33" customHeight="1">
      <c r="K1043" s="38"/>
      <c r="L1043" s="38"/>
      <c r="M1043" s="38"/>
      <c r="N1043" s="38"/>
      <c r="O1043" s="38"/>
      <c r="P1043" s="38"/>
      <c r="Q1043" s="38"/>
      <c r="R1043" s="38"/>
      <c r="S1043" s="38"/>
      <c r="T1043" s="38"/>
      <c r="U1043" s="38"/>
      <c r="V1043" s="38"/>
      <c r="W1043" s="38"/>
      <c r="X1043" s="38"/>
      <c r="Y1043" s="38"/>
      <c r="Z1043" s="38">
        <f t="shared" si="84"/>
        <v>990</v>
      </c>
      <c r="AA1043" t="e">
        <f t="shared" si="82"/>
        <v>#DIV/0!</v>
      </c>
      <c r="AB1043" s="1" t="e">
        <f t="shared" si="83"/>
        <v>#DIV/0!</v>
      </c>
    </row>
    <row r="1044" spans="11:28" ht="33" customHeight="1">
      <c r="K1044" s="38"/>
      <c r="L1044" s="38"/>
      <c r="M1044" s="38"/>
      <c r="N1044" s="38"/>
      <c r="O1044" s="38"/>
      <c r="P1044" s="38"/>
      <c r="Q1044" s="38"/>
      <c r="R1044" s="38"/>
      <c r="S1044" s="38"/>
      <c r="T1044" s="38"/>
      <c r="U1044" s="38"/>
      <c r="V1044" s="38"/>
      <c r="W1044" s="38"/>
      <c r="X1044" s="38"/>
      <c r="Y1044" s="38"/>
      <c r="Z1044" s="38">
        <f t="shared" si="84"/>
        <v>991</v>
      </c>
      <c r="AA1044" t="e">
        <f t="shared" si="82"/>
        <v>#DIV/0!</v>
      </c>
      <c r="AB1044" s="1" t="e">
        <f t="shared" si="83"/>
        <v>#DIV/0!</v>
      </c>
    </row>
    <row r="1045" spans="11:28" ht="33" customHeight="1">
      <c r="K1045" s="38"/>
      <c r="L1045" s="38"/>
      <c r="M1045" s="38"/>
      <c r="N1045" s="38"/>
      <c r="O1045" s="38"/>
      <c r="P1045" s="38"/>
      <c r="Q1045" s="38"/>
      <c r="R1045" s="38"/>
      <c r="S1045" s="38"/>
      <c r="T1045" s="38"/>
      <c r="U1045" s="38"/>
      <c r="V1045" s="38"/>
      <c r="W1045" s="38"/>
      <c r="X1045" s="38"/>
      <c r="Y1045" s="38"/>
      <c r="Z1045" s="38">
        <f t="shared" si="84"/>
        <v>992</v>
      </c>
      <c r="AA1045" t="e">
        <f t="shared" si="82"/>
        <v>#DIV/0!</v>
      </c>
      <c r="AB1045" s="1" t="e">
        <f t="shared" si="83"/>
        <v>#DIV/0!</v>
      </c>
    </row>
    <row r="1046" spans="11:28" ht="33" customHeight="1">
      <c r="K1046" s="38"/>
      <c r="L1046" s="38"/>
      <c r="M1046" s="38"/>
      <c r="N1046" s="38"/>
      <c r="O1046" s="38"/>
      <c r="P1046" s="38"/>
      <c r="Q1046" s="38"/>
      <c r="R1046" s="38"/>
      <c r="S1046" s="38"/>
      <c r="T1046" s="38"/>
      <c r="U1046" s="38"/>
      <c r="V1046" s="38"/>
      <c r="W1046" s="38"/>
      <c r="X1046" s="38"/>
      <c r="Y1046" s="38"/>
      <c r="Z1046" s="38">
        <f t="shared" si="84"/>
        <v>993</v>
      </c>
      <c r="AA1046" t="e">
        <f t="shared" si="82"/>
        <v>#DIV/0!</v>
      </c>
      <c r="AB1046" s="1" t="e">
        <f t="shared" si="83"/>
        <v>#DIV/0!</v>
      </c>
    </row>
    <row r="1047" spans="11:28" ht="33" customHeight="1">
      <c r="K1047" s="38"/>
      <c r="L1047" s="38"/>
      <c r="M1047" s="38"/>
      <c r="N1047" s="38"/>
      <c r="O1047" s="38"/>
      <c r="P1047" s="38"/>
      <c r="Q1047" s="38"/>
      <c r="R1047" s="38"/>
      <c r="S1047" s="38"/>
      <c r="T1047" s="38"/>
      <c r="U1047" s="38"/>
      <c r="V1047" s="38"/>
      <c r="W1047" s="38"/>
      <c r="X1047" s="38"/>
      <c r="Y1047" s="38"/>
      <c r="Z1047" s="38">
        <f t="shared" si="84"/>
        <v>994</v>
      </c>
      <c r="AA1047" t="e">
        <f t="shared" si="82"/>
        <v>#DIV/0!</v>
      </c>
      <c r="AB1047" s="1" t="e">
        <f t="shared" si="83"/>
        <v>#DIV/0!</v>
      </c>
    </row>
    <row r="1048" spans="11:28" ht="33" customHeight="1">
      <c r="K1048" s="38"/>
      <c r="L1048" s="38"/>
      <c r="M1048" s="38"/>
      <c r="N1048" s="38"/>
      <c r="O1048" s="38"/>
      <c r="P1048" s="38"/>
      <c r="Q1048" s="38"/>
      <c r="R1048" s="38"/>
      <c r="S1048" s="38"/>
      <c r="T1048" s="38"/>
      <c r="U1048" s="38"/>
      <c r="V1048" s="38"/>
      <c r="W1048" s="38"/>
      <c r="X1048" s="38"/>
      <c r="Y1048" s="38"/>
      <c r="Z1048" s="38">
        <f t="shared" si="84"/>
        <v>995</v>
      </c>
      <c r="AA1048" t="e">
        <f t="shared" si="82"/>
        <v>#DIV/0!</v>
      </c>
      <c r="AB1048" s="1" t="e">
        <f t="shared" si="83"/>
        <v>#DIV/0!</v>
      </c>
    </row>
    <row r="1049" spans="11:28" ht="33" customHeight="1">
      <c r="K1049" s="38"/>
      <c r="L1049" s="38"/>
      <c r="M1049" s="38"/>
      <c r="N1049" s="38"/>
      <c r="O1049" s="38"/>
      <c r="P1049" s="38"/>
      <c r="Q1049" s="38"/>
      <c r="R1049" s="38"/>
      <c r="S1049" s="38"/>
      <c r="T1049" s="38"/>
      <c r="U1049" s="38"/>
      <c r="V1049" s="38"/>
      <c r="W1049" s="38"/>
      <c r="X1049" s="38"/>
      <c r="Y1049" s="38"/>
      <c r="Z1049" s="38">
        <f t="shared" si="84"/>
        <v>996</v>
      </c>
      <c r="AA1049" t="e">
        <f t="shared" si="82"/>
        <v>#DIV/0!</v>
      </c>
      <c r="AB1049" s="1" t="e">
        <f t="shared" si="83"/>
        <v>#DIV/0!</v>
      </c>
    </row>
    <row r="1050" spans="11:28" ht="33" customHeight="1">
      <c r="K1050" s="38"/>
      <c r="L1050" s="38"/>
      <c r="M1050" s="38"/>
      <c r="N1050" s="38"/>
      <c r="O1050" s="38"/>
      <c r="P1050" s="38"/>
      <c r="Q1050" s="38"/>
      <c r="R1050" s="38"/>
      <c r="S1050" s="38"/>
      <c r="T1050" s="38"/>
      <c r="U1050" s="38"/>
      <c r="V1050" s="38"/>
      <c r="W1050" s="38"/>
      <c r="X1050" s="38"/>
      <c r="Y1050" s="38"/>
      <c r="Z1050" s="38">
        <f t="shared" si="84"/>
        <v>997</v>
      </c>
      <c r="AA1050" t="e">
        <f t="shared" si="82"/>
        <v>#DIV/0!</v>
      </c>
      <c r="AB1050" s="1" t="e">
        <f t="shared" si="83"/>
        <v>#DIV/0!</v>
      </c>
    </row>
    <row r="1051" spans="11:28" ht="33" customHeight="1">
      <c r="K1051" s="38"/>
      <c r="L1051" s="38"/>
      <c r="M1051" s="38"/>
      <c r="N1051" s="38"/>
      <c r="O1051" s="38"/>
      <c r="P1051" s="38"/>
      <c r="Q1051" s="38"/>
      <c r="R1051" s="38"/>
      <c r="S1051" s="38"/>
      <c r="T1051" s="38"/>
      <c r="U1051" s="38"/>
      <c r="V1051" s="38"/>
      <c r="W1051" s="38"/>
      <c r="X1051" s="38"/>
      <c r="Y1051" s="38"/>
      <c r="Z1051" s="38">
        <f t="shared" si="84"/>
        <v>998</v>
      </c>
      <c r="AA1051" t="e">
        <f t="shared" si="82"/>
        <v>#DIV/0!</v>
      </c>
      <c r="AB1051" s="1" t="e">
        <f t="shared" si="83"/>
        <v>#DIV/0!</v>
      </c>
    </row>
    <row r="1052" spans="11:28" ht="33" customHeight="1">
      <c r="K1052" s="38"/>
      <c r="L1052" s="38"/>
      <c r="M1052" s="38"/>
      <c r="N1052" s="38"/>
      <c r="O1052" s="38"/>
      <c r="P1052" s="38"/>
      <c r="Q1052" s="38"/>
      <c r="R1052" s="38"/>
      <c r="S1052" s="38"/>
      <c r="T1052" s="38"/>
      <c r="U1052" s="38"/>
      <c r="V1052" s="38"/>
      <c r="W1052" s="38"/>
      <c r="X1052" s="38"/>
      <c r="Y1052" s="38"/>
      <c r="Z1052" s="38">
        <f t="shared" si="84"/>
        <v>999</v>
      </c>
      <c r="AA1052" t="e">
        <f t="shared" si="82"/>
        <v>#DIV/0!</v>
      </c>
      <c r="AB1052" s="1" t="e">
        <f t="shared" si="83"/>
        <v>#DIV/0!</v>
      </c>
    </row>
    <row r="1053" spans="11:28" ht="33" customHeight="1">
      <c r="K1053" s="38"/>
      <c r="L1053" s="38"/>
      <c r="M1053" s="38"/>
      <c r="N1053" s="38"/>
      <c r="O1053" s="38"/>
      <c r="P1053" s="38"/>
      <c r="Q1053" s="38"/>
      <c r="R1053" s="38"/>
      <c r="S1053" s="38"/>
      <c r="T1053" s="38"/>
      <c r="U1053" s="38"/>
      <c r="V1053" s="38"/>
      <c r="W1053" s="38"/>
      <c r="X1053" s="38"/>
      <c r="Y1053" s="38"/>
      <c r="Z1053" s="38">
        <f t="shared" si="84"/>
        <v>1000</v>
      </c>
      <c r="AA1053" t="e">
        <f t="shared" si="82"/>
        <v>#DIV/0!</v>
      </c>
      <c r="AB1053" s="1" t="e">
        <f t="shared" si="83"/>
        <v>#DIV/0!</v>
      </c>
    </row>
    <row r="1054" spans="11:28" ht="33" customHeight="1">
      <c r="K1054" s="38"/>
      <c r="L1054" s="38"/>
      <c r="M1054" s="38"/>
      <c r="N1054" s="38"/>
      <c r="O1054" s="38"/>
      <c r="P1054" s="38"/>
      <c r="Q1054" s="38"/>
      <c r="R1054" s="38"/>
      <c r="S1054" s="38"/>
      <c r="T1054" s="38"/>
      <c r="U1054" s="38"/>
      <c r="V1054" s="38"/>
      <c r="W1054" s="38"/>
      <c r="X1054" s="38"/>
      <c r="Y1054" s="38"/>
      <c r="Z1054" s="38">
        <f t="shared" si="84"/>
        <v>1001</v>
      </c>
      <c r="AA1054" t="e">
        <f t="shared" si="82"/>
        <v>#DIV/0!</v>
      </c>
      <c r="AB1054" s="1" t="e">
        <f t="shared" si="83"/>
        <v>#DIV/0!</v>
      </c>
    </row>
    <row r="1055" spans="11:28" ht="33" customHeight="1">
      <c r="K1055" s="38"/>
      <c r="L1055" s="38"/>
      <c r="M1055" s="38"/>
      <c r="N1055" s="38"/>
      <c r="O1055" s="38"/>
      <c r="P1055" s="38"/>
      <c r="Q1055" s="38"/>
      <c r="R1055" s="38"/>
      <c r="S1055" s="38"/>
      <c r="T1055" s="38"/>
      <c r="U1055" s="38"/>
      <c r="V1055" s="38"/>
      <c r="W1055" s="38"/>
      <c r="X1055" s="38"/>
      <c r="Y1055" s="38"/>
      <c r="Z1055" s="38">
        <f t="shared" si="84"/>
        <v>1002</v>
      </c>
      <c r="AA1055" t="e">
        <f t="shared" si="82"/>
        <v>#DIV/0!</v>
      </c>
      <c r="AB1055" s="1" t="e">
        <f t="shared" si="83"/>
        <v>#DIV/0!</v>
      </c>
    </row>
    <row r="1056" spans="11:28" ht="33" customHeight="1">
      <c r="K1056" s="38"/>
      <c r="L1056" s="38"/>
      <c r="M1056" s="38"/>
      <c r="N1056" s="38"/>
      <c r="O1056" s="38"/>
      <c r="P1056" s="38"/>
      <c r="Q1056" s="38"/>
      <c r="R1056" s="38"/>
      <c r="S1056" s="38"/>
      <c r="T1056" s="38"/>
      <c r="U1056" s="38"/>
      <c r="V1056" s="38"/>
      <c r="W1056" s="38"/>
      <c r="X1056" s="38"/>
      <c r="Y1056" s="38"/>
      <c r="Z1056" s="38">
        <f t="shared" si="84"/>
        <v>1003</v>
      </c>
      <c r="AA1056" t="e">
        <f t="shared" si="82"/>
        <v>#DIV/0!</v>
      </c>
      <c r="AB1056" s="1" t="e">
        <f t="shared" si="83"/>
        <v>#DIV/0!</v>
      </c>
    </row>
    <row r="1057" spans="11:28" ht="33" customHeight="1">
      <c r="K1057" s="38"/>
      <c r="L1057" s="38"/>
      <c r="M1057" s="38"/>
      <c r="N1057" s="38"/>
      <c r="O1057" s="38"/>
      <c r="P1057" s="38"/>
      <c r="Q1057" s="38"/>
      <c r="R1057" s="38"/>
      <c r="S1057" s="38"/>
      <c r="T1057" s="38"/>
      <c r="U1057" s="38"/>
      <c r="V1057" s="38"/>
      <c r="W1057" s="38"/>
      <c r="X1057" s="38"/>
      <c r="Y1057" s="38"/>
      <c r="Z1057" s="38">
        <f t="shared" si="84"/>
        <v>1004</v>
      </c>
      <c r="AA1057" t="e">
        <f t="shared" si="82"/>
        <v>#DIV/0!</v>
      </c>
      <c r="AB1057" s="1" t="e">
        <f t="shared" si="83"/>
        <v>#DIV/0!</v>
      </c>
    </row>
    <row r="1058" spans="11:28" ht="33" customHeight="1">
      <c r="K1058" s="38"/>
      <c r="L1058" s="38"/>
      <c r="M1058" s="38"/>
      <c r="N1058" s="38"/>
      <c r="O1058" s="38"/>
      <c r="P1058" s="38"/>
      <c r="Q1058" s="38"/>
      <c r="R1058" s="38"/>
      <c r="S1058" s="38"/>
      <c r="T1058" s="38"/>
      <c r="U1058" s="38"/>
      <c r="V1058" s="38"/>
      <c r="W1058" s="38"/>
      <c r="X1058" s="38"/>
      <c r="Y1058" s="38"/>
      <c r="Z1058" s="38">
        <f t="shared" si="84"/>
        <v>1005</v>
      </c>
      <c r="AA1058" t="e">
        <f t="shared" si="82"/>
        <v>#DIV/0!</v>
      </c>
      <c r="AB1058" s="1" t="e">
        <f t="shared" si="83"/>
        <v>#DIV/0!</v>
      </c>
    </row>
    <row r="1059" spans="11:28" ht="33" customHeight="1">
      <c r="K1059" s="38"/>
      <c r="L1059" s="38"/>
      <c r="M1059" s="38"/>
      <c r="N1059" s="38"/>
      <c r="O1059" s="38"/>
      <c r="P1059" s="38"/>
      <c r="Q1059" s="38"/>
      <c r="R1059" s="38"/>
      <c r="S1059" s="38"/>
      <c r="T1059" s="38"/>
      <c r="U1059" s="38"/>
      <c r="V1059" s="38"/>
      <c r="W1059" s="38"/>
      <c r="X1059" s="38"/>
      <c r="Y1059" s="38"/>
      <c r="Z1059" s="38">
        <f t="shared" si="84"/>
        <v>1006</v>
      </c>
      <c r="AA1059" t="e">
        <f t="shared" si="82"/>
        <v>#DIV/0!</v>
      </c>
      <c r="AB1059" s="1" t="e">
        <f t="shared" si="83"/>
        <v>#DIV/0!</v>
      </c>
    </row>
    <row r="1060" spans="11:28" ht="33" customHeight="1">
      <c r="K1060" s="38"/>
      <c r="L1060" s="38"/>
      <c r="M1060" s="38"/>
      <c r="N1060" s="38"/>
      <c r="O1060" s="38"/>
      <c r="P1060" s="38"/>
      <c r="Q1060" s="38"/>
      <c r="R1060" s="38"/>
      <c r="S1060" s="38"/>
      <c r="T1060" s="38"/>
      <c r="U1060" s="38"/>
      <c r="V1060" s="38"/>
      <c r="W1060" s="38"/>
      <c r="X1060" s="38"/>
      <c r="Y1060" s="38"/>
      <c r="Z1060" s="38">
        <f t="shared" si="84"/>
        <v>1007</v>
      </c>
      <c r="AA1060" t="e">
        <f t="shared" si="82"/>
        <v>#DIV/0!</v>
      </c>
      <c r="AB1060" s="1" t="e">
        <f t="shared" si="83"/>
        <v>#DIV/0!</v>
      </c>
    </row>
    <row r="1061" spans="11:28" ht="33" customHeight="1">
      <c r="K1061" s="38"/>
      <c r="L1061" s="38"/>
      <c r="M1061" s="38"/>
      <c r="N1061" s="38"/>
      <c r="O1061" s="38"/>
      <c r="P1061" s="38"/>
      <c r="Q1061" s="38"/>
      <c r="R1061" s="38"/>
      <c r="S1061" s="38"/>
      <c r="T1061" s="38"/>
      <c r="U1061" s="38"/>
      <c r="V1061" s="38"/>
      <c r="W1061" s="38"/>
      <c r="X1061" s="38"/>
      <c r="Y1061" s="38"/>
      <c r="Z1061" s="38">
        <f t="shared" si="84"/>
        <v>1008</v>
      </c>
      <c r="AA1061" t="e">
        <f t="shared" si="82"/>
        <v>#DIV/0!</v>
      </c>
      <c r="AB1061" s="1" t="e">
        <f t="shared" si="83"/>
        <v>#DIV/0!</v>
      </c>
    </row>
    <row r="1062" spans="11:28" ht="33" customHeight="1">
      <c r="K1062" s="38"/>
      <c r="L1062" s="38"/>
      <c r="M1062" s="38"/>
      <c r="N1062" s="38"/>
      <c r="O1062" s="38"/>
      <c r="P1062" s="38"/>
      <c r="Q1062" s="38"/>
      <c r="R1062" s="38"/>
      <c r="S1062" s="38"/>
      <c r="T1062" s="38"/>
      <c r="U1062" s="38"/>
      <c r="V1062" s="38"/>
      <c r="W1062" s="38"/>
      <c r="X1062" s="38"/>
      <c r="Y1062" s="38"/>
      <c r="Z1062" s="38">
        <f t="shared" si="84"/>
        <v>1009</v>
      </c>
      <c r="AA1062" t="e">
        <f t="shared" si="82"/>
        <v>#DIV/0!</v>
      </c>
      <c r="AB1062" s="1" t="e">
        <f t="shared" si="83"/>
        <v>#DIV/0!</v>
      </c>
    </row>
    <row r="1063" spans="11:28" ht="33" customHeight="1">
      <c r="K1063" s="38"/>
      <c r="L1063" s="38"/>
      <c r="M1063" s="38"/>
      <c r="N1063" s="38"/>
      <c r="O1063" s="38"/>
      <c r="P1063" s="38"/>
      <c r="Q1063" s="38"/>
      <c r="R1063" s="38"/>
      <c r="S1063" s="38"/>
      <c r="T1063" s="38"/>
      <c r="U1063" s="38"/>
      <c r="V1063" s="38"/>
      <c r="W1063" s="38"/>
      <c r="X1063" s="38"/>
      <c r="Y1063" s="38"/>
      <c r="Z1063" s="38">
        <f t="shared" si="84"/>
        <v>1010</v>
      </c>
      <c r="AA1063" t="e">
        <f t="shared" si="82"/>
        <v>#DIV/0!</v>
      </c>
      <c r="AB1063" s="1" t="e">
        <f t="shared" si="83"/>
        <v>#DIV/0!</v>
      </c>
    </row>
    <row r="1064" spans="11:28" ht="33" customHeight="1">
      <c r="K1064" s="38"/>
      <c r="L1064" s="38"/>
      <c r="M1064" s="38"/>
      <c r="N1064" s="38"/>
      <c r="O1064" s="38"/>
      <c r="P1064" s="38"/>
      <c r="Q1064" s="38"/>
      <c r="R1064" s="38"/>
      <c r="S1064" s="38"/>
      <c r="T1064" s="38"/>
      <c r="U1064" s="38"/>
      <c r="V1064" s="38"/>
      <c r="W1064" s="38"/>
      <c r="X1064" s="38"/>
      <c r="Y1064" s="38"/>
      <c r="Z1064" s="38">
        <f t="shared" si="84"/>
        <v>1011</v>
      </c>
      <c r="AA1064" t="e">
        <f t="shared" si="82"/>
        <v>#DIV/0!</v>
      </c>
      <c r="AB1064" s="1" t="e">
        <f t="shared" si="83"/>
        <v>#DIV/0!</v>
      </c>
    </row>
    <row r="1065" spans="11:28" ht="33" customHeight="1">
      <c r="K1065" s="38"/>
      <c r="L1065" s="38"/>
      <c r="M1065" s="38"/>
      <c r="N1065" s="38"/>
      <c r="O1065" s="38"/>
      <c r="P1065" s="38"/>
      <c r="Q1065" s="38"/>
      <c r="R1065" s="38"/>
      <c r="S1065" s="38"/>
      <c r="T1065" s="38"/>
      <c r="U1065" s="38"/>
      <c r="V1065" s="38"/>
      <c r="W1065" s="38"/>
      <c r="X1065" s="38"/>
      <c r="Y1065" s="38"/>
      <c r="Z1065" s="38">
        <f t="shared" si="84"/>
        <v>1012</v>
      </c>
      <c r="AA1065" t="e">
        <f t="shared" si="82"/>
        <v>#DIV/0!</v>
      </c>
      <c r="AB1065" s="1" t="e">
        <f t="shared" si="83"/>
        <v>#DIV/0!</v>
      </c>
    </row>
    <row r="1066" spans="11:28" ht="33" customHeight="1">
      <c r="K1066" s="38"/>
      <c r="L1066" s="38"/>
      <c r="M1066" s="38"/>
      <c r="N1066" s="38"/>
      <c r="O1066" s="38"/>
      <c r="P1066" s="38"/>
      <c r="Q1066" s="38"/>
      <c r="R1066" s="38"/>
      <c r="S1066" s="38"/>
      <c r="T1066" s="38"/>
      <c r="U1066" s="38"/>
      <c r="V1066" s="38"/>
      <c r="W1066" s="38"/>
      <c r="X1066" s="38"/>
      <c r="Y1066" s="38"/>
      <c r="Z1066" s="38">
        <f t="shared" si="84"/>
        <v>1013</v>
      </c>
      <c r="AA1066" t="e">
        <f t="shared" si="82"/>
        <v>#DIV/0!</v>
      </c>
      <c r="AB1066" s="1" t="e">
        <f t="shared" si="83"/>
        <v>#DIV/0!</v>
      </c>
    </row>
    <row r="1067" spans="11:28" ht="33" customHeight="1">
      <c r="K1067" s="38"/>
      <c r="L1067" s="38"/>
      <c r="M1067" s="38"/>
      <c r="N1067" s="38"/>
      <c r="O1067" s="38"/>
      <c r="P1067" s="38"/>
      <c r="Q1067" s="38"/>
      <c r="R1067" s="38"/>
      <c r="S1067" s="38"/>
      <c r="T1067" s="38"/>
      <c r="U1067" s="38"/>
      <c r="V1067" s="38"/>
      <c r="W1067" s="38"/>
      <c r="X1067" s="38"/>
      <c r="Y1067" s="38"/>
      <c r="Z1067" s="38">
        <f t="shared" si="84"/>
        <v>1014</v>
      </c>
      <c r="AA1067" t="e">
        <f t="shared" si="82"/>
        <v>#DIV/0!</v>
      </c>
      <c r="AB1067" s="1" t="e">
        <f t="shared" si="83"/>
        <v>#DIV/0!</v>
      </c>
    </row>
    <row r="1068" spans="11:28" ht="33" customHeight="1">
      <c r="K1068" s="38"/>
      <c r="L1068" s="38"/>
      <c r="M1068" s="38"/>
      <c r="N1068" s="38"/>
      <c r="O1068" s="38"/>
      <c r="P1068" s="38"/>
      <c r="Q1068" s="38"/>
      <c r="R1068" s="38"/>
      <c r="S1068" s="38"/>
      <c r="T1068" s="38"/>
      <c r="U1068" s="38"/>
      <c r="V1068" s="38"/>
      <c r="W1068" s="38"/>
      <c r="X1068" s="38"/>
      <c r="Y1068" s="38"/>
      <c r="Z1068" s="38">
        <f t="shared" si="84"/>
        <v>1015</v>
      </c>
      <c r="AA1068" t="e">
        <f t="shared" si="82"/>
        <v>#DIV/0!</v>
      </c>
      <c r="AB1068" s="1" t="e">
        <f t="shared" si="83"/>
        <v>#DIV/0!</v>
      </c>
    </row>
    <row r="1069" spans="11:28" ht="33" customHeight="1">
      <c r="K1069" s="38"/>
      <c r="L1069" s="38"/>
      <c r="M1069" s="38"/>
      <c r="N1069" s="38"/>
      <c r="O1069" s="38"/>
      <c r="P1069" s="38"/>
      <c r="Q1069" s="38"/>
      <c r="R1069" s="38"/>
      <c r="S1069" s="38"/>
      <c r="T1069" s="38"/>
      <c r="U1069" s="38"/>
      <c r="V1069" s="38"/>
      <c r="W1069" s="38"/>
      <c r="X1069" s="38"/>
      <c r="Y1069" s="38"/>
      <c r="Z1069" s="38">
        <f t="shared" si="84"/>
        <v>1016</v>
      </c>
      <c r="AA1069" t="e">
        <f t="shared" si="82"/>
        <v>#DIV/0!</v>
      </c>
      <c r="AB1069" s="1" t="e">
        <f t="shared" si="83"/>
        <v>#DIV/0!</v>
      </c>
    </row>
    <row r="1070" spans="11:28" ht="33" customHeight="1">
      <c r="K1070" s="38"/>
      <c r="L1070" s="38"/>
      <c r="M1070" s="38"/>
      <c r="N1070" s="38"/>
      <c r="O1070" s="38"/>
      <c r="P1070" s="38"/>
      <c r="Q1070" s="38"/>
      <c r="R1070" s="38"/>
      <c r="S1070" s="38"/>
      <c r="T1070" s="38"/>
      <c r="U1070" s="38"/>
      <c r="V1070" s="38"/>
      <c r="W1070" s="38"/>
      <c r="X1070" s="38"/>
      <c r="Y1070" s="38"/>
      <c r="Z1070" s="38">
        <f t="shared" si="84"/>
        <v>1017</v>
      </c>
      <c r="AA1070" t="e">
        <f t="shared" si="82"/>
        <v>#DIV/0!</v>
      </c>
      <c r="AB1070" s="1" t="e">
        <f t="shared" si="83"/>
        <v>#DIV/0!</v>
      </c>
    </row>
    <row r="1071" spans="11:28" ht="33" customHeight="1">
      <c r="K1071" s="38"/>
      <c r="L1071" s="38"/>
      <c r="M1071" s="38"/>
      <c r="N1071" s="38"/>
      <c r="O1071" s="38"/>
      <c r="P1071" s="38"/>
      <c r="Q1071" s="38"/>
      <c r="R1071" s="38"/>
      <c r="S1071" s="38"/>
      <c r="T1071" s="38"/>
      <c r="U1071" s="38"/>
      <c r="V1071" s="38"/>
      <c r="W1071" s="38"/>
      <c r="X1071" s="38"/>
      <c r="Y1071" s="38"/>
      <c r="Z1071" s="38">
        <f t="shared" si="84"/>
        <v>1018</v>
      </c>
      <c r="AA1071" t="e">
        <f t="shared" si="82"/>
        <v>#DIV/0!</v>
      </c>
      <c r="AB1071" s="1" t="e">
        <f t="shared" si="83"/>
        <v>#DIV/0!</v>
      </c>
    </row>
    <row r="1072" spans="11:28" ht="33" customHeight="1">
      <c r="K1072" s="38"/>
      <c r="L1072" s="38"/>
      <c r="M1072" s="38"/>
      <c r="N1072" s="38"/>
      <c r="O1072" s="38"/>
      <c r="P1072" s="38"/>
      <c r="Q1072" s="38"/>
      <c r="R1072" s="38"/>
      <c r="S1072" s="38"/>
      <c r="T1072" s="38"/>
      <c r="U1072" s="38"/>
      <c r="V1072" s="38"/>
      <c r="W1072" s="38"/>
      <c r="X1072" s="38"/>
      <c r="Y1072" s="38"/>
      <c r="Z1072" s="38">
        <f t="shared" si="84"/>
        <v>1019</v>
      </c>
      <c r="AA1072" t="e">
        <f t="shared" si="82"/>
        <v>#DIV/0!</v>
      </c>
      <c r="AB1072" s="1" t="e">
        <f t="shared" si="83"/>
        <v>#DIV/0!</v>
      </c>
    </row>
    <row r="1073" spans="11:28" ht="33" customHeight="1">
      <c r="K1073" s="38"/>
      <c r="L1073" s="38"/>
      <c r="M1073" s="38"/>
      <c r="N1073" s="38"/>
      <c r="O1073" s="38"/>
      <c r="P1073" s="38"/>
      <c r="Q1073" s="38"/>
      <c r="R1073" s="38"/>
      <c r="S1073" s="38"/>
      <c r="T1073" s="38"/>
      <c r="U1073" s="38"/>
      <c r="V1073" s="38"/>
      <c r="W1073" s="38"/>
      <c r="X1073" s="38"/>
      <c r="Y1073" s="38"/>
      <c r="Z1073" s="38">
        <f t="shared" si="84"/>
        <v>1020</v>
      </c>
      <c r="AA1073" t="e">
        <f t="shared" si="82"/>
        <v>#DIV/0!</v>
      </c>
      <c r="AB1073" s="1" t="e">
        <f t="shared" si="83"/>
        <v>#DIV/0!</v>
      </c>
    </row>
    <row r="1074" spans="11:28" ht="33" customHeight="1">
      <c r="K1074" s="38"/>
      <c r="L1074" s="38"/>
      <c r="M1074" s="38"/>
      <c r="N1074" s="38"/>
      <c r="O1074" s="38"/>
      <c r="P1074" s="38"/>
      <c r="Q1074" s="38"/>
      <c r="R1074" s="38"/>
      <c r="S1074" s="38"/>
      <c r="T1074" s="38"/>
      <c r="U1074" s="38"/>
      <c r="V1074" s="38"/>
      <c r="W1074" s="38"/>
      <c r="X1074" s="38"/>
      <c r="Y1074" s="38"/>
      <c r="Z1074" s="38">
        <f t="shared" si="84"/>
        <v>1021</v>
      </c>
      <c r="AA1074" t="e">
        <f t="shared" si="82"/>
        <v>#DIV/0!</v>
      </c>
      <c r="AB1074" s="1" t="e">
        <f t="shared" si="83"/>
        <v>#DIV/0!</v>
      </c>
    </row>
    <row r="1075" spans="11:28" ht="33" customHeight="1">
      <c r="K1075" s="38"/>
      <c r="L1075" s="38"/>
      <c r="M1075" s="38"/>
      <c r="N1075" s="38"/>
      <c r="O1075" s="38"/>
      <c r="P1075" s="38"/>
      <c r="Q1075" s="38"/>
      <c r="R1075" s="38"/>
      <c r="S1075" s="38"/>
      <c r="T1075" s="38"/>
      <c r="U1075" s="38"/>
      <c r="V1075" s="38"/>
      <c r="W1075" s="38"/>
      <c r="X1075" s="38"/>
      <c r="Y1075" s="38"/>
      <c r="Z1075" s="38">
        <f t="shared" si="84"/>
        <v>1022</v>
      </c>
      <c r="AA1075" t="e">
        <f t="shared" si="82"/>
        <v>#DIV/0!</v>
      </c>
      <c r="AB1075" s="1" t="e">
        <f t="shared" si="83"/>
        <v>#DIV/0!</v>
      </c>
    </row>
    <row r="1076" spans="11:28" ht="33" customHeight="1">
      <c r="K1076" s="38"/>
      <c r="L1076" s="38"/>
      <c r="M1076" s="38"/>
      <c r="N1076" s="38"/>
      <c r="O1076" s="38"/>
      <c r="P1076" s="38"/>
      <c r="Q1076" s="38"/>
      <c r="R1076" s="38"/>
      <c r="S1076" s="38"/>
      <c r="T1076" s="38"/>
      <c r="U1076" s="38"/>
      <c r="V1076" s="38"/>
      <c r="W1076" s="38"/>
      <c r="X1076" s="38"/>
      <c r="Y1076" s="38"/>
      <c r="Z1076" s="38">
        <f t="shared" si="84"/>
        <v>1023</v>
      </c>
      <c r="AA1076" t="e">
        <f t="shared" si="82"/>
        <v>#DIV/0!</v>
      </c>
      <c r="AB1076" s="1" t="e">
        <f t="shared" si="83"/>
        <v>#DIV/0!</v>
      </c>
    </row>
    <row r="1077" spans="11:28" ht="33" customHeight="1">
      <c r="K1077" s="38"/>
      <c r="L1077" s="38"/>
      <c r="M1077" s="38"/>
      <c r="N1077" s="38"/>
      <c r="O1077" s="38"/>
      <c r="P1077" s="38"/>
      <c r="Q1077" s="38"/>
      <c r="R1077" s="38"/>
      <c r="S1077" s="38"/>
      <c r="T1077" s="38"/>
      <c r="U1077" s="38"/>
      <c r="V1077" s="38"/>
      <c r="W1077" s="38"/>
      <c r="X1077" s="38"/>
      <c r="Y1077" s="38"/>
      <c r="Z1077" s="38">
        <f t="shared" si="84"/>
        <v>1024</v>
      </c>
      <c r="AA1077" t="e">
        <f t="shared" si="82"/>
        <v>#DIV/0!</v>
      </c>
      <c r="AB1077" s="1" t="e">
        <f t="shared" si="83"/>
        <v>#DIV/0!</v>
      </c>
    </row>
    <row r="1078" spans="11:28" ht="33" customHeight="1">
      <c r="K1078" s="38"/>
      <c r="L1078" s="38"/>
      <c r="M1078" s="38"/>
      <c r="N1078" s="38"/>
      <c r="O1078" s="38"/>
      <c r="P1078" s="38"/>
      <c r="Q1078" s="38"/>
      <c r="R1078" s="38"/>
      <c r="S1078" s="38"/>
      <c r="T1078" s="38"/>
      <c r="U1078" s="38"/>
      <c r="V1078" s="38"/>
      <c r="W1078" s="38"/>
      <c r="X1078" s="38"/>
      <c r="Y1078" s="38"/>
      <c r="Z1078" s="38">
        <f t="shared" si="84"/>
        <v>1025</v>
      </c>
      <c r="AA1078" t="e">
        <f t="shared" si="82"/>
        <v>#DIV/0!</v>
      </c>
      <c r="AB1078" s="1" t="e">
        <f t="shared" si="83"/>
        <v>#DIV/0!</v>
      </c>
    </row>
    <row r="1079" spans="11:28" ht="33" customHeight="1">
      <c r="K1079" s="38"/>
      <c r="L1079" s="38"/>
      <c r="M1079" s="38"/>
      <c r="N1079" s="38"/>
      <c r="O1079" s="38"/>
      <c r="P1079" s="38"/>
      <c r="Q1079" s="38"/>
      <c r="R1079" s="38"/>
      <c r="S1079" s="38"/>
      <c r="T1079" s="38"/>
      <c r="U1079" s="38"/>
      <c r="V1079" s="38"/>
      <c r="W1079" s="38"/>
      <c r="X1079" s="38"/>
      <c r="Y1079" s="38"/>
      <c r="Z1079" s="38">
        <f t="shared" si="84"/>
        <v>1026</v>
      </c>
      <c r="AA1079" t="e">
        <f t="shared" si="82"/>
        <v>#DIV/0!</v>
      </c>
      <c r="AB1079" s="1" t="e">
        <f t="shared" si="83"/>
        <v>#DIV/0!</v>
      </c>
    </row>
    <row r="1080" spans="11:28" ht="33" customHeight="1">
      <c r="K1080" s="38"/>
      <c r="L1080" s="38"/>
      <c r="M1080" s="38"/>
      <c r="N1080" s="38"/>
      <c r="O1080" s="38"/>
      <c r="P1080" s="38"/>
      <c r="Q1080" s="38"/>
      <c r="R1080" s="38"/>
      <c r="S1080" s="38"/>
      <c r="T1080" s="38"/>
      <c r="U1080" s="38"/>
      <c r="V1080" s="38"/>
      <c r="W1080" s="38"/>
      <c r="X1080" s="38"/>
      <c r="Y1080" s="38"/>
      <c r="Z1080" s="38">
        <f t="shared" si="84"/>
        <v>1027</v>
      </c>
      <c r="AA1080" t="e">
        <f t="shared" si="82"/>
        <v>#DIV/0!</v>
      </c>
      <c r="AB1080" s="1" t="e">
        <f t="shared" si="83"/>
        <v>#DIV/0!</v>
      </c>
    </row>
    <row r="1081" spans="11:28" ht="33" customHeight="1">
      <c r="K1081" s="38"/>
      <c r="L1081" s="38"/>
      <c r="M1081" s="38"/>
      <c r="N1081" s="38"/>
      <c r="O1081" s="38"/>
      <c r="P1081" s="38"/>
      <c r="Q1081" s="38"/>
      <c r="R1081" s="38"/>
      <c r="S1081" s="38"/>
      <c r="T1081" s="38"/>
      <c r="U1081" s="38"/>
      <c r="V1081" s="38"/>
      <c r="W1081" s="38"/>
      <c r="X1081" s="38"/>
      <c r="Y1081" s="38"/>
      <c r="Z1081" s="38">
        <f t="shared" si="84"/>
        <v>1028</v>
      </c>
      <c r="AA1081" t="e">
        <f t="shared" si="82"/>
        <v>#DIV/0!</v>
      </c>
      <c r="AB1081" s="1" t="e">
        <f t="shared" si="83"/>
        <v>#DIV/0!</v>
      </c>
    </row>
    <row r="1082" spans="11:28" ht="33" customHeight="1">
      <c r="K1082" s="38"/>
      <c r="L1082" s="38"/>
      <c r="M1082" s="38"/>
      <c r="N1082" s="38"/>
      <c r="O1082" s="38"/>
      <c r="P1082" s="38"/>
      <c r="Q1082" s="38"/>
      <c r="R1082" s="38"/>
      <c r="S1082" s="38"/>
      <c r="T1082" s="38"/>
      <c r="U1082" s="38"/>
      <c r="V1082" s="38"/>
      <c r="W1082" s="38"/>
      <c r="X1082" s="38"/>
      <c r="Y1082" s="38"/>
      <c r="Z1082" s="38">
        <f t="shared" si="84"/>
        <v>1029</v>
      </c>
      <c r="AA1082" t="e">
        <f t="shared" si="82"/>
        <v>#DIV/0!</v>
      </c>
      <c r="AB1082" s="1" t="e">
        <f t="shared" si="83"/>
        <v>#DIV/0!</v>
      </c>
    </row>
    <row r="1083" spans="11:28" ht="33" customHeight="1">
      <c r="K1083" s="38"/>
      <c r="L1083" s="38"/>
      <c r="M1083" s="38"/>
      <c r="N1083" s="38"/>
      <c r="O1083" s="38"/>
      <c r="P1083" s="38"/>
      <c r="Q1083" s="38"/>
      <c r="R1083" s="38"/>
      <c r="S1083" s="38"/>
      <c r="T1083" s="38"/>
      <c r="U1083" s="38"/>
      <c r="V1083" s="38"/>
      <c r="W1083" s="38"/>
      <c r="X1083" s="38"/>
      <c r="Y1083" s="38"/>
      <c r="Z1083" s="38">
        <f t="shared" si="84"/>
        <v>1030</v>
      </c>
      <c r="AA1083" t="e">
        <f t="shared" si="82"/>
        <v>#DIV/0!</v>
      </c>
      <c r="AB1083" s="1" t="e">
        <f t="shared" si="83"/>
        <v>#DIV/0!</v>
      </c>
    </row>
    <row r="1084" spans="11:28" ht="33" customHeight="1">
      <c r="K1084" s="38"/>
      <c r="L1084" s="38"/>
      <c r="M1084" s="38"/>
      <c r="N1084" s="38"/>
      <c r="O1084" s="38"/>
      <c r="P1084" s="38"/>
      <c r="Q1084" s="38"/>
      <c r="R1084" s="38"/>
      <c r="S1084" s="38"/>
      <c r="T1084" s="38"/>
      <c r="U1084" s="38"/>
      <c r="V1084" s="38"/>
      <c r="W1084" s="38"/>
      <c r="X1084" s="38"/>
      <c r="Y1084" s="38"/>
      <c r="Z1084" s="38">
        <f t="shared" si="84"/>
        <v>1031</v>
      </c>
      <c r="AA1084" t="e">
        <f t="shared" si="82"/>
        <v>#DIV/0!</v>
      </c>
      <c r="AB1084" s="1" t="e">
        <f t="shared" si="83"/>
        <v>#DIV/0!</v>
      </c>
    </row>
    <row r="1085" spans="11:28" ht="33" customHeight="1">
      <c r="K1085" s="38"/>
      <c r="L1085" s="38"/>
      <c r="M1085" s="38"/>
      <c r="N1085" s="38"/>
      <c r="O1085" s="38"/>
      <c r="P1085" s="38"/>
      <c r="Q1085" s="38"/>
      <c r="R1085" s="38"/>
      <c r="S1085" s="38"/>
      <c r="T1085" s="38"/>
      <c r="U1085" s="38"/>
      <c r="V1085" s="38"/>
      <c r="W1085" s="38"/>
      <c r="X1085" s="38"/>
      <c r="Y1085" s="38"/>
      <c r="Z1085" s="38">
        <f t="shared" si="84"/>
        <v>1032</v>
      </c>
      <c r="AA1085" t="e">
        <f t="shared" si="82"/>
        <v>#DIV/0!</v>
      </c>
      <c r="AB1085" s="1" t="e">
        <f t="shared" si="83"/>
        <v>#DIV/0!</v>
      </c>
    </row>
    <row r="1086" spans="11:28" ht="33" customHeight="1">
      <c r="K1086" s="38"/>
      <c r="L1086" s="38"/>
      <c r="M1086" s="38"/>
      <c r="N1086" s="38"/>
      <c r="O1086" s="38"/>
      <c r="P1086" s="38"/>
      <c r="Q1086" s="38"/>
      <c r="R1086" s="38"/>
      <c r="S1086" s="38"/>
      <c r="T1086" s="38"/>
      <c r="U1086" s="38"/>
      <c r="V1086" s="38"/>
      <c r="W1086" s="38"/>
      <c r="X1086" s="38"/>
      <c r="Y1086" s="38"/>
      <c r="Z1086" s="38">
        <f t="shared" si="84"/>
        <v>1033</v>
      </c>
      <c r="AA1086" t="e">
        <f t="shared" si="82"/>
        <v>#DIV/0!</v>
      </c>
      <c r="AB1086" s="1" t="e">
        <f t="shared" si="83"/>
        <v>#DIV/0!</v>
      </c>
    </row>
    <row r="1087" spans="11:28" ht="33" customHeight="1">
      <c r="K1087" s="38"/>
      <c r="L1087" s="38"/>
      <c r="M1087" s="38"/>
      <c r="N1087" s="38"/>
      <c r="O1087" s="38"/>
      <c r="P1087" s="38"/>
      <c r="Q1087" s="38"/>
      <c r="R1087" s="38"/>
      <c r="S1087" s="38"/>
      <c r="T1087" s="38"/>
      <c r="U1087" s="38"/>
      <c r="V1087" s="38"/>
      <c r="W1087" s="38"/>
      <c r="X1087" s="38"/>
      <c r="Y1087" s="38"/>
      <c r="Z1087" s="38">
        <f t="shared" si="84"/>
        <v>1034</v>
      </c>
      <c r="AA1087" t="e">
        <f t="shared" si="82"/>
        <v>#DIV/0!</v>
      </c>
      <c r="AB1087" s="1" t="e">
        <f t="shared" si="83"/>
        <v>#DIV/0!</v>
      </c>
    </row>
    <row r="1088" spans="11:28" ht="33" customHeight="1">
      <c r="K1088" s="38"/>
      <c r="L1088" s="38"/>
      <c r="M1088" s="38"/>
      <c r="N1088" s="38"/>
      <c r="O1088" s="38"/>
      <c r="P1088" s="38"/>
      <c r="Q1088" s="38"/>
      <c r="R1088" s="38"/>
      <c r="S1088" s="38"/>
      <c r="T1088" s="38"/>
      <c r="U1088" s="38"/>
      <c r="V1088" s="38"/>
      <c r="W1088" s="38"/>
      <c r="X1088" s="38"/>
      <c r="Y1088" s="38"/>
      <c r="Z1088" s="38">
        <f t="shared" si="84"/>
        <v>1035</v>
      </c>
      <c r="AA1088" t="e">
        <f t="shared" si="82"/>
        <v>#DIV/0!</v>
      </c>
      <c r="AB1088" s="1" t="e">
        <f t="shared" si="83"/>
        <v>#DIV/0!</v>
      </c>
    </row>
    <row r="1089" spans="11:28" ht="33" customHeight="1">
      <c r="K1089" s="38"/>
      <c r="L1089" s="38"/>
      <c r="M1089" s="38"/>
      <c r="N1089" s="38"/>
      <c r="O1089" s="38"/>
      <c r="P1089" s="38"/>
      <c r="Q1089" s="38"/>
      <c r="R1089" s="38"/>
      <c r="S1089" s="38"/>
      <c r="T1089" s="38"/>
      <c r="U1089" s="38"/>
      <c r="V1089" s="38"/>
      <c r="W1089" s="38"/>
      <c r="X1089" s="38"/>
      <c r="Y1089" s="38"/>
      <c r="Z1089" s="38">
        <f t="shared" si="84"/>
        <v>1036</v>
      </c>
      <c r="AA1089" t="e">
        <f t="shared" si="82"/>
        <v>#DIV/0!</v>
      </c>
      <c r="AB1089" s="1" t="e">
        <f t="shared" si="83"/>
        <v>#DIV/0!</v>
      </c>
    </row>
    <row r="1090" spans="11:28" ht="33" customHeight="1">
      <c r="K1090" s="38"/>
      <c r="L1090" s="38"/>
      <c r="M1090" s="38"/>
      <c r="N1090" s="38"/>
      <c r="O1090" s="38"/>
      <c r="P1090" s="38"/>
      <c r="Q1090" s="38"/>
      <c r="R1090" s="38"/>
      <c r="S1090" s="38"/>
      <c r="T1090" s="38"/>
      <c r="U1090" s="38"/>
      <c r="V1090" s="38"/>
      <c r="W1090" s="38"/>
      <c r="X1090" s="38"/>
      <c r="Y1090" s="38"/>
      <c r="Z1090" s="38">
        <f t="shared" si="84"/>
        <v>1037</v>
      </c>
      <c r="AA1090" t="e">
        <f t="shared" si="82"/>
        <v>#DIV/0!</v>
      </c>
      <c r="AB1090" s="1" t="e">
        <f t="shared" si="83"/>
        <v>#DIV/0!</v>
      </c>
    </row>
    <row r="1091" spans="11:28" ht="33" customHeight="1">
      <c r="K1091" s="38"/>
      <c r="L1091" s="38"/>
      <c r="M1091" s="38"/>
      <c r="N1091" s="38"/>
      <c r="O1091" s="38"/>
      <c r="P1091" s="38"/>
      <c r="Q1091" s="38"/>
      <c r="R1091" s="38"/>
      <c r="S1091" s="38"/>
      <c r="T1091" s="38"/>
      <c r="U1091" s="38"/>
      <c r="V1091" s="38"/>
      <c r="W1091" s="38"/>
      <c r="X1091" s="38"/>
      <c r="Y1091" s="38"/>
      <c r="Z1091" s="38">
        <f t="shared" si="84"/>
        <v>1038</v>
      </c>
      <c r="AA1091" t="e">
        <f t="shared" si="82"/>
        <v>#DIV/0!</v>
      </c>
      <c r="AB1091" s="1" t="e">
        <f t="shared" si="83"/>
        <v>#DIV/0!</v>
      </c>
    </row>
    <row r="1092" spans="11:28" ht="33" customHeight="1">
      <c r="K1092" s="38"/>
      <c r="L1092" s="38"/>
      <c r="M1092" s="38"/>
      <c r="N1092" s="38"/>
      <c r="O1092" s="38"/>
      <c r="P1092" s="38"/>
      <c r="Q1092" s="38"/>
      <c r="R1092" s="38"/>
      <c r="S1092" s="38"/>
      <c r="T1092" s="38"/>
      <c r="U1092" s="38"/>
      <c r="V1092" s="38"/>
      <c r="W1092" s="38"/>
      <c r="X1092" s="38"/>
      <c r="Y1092" s="38"/>
      <c r="Z1092" s="38">
        <f t="shared" si="84"/>
        <v>1039</v>
      </c>
      <c r="AA1092" t="e">
        <f t="shared" si="82"/>
        <v>#DIV/0!</v>
      </c>
      <c r="AB1092" s="1" t="e">
        <f t="shared" si="83"/>
        <v>#DIV/0!</v>
      </c>
    </row>
    <row r="1093" spans="11:28" ht="33" customHeight="1">
      <c r="K1093" s="38"/>
      <c r="L1093" s="38"/>
      <c r="M1093" s="38"/>
      <c r="N1093" s="38"/>
      <c r="O1093" s="38"/>
      <c r="P1093" s="38"/>
      <c r="Q1093" s="38"/>
      <c r="R1093" s="38"/>
      <c r="S1093" s="38"/>
      <c r="T1093" s="38"/>
      <c r="U1093" s="38"/>
      <c r="V1093" s="38"/>
      <c r="W1093" s="38"/>
      <c r="X1093" s="38"/>
      <c r="Y1093" s="38"/>
      <c r="Z1093" s="38">
        <f t="shared" si="84"/>
        <v>1040</v>
      </c>
      <c r="AA1093" t="e">
        <f t="shared" si="82"/>
        <v>#DIV/0!</v>
      </c>
      <c r="AB1093" s="1" t="e">
        <f t="shared" si="83"/>
        <v>#DIV/0!</v>
      </c>
    </row>
    <row r="1094" spans="11:28" ht="33" customHeight="1">
      <c r="K1094" s="38"/>
      <c r="L1094" s="38"/>
      <c r="M1094" s="38"/>
      <c r="N1094" s="38"/>
      <c r="O1094" s="38"/>
      <c r="P1094" s="38"/>
      <c r="Q1094" s="38"/>
      <c r="R1094" s="38"/>
      <c r="S1094" s="38"/>
      <c r="T1094" s="38"/>
      <c r="U1094" s="38"/>
      <c r="V1094" s="38"/>
      <c r="W1094" s="38"/>
      <c r="X1094" s="38"/>
      <c r="Y1094" s="38"/>
      <c r="Z1094" s="38">
        <f t="shared" si="84"/>
        <v>1041</v>
      </c>
      <c r="AA1094" t="e">
        <f t="shared" si="82"/>
        <v>#DIV/0!</v>
      </c>
      <c r="AB1094" s="1" t="e">
        <f t="shared" si="83"/>
        <v>#DIV/0!</v>
      </c>
    </row>
    <row r="1095" spans="11:28" ht="33" customHeight="1">
      <c r="K1095" s="38"/>
      <c r="L1095" s="38"/>
      <c r="M1095" s="38"/>
      <c r="N1095" s="38"/>
      <c r="O1095" s="38"/>
      <c r="P1095" s="38"/>
      <c r="Q1095" s="38"/>
      <c r="R1095" s="38"/>
      <c r="S1095" s="38"/>
      <c r="T1095" s="38"/>
      <c r="U1095" s="38"/>
      <c r="V1095" s="38"/>
      <c r="W1095" s="38"/>
      <c r="X1095" s="38"/>
      <c r="Y1095" s="38"/>
      <c r="Z1095" s="38">
        <f t="shared" si="84"/>
        <v>1042</v>
      </c>
      <c r="AA1095" t="e">
        <f t="shared" si="82"/>
        <v>#DIV/0!</v>
      </c>
      <c r="AB1095" s="1" t="e">
        <f t="shared" si="83"/>
        <v>#DIV/0!</v>
      </c>
    </row>
    <row r="1096" spans="11:28" ht="33" customHeight="1">
      <c r="K1096" s="38"/>
      <c r="L1096" s="38"/>
      <c r="M1096" s="38"/>
      <c r="N1096" s="38"/>
      <c r="O1096" s="38"/>
      <c r="P1096" s="38"/>
      <c r="Q1096" s="38"/>
      <c r="R1096" s="38"/>
      <c r="S1096" s="38"/>
      <c r="T1096" s="38"/>
      <c r="U1096" s="38"/>
      <c r="V1096" s="38"/>
      <c r="W1096" s="38"/>
      <c r="X1096" s="38"/>
      <c r="Y1096" s="38"/>
      <c r="Z1096" s="38">
        <f t="shared" si="84"/>
        <v>1043</v>
      </c>
      <c r="AA1096" t="e">
        <f t="shared" si="82"/>
        <v>#DIV/0!</v>
      </c>
      <c r="AB1096" s="1" t="e">
        <f t="shared" si="83"/>
        <v>#DIV/0!</v>
      </c>
    </row>
    <row r="1097" spans="11:28" ht="33" customHeight="1">
      <c r="K1097" s="38"/>
      <c r="L1097" s="38"/>
      <c r="M1097" s="38"/>
      <c r="N1097" s="38"/>
      <c r="O1097" s="38"/>
      <c r="P1097" s="38"/>
      <c r="Q1097" s="38"/>
      <c r="R1097" s="38"/>
      <c r="S1097" s="38"/>
      <c r="T1097" s="38"/>
      <c r="U1097" s="38"/>
      <c r="V1097" s="38"/>
      <c r="W1097" s="38"/>
      <c r="X1097" s="38"/>
      <c r="Y1097" s="38"/>
      <c r="Z1097" s="38">
        <f t="shared" si="84"/>
        <v>1044</v>
      </c>
      <c r="AA1097" t="e">
        <f t="shared" si="82"/>
        <v>#DIV/0!</v>
      </c>
      <c r="AB1097" s="1" t="e">
        <f t="shared" si="83"/>
        <v>#DIV/0!</v>
      </c>
    </row>
    <row r="1098" spans="11:28" ht="33" customHeight="1">
      <c r="K1098" s="38"/>
      <c r="L1098" s="38"/>
      <c r="M1098" s="38"/>
      <c r="N1098" s="38"/>
      <c r="O1098" s="38"/>
      <c r="P1098" s="38"/>
      <c r="Q1098" s="38"/>
      <c r="R1098" s="38"/>
      <c r="S1098" s="38"/>
      <c r="T1098" s="38"/>
      <c r="U1098" s="38"/>
      <c r="V1098" s="38"/>
      <c r="W1098" s="38"/>
      <c r="X1098" s="38"/>
      <c r="Y1098" s="38"/>
      <c r="Z1098" s="38">
        <f t="shared" si="84"/>
        <v>1045</v>
      </c>
      <c r="AA1098" t="e">
        <f t="shared" si="82"/>
        <v>#DIV/0!</v>
      </c>
      <c r="AB1098" s="1" t="e">
        <f t="shared" si="83"/>
        <v>#DIV/0!</v>
      </c>
    </row>
    <row r="1099" spans="11:28" ht="33" customHeight="1">
      <c r="K1099" s="38"/>
      <c r="L1099" s="38"/>
      <c r="M1099" s="38"/>
      <c r="N1099" s="38"/>
      <c r="O1099" s="38"/>
      <c r="P1099" s="38"/>
      <c r="Q1099" s="38"/>
      <c r="R1099" s="38"/>
      <c r="S1099" s="38"/>
      <c r="T1099" s="38"/>
      <c r="U1099" s="38"/>
      <c r="V1099" s="38"/>
      <c r="W1099" s="38"/>
      <c r="X1099" s="38"/>
      <c r="Y1099" s="38"/>
      <c r="Z1099" s="38">
        <f t="shared" si="84"/>
        <v>1046</v>
      </c>
      <c r="AA1099" t="e">
        <f t="shared" ref="AA1099:AA1162" si="85">IF(AB1099=Z1099,1,0)</f>
        <v>#DIV/0!</v>
      </c>
      <c r="AB1099" s="1" t="e">
        <f t="shared" ref="AB1099:AB1162" si="86">$AB$8</f>
        <v>#DIV/0!</v>
      </c>
    </row>
    <row r="1100" spans="11:28" ht="33" customHeight="1">
      <c r="K1100" s="38"/>
      <c r="L1100" s="38"/>
      <c r="M1100" s="38"/>
      <c r="N1100" s="38"/>
      <c r="O1100" s="38"/>
      <c r="P1100" s="38"/>
      <c r="Q1100" s="38"/>
      <c r="R1100" s="38"/>
      <c r="S1100" s="38"/>
      <c r="T1100" s="38"/>
      <c r="U1100" s="38"/>
      <c r="V1100" s="38"/>
      <c r="W1100" s="38"/>
      <c r="X1100" s="38"/>
      <c r="Y1100" s="38"/>
      <c r="Z1100" s="38">
        <f t="shared" ref="Z1100:Z1163" si="87">Z1099+1</f>
        <v>1047</v>
      </c>
      <c r="AA1100" t="e">
        <f t="shared" si="85"/>
        <v>#DIV/0!</v>
      </c>
      <c r="AB1100" s="1" t="e">
        <f t="shared" si="86"/>
        <v>#DIV/0!</v>
      </c>
    </row>
    <row r="1101" spans="11:28" ht="33" customHeight="1">
      <c r="K1101" s="38"/>
      <c r="L1101" s="38"/>
      <c r="M1101" s="38"/>
      <c r="N1101" s="38"/>
      <c r="O1101" s="38"/>
      <c r="P1101" s="38"/>
      <c r="Q1101" s="38"/>
      <c r="R1101" s="38"/>
      <c r="S1101" s="38"/>
      <c r="T1101" s="38"/>
      <c r="U1101" s="38"/>
      <c r="V1101" s="38"/>
      <c r="W1101" s="38"/>
      <c r="X1101" s="38"/>
      <c r="Y1101" s="38"/>
      <c r="Z1101" s="38">
        <f t="shared" si="87"/>
        <v>1048</v>
      </c>
      <c r="AA1101" t="e">
        <f t="shared" si="85"/>
        <v>#DIV/0!</v>
      </c>
      <c r="AB1101" s="1" t="e">
        <f t="shared" si="86"/>
        <v>#DIV/0!</v>
      </c>
    </row>
    <row r="1102" spans="11:28" ht="33" customHeight="1">
      <c r="K1102" s="38"/>
      <c r="L1102" s="38"/>
      <c r="M1102" s="38"/>
      <c r="N1102" s="38"/>
      <c r="O1102" s="38"/>
      <c r="P1102" s="38"/>
      <c r="Q1102" s="38"/>
      <c r="R1102" s="38"/>
      <c r="S1102" s="38"/>
      <c r="T1102" s="38"/>
      <c r="U1102" s="38"/>
      <c r="V1102" s="38"/>
      <c r="W1102" s="38"/>
      <c r="X1102" s="38"/>
      <c r="Y1102" s="38"/>
      <c r="Z1102" s="38">
        <f t="shared" si="87"/>
        <v>1049</v>
      </c>
      <c r="AA1102" t="e">
        <f t="shared" si="85"/>
        <v>#DIV/0!</v>
      </c>
      <c r="AB1102" s="1" t="e">
        <f t="shared" si="86"/>
        <v>#DIV/0!</v>
      </c>
    </row>
    <row r="1103" spans="11:28" ht="33" customHeight="1">
      <c r="K1103" s="38"/>
      <c r="L1103" s="38"/>
      <c r="M1103" s="38"/>
      <c r="N1103" s="38"/>
      <c r="O1103" s="38"/>
      <c r="P1103" s="38"/>
      <c r="Q1103" s="38"/>
      <c r="R1103" s="38"/>
      <c r="S1103" s="38"/>
      <c r="T1103" s="38"/>
      <c r="U1103" s="38"/>
      <c r="V1103" s="38"/>
      <c r="W1103" s="38"/>
      <c r="X1103" s="38"/>
      <c r="Y1103" s="38"/>
      <c r="Z1103" s="38">
        <f t="shared" si="87"/>
        <v>1050</v>
      </c>
      <c r="AA1103" t="e">
        <f t="shared" si="85"/>
        <v>#DIV/0!</v>
      </c>
      <c r="AB1103" s="1" t="e">
        <f t="shared" si="86"/>
        <v>#DIV/0!</v>
      </c>
    </row>
    <row r="1104" spans="11:28" ht="33" customHeight="1">
      <c r="K1104" s="38"/>
      <c r="L1104" s="38"/>
      <c r="M1104" s="38"/>
      <c r="N1104" s="38"/>
      <c r="O1104" s="38"/>
      <c r="P1104" s="38"/>
      <c r="Q1104" s="38"/>
      <c r="R1104" s="38"/>
      <c r="S1104" s="38"/>
      <c r="T1104" s="38"/>
      <c r="U1104" s="38"/>
      <c r="V1104" s="38"/>
      <c r="W1104" s="38"/>
      <c r="X1104" s="38"/>
      <c r="Y1104" s="38"/>
      <c r="Z1104" s="38">
        <f t="shared" si="87"/>
        <v>1051</v>
      </c>
      <c r="AA1104" t="e">
        <f t="shared" si="85"/>
        <v>#DIV/0!</v>
      </c>
      <c r="AB1104" s="1" t="e">
        <f t="shared" si="86"/>
        <v>#DIV/0!</v>
      </c>
    </row>
    <row r="1105" spans="11:28" ht="33" customHeight="1">
      <c r="K1105" s="38"/>
      <c r="L1105" s="38"/>
      <c r="M1105" s="38"/>
      <c r="N1105" s="38"/>
      <c r="O1105" s="38"/>
      <c r="P1105" s="38"/>
      <c r="Q1105" s="38"/>
      <c r="R1105" s="38"/>
      <c r="S1105" s="38"/>
      <c r="T1105" s="38"/>
      <c r="U1105" s="38"/>
      <c r="V1105" s="38"/>
      <c r="W1105" s="38"/>
      <c r="X1105" s="38"/>
      <c r="Y1105" s="38"/>
      <c r="Z1105" s="38">
        <f t="shared" si="87"/>
        <v>1052</v>
      </c>
      <c r="AA1105" t="e">
        <f t="shared" si="85"/>
        <v>#DIV/0!</v>
      </c>
      <c r="AB1105" s="1" t="e">
        <f t="shared" si="86"/>
        <v>#DIV/0!</v>
      </c>
    </row>
    <row r="1106" spans="11:28" ht="33" customHeight="1">
      <c r="K1106" s="38"/>
      <c r="L1106" s="38"/>
      <c r="M1106" s="38"/>
      <c r="N1106" s="38"/>
      <c r="O1106" s="38"/>
      <c r="P1106" s="38"/>
      <c r="Q1106" s="38"/>
      <c r="R1106" s="38"/>
      <c r="S1106" s="38"/>
      <c r="T1106" s="38"/>
      <c r="U1106" s="38"/>
      <c r="V1106" s="38"/>
      <c r="W1106" s="38"/>
      <c r="X1106" s="38"/>
      <c r="Y1106" s="38"/>
      <c r="Z1106" s="38">
        <f t="shared" si="87"/>
        <v>1053</v>
      </c>
      <c r="AA1106" t="e">
        <f t="shared" si="85"/>
        <v>#DIV/0!</v>
      </c>
      <c r="AB1106" s="1" t="e">
        <f t="shared" si="86"/>
        <v>#DIV/0!</v>
      </c>
    </row>
    <row r="1107" spans="11:28" ht="33" customHeight="1">
      <c r="K1107" s="38"/>
      <c r="L1107" s="38"/>
      <c r="M1107" s="38"/>
      <c r="N1107" s="38"/>
      <c r="O1107" s="38"/>
      <c r="P1107" s="38"/>
      <c r="Q1107" s="38"/>
      <c r="R1107" s="38"/>
      <c r="S1107" s="38"/>
      <c r="T1107" s="38"/>
      <c r="U1107" s="38"/>
      <c r="V1107" s="38"/>
      <c r="W1107" s="38"/>
      <c r="X1107" s="38"/>
      <c r="Y1107" s="38"/>
      <c r="Z1107" s="38">
        <f t="shared" si="87"/>
        <v>1054</v>
      </c>
      <c r="AA1107" t="e">
        <f t="shared" si="85"/>
        <v>#DIV/0!</v>
      </c>
      <c r="AB1107" s="1" t="e">
        <f t="shared" si="86"/>
        <v>#DIV/0!</v>
      </c>
    </row>
    <row r="1108" spans="11:28" ht="33" customHeight="1">
      <c r="K1108" s="38"/>
      <c r="L1108" s="38"/>
      <c r="M1108" s="38"/>
      <c r="N1108" s="38"/>
      <c r="O1108" s="38"/>
      <c r="P1108" s="38"/>
      <c r="Q1108" s="38"/>
      <c r="R1108" s="38"/>
      <c r="S1108" s="38"/>
      <c r="T1108" s="38"/>
      <c r="U1108" s="38"/>
      <c r="V1108" s="38"/>
      <c r="W1108" s="38"/>
      <c r="X1108" s="38"/>
      <c r="Y1108" s="38"/>
      <c r="Z1108" s="38">
        <f t="shared" si="87"/>
        <v>1055</v>
      </c>
      <c r="AA1108" t="e">
        <f t="shared" si="85"/>
        <v>#DIV/0!</v>
      </c>
      <c r="AB1108" s="1" t="e">
        <f t="shared" si="86"/>
        <v>#DIV/0!</v>
      </c>
    </row>
    <row r="1109" spans="11:28" ht="33" customHeight="1">
      <c r="K1109" s="38"/>
      <c r="L1109" s="38"/>
      <c r="M1109" s="38"/>
      <c r="N1109" s="38"/>
      <c r="O1109" s="38"/>
      <c r="P1109" s="38"/>
      <c r="Q1109" s="38"/>
      <c r="R1109" s="38"/>
      <c r="S1109" s="38"/>
      <c r="T1109" s="38"/>
      <c r="U1109" s="38"/>
      <c r="V1109" s="38"/>
      <c r="W1109" s="38"/>
      <c r="X1109" s="38"/>
      <c r="Y1109" s="38"/>
      <c r="Z1109" s="38">
        <f t="shared" si="87"/>
        <v>1056</v>
      </c>
      <c r="AA1109" t="e">
        <f t="shared" si="85"/>
        <v>#DIV/0!</v>
      </c>
      <c r="AB1109" s="1" t="e">
        <f t="shared" si="86"/>
        <v>#DIV/0!</v>
      </c>
    </row>
    <row r="1110" spans="11:28" ht="33" customHeight="1">
      <c r="K1110" s="38"/>
      <c r="L1110" s="38"/>
      <c r="M1110" s="38"/>
      <c r="N1110" s="38"/>
      <c r="O1110" s="38"/>
      <c r="P1110" s="38"/>
      <c r="Q1110" s="38"/>
      <c r="R1110" s="38"/>
      <c r="S1110" s="38"/>
      <c r="T1110" s="38"/>
      <c r="U1110" s="38"/>
      <c r="V1110" s="38"/>
      <c r="W1110" s="38"/>
      <c r="X1110" s="38"/>
      <c r="Y1110" s="38"/>
      <c r="Z1110" s="38">
        <f t="shared" si="87"/>
        <v>1057</v>
      </c>
      <c r="AA1110" t="e">
        <f t="shared" si="85"/>
        <v>#DIV/0!</v>
      </c>
      <c r="AB1110" s="1" t="e">
        <f t="shared" si="86"/>
        <v>#DIV/0!</v>
      </c>
    </row>
    <row r="1111" spans="11:28" ht="33" customHeight="1">
      <c r="K1111" s="38"/>
      <c r="L1111" s="38"/>
      <c r="M1111" s="38"/>
      <c r="N1111" s="38"/>
      <c r="O1111" s="38"/>
      <c r="P1111" s="38"/>
      <c r="Q1111" s="38"/>
      <c r="R1111" s="38"/>
      <c r="S1111" s="38"/>
      <c r="T1111" s="38"/>
      <c r="U1111" s="38"/>
      <c r="V1111" s="38"/>
      <c r="W1111" s="38"/>
      <c r="X1111" s="38"/>
      <c r="Y1111" s="38"/>
      <c r="Z1111" s="38">
        <f t="shared" si="87"/>
        <v>1058</v>
      </c>
      <c r="AA1111" t="e">
        <f t="shared" si="85"/>
        <v>#DIV/0!</v>
      </c>
      <c r="AB1111" s="1" t="e">
        <f t="shared" si="86"/>
        <v>#DIV/0!</v>
      </c>
    </row>
    <row r="1112" spans="11:28" ht="33" customHeight="1">
      <c r="K1112" s="38"/>
      <c r="L1112" s="38"/>
      <c r="M1112" s="38"/>
      <c r="N1112" s="38"/>
      <c r="O1112" s="38"/>
      <c r="P1112" s="38"/>
      <c r="Q1112" s="38"/>
      <c r="R1112" s="38"/>
      <c r="S1112" s="38"/>
      <c r="T1112" s="38"/>
      <c r="U1112" s="38"/>
      <c r="V1112" s="38"/>
      <c r="W1112" s="38"/>
      <c r="X1112" s="38"/>
      <c r="Y1112" s="38"/>
      <c r="Z1112" s="38">
        <f t="shared" si="87"/>
        <v>1059</v>
      </c>
      <c r="AA1112" t="e">
        <f t="shared" si="85"/>
        <v>#DIV/0!</v>
      </c>
      <c r="AB1112" s="1" t="e">
        <f t="shared" si="86"/>
        <v>#DIV/0!</v>
      </c>
    </row>
    <row r="1113" spans="11:28" ht="33" customHeight="1">
      <c r="K1113" s="38"/>
      <c r="L1113" s="38"/>
      <c r="M1113" s="38"/>
      <c r="N1113" s="38"/>
      <c r="O1113" s="38"/>
      <c r="P1113" s="38"/>
      <c r="Q1113" s="38"/>
      <c r="R1113" s="38"/>
      <c r="S1113" s="38"/>
      <c r="T1113" s="38"/>
      <c r="U1113" s="38"/>
      <c r="V1113" s="38"/>
      <c r="W1113" s="38"/>
      <c r="X1113" s="38"/>
      <c r="Y1113" s="38"/>
      <c r="Z1113" s="38">
        <f t="shared" si="87"/>
        <v>1060</v>
      </c>
      <c r="AA1113" t="e">
        <f t="shared" si="85"/>
        <v>#DIV/0!</v>
      </c>
      <c r="AB1113" s="1" t="e">
        <f t="shared" si="86"/>
        <v>#DIV/0!</v>
      </c>
    </row>
    <row r="1114" spans="11:28" ht="33" customHeight="1">
      <c r="K1114" s="38"/>
      <c r="L1114" s="38"/>
      <c r="M1114" s="38"/>
      <c r="N1114" s="38"/>
      <c r="O1114" s="38"/>
      <c r="P1114" s="38"/>
      <c r="Q1114" s="38"/>
      <c r="R1114" s="38"/>
      <c r="S1114" s="38"/>
      <c r="T1114" s="38"/>
      <c r="U1114" s="38"/>
      <c r="V1114" s="38"/>
      <c r="W1114" s="38"/>
      <c r="X1114" s="38"/>
      <c r="Y1114" s="38"/>
      <c r="Z1114" s="38">
        <f t="shared" si="87"/>
        <v>1061</v>
      </c>
      <c r="AA1114" t="e">
        <f t="shared" si="85"/>
        <v>#DIV/0!</v>
      </c>
      <c r="AB1114" s="1" t="e">
        <f t="shared" si="86"/>
        <v>#DIV/0!</v>
      </c>
    </row>
    <row r="1115" spans="11:28" ht="33" customHeight="1">
      <c r="K1115" s="38"/>
      <c r="L1115" s="38"/>
      <c r="M1115" s="38"/>
      <c r="N1115" s="38"/>
      <c r="O1115" s="38"/>
      <c r="P1115" s="38"/>
      <c r="Q1115" s="38"/>
      <c r="R1115" s="38"/>
      <c r="S1115" s="38"/>
      <c r="T1115" s="38"/>
      <c r="U1115" s="38"/>
      <c r="V1115" s="38"/>
      <c r="W1115" s="38"/>
      <c r="X1115" s="38"/>
      <c r="Y1115" s="38"/>
      <c r="Z1115" s="38">
        <f t="shared" si="87"/>
        <v>1062</v>
      </c>
      <c r="AA1115" t="e">
        <f t="shared" si="85"/>
        <v>#DIV/0!</v>
      </c>
      <c r="AB1115" s="1" t="e">
        <f t="shared" si="86"/>
        <v>#DIV/0!</v>
      </c>
    </row>
    <row r="1116" spans="11:28" ht="33" customHeight="1">
      <c r="K1116" s="38"/>
      <c r="L1116" s="38"/>
      <c r="M1116" s="38"/>
      <c r="N1116" s="38"/>
      <c r="O1116" s="38"/>
      <c r="P1116" s="38"/>
      <c r="Q1116" s="38"/>
      <c r="R1116" s="38"/>
      <c r="S1116" s="38"/>
      <c r="T1116" s="38"/>
      <c r="U1116" s="38"/>
      <c r="V1116" s="38"/>
      <c r="W1116" s="38"/>
      <c r="X1116" s="38"/>
      <c r="Y1116" s="38"/>
      <c r="Z1116" s="38">
        <f t="shared" si="87"/>
        <v>1063</v>
      </c>
      <c r="AA1116" t="e">
        <f t="shared" si="85"/>
        <v>#DIV/0!</v>
      </c>
      <c r="AB1116" s="1" t="e">
        <f t="shared" si="86"/>
        <v>#DIV/0!</v>
      </c>
    </row>
    <row r="1117" spans="11:28" ht="33" customHeight="1">
      <c r="K1117" s="38"/>
      <c r="L1117" s="38"/>
      <c r="M1117" s="38"/>
      <c r="N1117" s="38"/>
      <c r="O1117" s="38"/>
      <c r="P1117" s="38"/>
      <c r="Q1117" s="38"/>
      <c r="R1117" s="38"/>
      <c r="S1117" s="38"/>
      <c r="T1117" s="38"/>
      <c r="U1117" s="38"/>
      <c r="V1117" s="38"/>
      <c r="W1117" s="38"/>
      <c r="X1117" s="38"/>
      <c r="Y1117" s="38"/>
      <c r="Z1117" s="38">
        <f t="shared" si="87"/>
        <v>1064</v>
      </c>
      <c r="AA1117" t="e">
        <f t="shared" si="85"/>
        <v>#DIV/0!</v>
      </c>
      <c r="AB1117" s="1" t="e">
        <f t="shared" si="86"/>
        <v>#DIV/0!</v>
      </c>
    </row>
    <row r="1118" spans="11:28" ht="33" customHeight="1">
      <c r="K1118" s="38"/>
      <c r="L1118" s="38"/>
      <c r="M1118" s="38"/>
      <c r="N1118" s="38"/>
      <c r="O1118" s="38"/>
      <c r="P1118" s="38"/>
      <c r="Q1118" s="38"/>
      <c r="R1118" s="38"/>
      <c r="S1118" s="38"/>
      <c r="T1118" s="38"/>
      <c r="U1118" s="38"/>
      <c r="V1118" s="38"/>
      <c r="W1118" s="38"/>
      <c r="X1118" s="38"/>
      <c r="Y1118" s="38"/>
      <c r="Z1118" s="38">
        <f t="shared" si="87"/>
        <v>1065</v>
      </c>
      <c r="AA1118" t="e">
        <f t="shared" si="85"/>
        <v>#DIV/0!</v>
      </c>
      <c r="AB1118" s="1" t="e">
        <f t="shared" si="86"/>
        <v>#DIV/0!</v>
      </c>
    </row>
    <row r="1119" spans="11:28" ht="33" customHeight="1">
      <c r="K1119" s="38"/>
      <c r="L1119" s="38"/>
      <c r="M1119" s="38"/>
      <c r="N1119" s="38"/>
      <c r="O1119" s="38"/>
      <c r="P1119" s="38"/>
      <c r="Q1119" s="38"/>
      <c r="R1119" s="38"/>
      <c r="S1119" s="38"/>
      <c r="T1119" s="38"/>
      <c r="U1119" s="38"/>
      <c r="V1119" s="38"/>
      <c r="W1119" s="38"/>
      <c r="X1119" s="38"/>
      <c r="Y1119" s="38"/>
      <c r="Z1119" s="38">
        <f t="shared" si="87"/>
        <v>1066</v>
      </c>
      <c r="AA1119" t="e">
        <f t="shared" si="85"/>
        <v>#DIV/0!</v>
      </c>
      <c r="AB1119" s="1" t="e">
        <f t="shared" si="86"/>
        <v>#DIV/0!</v>
      </c>
    </row>
    <row r="1120" spans="11:28" ht="33" customHeight="1">
      <c r="K1120" s="38"/>
      <c r="L1120" s="38"/>
      <c r="M1120" s="38"/>
      <c r="N1120" s="38"/>
      <c r="O1120" s="38"/>
      <c r="P1120" s="38"/>
      <c r="Q1120" s="38"/>
      <c r="R1120" s="38"/>
      <c r="S1120" s="38"/>
      <c r="T1120" s="38"/>
      <c r="U1120" s="38"/>
      <c r="V1120" s="38"/>
      <c r="W1120" s="38"/>
      <c r="X1120" s="38"/>
      <c r="Y1120" s="38"/>
      <c r="Z1120" s="38">
        <f t="shared" si="87"/>
        <v>1067</v>
      </c>
      <c r="AA1120" t="e">
        <f t="shared" si="85"/>
        <v>#DIV/0!</v>
      </c>
      <c r="AB1120" s="1" t="e">
        <f t="shared" si="86"/>
        <v>#DIV/0!</v>
      </c>
    </row>
    <row r="1121" spans="11:28" ht="33" customHeight="1">
      <c r="K1121" s="38"/>
      <c r="L1121" s="38"/>
      <c r="M1121" s="38"/>
      <c r="N1121" s="38"/>
      <c r="O1121" s="38"/>
      <c r="P1121" s="38"/>
      <c r="Q1121" s="38"/>
      <c r="R1121" s="38"/>
      <c r="S1121" s="38"/>
      <c r="T1121" s="38"/>
      <c r="U1121" s="38"/>
      <c r="V1121" s="38"/>
      <c r="W1121" s="38"/>
      <c r="X1121" s="38"/>
      <c r="Y1121" s="38"/>
      <c r="Z1121" s="38">
        <f t="shared" si="87"/>
        <v>1068</v>
      </c>
      <c r="AA1121" t="e">
        <f t="shared" si="85"/>
        <v>#DIV/0!</v>
      </c>
      <c r="AB1121" s="1" t="e">
        <f t="shared" si="86"/>
        <v>#DIV/0!</v>
      </c>
    </row>
    <row r="1122" spans="11:28" ht="33" customHeight="1">
      <c r="K1122" s="38"/>
      <c r="L1122" s="38"/>
      <c r="M1122" s="38"/>
      <c r="N1122" s="38"/>
      <c r="O1122" s="38"/>
      <c r="P1122" s="38"/>
      <c r="Q1122" s="38"/>
      <c r="R1122" s="38"/>
      <c r="S1122" s="38"/>
      <c r="T1122" s="38"/>
      <c r="U1122" s="38"/>
      <c r="V1122" s="38"/>
      <c r="W1122" s="38"/>
      <c r="X1122" s="38"/>
      <c r="Y1122" s="38"/>
      <c r="Z1122" s="38">
        <f t="shared" si="87"/>
        <v>1069</v>
      </c>
      <c r="AA1122" t="e">
        <f t="shared" si="85"/>
        <v>#DIV/0!</v>
      </c>
      <c r="AB1122" s="1" t="e">
        <f t="shared" si="86"/>
        <v>#DIV/0!</v>
      </c>
    </row>
    <row r="1123" spans="11:28" ht="33" customHeight="1">
      <c r="K1123" s="38"/>
      <c r="L1123" s="38"/>
      <c r="M1123" s="38"/>
      <c r="N1123" s="38"/>
      <c r="O1123" s="38"/>
      <c r="P1123" s="38"/>
      <c r="Q1123" s="38"/>
      <c r="R1123" s="38"/>
      <c r="S1123" s="38"/>
      <c r="T1123" s="38"/>
      <c r="U1123" s="38"/>
      <c r="V1123" s="38"/>
      <c r="W1123" s="38"/>
      <c r="X1123" s="38"/>
      <c r="Y1123" s="38"/>
      <c r="Z1123" s="38">
        <f t="shared" si="87"/>
        <v>1070</v>
      </c>
      <c r="AA1123" t="e">
        <f t="shared" si="85"/>
        <v>#DIV/0!</v>
      </c>
      <c r="AB1123" s="1" t="e">
        <f t="shared" si="86"/>
        <v>#DIV/0!</v>
      </c>
    </row>
    <row r="1124" spans="11:28" ht="33" customHeight="1">
      <c r="K1124" s="38"/>
      <c r="L1124" s="38"/>
      <c r="M1124" s="38"/>
      <c r="N1124" s="38"/>
      <c r="O1124" s="38"/>
      <c r="P1124" s="38"/>
      <c r="Q1124" s="38"/>
      <c r="R1124" s="38"/>
      <c r="S1124" s="38"/>
      <c r="T1124" s="38"/>
      <c r="U1124" s="38"/>
      <c r="V1124" s="38"/>
      <c r="W1124" s="38"/>
      <c r="X1124" s="38"/>
      <c r="Y1124" s="38"/>
      <c r="Z1124" s="38">
        <f t="shared" si="87"/>
        <v>1071</v>
      </c>
      <c r="AA1124" t="e">
        <f t="shared" si="85"/>
        <v>#DIV/0!</v>
      </c>
      <c r="AB1124" s="1" t="e">
        <f t="shared" si="86"/>
        <v>#DIV/0!</v>
      </c>
    </row>
    <row r="1125" spans="11:28" ht="33" customHeight="1">
      <c r="K1125" s="38"/>
      <c r="L1125" s="38"/>
      <c r="M1125" s="38"/>
      <c r="N1125" s="38"/>
      <c r="O1125" s="38"/>
      <c r="P1125" s="38"/>
      <c r="Q1125" s="38"/>
      <c r="R1125" s="38"/>
      <c r="S1125" s="38"/>
      <c r="T1125" s="38"/>
      <c r="U1125" s="38"/>
      <c r="V1125" s="38"/>
      <c r="W1125" s="38"/>
      <c r="X1125" s="38"/>
      <c r="Y1125" s="38"/>
      <c r="Z1125" s="38">
        <f t="shared" si="87"/>
        <v>1072</v>
      </c>
      <c r="AA1125" t="e">
        <f t="shared" si="85"/>
        <v>#DIV/0!</v>
      </c>
      <c r="AB1125" s="1" t="e">
        <f t="shared" si="86"/>
        <v>#DIV/0!</v>
      </c>
    </row>
    <row r="1126" spans="11:28" ht="33" customHeight="1">
      <c r="K1126" s="38"/>
      <c r="L1126" s="38"/>
      <c r="M1126" s="38"/>
      <c r="N1126" s="38"/>
      <c r="O1126" s="38"/>
      <c r="P1126" s="38"/>
      <c r="Q1126" s="38"/>
      <c r="R1126" s="38"/>
      <c r="S1126" s="38"/>
      <c r="T1126" s="38"/>
      <c r="U1126" s="38"/>
      <c r="V1126" s="38"/>
      <c r="W1126" s="38"/>
      <c r="X1126" s="38"/>
      <c r="Y1126" s="38"/>
      <c r="Z1126" s="38">
        <f t="shared" si="87"/>
        <v>1073</v>
      </c>
      <c r="AA1126" t="e">
        <f t="shared" si="85"/>
        <v>#DIV/0!</v>
      </c>
      <c r="AB1126" s="1" t="e">
        <f t="shared" si="86"/>
        <v>#DIV/0!</v>
      </c>
    </row>
    <row r="1127" spans="11:28" ht="33" customHeight="1">
      <c r="K1127" s="38"/>
      <c r="L1127" s="38"/>
      <c r="M1127" s="38"/>
      <c r="N1127" s="38"/>
      <c r="O1127" s="38"/>
      <c r="P1127" s="38"/>
      <c r="Q1127" s="38"/>
      <c r="R1127" s="38"/>
      <c r="S1127" s="38"/>
      <c r="T1127" s="38"/>
      <c r="U1127" s="38"/>
      <c r="V1127" s="38"/>
      <c r="W1127" s="38"/>
      <c r="X1127" s="38"/>
      <c r="Y1127" s="38"/>
      <c r="Z1127" s="38">
        <f t="shared" si="87"/>
        <v>1074</v>
      </c>
      <c r="AA1127" t="e">
        <f t="shared" si="85"/>
        <v>#DIV/0!</v>
      </c>
      <c r="AB1127" s="1" t="e">
        <f t="shared" si="86"/>
        <v>#DIV/0!</v>
      </c>
    </row>
    <row r="1128" spans="11:28" ht="33" customHeight="1">
      <c r="K1128" s="38"/>
      <c r="L1128" s="38"/>
      <c r="M1128" s="38"/>
      <c r="N1128" s="38"/>
      <c r="O1128" s="38"/>
      <c r="P1128" s="38"/>
      <c r="Q1128" s="38"/>
      <c r="R1128" s="38"/>
      <c r="S1128" s="38"/>
      <c r="T1128" s="38"/>
      <c r="U1128" s="38"/>
      <c r="V1128" s="38"/>
      <c r="W1128" s="38"/>
      <c r="X1128" s="38"/>
      <c r="Y1128" s="38"/>
      <c r="Z1128" s="38">
        <f t="shared" si="87"/>
        <v>1075</v>
      </c>
      <c r="AA1128" t="e">
        <f t="shared" si="85"/>
        <v>#DIV/0!</v>
      </c>
      <c r="AB1128" s="1" t="e">
        <f t="shared" si="86"/>
        <v>#DIV/0!</v>
      </c>
    </row>
    <row r="1129" spans="11:28" ht="33" customHeight="1">
      <c r="K1129" s="38"/>
      <c r="L1129" s="38"/>
      <c r="M1129" s="38"/>
      <c r="N1129" s="38"/>
      <c r="O1129" s="38"/>
      <c r="P1129" s="38"/>
      <c r="Q1129" s="38"/>
      <c r="R1129" s="38"/>
      <c r="S1129" s="38"/>
      <c r="T1129" s="38"/>
      <c r="U1129" s="38"/>
      <c r="V1129" s="38"/>
      <c r="W1129" s="38"/>
      <c r="X1129" s="38"/>
      <c r="Y1129" s="38"/>
      <c r="Z1129" s="38">
        <f t="shared" si="87"/>
        <v>1076</v>
      </c>
      <c r="AA1129" t="e">
        <f t="shared" si="85"/>
        <v>#DIV/0!</v>
      </c>
      <c r="AB1129" s="1" t="e">
        <f t="shared" si="86"/>
        <v>#DIV/0!</v>
      </c>
    </row>
    <row r="1130" spans="11:28" ht="33" customHeight="1">
      <c r="K1130" s="38"/>
      <c r="L1130" s="38"/>
      <c r="M1130" s="38"/>
      <c r="N1130" s="38"/>
      <c r="O1130" s="38"/>
      <c r="P1130" s="38"/>
      <c r="Q1130" s="38"/>
      <c r="R1130" s="38"/>
      <c r="S1130" s="38"/>
      <c r="T1130" s="38"/>
      <c r="U1130" s="38"/>
      <c r="V1130" s="38"/>
      <c r="W1130" s="38"/>
      <c r="X1130" s="38"/>
      <c r="Y1130" s="38"/>
      <c r="Z1130" s="38">
        <f t="shared" si="87"/>
        <v>1077</v>
      </c>
      <c r="AA1130" t="e">
        <f t="shared" si="85"/>
        <v>#DIV/0!</v>
      </c>
      <c r="AB1130" s="1" t="e">
        <f t="shared" si="86"/>
        <v>#DIV/0!</v>
      </c>
    </row>
    <row r="1131" spans="11:28" ht="33" customHeight="1">
      <c r="K1131" s="38"/>
      <c r="L1131" s="38"/>
      <c r="M1131" s="38"/>
      <c r="N1131" s="38"/>
      <c r="O1131" s="38"/>
      <c r="P1131" s="38"/>
      <c r="Q1131" s="38"/>
      <c r="R1131" s="38"/>
      <c r="S1131" s="38"/>
      <c r="T1131" s="38"/>
      <c r="U1131" s="38"/>
      <c r="V1131" s="38"/>
      <c r="W1131" s="38"/>
      <c r="X1131" s="38"/>
      <c r="Y1131" s="38"/>
      <c r="Z1131" s="38">
        <f t="shared" si="87"/>
        <v>1078</v>
      </c>
      <c r="AA1131" t="e">
        <f t="shared" si="85"/>
        <v>#DIV/0!</v>
      </c>
      <c r="AB1131" s="1" t="e">
        <f t="shared" si="86"/>
        <v>#DIV/0!</v>
      </c>
    </row>
    <row r="1132" spans="11:28" ht="33" customHeight="1">
      <c r="K1132" s="38"/>
      <c r="L1132" s="38"/>
      <c r="M1132" s="38"/>
      <c r="N1132" s="38"/>
      <c r="O1132" s="38"/>
      <c r="P1132" s="38"/>
      <c r="Q1132" s="38"/>
      <c r="R1132" s="38"/>
      <c r="S1132" s="38"/>
      <c r="T1132" s="38"/>
      <c r="U1132" s="38"/>
      <c r="V1132" s="38"/>
      <c r="W1132" s="38"/>
      <c r="X1132" s="38"/>
      <c r="Y1132" s="38"/>
      <c r="Z1132" s="38">
        <f t="shared" si="87"/>
        <v>1079</v>
      </c>
      <c r="AA1132" t="e">
        <f t="shared" si="85"/>
        <v>#DIV/0!</v>
      </c>
      <c r="AB1132" s="1" t="e">
        <f t="shared" si="86"/>
        <v>#DIV/0!</v>
      </c>
    </row>
    <row r="1133" spans="11:28" ht="33" customHeight="1">
      <c r="K1133" s="38"/>
      <c r="L1133" s="38"/>
      <c r="M1133" s="38"/>
      <c r="N1133" s="38"/>
      <c r="O1133" s="38"/>
      <c r="P1133" s="38"/>
      <c r="Q1133" s="38"/>
      <c r="R1133" s="38"/>
      <c r="S1133" s="38"/>
      <c r="T1133" s="38"/>
      <c r="U1133" s="38"/>
      <c r="V1133" s="38"/>
      <c r="W1133" s="38"/>
      <c r="X1133" s="38"/>
      <c r="Y1133" s="38"/>
      <c r="Z1133" s="38">
        <f t="shared" si="87"/>
        <v>1080</v>
      </c>
      <c r="AA1133" t="e">
        <f t="shared" si="85"/>
        <v>#DIV/0!</v>
      </c>
      <c r="AB1133" s="1" t="e">
        <f t="shared" si="86"/>
        <v>#DIV/0!</v>
      </c>
    </row>
    <row r="1134" spans="11:28" ht="33" customHeight="1">
      <c r="K1134" s="38"/>
      <c r="L1134" s="38"/>
      <c r="M1134" s="38"/>
      <c r="N1134" s="38"/>
      <c r="O1134" s="38"/>
      <c r="P1134" s="38"/>
      <c r="Q1134" s="38"/>
      <c r="R1134" s="38"/>
      <c r="S1134" s="38"/>
      <c r="T1134" s="38"/>
      <c r="U1134" s="38"/>
      <c r="V1134" s="38"/>
      <c r="W1134" s="38"/>
      <c r="X1134" s="38"/>
      <c r="Y1134" s="38"/>
      <c r="Z1134" s="38">
        <f t="shared" si="87"/>
        <v>1081</v>
      </c>
      <c r="AA1134" t="e">
        <f t="shared" si="85"/>
        <v>#DIV/0!</v>
      </c>
      <c r="AB1134" s="1" t="e">
        <f t="shared" si="86"/>
        <v>#DIV/0!</v>
      </c>
    </row>
    <row r="1135" spans="11:28" ht="33" customHeight="1">
      <c r="K1135" s="38"/>
      <c r="L1135" s="38"/>
      <c r="M1135" s="38"/>
      <c r="N1135" s="38"/>
      <c r="O1135" s="38"/>
      <c r="P1135" s="38"/>
      <c r="Q1135" s="38"/>
      <c r="R1135" s="38"/>
      <c r="S1135" s="38"/>
      <c r="T1135" s="38"/>
      <c r="U1135" s="38"/>
      <c r="V1135" s="38"/>
      <c r="W1135" s="38"/>
      <c r="X1135" s="38"/>
      <c r="Y1135" s="38"/>
      <c r="Z1135" s="38">
        <f t="shared" si="87"/>
        <v>1082</v>
      </c>
      <c r="AA1135" t="e">
        <f t="shared" si="85"/>
        <v>#DIV/0!</v>
      </c>
      <c r="AB1135" s="1" t="e">
        <f t="shared" si="86"/>
        <v>#DIV/0!</v>
      </c>
    </row>
    <row r="1136" spans="11:28" ht="33" customHeight="1">
      <c r="K1136" s="38"/>
      <c r="L1136" s="38"/>
      <c r="M1136" s="38"/>
      <c r="N1136" s="38"/>
      <c r="O1136" s="38"/>
      <c r="P1136" s="38"/>
      <c r="Q1136" s="38"/>
      <c r="R1136" s="38"/>
      <c r="S1136" s="38"/>
      <c r="T1136" s="38"/>
      <c r="U1136" s="38"/>
      <c r="V1136" s="38"/>
      <c r="W1136" s="38"/>
      <c r="X1136" s="38"/>
      <c r="Y1136" s="38"/>
      <c r="Z1136" s="38">
        <f t="shared" si="87"/>
        <v>1083</v>
      </c>
      <c r="AA1136" t="e">
        <f t="shared" si="85"/>
        <v>#DIV/0!</v>
      </c>
      <c r="AB1136" s="1" t="e">
        <f t="shared" si="86"/>
        <v>#DIV/0!</v>
      </c>
    </row>
    <row r="1137" spans="11:28" ht="33" customHeight="1">
      <c r="K1137" s="38"/>
      <c r="L1137" s="38"/>
      <c r="M1137" s="38"/>
      <c r="N1137" s="38"/>
      <c r="O1137" s="38"/>
      <c r="P1137" s="38"/>
      <c r="Q1137" s="38"/>
      <c r="R1137" s="38"/>
      <c r="S1137" s="38"/>
      <c r="T1137" s="38"/>
      <c r="U1137" s="38"/>
      <c r="V1137" s="38"/>
      <c r="W1137" s="38"/>
      <c r="X1137" s="38"/>
      <c r="Y1137" s="38"/>
      <c r="Z1137" s="38">
        <f t="shared" si="87"/>
        <v>1084</v>
      </c>
      <c r="AA1137" t="e">
        <f t="shared" si="85"/>
        <v>#DIV/0!</v>
      </c>
      <c r="AB1137" s="1" t="e">
        <f t="shared" si="86"/>
        <v>#DIV/0!</v>
      </c>
    </row>
    <row r="1138" spans="11:28" ht="33" customHeight="1">
      <c r="K1138" s="38"/>
      <c r="L1138" s="38"/>
      <c r="M1138" s="38"/>
      <c r="N1138" s="38"/>
      <c r="O1138" s="38"/>
      <c r="P1138" s="38"/>
      <c r="Q1138" s="38"/>
      <c r="R1138" s="38"/>
      <c r="S1138" s="38"/>
      <c r="T1138" s="38"/>
      <c r="U1138" s="38"/>
      <c r="V1138" s="38"/>
      <c r="W1138" s="38"/>
      <c r="X1138" s="38"/>
      <c r="Y1138" s="38"/>
      <c r="Z1138" s="38">
        <f t="shared" si="87"/>
        <v>1085</v>
      </c>
      <c r="AA1138" t="e">
        <f t="shared" si="85"/>
        <v>#DIV/0!</v>
      </c>
      <c r="AB1138" s="1" t="e">
        <f t="shared" si="86"/>
        <v>#DIV/0!</v>
      </c>
    </row>
    <row r="1139" spans="11:28" ht="33" customHeight="1">
      <c r="K1139" s="38"/>
      <c r="L1139" s="38"/>
      <c r="M1139" s="38"/>
      <c r="N1139" s="38"/>
      <c r="O1139" s="38"/>
      <c r="P1139" s="38"/>
      <c r="Q1139" s="38"/>
      <c r="R1139" s="38"/>
      <c r="S1139" s="38"/>
      <c r="T1139" s="38"/>
      <c r="U1139" s="38"/>
      <c r="V1139" s="38"/>
      <c r="W1139" s="38"/>
      <c r="X1139" s="38"/>
      <c r="Y1139" s="38"/>
      <c r="Z1139" s="38">
        <f t="shared" si="87"/>
        <v>1086</v>
      </c>
      <c r="AA1139" t="e">
        <f t="shared" si="85"/>
        <v>#DIV/0!</v>
      </c>
      <c r="AB1139" s="1" t="e">
        <f t="shared" si="86"/>
        <v>#DIV/0!</v>
      </c>
    </row>
    <row r="1140" spans="11:28" ht="33" customHeight="1">
      <c r="K1140" s="38"/>
      <c r="L1140" s="38"/>
      <c r="M1140" s="38"/>
      <c r="N1140" s="38"/>
      <c r="O1140" s="38"/>
      <c r="P1140" s="38"/>
      <c r="Q1140" s="38"/>
      <c r="R1140" s="38"/>
      <c r="S1140" s="38"/>
      <c r="T1140" s="38"/>
      <c r="U1140" s="38"/>
      <c r="V1140" s="38"/>
      <c r="W1140" s="38"/>
      <c r="X1140" s="38"/>
      <c r="Y1140" s="38"/>
      <c r="Z1140" s="38">
        <f t="shared" si="87"/>
        <v>1087</v>
      </c>
      <c r="AA1140" t="e">
        <f t="shared" si="85"/>
        <v>#DIV/0!</v>
      </c>
      <c r="AB1140" s="1" t="e">
        <f t="shared" si="86"/>
        <v>#DIV/0!</v>
      </c>
    </row>
    <row r="1141" spans="11:28" ht="33" customHeight="1">
      <c r="K1141" s="38"/>
      <c r="L1141" s="38"/>
      <c r="M1141" s="38"/>
      <c r="N1141" s="38"/>
      <c r="O1141" s="38"/>
      <c r="P1141" s="38"/>
      <c r="Q1141" s="38"/>
      <c r="R1141" s="38"/>
      <c r="S1141" s="38"/>
      <c r="T1141" s="38"/>
      <c r="U1141" s="38"/>
      <c r="V1141" s="38"/>
      <c r="W1141" s="38"/>
      <c r="X1141" s="38"/>
      <c r="Y1141" s="38"/>
      <c r="Z1141" s="38">
        <f t="shared" si="87"/>
        <v>1088</v>
      </c>
      <c r="AA1141" t="e">
        <f t="shared" si="85"/>
        <v>#DIV/0!</v>
      </c>
      <c r="AB1141" s="1" t="e">
        <f t="shared" si="86"/>
        <v>#DIV/0!</v>
      </c>
    </row>
    <row r="1142" spans="11:28" ht="33" customHeight="1">
      <c r="K1142" s="38"/>
      <c r="L1142" s="38"/>
      <c r="M1142" s="38"/>
      <c r="N1142" s="38"/>
      <c r="O1142" s="38"/>
      <c r="P1142" s="38"/>
      <c r="Q1142" s="38"/>
      <c r="R1142" s="38"/>
      <c r="S1142" s="38"/>
      <c r="T1142" s="38"/>
      <c r="U1142" s="38"/>
      <c r="V1142" s="38"/>
      <c r="W1142" s="38"/>
      <c r="X1142" s="38"/>
      <c r="Y1142" s="38"/>
      <c r="Z1142" s="38">
        <f t="shared" si="87"/>
        <v>1089</v>
      </c>
      <c r="AA1142" t="e">
        <f t="shared" si="85"/>
        <v>#DIV/0!</v>
      </c>
      <c r="AB1142" s="1" t="e">
        <f t="shared" si="86"/>
        <v>#DIV/0!</v>
      </c>
    </row>
    <row r="1143" spans="11:28" ht="33" customHeight="1">
      <c r="K1143" s="38"/>
      <c r="L1143" s="38"/>
      <c r="M1143" s="38"/>
      <c r="N1143" s="38"/>
      <c r="O1143" s="38"/>
      <c r="P1143" s="38"/>
      <c r="Q1143" s="38"/>
      <c r="R1143" s="38"/>
      <c r="S1143" s="38"/>
      <c r="T1143" s="38"/>
      <c r="U1143" s="38"/>
      <c r="V1143" s="38"/>
      <c r="W1143" s="38"/>
      <c r="X1143" s="38"/>
      <c r="Y1143" s="38"/>
      <c r="Z1143" s="38">
        <f t="shared" si="87"/>
        <v>1090</v>
      </c>
      <c r="AA1143" t="e">
        <f t="shared" si="85"/>
        <v>#DIV/0!</v>
      </c>
      <c r="AB1143" s="1" t="e">
        <f t="shared" si="86"/>
        <v>#DIV/0!</v>
      </c>
    </row>
    <row r="1144" spans="11:28" ht="33" customHeight="1">
      <c r="K1144" s="38"/>
      <c r="L1144" s="38"/>
      <c r="M1144" s="38"/>
      <c r="N1144" s="38"/>
      <c r="O1144" s="38"/>
      <c r="P1144" s="38"/>
      <c r="Q1144" s="38"/>
      <c r="R1144" s="38"/>
      <c r="S1144" s="38"/>
      <c r="T1144" s="38"/>
      <c r="U1144" s="38"/>
      <c r="V1144" s="38"/>
      <c r="W1144" s="38"/>
      <c r="X1144" s="38"/>
      <c r="Y1144" s="38"/>
      <c r="Z1144" s="38">
        <f t="shared" si="87"/>
        <v>1091</v>
      </c>
      <c r="AA1144" t="e">
        <f t="shared" si="85"/>
        <v>#DIV/0!</v>
      </c>
      <c r="AB1144" s="1" t="e">
        <f t="shared" si="86"/>
        <v>#DIV/0!</v>
      </c>
    </row>
    <row r="1145" spans="11:28" ht="33" customHeight="1">
      <c r="K1145" s="38"/>
      <c r="L1145" s="38"/>
      <c r="M1145" s="38"/>
      <c r="N1145" s="38"/>
      <c r="O1145" s="38"/>
      <c r="P1145" s="38"/>
      <c r="Q1145" s="38"/>
      <c r="R1145" s="38"/>
      <c r="S1145" s="38"/>
      <c r="T1145" s="38"/>
      <c r="U1145" s="38"/>
      <c r="V1145" s="38"/>
      <c r="W1145" s="38"/>
      <c r="X1145" s="38"/>
      <c r="Y1145" s="38"/>
      <c r="Z1145" s="38">
        <f t="shared" si="87"/>
        <v>1092</v>
      </c>
      <c r="AA1145" t="e">
        <f t="shared" si="85"/>
        <v>#DIV/0!</v>
      </c>
      <c r="AB1145" s="1" t="e">
        <f t="shared" si="86"/>
        <v>#DIV/0!</v>
      </c>
    </row>
    <row r="1146" spans="11:28" ht="33" customHeight="1">
      <c r="K1146" s="38"/>
      <c r="L1146" s="38"/>
      <c r="M1146" s="38"/>
      <c r="N1146" s="38"/>
      <c r="O1146" s="38"/>
      <c r="P1146" s="38"/>
      <c r="Q1146" s="38"/>
      <c r="R1146" s="38"/>
      <c r="S1146" s="38"/>
      <c r="T1146" s="38"/>
      <c r="U1146" s="38"/>
      <c r="V1146" s="38"/>
      <c r="W1146" s="38"/>
      <c r="X1146" s="38"/>
      <c r="Y1146" s="38"/>
      <c r="Z1146" s="38">
        <f t="shared" si="87"/>
        <v>1093</v>
      </c>
      <c r="AA1146" t="e">
        <f t="shared" si="85"/>
        <v>#DIV/0!</v>
      </c>
      <c r="AB1146" s="1" t="e">
        <f t="shared" si="86"/>
        <v>#DIV/0!</v>
      </c>
    </row>
    <row r="1147" spans="11:28" ht="33" customHeight="1">
      <c r="K1147" s="38"/>
      <c r="L1147" s="38"/>
      <c r="M1147" s="38"/>
      <c r="N1147" s="38"/>
      <c r="O1147" s="38"/>
      <c r="P1147" s="38"/>
      <c r="Q1147" s="38"/>
      <c r="R1147" s="38"/>
      <c r="S1147" s="38"/>
      <c r="T1147" s="38"/>
      <c r="U1147" s="38"/>
      <c r="V1147" s="38"/>
      <c r="W1147" s="38"/>
      <c r="X1147" s="38"/>
      <c r="Y1147" s="38"/>
      <c r="Z1147" s="38">
        <f t="shared" si="87"/>
        <v>1094</v>
      </c>
      <c r="AA1147" t="e">
        <f t="shared" si="85"/>
        <v>#DIV/0!</v>
      </c>
      <c r="AB1147" s="1" t="e">
        <f t="shared" si="86"/>
        <v>#DIV/0!</v>
      </c>
    </row>
    <row r="1148" spans="11:28" ht="33" customHeight="1">
      <c r="K1148" s="38"/>
      <c r="L1148" s="38"/>
      <c r="M1148" s="38"/>
      <c r="N1148" s="38"/>
      <c r="O1148" s="38"/>
      <c r="P1148" s="38"/>
      <c r="Q1148" s="38"/>
      <c r="R1148" s="38"/>
      <c r="S1148" s="38"/>
      <c r="T1148" s="38"/>
      <c r="U1148" s="38"/>
      <c r="V1148" s="38"/>
      <c r="W1148" s="38"/>
      <c r="X1148" s="38"/>
      <c r="Y1148" s="38"/>
      <c r="Z1148" s="38">
        <f t="shared" si="87"/>
        <v>1095</v>
      </c>
      <c r="AA1148" t="e">
        <f t="shared" si="85"/>
        <v>#DIV/0!</v>
      </c>
      <c r="AB1148" s="1" t="e">
        <f t="shared" si="86"/>
        <v>#DIV/0!</v>
      </c>
    </row>
    <row r="1149" spans="11:28" ht="33" customHeight="1">
      <c r="K1149" s="38"/>
      <c r="L1149" s="38"/>
      <c r="M1149" s="38"/>
      <c r="N1149" s="38"/>
      <c r="O1149" s="38"/>
      <c r="P1149" s="38"/>
      <c r="Q1149" s="38"/>
      <c r="R1149" s="38"/>
      <c r="S1149" s="38"/>
      <c r="T1149" s="38"/>
      <c r="U1149" s="38"/>
      <c r="V1149" s="38"/>
      <c r="W1149" s="38"/>
      <c r="X1149" s="38"/>
      <c r="Y1149" s="38"/>
      <c r="Z1149" s="38">
        <f t="shared" si="87"/>
        <v>1096</v>
      </c>
      <c r="AA1149" t="e">
        <f t="shared" si="85"/>
        <v>#DIV/0!</v>
      </c>
      <c r="AB1149" s="1" t="e">
        <f t="shared" si="86"/>
        <v>#DIV/0!</v>
      </c>
    </row>
    <row r="1150" spans="11:28" ht="33" customHeight="1">
      <c r="K1150" s="38"/>
      <c r="L1150" s="38"/>
      <c r="M1150" s="38"/>
      <c r="N1150" s="38"/>
      <c r="O1150" s="38"/>
      <c r="P1150" s="38"/>
      <c r="Q1150" s="38"/>
      <c r="R1150" s="38"/>
      <c r="S1150" s="38"/>
      <c r="T1150" s="38"/>
      <c r="U1150" s="38"/>
      <c r="V1150" s="38"/>
      <c r="W1150" s="38"/>
      <c r="X1150" s="38"/>
      <c r="Y1150" s="38"/>
      <c r="Z1150" s="38">
        <f t="shared" si="87"/>
        <v>1097</v>
      </c>
      <c r="AA1150" t="e">
        <f t="shared" si="85"/>
        <v>#DIV/0!</v>
      </c>
      <c r="AB1150" s="1" t="e">
        <f t="shared" si="86"/>
        <v>#DIV/0!</v>
      </c>
    </row>
    <row r="1151" spans="11:28" ht="33" customHeight="1">
      <c r="K1151" s="38"/>
      <c r="L1151" s="38"/>
      <c r="M1151" s="38"/>
      <c r="N1151" s="38"/>
      <c r="O1151" s="38"/>
      <c r="P1151" s="38"/>
      <c r="Q1151" s="38"/>
      <c r="R1151" s="38"/>
      <c r="S1151" s="38"/>
      <c r="T1151" s="38"/>
      <c r="U1151" s="38"/>
      <c r="V1151" s="38"/>
      <c r="W1151" s="38"/>
      <c r="X1151" s="38"/>
      <c r="Y1151" s="38"/>
      <c r="Z1151" s="38">
        <f t="shared" si="87"/>
        <v>1098</v>
      </c>
      <c r="AA1151" t="e">
        <f t="shared" si="85"/>
        <v>#DIV/0!</v>
      </c>
      <c r="AB1151" s="1" t="e">
        <f t="shared" si="86"/>
        <v>#DIV/0!</v>
      </c>
    </row>
    <row r="1152" spans="11:28" ht="33" customHeight="1">
      <c r="K1152" s="38"/>
      <c r="L1152" s="38"/>
      <c r="M1152" s="38"/>
      <c r="N1152" s="38"/>
      <c r="O1152" s="38"/>
      <c r="P1152" s="38"/>
      <c r="Q1152" s="38"/>
      <c r="R1152" s="38"/>
      <c r="S1152" s="38"/>
      <c r="T1152" s="38"/>
      <c r="U1152" s="38"/>
      <c r="V1152" s="38"/>
      <c r="W1152" s="38"/>
      <c r="X1152" s="38"/>
      <c r="Y1152" s="38"/>
      <c r="Z1152" s="38">
        <f t="shared" si="87"/>
        <v>1099</v>
      </c>
      <c r="AA1152" t="e">
        <f t="shared" si="85"/>
        <v>#DIV/0!</v>
      </c>
      <c r="AB1152" s="1" t="e">
        <f t="shared" si="86"/>
        <v>#DIV/0!</v>
      </c>
    </row>
    <row r="1153" spans="11:28" ht="33" customHeight="1">
      <c r="K1153" s="38"/>
      <c r="L1153" s="38"/>
      <c r="M1153" s="38"/>
      <c r="N1153" s="38"/>
      <c r="O1153" s="38"/>
      <c r="P1153" s="38"/>
      <c r="Q1153" s="38"/>
      <c r="R1153" s="38"/>
      <c r="S1153" s="38"/>
      <c r="T1153" s="38"/>
      <c r="U1153" s="38"/>
      <c r="V1153" s="38"/>
      <c r="W1153" s="38"/>
      <c r="X1153" s="38"/>
      <c r="Y1153" s="38"/>
      <c r="Z1153" s="38">
        <f t="shared" si="87"/>
        <v>1100</v>
      </c>
      <c r="AA1153" t="e">
        <f t="shared" si="85"/>
        <v>#DIV/0!</v>
      </c>
      <c r="AB1153" s="1" t="e">
        <f t="shared" si="86"/>
        <v>#DIV/0!</v>
      </c>
    </row>
    <row r="1154" spans="11:28" ht="33" customHeight="1">
      <c r="K1154" s="38"/>
      <c r="L1154" s="38"/>
      <c r="M1154" s="38"/>
      <c r="N1154" s="38"/>
      <c r="O1154" s="38"/>
      <c r="P1154" s="38"/>
      <c r="Q1154" s="38"/>
      <c r="R1154" s="38"/>
      <c r="S1154" s="38"/>
      <c r="T1154" s="38"/>
      <c r="U1154" s="38"/>
      <c r="V1154" s="38"/>
      <c r="W1154" s="38"/>
      <c r="X1154" s="38"/>
      <c r="Y1154" s="38"/>
      <c r="Z1154" s="38">
        <f t="shared" si="87"/>
        <v>1101</v>
      </c>
      <c r="AA1154" t="e">
        <f t="shared" si="85"/>
        <v>#DIV/0!</v>
      </c>
      <c r="AB1154" s="1" t="e">
        <f t="shared" si="86"/>
        <v>#DIV/0!</v>
      </c>
    </row>
    <row r="1155" spans="11:28" ht="33" customHeight="1">
      <c r="K1155" s="38"/>
      <c r="L1155" s="38"/>
      <c r="M1155" s="38"/>
      <c r="N1155" s="38"/>
      <c r="O1155" s="38"/>
      <c r="P1155" s="38"/>
      <c r="Q1155" s="38"/>
      <c r="R1155" s="38"/>
      <c r="S1155" s="38"/>
      <c r="T1155" s="38"/>
      <c r="U1155" s="38"/>
      <c r="V1155" s="38"/>
      <c r="W1155" s="38"/>
      <c r="X1155" s="38"/>
      <c r="Y1155" s="38"/>
      <c r="Z1155" s="38">
        <f t="shared" si="87"/>
        <v>1102</v>
      </c>
      <c r="AA1155" t="e">
        <f t="shared" si="85"/>
        <v>#DIV/0!</v>
      </c>
      <c r="AB1155" s="1" t="e">
        <f t="shared" si="86"/>
        <v>#DIV/0!</v>
      </c>
    </row>
    <row r="1156" spans="11:28" ht="33" customHeight="1">
      <c r="K1156" s="38"/>
      <c r="L1156" s="38"/>
      <c r="M1156" s="38"/>
      <c r="N1156" s="38"/>
      <c r="O1156" s="38"/>
      <c r="P1156" s="38"/>
      <c r="Q1156" s="38"/>
      <c r="R1156" s="38"/>
      <c r="S1156" s="38"/>
      <c r="T1156" s="38"/>
      <c r="U1156" s="38"/>
      <c r="V1156" s="38"/>
      <c r="W1156" s="38"/>
      <c r="X1156" s="38"/>
      <c r="Y1156" s="38"/>
      <c r="Z1156" s="38">
        <f t="shared" si="87"/>
        <v>1103</v>
      </c>
      <c r="AA1156" t="e">
        <f t="shared" si="85"/>
        <v>#DIV/0!</v>
      </c>
      <c r="AB1156" s="1" t="e">
        <f t="shared" si="86"/>
        <v>#DIV/0!</v>
      </c>
    </row>
    <row r="1157" spans="11:28" ht="33" customHeight="1">
      <c r="K1157" s="38"/>
      <c r="L1157" s="38"/>
      <c r="M1157" s="38"/>
      <c r="N1157" s="38"/>
      <c r="O1157" s="38"/>
      <c r="P1157" s="38"/>
      <c r="Q1157" s="38"/>
      <c r="R1157" s="38"/>
      <c r="S1157" s="38"/>
      <c r="T1157" s="38"/>
      <c r="U1157" s="38"/>
      <c r="V1157" s="38"/>
      <c r="W1157" s="38"/>
      <c r="X1157" s="38"/>
      <c r="Y1157" s="38"/>
      <c r="Z1157" s="38">
        <f t="shared" si="87"/>
        <v>1104</v>
      </c>
      <c r="AA1157" t="e">
        <f t="shared" si="85"/>
        <v>#DIV/0!</v>
      </c>
      <c r="AB1157" s="1" t="e">
        <f t="shared" si="86"/>
        <v>#DIV/0!</v>
      </c>
    </row>
    <row r="1158" spans="11:28" ht="33" customHeight="1">
      <c r="K1158" s="38"/>
      <c r="L1158" s="38"/>
      <c r="M1158" s="38"/>
      <c r="N1158" s="38"/>
      <c r="O1158" s="38"/>
      <c r="P1158" s="38"/>
      <c r="Q1158" s="38"/>
      <c r="R1158" s="38"/>
      <c r="S1158" s="38"/>
      <c r="T1158" s="38"/>
      <c r="U1158" s="38"/>
      <c r="V1158" s="38"/>
      <c r="W1158" s="38"/>
      <c r="X1158" s="38"/>
      <c r="Y1158" s="38"/>
      <c r="Z1158" s="38">
        <f t="shared" si="87"/>
        <v>1105</v>
      </c>
      <c r="AA1158" t="e">
        <f t="shared" si="85"/>
        <v>#DIV/0!</v>
      </c>
      <c r="AB1158" s="1" t="e">
        <f t="shared" si="86"/>
        <v>#DIV/0!</v>
      </c>
    </row>
    <row r="1159" spans="11:28" ht="33" customHeight="1">
      <c r="K1159" s="38"/>
      <c r="L1159" s="38"/>
      <c r="M1159" s="38"/>
      <c r="N1159" s="38"/>
      <c r="O1159" s="38"/>
      <c r="P1159" s="38"/>
      <c r="Q1159" s="38"/>
      <c r="R1159" s="38"/>
      <c r="S1159" s="38"/>
      <c r="T1159" s="38"/>
      <c r="U1159" s="38"/>
      <c r="V1159" s="38"/>
      <c r="W1159" s="38"/>
      <c r="X1159" s="38"/>
      <c r="Y1159" s="38"/>
      <c r="Z1159" s="38">
        <f t="shared" si="87"/>
        <v>1106</v>
      </c>
      <c r="AA1159" t="e">
        <f t="shared" si="85"/>
        <v>#DIV/0!</v>
      </c>
      <c r="AB1159" s="1" t="e">
        <f t="shared" si="86"/>
        <v>#DIV/0!</v>
      </c>
    </row>
    <row r="1160" spans="11:28" ht="33" customHeight="1">
      <c r="K1160" s="38"/>
      <c r="L1160" s="38"/>
      <c r="M1160" s="38"/>
      <c r="N1160" s="38"/>
      <c r="O1160" s="38"/>
      <c r="P1160" s="38"/>
      <c r="Q1160" s="38"/>
      <c r="R1160" s="38"/>
      <c r="S1160" s="38"/>
      <c r="T1160" s="38"/>
      <c r="U1160" s="38"/>
      <c r="V1160" s="38"/>
      <c r="W1160" s="38"/>
      <c r="X1160" s="38"/>
      <c r="Y1160" s="38"/>
      <c r="Z1160" s="38">
        <f t="shared" si="87"/>
        <v>1107</v>
      </c>
      <c r="AA1160" t="e">
        <f t="shared" si="85"/>
        <v>#DIV/0!</v>
      </c>
      <c r="AB1160" s="1" t="e">
        <f t="shared" si="86"/>
        <v>#DIV/0!</v>
      </c>
    </row>
    <row r="1161" spans="11:28" ht="33" customHeight="1">
      <c r="K1161" s="38"/>
      <c r="L1161" s="38"/>
      <c r="M1161" s="38"/>
      <c r="N1161" s="38"/>
      <c r="O1161" s="38"/>
      <c r="P1161" s="38"/>
      <c r="Q1161" s="38"/>
      <c r="R1161" s="38"/>
      <c r="S1161" s="38"/>
      <c r="T1161" s="38"/>
      <c r="U1161" s="38"/>
      <c r="V1161" s="38"/>
      <c r="W1161" s="38"/>
      <c r="X1161" s="38"/>
      <c r="Y1161" s="38"/>
      <c r="Z1161" s="38">
        <f t="shared" si="87"/>
        <v>1108</v>
      </c>
      <c r="AA1161" t="e">
        <f t="shared" si="85"/>
        <v>#DIV/0!</v>
      </c>
      <c r="AB1161" s="1" t="e">
        <f t="shared" si="86"/>
        <v>#DIV/0!</v>
      </c>
    </row>
    <row r="1162" spans="11:28" ht="33" customHeight="1">
      <c r="K1162" s="38"/>
      <c r="L1162" s="38"/>
      <c r="M1162" s="38"/>
      <c r="N1162" s="38"/>
      <c r="O1162" s="38"/>
      <c r="P1162" s="38"/>
      <c r="Q1162" s="38"/>
      <c r="R1162" s="38"/>
      <c r="S1162" s="38"/>
      <c r="T1162" s="38"/>
      <c r="U1162" s="38"/>
      <c r="V1162" s="38"/>
      <c r="W1162" s="38"/>
      <c r="X1162" s="38"/>
      <c r="Y1162" s="38"/>
      <c r="Z1162" s="38">
        <f t="shared" si="87"/>
        <v>1109</v>
      </c>
      <c r="AA1162" t="e">
        <f t="shared" si="85"/>
        <v>#DIV/0!</v>
      </c>
      <c r="AB1162" s="1" t="e">
        <f t="shared" si="86"/>
        <v>#DIV/0!</v>
      </c>
    </row>
    <row r="1163" spans="11:28" ht="33" customHeight="1">
      <c r="K1163" s="38"/>
      <c r="L1163" s="38"/>
      <c r="M1163" s="38"/>
      <c r="N1163" s="38"/>
      <c r="O1163" s="38"/>
      <c r="P1163" s="38"/>
      <c r="Q1163" s="38"/>
      <c r="R1163" s="38"/>
      <c r="S1163" s="38"/>
      <c r="T1163" s="38"/>
      <c r="U1163" s="38"/>
      <c r="V1163" s="38"/>
      <c r="W1163" s="38"/>
      <c r="X1163" s="38"/>
      <c r="Y1163" s="38"/>
      <c r="Z1163" s="38">
        <f t="shared" si="87"/>
        <v>1110</v>
      </c>
      <c r="AA1163" t="e">
        <f t="shared" ref="AA1163:AA1170" si="88">IF(AB1163=Z1163,1,0)</f>
        <v>#DIV/0!</v>
      </c>
      <c r="AB1163" s="1" t="e">
        <f t="shared" ref="AB1163:AB1170" si="89">$AB$8</f>
        <v>#DIV/0!</v>
      </c>
    </row>
    <row r="1164" spans="11:28" ht="33" customHeight="1">
      <c r="K1164" s="38"/>
      <c r="L1164" s="38"/>
      <c r="M1164" s="38"/>
      <c r="N1164" s="38"/>
      <c r="O1164" s="38"/>
      <c r="P1164" s="38"/>
      <c r="Q1164" s="38"/>
      <c r="R1164" s="38"/>
      <c r="S1164" s="38"/>
      <c r="T1164" s="38"/>
      <c r="U1164" s="38"/>
      <c r="V1164" s="38"/>
      <c r="W1164" s="38"/>
      <c r="X1164" s="38"/>
      <c r="Y1164" s="38"/>
      <c r="Z1164" s="38">
        <f t="shared" ref="Z1164:Z1170" si="90">Z1163+1</f>
        <v>1111</v>
      </c>
      <c r="AA1164" t="e">
        <f t="shared" si="88"/>
        <v>#DIV/0!</v>
      </c>
      <c r="AB1164" s="1" t="e">
        <f t="shared" si="89"/>
        <v>#DIV/0!</v>
      </c>
    </row>
    <row r="1165" spans="11:28" ht="33" customHeight="1">
      <c r="K1165" s="38"/>
      <c r="L1165" s="38"/>
      <c r="M1165" s="38"/>
      <c r="N1165" s="38"/>
      <c r="O1165" s="38"/>
      <c r="P1165" s="38"/>
      <c r="Q1165" s="38"/>
      <c r="R1165" s="38"/>
      <c r="S1165" s="38"/>
      <c r="T1165" s="38"/>
      <c r="U1165" s="38"/>
      <c r="V1165" s="38"/>
      <c r="W1165" s="38"/>
      <c r="X1165" s="38"/>
      <c r="Y1165" s="38"/>
      <c r="Z1165" s="38">
        <f t="shared" si="90"/>
        <v>1112</v>
      </c>
      <c r="AA1165" t="e">
        <f t="shared" si="88"/>
        <v>#DIV/0!</v>
      </c>
      <c r="AB1165" s="1" t="e">
        <f t="shared" si="89"/>
        <v>#DIV/0!</v>
      </c>
    </row>
    <row r="1166" spans="11:28" ht="33" customHeight="1">
      <c r="K1166" s="38"/>
      <c r="L1166" s="38"/>
      <c r="M1166" s="38"/>
      <c r="N1166" s="38"/>
      <c r="O1166" s="38"/>
      <c r="P1166" s="38"/>
      <c r="Q1166" s="38"/>
      <c r="R1166" s="38"/>
      <c r="S1166" s="38"/>
      <c r="T1166" s="38"/>
      <c r="U1166" s="38"/>
      <c r="V1166" s="38"/>
      <c r="W1166" s="38"/>
      <c r="X1166" s="38"/>
      <c r="Y1166" s="38"/>
      <c r="Z1166" s="38">
        <f t="shared" si="90"/>
        <v>1113</v>
      </c>
      <c r="AA1166" t="e">
        <f t="shared" si="88"/>
        <v>#DIV/0!</v>
      </c>
      <c r="AB1166" s="1" t="e">
        <f t="shared" si="89"/>
        <v>#DIV/0!</v>
      </c>
    </row>
    <row r="1167" spans="11:28" ht="33" customHeight="1">
      <c r="K1167" s="38"/>
      <c r="L1167" s="38"/>
      <c r="M1167" s="38"/>
      <c r="N1167" s="38"/>
      <c r="O1167" s="38"/>
      <c r="P1167" s="38"/>
      <c r="Q1167" s="38"/>
      <c r="R1167" s="38"/>
      <c r="S1167" s="38"/>
      <c r="T1167" s="38"/>
      <c r="U1167" s="38"/>
      <c r="V1167" s="38"/>
      <c r="W1167" s="38"/>
      <c r="X1167" s="38"/>
      <c r="Y1167" s="38"/>
      <c r="Z1167" s="38">
        <f t="shared" si="90"/>
        <v>1114</v>
      </c>
      <c r="AA1167" t="e">
        <f t="shared" si="88"/>
        <v>#DIV/0!</v>
      </c>
      <c r="AB1167" s="1" t="e">
        <f t="shared" si="89"/>
        <v>#DIV/0!</v>
      </c>
    </row>
    <row r="1168" spans="11:28" ht="33" customHeight="1">
      <c r="K1168" s="38"/>
      <c r="L1168" s="38"/>
      <c r="M1168" s="38"/>
      <c r="N1168" s="38"/>
      <c r="O1168" s="38"/>
      <c r="P1168" s="38"/>
      <c r="Q1168" s="38"/>
      <c r="R1168" s="38"/>
      <c r="S1168" s="38"/>
      <c r="T1168" s="38"/>
      <c r="U1168" s="38"/>
      <c r="V1168" s="38"/>
      <c r="W1168" s="38"/>
      <c r="X1168" s="38"/>
      <c r="Y1168" s="38"/>
      <c r="Z1168" s="38">
        <f t="shared" si="90"/>
        <v>1115</v>
      </c>
      <c r="AA1168" t="e">
        <f t="shared" si="88"/>
        <v>#DIV/0!</v>
      </c>
      <c r="AB1168" s="1" t="e">
        <f t="shared" si="89"/>
        <v>#DIV/0!</v>
      </c>
    </row>
    <row r="1169" spans="5:28" ht="33" customHeight="1">
      <c r="K1169" s="38"/>
      <c r="L1169" s="38"/>
      <c r="M1169" s="38"/>
      <c r="N1169" s="38"/>
      <c r="O1169" s="38"/>
      <c r="P1169" s="38"/>
      <c r="Q1169" s="38"/>
      <c r="R1169" s="38"/>
      <c r="S1169" s="38"/>
      <c r="T1169" s="38"/>
      <c r="U1169" s="38"/>
      <c r="V1169" s="38"/>
      <c r="W1169" s="38"/>
      <c r="X1169" s="38"/>
      <c r="Y1169" s="38"/>
      <c r="Z1169" s="38">
        <f t="shared" si="90"/>
        <v>1116</v>
      </c>
      <c r="AA1169" t="e">
        <f t="shared" si="88"/>
        <v>#DIV/0!</v>
      </c>
      <c r="AB1169" s="1" t="e">
        <f t="shared" si="89"/>
        <v>#DIV/0!</v>
      </c>
    </row>
    <row r="1170" spans="5:28" ht="33" customHeight="1">
      <c r="E1170">
        <v>0</v>
      </c>
      <c r="K1170" s="38"/>
      <c r="L1170" s="38"/>
      <c r="M1170" s="38"/>
      <c r="N1170" s="38"/>
      <c r="O1170" s="38"/>
      <c r="P1170" s="38"/>
      <c r="Q1170" s="38"/>
      <c r="R1170" s="38"/>
      <c r="S1170" s="38"/>
      <c r="T1170" s="38"/>
      <c r="U1170" s="38"/>
      <c r="V1170" s="38"/>
      <c r="W1170" s="38"/>
      <c r="X1170" s="38"/>
      <c r="Y1170" s="38"/>
      <c r="Z1170" s="38">
        <f t="shared" si="90"/>
        <v>1117</v>
      </c>
      <c r="AA1170" t="e">
        <f t="shared" si="88"/>
        <v>#DIV/0!</v>
      </c>
      <c r="AB1170" s="1" t="e">
        <f t="shared" si="89"/>
        <v>#DIV/0!</v>
      </c>
    </row>
    <row r="1171" spans="5:28" ht="33" customHeight="1">
      <c r="E1171">
        <v>0</v>
      </c>
      <c r="K1171" s="38"/>
      <c r="L1171" s="38"/>
      <c r="M1171" s="38"/>
      <c r="N1171" s="38"/>
      <c r="O1171" s="38"/>
      <c r="P1171" s="38"/>
      <c r="Q1171" s="38"/>
      <c r="R1171" s="38"/>
      <c r="S1171" s="38"/>
      <c r="T1171" s="38"/>
      <c r="U1171" s="38"/>
      <c r="V1171" s="38"/>
      <c r="W1171" s="38"/>
      <c r="X1171" s="38"/>
      <c r="Y1171" s="38"/>
      <c r="Z1171" s="38"/>
    </row>
    <row r="1172" spans="5:28" ht="33" customHeight="1">
      <c r="K1172" s="38"/>
      <c r="L1172" s="38"/>
      <c r="M1172" s="38"/>
      <c r="N1172" s="38"/>
      <c r="O1172" s="38"/>
      <c r="P1172" s="38"/>
      <c r="Q1172" s="38"/>
      <c r="R1172" s="38"/>
      <c r="S1172" s="38"/>
      <c r="T1172" s="38"/>
      <c r="U1172" s="38"/>
      <c r="V1172" s="38"/>
      <c r="W1172" s="38"/>
      <c r="X1172" s="38"/>
      <c r="Y1172" s="38"/>
      <c r="Z1172" s="38"/>
    </row>
    <row r="1173" spans="5:28" ht="33" customHeight="1">
      <c r="K1173" s="38"/>
      <c r="L1173" s="38"/>
      <c r="M1173" s="38"/>
      <c r="N1173" s="38"/>
      <c r="O1173" s="38"/>
      <c r="P1173" s="38"/>
      <c r="Q1173" s="38"/>
      <c r="R1173" s="38"/>
      <c r="S1173" s="38"/>
      <c r="T1173" s="38"/>
      <c r="U1173" s="38"/>
      <c r="V1173" s="38"/>
      <c r="W1173" s="38"/>
      <c r="X1173" s="38"/>
      <c r="Y1173" s="38"/>
      <c r="Z1173" s="38"/>
    </row>
    <row r="1174" spans="5:28" ht="33" customHeight="1">
      <c r="K1174" s="38"/>
      <c r="L1174" s="38"/>
      <c r="M1174" s="38"/>
      <c r="N1174" s="38"/>
      <c r="O1174" s="38"/>
      <c r="P1174" s="38"/>
      <c r="Q1174" s="38"/>
      <c r="R1174" s="38"/>
      <c r="S1174" s="38"/>
      <c r="T1174" s="38"/>
      <c r="U1174" s="38"/>
      <c r="V1174" s="38"/>
      <c r="W1174" s="38"/>
      <c r="X1174" s="38"/>
      <c r="Y1174" s="38"/>
      <c r="Z1174" s="38"/>
    </row>
    <row r="1175" spans="5:28" ht="33" customHeight="1">
      <c r="K1175" s="38"/>
      <c r="L1175" s="38"/>
      <c r="M1175" s="38"/>
      <c r="N1175" s="38"/>
      <c r="O1175" s="38"/>
      <c r="P1175" s="38"/>
      <c r="Q1175" s="38"/>
      <c r="R1175" s="38"/>
      <c r="S1175" s="38"/>
      <c r="T1175" s="38"/>
      <c r="U1175" s="38"/>
      <c r="V1175" s="38"/>
      <c r="W1175" s="38"/>
      <c r="X1175" s="38"/>
      <c r="Y1175" s="38"/>
      <c r="Z1175" s="38"/>
    </row>
    <row r="1176" spans="5:28" ht="33" customHeight="1">
      <c r="K1176" s="38"/>
      <c r="L1176" s="38"/>
      <c r="M1176" s="38"/>
      <c r="N1176" s="38"/>
      <c r="O1176" s="38"/>
      <c r="P1176" s="38"/>
      <c r="Q1176" s="38"/>
      <c r="R1176" s="38"/>
      <c r="S1176" s="38"/>
      <c r="T1176" s="38"/>
      <c r="U1176" s="38"/>
      <c r="V1176" s="38"/>
      <c r="W1176" s="38"/>
      <c r="X1176" s="38"/>
      <c r="Y1176" s="38"/>
      <c r="Z1176" s="38"/>
    </row>
    <row r="1177" spans="5:28" ht="33" customHeight="1">
      <c r="K1177" s="38"/>
      <c r="L1177" s="38"/>
      <c r="M1177" s="38"/>
      <c r="N1177" s="38"/>
      <c r="O1177" s="38"/>
      <c r="P1177" s="38"/>
      <c r="Q1177" s="38"/>
      <c r="R1177" s="38"/>
      <c r="S1177" s="38"/>
      <c r="T1177" s="38"/>
      <c r="U1177" s="38"/>
      <c r="V1177" s="38"/>
      <c r="W1177" s="38"/>
      <c r="X1177" s="38"/>
      <c r="Y1177" s="38"/>
      <c r="Z1177" s="38"/>
    </row>
    <row r="1178" spans="5:28" ht="33" customHeight="1">
      <c r="K1178" s="38"/>
      <c r="L1178" s="38"/>
      <c r="M1178" s="38"/>
      <c r="N1178" s="38"/>
      <c r="O1178" s="38"/>
      <c r="P1178" s="38"/>
      <c r="Q1178" s="38"/>
      <c r="R1178" s="38"/>
      <c r="S1178" s="38"/>
      <c r="T1178" s="38"/>
      <c r="U1178" s="38"/>
      <c r="V1178" s="38"/>
      <c r="W1178" s="38"/>
      <c r="X1178" s="38"/>
      <c r="Y1178" s="38"/>
      <c r="Z1178" s="38"/>
    </row>
    <row r="1179" spans="5:28" ht="33" customHeight="1">
      <c r="K1179" s="38"/>
      <c r="L1179" s="38"/>
      <c r="M1179" s="38"/>
      <c r="N1179" s="38"/>
      <c r="O1179" s="38"/>
      <c r="P1179" s="38"/>
      <c r="Q1179" s="38"/>
      <c r="R1179" s="38"/>
      <c r="S1179" s="38"/>
      <c r="T1179" s="38"/>
      <c r="U1179" s="38"/>
      <c r="V1179" s="38"/>
      <c r="W1179" s="38"/>
      <c r="X1179" s="38"/>
      <c r="Y1179" s="38"/>
      <c r="Z1179" s="38"/>
    </row>
    <row r="1180" spans="5:28" ht="33" customHeight="1">
      <c r="K1180" s="38"/>
      <c r="L1180" s="38"/>
      <c r="M1180" s="38"/>
      <c r="N1180" s="38"/>
      <c r="O1180" s="38"/>
      <c r="P1180" s="38"/>
      <c r="Q1180" s="38"/>
      <c r="R1180" s="38"/>
      <c r="S1180" s="38"/>
      <c r="T1180" s="38"/>
      <c r="U1180" s="38"/>
      <c r="V1180" s="38"/>
      <c r="W1180" s="38"/>
      <c r="X1180" s="38"/>
      <c r="Y1180" s="38"/>
      <c r="Z1180" s="38"/>
    </row>
    <row r="1181" spans="5:28" ht="33" customHeight="1">
      <c r="K1181" s="38"/>
      <c r="L1181" s="38"/>
      <c r="M1181" s="38"/>
      <c r="N1181" s="38"/>
      <c r="O1181" s="38"/>
      <c r="P1181" s="38"/>
      <c r="Q1181" s="38"/>
      <c r="R1181" s="38"/>
      <c r="S1181" s="38"/>
      <c r="T1181" s="38"/>
      <c r="U1181" s="38"/>
      <c r="V1181" s="38"/>
      <c r="W1181" s="38"/>
      <c r="X1181" s="38"/>
      <c r="Y1181" s="38"/>
      <c r="Z1181" s="38"/>
    </row>
    <row r="1182" spans="5:28" ht="33" customHeight="1">
      <c r="K1182" s="38"/>
      <c r="L1182" s="38"/>
      <c r="M1182" s="38"/>
      <c r="N1182" s="38"/>
      <c r="O1182" s="38"/>
      <c r="P1182" s="38"/>
      <c r="Q1182" s="38"/>
      <c r="R1182" s="38"/>
      <c r="S1182" s="38"/>
      <c r="T1182" s="38"/>
      <c r="U1182" s="38"/>
      <c r="V1182" s="38"/>
      <c r="W1182" s="38"/>
      <c r="X1182" s="38"/>
      <c r="Y1182" s="38"/>
      <c r="Z1182" s="38"/>
    </row>
    <row r="1183" spans="5:28" ht="33" customHeight="1">
      <c r="K1183" s="38"/>
      <c r="L1183" s="38"/>
      <c r="M1183" s="38"/>
      <c r="N1183" s="38"/>
      <c r="O1183" s="38"/>
      <c r="P1183" s="38"/>
      <c r="Q1183" s="38"/>
      <c r="R1183" s="38"/>
      <c r="S1183" s="38"/>
      <c r="T1183" s="38"/>
      <c r="U1183" s="38"/>
      <c r="V1183" s="38"/>
      <c r="W1183" s="38"/>
      <c r="X1183" s="38"/>
      <c r="Y1183" s="38"/>
      <c r="Z1183" s="38"/>
    </row>
    <row r="1184" spans="5:28" ht="33" customHeight="1">
      <c r="K1184" s="38"/>
      <c r="L1184" s="38"/>
      <c r="M1184" s="38"/>
      <c r="N1184" s="38"/>
      <c r="O1184" s="38"/>
      <c r="P1184" s="38"/>
      <c r="Q1184" s="38"/>
      <c r="R1184" s="38"/>
      <c r="S1184" s="38"/>
      <c r="T1184" s="38"/>
      <c r="U1184" s="38"/>
      <c r="V1184" s="38"/>
      <c r="W1184" s="38"/>
      <c r="X1184" s="38"/>
      <c r="Y1184" s="38"/>
      <c r="Z1184" s="38"/>
    </row>
    <row r="1185" spans="11:26" ht="33" customHeight="1">
      <c r="K1185" s="38"/>
      <c r="L1185" s="38"/>
      <c r="M1185" s="38"/>
      <c r="N1185" s="38"/>
      <c r="O1185" s="38"/>
      <c r="P1185" s="38"/>
      <c r="Q1185" s="38"/>
      <c r="R1185" s="38"/>
      <c r="S1185" s="38"/>
      <c r="T1185" s="38"/>
      <c r="U1185" s="38"/>
      <c r="V1185" s="38"/>
      <c r="W1185" s="38"/>
      <c r="X1185" s="38"/>
      <c r="Y1185" s="38"/>
      <c r="Z1185" s="38"/>
    </row>
    <row r="1186" spans="11:26" ht="33" customHeight="1">
      <c r="K1186" s="38"/>
      <c r="L1186" s="38"/>
      <c r="M1186" s="38"/>
      <c r="N1186" s="38"/>
      <c r="O1186" s="38"/>
      <c r="P1186" s="38"/>
      <c r="Q1186" s="38"/>
      <c r="R1186" s="38"/>
      <c r="S1186" s="38"/>
      <c r="T1186" s="38"/>
      <c r="U1186" s="38"/>
      <c r="V1186" s="38"/>
      <c r="W1186" s="38"/>
      <c r="X1186" s="38"/>
      <c r="Y1186" s="38"/>
      <c r="Z1186" s="38"/>
    </row>
    <row r="1187" spans="11:26" ht="33" customHeight="1">
      <c r="K1187" s="38"/>
      <c r="L1187" s="38"/>
      <c r="M1187" s="38"/>
      <c r="N1187" s="38"/>
      <c r="O1187" s="38"/>
      <c r="P1187" s="38"/>
      <c r="Q1187" s="38"/>
      <c r="R1187" s="38"/>
      <c r="S1187" s="38"/>
      <c r="T1187" s="38"/>
      <c r="U1187" s="38"/>
      <c r="V1187" s="38"/>
      <c r="W1187" s="38"/>
      <c r="X1187" s="38"/>
      <c r="Y1187" s="38"/>
      <c r="Z1187" s="38"/>
    </row>
    <row r="1188" spans="11:26" ht="33" customHeight="1">
      <c r="K1188" s="38"/>
      <c r="L1188" s="38"/>
      <c r="M1188" s="38"/>
      <c r="N1188" s="38"/>
      <c r="O1188" s="38"/>
      <c r="P1188" s="38"/>
      <c r="Q1188" s="38"/>
      <c r="R1188" s="38"/>
      <c r="S1188" s="38"/>
      <c r="T1188" s="38"/>
      <c r="U1188" s="38"/>
      <c r="V1188" s="38"/>
      <c r="W1188" s="38"/>
      <c r="X1188" s="38"/>
      <c r="Y1188" s="38"/>
      <c r="Z1188" s="38"/>
    </row>
    <row r="1189" spans="11:26" ht="33" customHeight="1">
      <c r="K1189" s="38"/>
      <c r="L1189" s="38"/>
      <c r="M1189" s="38"/>
      <c r="N1189" s="38"/>
      <c r="O1189" s="38"/>
      <c r="P1189" s="38"/>
      <c r="Q1189" s="38"/>
      <c r="R1189" s="38"/>
      <c r="S1189" s="38"/>
      <c r="T1189" s="38"/>
      <c r="U1189" s="38"/>
      <c r="V1189" s="38"/>
      <c r="W1189" s="38"/>
      <c r="X1189" s="38"/>
      <c r="Y1189" s="38"/>
      <c r="Z1189" s="38"/>
    </row>
    <row r="1190" spans="11:26" ht="33" customHeight="1">
      <c r="K1190" s="38"/>
      <c r="L1190" s="38"/>
      <c r="M1190" s="38"/>
      <c r="N1190" s="38"/>
      <c r="O1190" s="38"/>
      <c r="P1190" s="38"/>
      <c r="Q1190" s="38"/>
      <c r="R1190" s="38"/>
      <c r="S1190" s="38"/>
      <c r="T1190" s="38"/>
      <c r="U1190" s="38"/>
      <c r="V1190" s="38"/>
      <c r="W1190" s="38"/>
      <c r="X1190" s="38"/>
      <c r="Y1190" s="38"/>
      <c r="Z1190" s="38"/>
    </row>
    <row r="1191" spans="11:26" ht="33" customHeight="1">
      <c r="K1191" s="38"/>
      <c r="L1191" s="38"/>
      <c r="M1191" s="38"/>
      <c r="N1191" s="38"/>
      <c r="O1191" s="38"/>
      <c r="P1191" s="38"/>
      <c r="Q1191" s="38"/>
      <c r="R1191" s="38"/>
      <c r="S1191" s="38"/>
      <c r="T1191" s="38"/>
      <c r="U1191" s="38"/>
      <c r="V1191" s="38"/>
      <c r="W1191" s="38"/>
      <c r="X1191" s="38"/>
      <c r="Y1191" s="38"/>
      <c r="Z1191" s="38"/>
    </row>
    <row r="1192" spans="11:26" ht="33" customHeight="1">
      <c r="K1192" s="38"/>
      <c r="L1192" s="38"/>
      <c r="M1192" s="38"/>
      <c r="N1192" s="38"/>
      <c r="O1192" s="38"/>
      <c r="P1192" s="38"/>
      <c r="Q1192" s="38"/>
      <c r="R1192" s="38"/>
      <c r="S1192" s="38"/>
      <c r="T1192" s="38"/>
      <c r="U1192" s="38"/>
      <c r="V1192" s="38"/>
      <c r="W1192" s="38"/>
      <c r="X1192" s="38"/>
      <c r="Y1192" s="38"/>
      <c r="Z1192" s="38"/>
    </row>
    <row r="1193" spans="11:26" ht="33" customHeight="1">
      <c r="K1193" s="38"/>
      <c r="L1193" s="38"/>
      <c r="M1193" s="38"/>
      <c r="N1193" s="38"/>
      <c r="O1193" s="38"/>
      <c r="P1193" s="38"/>
      <c r="Q1193" s="38"/>
      <c r="R1193" s="38"/>
      <c r="S1193" s="38"/>
      <c r="T1193" s="38"/>
      <c r="U1193" s="38"/>
      <c r="V1193" s="38"/>
      <c r="W1193" s="38"/>
      <c r="X1193" s="38"/>
      <c r="Y1193" s="38"/>
      <c r="Z1193" s="38"/>
    </row>
    <row r="1194" spans="11:26" ht="33" customHeight="1">
      <c r="K1194" s="38"/>
      <c r="L1194" s="38"/>
      <c r="M1194" s="38"/>
      <c r="N1194" s="38"/>
      <c r="O1194" s="38"/>
      <c r="P1194" s="38"/>
      <c r="Q1194" s="38"/>
      <c r="R1194" s="38"/>
      <c r="S1194" s="38"/>
      <c r="T1194" s="38"/>
      <c r="U1194" s="38"/>
      <c r="V1194" s="38"/>
      <c r="W1194" s="38"/>
      <c r="X1194" s="38"/>
      <c r="Y1194" s="38"/>
      <c r="Z1194" s="38"/>
    </row>
    <row r="1195" spans="11:26" ht="33" customHeight="1">
      <c r="K1195" s="38"/>
      <c r="L1195" s="38"/>
      <c r="M1195" s="38"/>
      <c r="N1195" s="38"/>
      <c r="O1195" s="38"/>
      <c r="P1195" s="38"/>
      <c r="Q1195" s="38"/>
      <c r="R1195" s="38"/>
      <c r="S1195" s="38"/>
      <c r="T1195" s="38"/>
      <c r="U1195" s="38"/>
      <c r="V1195" s="38"/>
      <c r="W1195" s="38"/>
      <c r="X1195" s="38"/>
      <c r="Y1195" s="38"/>
      <c r="Z1195" s="38"/>
    </row>
    <row r="1196" spans="11:26" ht="33" customHeight="1">
      <c r="K1196" s="38"/>
      <c r="L1196" s="38"/>
      <c r="M1196" s="38"/>
      <c r="N1196" s="38"/>
      <c r="O1196" s="38"/>
      <c r="P1196" s="38"/>
      <c r="Q1196" s="38"/>
      <c r="R1196" s="38"/>
      <c r="S1196" s="38"/>
      <c r="T1196" s="38"/>
      <c r="U1196" s="38"/>
      <c r="V1196" s="38"/>
      <c r="W1196" s="38"/>
      <c r="X1196" s="38"/>
      <c r="Y1196" s="38"/>
      <c r="Z1196" s="38"/>
    </row>
    <row r="1197" spans="11:26" ht="33" customHeight="1">
      <c r="K1197" s="38"/>
      <c r="L1197" s="38"/>
      <c r="M1197" s="38"/>
      <c r="N1197" s="38"/>
      <c r="O1197" s="38"/>
      <c r="P1197" s="38"/>
      <c r="Q1197" s="38"/>
      <c r="R1197" s="38"/>
      <c r="S1197" s="38"/>
      <c r="T1197" s="38"/>
      <c r="U1197" s="38"/>
      <c r="V1197" s="38"/>
      <c r="W1197" s="38"/>
      <c r="X1197" s="38"/>
      <c r="Y1197" s="38"/>
      <c r="Z1197" s="38"/>
    </row>
    <row r="1198" spans="11:26" ht="33" customHeight="1">
      <c r="K1198" s="38"/>
      <c r="L1198" s="38"/>
      <c r="M1198" s="38"/>
      <c r="N1198" s="38"/>
      <c r="O1198" s="38"/>
      <c r="P1198" s="38"/>
      <c r="Q1198" s="38"/>
      <c r="R1198" s="38"/>
      <c r="S1198" s="38"/>
      <c r="T1198" s="38"/>
      <c r="U1198" s="38"/>
      <c r="V1198" s="38"/>
      <c r="W1198" s="38"/>
      <c r="X1198" s="38"/>
      <c r="Y1198" s="38"/>
      <c r="Z1198" s="38"/>
    </row>
    <row r="1199" spans="11:26" ht="33" customHeight="1">
      <c r="K1199" s="38"/>
      <c r="L1199" s="38"/>
      <c r="M1199" s="38"/>
      <c r="N1199" s="38"/>
      <c r="O1199" s="38"/>
      <c r="P1199" s="38"/>
      <c r="Q1199" s="38"/>
      <c r="R1199" s="38"/>
      <c r="S1199" s="38"/>
      <c r="T1199" s="38"/>
      <c r="U1199" s="38"/>
      <c r="V1199" s="38"/>
      <c r="W1199" s="38"/>
      <c r="X1199" s="38"/>
      <c r="Y1199" s="38"/>
      <c r="Z1199" s="38"/>
    </row>
    <row r="1200" spans="11:26" ht="33" customHeight="1">
      <c r="K1200" s="38"/>
      <c r="L1200" s="38"/>
      <c r="M1200" s="38"/>
      <c r="N1200" s="38"/>
      <c r="O1200" s="38"/>
      <c r="P1200" s="38"/>
      <c r="Q1200" s="38"/>
      <c r="R1200" s="38"/>
      <c r="S1200" s="38"/>
      <c r="T1200" s="38"/>
      <c r="U1200" s="38"/>
      <c r="V1200" s="38"/>
      <c r="W1200" s="38"/>
      <c r="X1200" s="38"/>
      <c r="Y1200" s="38"/>
      <c r="Z1200" s="38"/>
    </row>
    <row r="1201" spans="11:26" ht="33" customHeight="1">
      <c r="K1201" s="38"/>
      <c r="L1201" s="38"/>
      <c r="M1201" s="38"/>
      <c r="N1201" s="38"/>
      <c r="O1201" s="38"/>
      <c r="P1201" s="38"/>
      <c r="Q1201" s="38"/>
      <c r="R1201" s="38"/>
      <c r="S1201" s="38"/>
      <c r="T1201" s="38"/>
      <c r="U1201" s="38"/>
      <c r="V1201" s="38"/>
      <c r="W1201" s="38"/>
      <c r="X1201" s="38"/>
      <c r="Y1201" s="38"/>
      <c r="Z1201" s="38"/>
    </row>
    <row r="1202" spans="11:26" ht="33" customHeight="1">
      <c r="K1202" s="38"/>
      <c r="L1202" s="38"/>
      <c r="M1202" s="38"/>
      <c r="N1202" s="38"/>
      <c r="O1202" s="38"/>
      <c r="P1202" s="38"/>
      <c r="Q1202" s="38"/>
      <c r="R1202" s="38"/>
      <c r="S1202" s="38"/>
      <c r="T1202" s="38"/>
      <c r="U1202" s="38"/>
      <c r="V1202" s="38"/>
      <c r="W1202" s="38"/>
      <c r="X1202" s="38"/>
      <c r="Y1202" s="38"/>
      <c r="Z1202" s="38"/>
    </row>
    <row r="1203" spans="11:26" ht="33" customHeight="1">
      <c r="K1203" s="38"/>
      <c r="L1203" s="38"/>
      <c r="M1203" s="38"/>
      <c r="N1203" s="38"/>
      <c r="O1203" s="38"/>
      <c r="P1203" s="38"/>
      <c r="Q1203" s="38"/>
      <c r="R1203" s="38"/>
      <c r="S1203" s="38"/>
      <c r="T1203" s="38"/>
      <c r="U1203" s="38"/>
      <c r="V1203" s="38"/>
      <c r="W1203" s="38"/>
      <c r="X1203" s="38"/>
      <c r="Y1203" s="38"/>
      <c r="Z1203" s="38"/>
    </row>
    <row r="1204" spans="11:26" ht="33" customHeight="1">
      <c r="K1204" s="38"/>
      <c r="L1204" s="38"/>
      <c r="M1204" s="38"/>
      <c r="N1204" s="38"/>
      <c r="O1204" s="38"/>
      <c r="P1204" s="38"/>
      <c r="Q1204" s="38"/>
      <c r="R1204" s="38"/>
      <c r="S1204" s="38"/>
      <c r="T1204" s="38"/>
      <c r="U1204" s="38"/>
      <c r="V1204" s="38"/>
      <c r="W1204" s="38"/>
      <c r="X1204" s="38"/>
      <c r="Y1204" s="38"/>
      <c r="Z1204" s="38"/>
    </row>
    <row r="1205" spans="11:26" ht="33" customHeight="1">
      <c r="K1205" s="38"/>
      <c r="L1205" s="38"/>
      <c r="M1205" s="38"/>
      <c r="N1205" s="38"/>
      <c r="O1205" s="38"/>
      <c r="P1205" s="38"/>
      <c r="Q1205" s="38"/>
      <c r="R1205" s="38"/>
      <c r="S1205" s="38"/>
      <c r="T1205" s="38"/>
      <c r="U1205" s="38"/>
      <c r="V1205" s="38"/>
      <c r="W1205" s="38"/>
      <c r="X1205" s="38"/>
      <c r="Y1205" s="38"/>
      <c r="Z1205" s="38"/>
    </row>
    <row r="1206" spans="11:26" ht="33" customHeight="1">
      <c r="K1206" s="38"/>
      <c r="L1206" s="38"/>
      <c r="M1206" s="38"/>
      <c r="N1206" s="38"/>
      <c r="O1206" s="38"/>
      <c r="P1206" s="38"/>
      <c r="Q1206" s="38"/>
      <c r="R1206" s="38"/>
      <c r="S1206" s="38"/>
      <c r="T1206" s="38"/>
      <c r="U1206" s="38"/>
      <c r="V1206" s="38"/>
      <c r="W1206" s="38"/>
      <c r="X1206" s="38"/>
      <c r="Y1206" s="38"/>
      <c r="Z1206" s="38"/>
    </row>
    <row r="1207" spans="11:26" ht="33" customHeight="1">
      <c r="K1207" s="38"/>
      <c r="L1207" s="38"/>
      <c r="M1207" s="38"/>
      <c r="N1207" s="38"/>
      <c r="O1207" s="38"/>
      <c r="P1207" s="38"/>
      <c r="Q1207" s="38"/>
      <c r="R1207" s="38"/>
      <c r="S1207" s="38"/>
      <c r="T1207" s="38"/>
      <c r="U1207" s="38"/>
      <c r="V1207" s="38"/>
      <c r="W1207" s="38"/>
      <c r="X1207" s="38"/>
      <c r="Y1207" s="38"/>
      <c r="Z1207" s="38"/>
    </row>
    <row r="1208" spans="11:26" ht="33" customHeight="1">
      <c r="K1208" s="38"/>
      <c r="L1208" s="38"/>
      <c r="M1208" s="38"/>
      <c r="N1208" s="38"/>
      <c r="O1208" s="38"/>
      <c r="P1208" s="38"/>
      <c r="Q1208" s="38"/>
      <c r="R1208" s="38"/>
      <c r="S1208" s="38"/>
      <c r="T1208" s="38"/>
      <c r="U1208" s="38"/>
      <c r="V1208" s="38"/>
      <c r="W1208" s="38"/>
      <c r="X1208" s="38"/>
      <c r="Y1208" s="38"/>
      <c r="Z1208" s="38"/>
    </row>
    <row r="1209" spans="11:26" ht="33" customHeight="1">
      <c r="K1209" s="38"/>
      <c r="L1209" s="38"/>
      <c r="M1209" s="38"/>
      <c r="N1209" s="38"/>
      <c r="O1209" s="38"/>
      <c r="P1209" s="38"/>
      <c r="Q1209" s="38"/>
      <c r="R1209" s="38"/>
      <c r="S1209" s="38"/>
      <c r="T1209" s="38"/>
      <c r="U1209" s="38"/>
      <c r="V1209" s="38"/>
      <c r="W1209" s="38"/>
      <c r="X1209" s="38"/>
      <c r="Y1209" s="38"/>
      <c r="Z1209" s="38"/>
    </row>
    <row r="1210" spans="11:26" ht="33" customHeight="1">
      <c r="K1210" s="38"/>
      <c r="L1210" s="38"/>
      <c r="M1210" s="38"/>
      <c r="N1210" s="38"/>
      <c r="O1210" s="38"/>
      <c r="P1210" s="38"/>
      <c r="Q1210" s="38"/>
      <c r="R1210" s="38"/>
      <c r="S1210" s="38"/>
      <c r="T1210" s="38"/>
      <c r="U1210" s="38"/>
      <c r="V1210" s="38"/>
      <c r="W1210" s="38"/>
      <c r="X1210" s="38"/>
      <c r="Y1210" s="38"/>
      <c r="Z1210" s="38"/>
    </row>
    <row r="1211" spans="11:26" ht="33" customHeight="1">
      <c r="K1211" s="38"/>
      <c r="L1211" s="38"/>
      <c r="M1211" s="38"/>
      <c r="N1211" s="38"/>
      <c r="O1211" s="38"/>
      <c r="P1211" s="38"/>
      <c r="Q1211" s="38"/>
      <c r="R1211" s="38"/>
      <c r="S1211" s="38"/>
      <c r="T1211" s="38"/>
      <c r="U1211" s="38"/>
      <c r="V1211" s="38"/>
      <c r="W1211" s="38"/>
      <c r="X1211" s="38"/>
      <c r="Y1211" s="38"/>
      <c r="Z1211" s="38"/>
    </row>
    <row r="1212" spans="11:26" ht="33" customHeight="1">
      <c r="K1212" s="38"/>
      <c r="L1212" s="38"/>
      <c r="M1212" s="38"/>
      <c r="N1212" s="38"/>
      <c r="O1212" s="38"/>
      <c r="P1212" s="38"/>
      <c r="Q1212" s="38"/>
      <c r="R1212" s="38"/>
      <c r="S1212" s="38"/>
      <c r="T1212" s="38"/>
      <c r="U1212" s="38"/>
      <c r="V1212" s="38"/>
      <c r="W1212" s="38"/>
      <c r="X1212" s="38"/>
      <c r="Y1212" s="38"/>
      <c r="Z1212" s="38"/>
    </row>
    <row r="1213" spans="11:26" ht="33" customHeight="1">
      <c r="K1213" s="38"/>
      <c r="L1213" s="38"/>
      <c r="M1213" s="38"/>
      <c r="N1213" s="38"/>
      <c r="O1213" s="38"/>
      <c r="P1213" s="38"/>
      <c r="Q1213" s="38"/>
      <c r="R1213" s="38"/>
      <c r="S1213" s="38"/>
      <c r="T1213" s="38"/>
      <c r="U1213" s="38"/>
      <c r="V1213" s="38"/>
      <c r="W1213" s="38"/>
      <c r="X1213" s="38"/>
      <c r="Y1213" s="38"/>
      <c r="Z1213" s="38"/>
    </row>
    <row r="1214" spans="11:26" ht="33" customHeight="1">
      <c r="K1214" s="38"/>
      <c r="L1214" s="38"/>
      <c r="M1214" s="38"/>
      <c r="N1214" s="38"/>
      <c r="O1214" s="38"/>
      <c r="P1214" s="38"/>
      <c r="Q1214" s="38"/>
      <c r="R1214" s="38"/>
      <c r="S1214" s="38"/>
      <c r="T1214" s="38"/>
      <c r="U1214" s="38"/>
      <c r="V1214" s="38"/>
      <c r="W1214" s="38"/>
      <c r="X1214" s="38"/>
      <c r="Y1214" s="38"/>
      <c r="Z1214" s="38"/>
    </row>
    <row r="1215" spans="11:26" ht="33" customHeight="1">
      <c r="K1215" s="38"/>
      <c r="L1215" s="38"/>
      <c r="M1215" s="38"/>
      <c r="N1215" s="38"/>
      <c r="O1215" s="38"/>
      <c r="P1215" s="38"/>
      <c r="Q1215" s="38"/>
      <c r="R1215" s="38"/>
      <c r="S1215" s="38"/>
      <c r="T1215" s="38"/>
      <c r="U1215" s="38"/>
      <c r="V1215" s="38"/>
      <c r="W1215" s="38"/>
      <c r="X1215" s="38"/>
      <c r="Y1215" s="38"/>
      <c r="Z1215" s="38"/>
    </row>
    <row r="1216" spans="11:26" ht="33" customHeight="1">
      <c r="K1216" s="38"/>
      <c r="L1216" s="38"/>
      <c r="M1216" s="38"/>
      <c r="N1216" s="38"/>
      <c r="O1216" s="38"/>
      <c r="P1216" s="38"/>
      <c r="Q1216" s="38"/>
      <c r="R1216" s="38"/>
      <c r="S1216" s="38"/>
      <c r="T1216" s="38"/>
      <c r="U1216" s="38"/>
      <c r="V1216" s="38"/>
      <c r="W1216" s="38"/>
      <c r="X1216" s="38"/>
      <c r="Y1216" s="38"/>
      <c r="Z1216" s="38"/>
    </row>
    <row r="1217" spans="11:26" ht="33" customHeight="1">
      <c r="K1217" s="38"/>
      <c r="L1217" s="38"/>
      <c r="M1217" s="38"/>
      <c r="N1217" s="38"/>
      <c r="O1217" s="38"/>
      <c r="P1217" s="38"/>
      <c r="Q1217" s="38"/>
      <c r="R1217" s="38"/>
      <c r="S1217" s="38"/>
      <c r="T1217" s="38"/>
      <c r="U1217" s="38"/>
      <c r="V1217" s="38"/>
      <c r="W1217" s="38"/>
      <c r="X1217" s="38"/>
      <c r="Y1217" s="38"/>
      <c r="Z1217" s="38"/>
    </row>
    <row r="1218" spans="11:26" ht="33" customHeight="1">
      <c r="K1218" s="38"/>
      <c r="L1218" s="38"/>
      <c r="M1218" s="38"/>
      <c r="N1218" s="38"/>
      <c r="O1218" s="38"/>
      <c r="P1218" s="38"/>
      <c r="Q1218" s="38"/>
      <c r="R1218" s="38"/>
      <c r="S1218" s="38"/>
      <c r="T1218" s="38"/>
      <c r="U1218" s="38"/>
      <c r="V1218" s="38"/>
      <c r="W1218" s="38"/>
      <c r="X1218" s="38"/>
      <c r="Y1218" s="38"/>
      <c r="Z1218" s="38"/>
    </row>
  </sheetData>
  <sheetProtection password="EF73" sheet="1" objects="1" scenarios="1" autoFilter="0"/>
  <protectedRanges>
    <protectedRange sqref="AM6:AO8" name="Range7"/>
    <protectedRange sqref="F11:F36" name="Range4"/>
    <protectedRange sqref="U5 D8" name="Range5"/>
    <protectedRange sqref="G10" name="Range1"/>
    <protectedRange sqref="I5" name="Range3"/>
    <protectedRange sqref="AR4" name="Range6"/>
  </protectedRanges>
  <autoFilter ref="E10:E1171"/>
  <dataConsolidate/>
  <customSheetViews>
    <customSheetView guid="{D786A5C0-FBC0-4F24-9F75-D436CA99DC6C}" scale="70" showGridLines="0" zeroValues="0" showAutoFilter="1" hiddenRows="1" hiddenColumns="1" topLeftCell="F38">
      <selection activeCell="L42" sqref="L42"/>
      <pageMargins left="0.70866141732283472" right="0.70866141732283472" top="0.81" bottom="0.74803149606299213" header="0.31496062992125984" footer="0.31496062992125984"/>
      <pageSetup paperSize="9" fitToWidth="0" fitToHeight="0" orientation="landscape" r:id="rId1"/>
      <autoFilter ref="E10:E1171"/>
    </customSheetView>
    <customSheetView guid="{257D8C62-BEC4-42F5-9011-98FE74A056C5}" scale="71" showGridLines="0" zeroValues="0" showAutoFilter="1" hiddenRows="1" hiddenColumns="1" topLeftCell="C4">
      <selection activeCell="G27" sqref="G27"/>
      <autoFilter ref="B1:K1"/>
    </customSheetView>
    <customSheetView guid="{998369C8-AF8D-4C69-81C1-DF462985F742}" scale="75" zeroValues="0" filter="1" showAutoFilter="1" hiddenRows="1" hiddenColumns="1" topLeftCell="C3">
      <pane ySplit="1" topLeftCell="A7" activePane="bottomLeft" state="frozen"/>
      <selection pane="bottomLeft" activeCell="E29" sqref="E29"/>
      <rowBreaks count="1" manualBreakCount="1">
        <brk id="37" max="16383" man="1"/>
      </rowBreaks>
      <pageMargins left="0.70866141732283472" right="0.70866141732283472" top="0.55118110236220474" bottom="0.74803149606299213" header="0.31496062992125984" footer="0.31496062992125984"/>
      <pageSetup paperSize="9" scale="70" orientation="landscape" r:id="rId2"/>
      <autoFilter ref="B1">
        <filterColumn colId="0">
          <customFilters>
            <customFilter operator="notEqual" val=" "/>
          </customFilters>
        </filterColumn>
      </autoFilter>
    </customSheetView>
  </customSheetViews>
  <mergeCells count="9">
    <mergeCell ref="AN8:AO8"/>
    <mergeCell ref="AN7:AO7"/>
    <mergeCell ref="AN6:AO6"/>
    <mergeCell ref="G54:K54"/>
    <mergeCell ref="G56:K56"/>
    <mergeCell ref="G55:K55"/>
    <mergeCell ref="J50:K50"/>
    <mergeCell ref="I4:J4"/>
    <mergeCell ref="E8:G8"/>
  </mergeCells>
  <conditionalFormatting sqref="C10:J10">
    <cfRule type="iconSet" priority="14">
      <iconSet iconSet="4TrafficLights">
        <cfvo type="percent" val="0"/>
        <cfvo type="percent" val="25"/>
        <cfvo type="percent" val="50"/>
        <cfvo type="percent" val="75"/>
      </iconSet>
    </cfRule>
  </conditionalFormatting>
  <conditionalFormatting sqref="C10:J10">
    <cfRule type="iconSet" priority="13">
      <iconSet iconSet="3Symbols2">
        <cfvo type="percent" val="0"/>
        <cfvo type="percent" val="33"/>
        <cfvo type="percent" val="67"/>
      </iconSet>
    </cfRule>
  </conditionalFormatting>
  <conditionalFormatting sqref="C10:J10">
    <cfRule type="iconSet" priority="12">
      <iconSet iconSet="3Symbols2">
        <cfvo type="percent" val="0"/>
        <cfvo type="num" val="0"/>
        <cfvo type="num" val="0" gte="0"/>
      </iconSet>
    </cfRule>
  </conditionalFormatting>
  <dataValidations disablePrompts="1" count="1">
    <dataValidation allowBlank="1" showInputMessage="1" showErrorMessage="1" promptTitle="الفلتــــــر" prompt="أختار القيم الأكبر من صفر" sqref="E10:F10"/>
  </dataValidations>
  <pageMargins left="0.70866141732283472" right="0.70866141732283472" top="0.81" bottom="0.74803149606299213" header="0.31496062992125984" footer="0.31496062992125984"/>
  <pageSetup paperSize="9" fitToWidth="0" fitToHeight="0" orientation="landscape"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E2:J65"/>
  <sheetViews>
    <sheetView showGridLines="0" showZeros="0" rightToLeft="1" topLeftCell="C1" workbookViewId="0">
      <selection activeCell="L15" sqref="L15"/>
    </sheetView>
  </sheetViews>
  <sheetFormatPr defaultRowHeight="15"/>
  <cols>
    <col min="5" max="5" width="16.25" customWidth="1"/>
    <col min="6" max="6" width="14.875" customWidth="1"/>
    <col min="8" max="8" width="15.875" customWidth="1"/>
    <col min="9" max="9" width="10.125" bestFit="1" customWidth="1"/>
    <col min="10" max="10" width="18.875" customWidth="1"/>
  </cols>
  <sheetData>
    <row r="2" spans="5:10" ht="15.75" thickBot="1"/>
    <row r="3" spans="5:10" ht="27" thickTop="1" thickBot="1">
      <c r="E3" s="643" t="str">
        <f>'حساب التركة والوصايا'!R2</f>
        <v>حصص الورثة مع الوصايا</v>
      </c>
      <c r="F3" s="1412">
        <f>'حساب التركة والوصايا'!S2</f>
        <v>0</v>
      </c>
      <c r="G3" s="1413"/>
      <c r="H3" s="1413"/>
      <c r="I3" s="1413"/>
      <c r="J3" s="1413"/>
    </row>
    <row r="4" spans="5:10" ht="15.75" thickTop="1"/>
    <row r="5" spans="5:10" ht="15.75" thickBot="1"/>
    <row r="6" spans="5:10" ht="52.5" customHeight="1" thickBot="1">
      <c r="E6" s="963" t="str">
        <f>'حساب التركة والوصايا'!Q17</f>
        <v>أسم الوارث</v>
      </c>
      <c r="F6" s="964" t="str">
        <f>'حساب التركة والوصايا'!R17</f>
        <v>الصفة</v>
      </c>
      <c r="G6" s="965" t="str">
        <f>'حساب التركة والوصايا'!S17</f>
        <v xml:space="preserve">  الفريضة</v>
      </c>
      <c r="H6" s="965" t="str">
        <f>'حساب التركة والوصايا'!T17</f>
        <v>الفريضة بعدالوصية</v>
      </c>
      <c r="I6" s="966" t="str">
        <f>'حساب التركة والوصايا'!U17</f>
        <v>عدد الأسهم</v>
      </c>
      <c r="J6" s="967" t="str">
        <f>'حساب التركة والوصايا'!V17</f>
        <v>النسبة المئوية %</v>
      </c>
    </row>
    <row r="7" spans="5:10" ht="26.25" customHeight="1">
      <c r="E7" s="957"/>
      <c r="F7" s="958">
        <f>'حساب التركة والوصايا'!R18</f>
        <v>0</v>
      </c>
      <c r="G7" s="958">
        <f>'حساب التركة والوصايا'!S18</f>
        <v>0</v>
      </c>
      <c r="H7" s="958">
        <f>'حساب التركة والوصايا'!T18</f>
        <v>0</v>
      </c>
      <c r="I7" s="958">
        <f>'حساب التركة والوصايا'!U18</f>
        <v>0</v>
      </c>
      <c r="J7" s="959">
        <f>'حساب التركة والوصايا'!V18</f>
        <v>0</v>
      </c>
    </row>
    <row r="8" spans="5:10" ht="26.25" customHeight="1">
      <c r="E8" s="957"/>
      <c r="F8" s="958">
        <f>'حساب التركة والوصايا'!R19</f>
        <v>0</v>
      </c>
      <c r="G8" s="958">
        <f>'حساب التركة والوصايا'!S19</f>
        <v>0</v>
      </c>
      <c r="H8" s="958">
        <f>'حساب التركة والوصايا'!T19</f>
        <v>0</v>
      </c>
      <c r="I8" s="958">
        <f>'حساب التركة والوصايا'!U19</f>
        <v>0</v>
      </c>
      <c r="J8" s="959">
        <f>'حساب التركة والوصايا'!V19</f>
        <v>0</v>
      </c>
    </row>
    <row r="9" spans="5:10" ht="26.25" customHeight="1">
      <c r="E9" s="957"/>
      <c r="F9" s="958">
        <f>'حساب التركة والوصايا'!R20</f>
        <v>0</v>
      </c>
      <c r="G9" s="958">
        <f>'حساب التركة والوصايا'!S20</f>
        <v>0</v>
      </c>
      <c r="H9" s="958">
        <f>'حساب التركة والوصايا'!T20</f>
        <v>0</v>
      </c>
      <c r="I9" s="958">
        <f>'حساب التركة والوصايا'!U20</f>
        <v>0</v>
      </c>
      <c r="J9" s="959">
        <f>'حساب التركة والوصايا'!V20</f>
        <v>0</v>
      </c>
    </row>
    <row r="10" spans="5:10" ht="26.25" customHeight="1">
      <c r="E10" s="957"/>
      <c r="F10" s="958">
        <f>'حساب التركة والوصايا'!R21</f>
        <v>0</v>
      </c>
      <c r="G10" s="958">
        <f>'حساب التركة والوصايا'!S21</f>
        <v>0</v>
      </c>
      <c r="H10" s="958">
        <f>'حساب التركة والوصايا'!T21</f>
        <v>0</v>
      </c>
      <c r="I10" s="958">
        <f>'حساب التركة والوصايا'!U21</f>
        <v>0</v>
      </c>
      <c r="J10" s="959">
        <f>'حساب التركة والوصايا'!V21</f>
        <v>0</v>
      </c>
    </row>
    <row r="11" spans="5:10" ht="26.25" customHeight="1">
      <c r="E11" s="957"/>
      <c r="F11" s="958">
        <f>'حساب التركة والوصايا'!R22</f>
        <v>0</v>
      </c>
      <c r="G11" s="958">
        <f>'حساب التركة والوصايا'!S22</f>
        <v>0</v>
      </c>
      <c r="H11" s="958">
        <f>'حساب التركة والوصايا'!T22</f>
        <v>0</v>
      </c>
      <c r="I11" s="958">
        <f>'حساب التركة والوصايا'!U22</f>
        <v>0</v>
      </c>
      <c r="J11" s="959">
        <f>'حساب التركة والوصايا'!V22</f>
        <v>0</v>
      </c>
    </row>
    <row r="12" spans="5:10" ht="26.25" customHeight="1">
      <c r="E12" s="957"/>
      <c r="F12" s="958">
        <f>'حساب التركة والوصايا'!R23</f>
        <v>0</v>
      </c>
      <c r="G12" s="958">
        <f>'حساب التركة والوصايا'!S23</f>
        <v>0</v>
      </c>
      <c r="H12" s="958">
        <f>'حساب التركة والوصايا'!T23</f>
        <v>0</v>
      </c>
      <c r="I12" s="958">
        <f>'حساب التركة والوصايا'!U23</f>
        <v>0</v>
      </c>
      <c r="J12" s="959">
        <f>'حساب التركة والوصايا'!V23</f>
        <v>0</v>
      </c>
    </row>
    <row r="13" spans="5:10" ht="26.25" customHeight="1">
      <c r="E13" s="957"/>
      <c r="F13" s="958">
        <f>'حساب التركة والوصايا'!R24</f>
        <v>0</v>
      </c>
      <c r="G13" s="958">
        <f>'حساب التركة والوصايا'!S24</f>
        <v>0</v>
      </c>
      <c r="H13" s="958">
        <f>'حساب التركة والوصايا'!T24</f>
        <v>0</v>
      </c>
      <c r="I13" s="958">
        <f>'حساب التركة والوصايا'!U24</f>
        <v>0</v>
      </c>
      <c r="J13" s="959">
        <f>'حساب التركة والوصايا'!V24</f>
        <v>0</v>
      </c>
    </row>
    <row r="14" spans="5:10" ht="26.25" customHeight="1">
      <c r="E14" s="957"/>
      <c r="F14" s="958">
        <f>'حساب التركة والوصايا'!R25</f>
        <v>0</v>
      </c>
      <c r="G14" s="958">
        <f>'حساب التركة والوصايا'!S25</f>
        <v>0</v>
      </c>
      <c r="H14" s="958">
        <f>'حساب التركة والوصايا'!T25</f>
        <v>0</v>
      </c>
      <c r="I14" s="958">
        <f>'حساب التركة والوصايا'!U25</f>
        <v>0</v>
      </c>
      <c r="J14" s="959">
        <f>'حساب التركة والوصايا'!V25</f>
        <v>0</v>
      </c>
    </row>
    <row r="15" spans="5:10" ht="26.25" customHeight="1">
      <c r="E15" s="957"/>
      <c r="F15" s="958">
        <f>'حساب التركة والوصايا'!R26</f>
        <v>0</v>
      </c>
      <c r="G15" s="958">
        <f>'حساب التركة والوصايا'!S26</f>
        <v>0</v>
      </c>
      <c r="H15" s="958">
        <f>'حساب التركة والوصايا'!T26</f>
        <v>0</v>
      </c>
      <c r="I15" s="958">
        <f>'حساب التركة والوصايا'!U26</f>
        <v>0</v>
      </c>
      <c r="J15" s="959">
        <f>'حساب التركة والوصايا'!V26</f>
        <v>0</v>
      </c>
    </row>
    <row r="16" spans="5:10" ht="26.25" customHeight="1">
      <c r="E16" s="957"/>
      <c r="F16" s="958">
        <f>'حساب التركة والوصايا'!R27</f>
        <v>0</v>
      </c>
      <c r="G16" s="958">
        <f>'حساب التركة والوصايا'!S27</f>
        <v>0</v>
      </c>
      <c r="H16" s="958">
        <f>'حساب التركة والوصايا'!T27</f>
        <v>0</v>
      </c>
      <c r="I16" s="958">
        <f>'حساب التركة والوصايا'!U27</f>
        <v>0</v>
      </c>
      <c r="J16" s="959">
        <f>'حساب التركة والوصايا'!V27</f>
        <v>0</v>
      </c>
    </row>
    <row r="17" spans="5:10" ht="26.25" customHeight="1">
      <c r="E17" s="957"/>
      <c r="F17" s="958">
        <f>'حساب التركة والوصايا'!R28</f>
        <v>0</v>
      </c>
      <c r="G17" s="958">
        <f>'حساب التركة والوصايا'!S28</f>
        <v>0</v>
      </c>
      <c r="H17" s="958">
        <f>'حساب التركة والوصايا'!T28</f>
        <v>0</v>
      </c>
      <c r="I17" s="958">
        <f>'حساب التركة والوصايا'!U28</f>
        <v>0</v>
      </c>
      <c r="J17" s="959">
        <f>'حساب التركة والوصايا'!V28</f>
        <v>0</v>
      </c>
    </row>
    <row r="18" spans="5:10">
      <c r="E18" s="957"/>
      <c r="F18" s="958">
        <f>'حساب التركة والوصايا'!R29</f>
        <v>0</v>
      </c>
      <c r="G18" s="958">
        <f>'حساب التركة والوصايا'!S29</f>
        <v>0</v>
      </c>
      <c r="H18" s="958">
        <f>'حساب التركة والوصايا'!T29</f>
        <v>0</v>
      </c>
      <c r="I18" s="958">
        <f>'حساب التركة والوصايا'!U29</f>
        <v>0</v>
      </c>
      <c r="J18" s="959">
        <f>'حساب التركة والوصايا'!V29</f>
        <v>0</v>
      </c>
    </row>
    <row r="19" spans="5:10">
      <c r="E19" s="957"/>
      <c r="F19" s="958">
        <f>'حساب التركة والوصايا'!R30</f>
        <v>0</v>
      </c>
      <c r="G19" s="958">
        <f>'حساب التركة والوصايا'!S30</f>
        <v>0</v>
      </c>
      <c r="H19" s="958">
        <f>'حساب التركة والوصايا'!T30</f>
        <v>0</v>
      </c>
      <c r="I19" s="958">
        <f>'حساب التركة والوصايا'!U30</f>
        <v>0</v>
      </c>
      <c r="J19" s="959">
        <f>'حساب التركة والوصايا'!V30</f>
        <v>0</v>
      </c>
    </row>
    <row r="20" spans="5:10">
      <c r="E20" s="957"/>
      <c r="F20" s="958">
        <f>'حساب التركة والوصايا'!R31</f>
        <v>0</v>
      </c>
      <c r="G20" s="958">
        <f>'حساب التركة والوصايا'!S31</f>
        <v>0</v>
      </c>
      <c r="H20" s="958">
        <f>'حساب التركة والوصايا'!T31</f>
        <v>0</v>
      </c>
      <c r="I20" s="958">
        <f>'حساب التركة والوصايا'!U31</f>
        <v>0</v>
      </c>
      <c r="J20" s="959">
        <f>'حساب التركة والوصايا'!V31</f>
        <v>0</v>
      </c>
    </row>
    <row r="21" spans="5:10">
      <c r="E21" s="957"/>
      <c r="F21" s="958">
        <f>'حساب التركة والوصايا'!R32</f>
        <v>0</v>
      </c>
      <c r="G21" s="958">
        <f>'حساب التركة والوصايا'!S32</f>
        <v>0</v>
      </c>
      <c r="H21" s="958">
        <f>'حساب التركة والوصايا'!T32</f>
        <v>0</v>
      </c>
      <c r="I21" s="958">
        <f>'حساب التركة والوصايا'!U32</f>
        <v>0</v>
      </c>
      <c r="J21" s="959">
        <f>'حساب التركة والوصايا'!V32</f>
        <v>0</v>
      </c>
    </row>
    <row r="22" spans="5:10">
      <c r="E22" s="957"/>
      <c r="F22" s="958">
        <f>'حساب التركة والوصايا'!R33</f>
        <v>0</v>
      </c>
      <c r="G22" s="958">
        <f>'حساب التركة والوصايا'!S33</f>
        <v>0</v>
      </c>
      <c r="H22" s="958">
        <f>'حساب التركة والوصايا'!T33</f>
        <v>0</v>
      </c>
      <c r="I22" s="958">
        <f>'حساب التركة والوصايا'!U33</f>
        <v>0</v>
      </c>
      <c r="J22" s="959">
        <f>'حساب التركة والوصايا'!V33</f>
        <v>0</v>
      </c>
    </row>
    <row r="23" spans="5:10">
      <c r="E23" s="957"/>
      <c r="F23" s="958">
        <f>'حساب التركة والوصايا'!R34</f>
        <v>0</v>
      </c>
      <c r="G23" s="958">
        <f>'حساب التركة والوصايا'!S34</f>
        <v>0</v>
      </c>
      <c r="H23" s="958">
        <f>'حساب التركة والوصايا'!T34</f>
        <v>0</v>
      </c>
      <c r="I23" s="958">
        <f>'حساب التركة والوصايا'!U34</f>
        <v>0</v>
      </c>
      <c r="J23" s="959">
        <f>'حساب التركة والوصايا'!V34</f>
        <v>0</v>
      </c>
    </row>
    <row r="24" spans="5:10">
      <c r="E24" s="957"/>
      <c r="F24" s="958">
        <f>'حساب التركة والوصايا'!R35</f>
        <v>0</v>
      </c>
      <c r="G24" s="958">
        <f>'حساب التركة والوصايا'!S35</f>
        <v>0</v>
      </c>
      <c r="H24" s="958">
        <f>'حساب التركة والوصايا'!T35</f>
        <v>0</v>
      </c>
      <c r="I24" s="958">
        <f>'حساب التركة والوصايا'!U35</f>
        <v>0</v>
      </c>
      <c r="J24" s="959">
        <f>'حساب التركة والوصايا'!V35</f>
        <v>0</v>
      </c>
    </row>
    <row r="25" spans="5:10">
      <c r="E25" s="957"/>
      <c r="F25" s="958">
        <f>'حساب التركة والوصايا'!R36</f>
        <v>0</v>
      </c>
      <c r="G25" s="958">
        <f>'حساب التركة والوصايا'!S36</f>
        <v>0</v>
      </c>
      <c r="H25" s="958">
        <f>'حساب التركة والوصايا'!T36</f>
        <v>0</v>
      </c>
      <c r="I25" s="958">
        <f>'حساب التركة والوصايا'!U36</f>
        <v>0</v>
      </c>
      <c r="J25" s="959">
        <f>'حساب التركة والوصايا'!V36</f>
        <v>0</v>
      </c>
    </row>
    <row r="26" spans="5:10">
      <c r="E26" s="957"/>
      <c r="F26" s="958">
        <f>'حساب التركة والوصايا'!R37</f>
        <v>0</v>
      </c>
      <c r="G26" s="958">
        <f>'حساب التركة والوصايا'!S37</f>
        <v>0</v>
      </c>
      <c r="H26" s="958">
        <f>'حساب التركة والوصايا'!T37</f>
        <v>0</v>
      </c>
      <c r="I26" s="958">
        <f>'حساب التركة والوصايا'!U37</f>
        <v>0</v>
      </c>
      <c r="J26" s="959">
        <f>'حساب التركة والوصايا'!V37</f>
        <v>0</v>
      </c>
    </row>
    <row r="27" spans="5:10">
      <c r="E27" s="957"/>
      <c r="F27" s="958">
        <f>'حساب التركة والوصايا'!R38</f>
        <v>0</v>
      </c>
      <c r="G27" s="958">
        <f>'حساب التركة والوصايا'!S38</f>
        <v>0</v>
      </c>
      <c r="H27" s="958">
        <f>'حساب التركة والوصايا'!T38</f>
        <v>0</v>
      </c>
      <c r="I27" s="958">
        <f>'حساب التركة والوصايا'!U38</f>
        <v>0</v>
      </c>
      <c r="J27" s="959">
        <f>'حساب التركة والوصايا'!V38</f>
        <v>0</v>
      </c>
    </row>
    <row r="28" spans="5:10">
      <c r="E28" s="957"/>
      <c r="F28" s="958">
        <f>'حساب التركة والوصايا'!R39</f>
        <v>0</v>
      </c>
      <c r="G28" s="958">
        <f>'حساب التركة والوصايا'!S39</f>
        <v>0</v>
      </c>
      <c r="H28" s="958">
        <f>'حساب التركة والوصايا'!T39</f>
        <v>0</v>
      </c>
      <c r="I28" s="958">
        <f>'حساب التركة والوصايا'!U39</f>
        <v>0</v>
      </c>
      <c r="J28" s="959">
        <f>'حساب التركة والوصايا'!V39</f>
        <v>0</v>
      </c>
    </row>
    <row r="29" spans="5:10">
      <c r="E29" s="957"/>
      <c r="F29" s="958">
        <f>'حساب التركة والوصايا'!R40</f>
        <v>0</v>
      </c>
      <c r="G29" s="958">
        <f>'حساب التركة والوصايا'!S40</f>
        <v>0</v>
      </c>
      <c r="H29" s="958">
        <f>'حساب التركة والوصايا'!T40</f>
        <v>0</v>
      </c>
      <c r="I29" s="958">
        <f>'حساب التركة والوصايا'!U40</f>
        <v>0</v>
      </c>
      <c r="J29" s="959">
        <f>'حساب التركة والوصايا'!V40</f>
        <v>0</v>
      </c>
    </row>
    <row r="30" spans="5:10">
      <c r="E30" s="957"/>
      <c r="F30" s="958">
        <f>'حساب التركة والوصايا'!R41</f>
        <v>0</v>
      </c>
      <c r="G30" s="958">
        <f>'حساب التركة والوصايا'!S41</f>
        <v>0</v>
      </c>
      <c r="H30" s="958">
        <f>'حساب التركة والوصايا'!T41</f>
        <v>0</v>
      </c>
      <c r="I30" s="958">
        <f>'حساب التركة والوصايا'!U41</f>
        <v>0</v>
      </c>
      <c r="J30" s="959">
        <f>'حساب التركة والوصايا'!V41</f>
        <v>0</v>
      </c>
    </row>
    <row r="31" spans="5:10">
      <c r="E31" s="957"/>
      <c r="F31" s="958">
        <f>'حساب التركة والوصايا'!R42</f>
        <v>0</v>
      </c>
      <c r="G31" s="958">
        <f>'حساب التركة والوصايا'!S42</f>
        <v>0</v>
      </c>
      <c r="H31" s="958">
        <f>'حساب التركة والوصايا'!T42</f>
        <v>0</v>
      </c>
      <c r="I31" s="958">
        <f>'حساب التركة والوصايا'!U42</f>
        <v>0</v>
      </c>
      <c r="J31" s="959">
        <f>'حساب التركة والوصايا'!V42</f>
        <v>0</v>
      </c>
    </row>
    <row r="32" spans="5:10">
      <c r="E32" s="957"/>
      <c r="F32" s="958">
        <f>'حساب التركة والوصايا'!R43</f>
        <v>0</v>
      </c>
      <c r="G32" s="958">
        <f>'حساب التركة والوصايا'!S43</f>
        <v>0</v>
      </c>
      <c r="H32" s="958">
        <f>'حساب التركة والوصايا'!T43</f>
        <v>0</v>
      </c>
      <c r="I32" s="958">
        <f>'حساب التركة والوصايا'!U43</f>
        <v>0</v>
      </c>
      <c r="J32" s="959">
        <f>'حساب التركة والوصايا'!V43</f>
        <v>0</v>
      </c>
    </row>
    <row r="33" spans="5:10">
      <c r="E33" s="957"/>
      <c r="F33" s="958">
        <f>'حساب التركة والوصايا'!R44</f>
        <v>0</v>
      </c>
      <c r="G33" s="958">
        <f>'حساب التركة والوصايا'!S44</f>
        <v>0</v>
      </c>
      <c r="H33" s="958">
        <f>'حساب التركة والوصايا'!T44</f>
        <v>0</v>
      </c>
      <c r="I33" s="958">
        <f>'حساب التركة والوصايا'!U44</f>
        <v>0</v>
      </c>
      <c r="J33" s="959">
        <f>'حساب التركة والوصايا'!V44</f>
        <v>0</v>
      </c>
    </row>
    <row r="34" spans="5:10">
      <c r="E34" s="957"/>
      <c r="F34" s="958">
        <f>'حساب التركة والوصايا'!R45</f>
        <v>0</v>
      </c>
      <c r="G34" s="958">
        <f>'حساب التركة والوصايا'!S45</f>
        <v>0</v>
      </c>
      <c r="H34" s="958">
        <f>'حساب التركة والوصايا'!T45</f>
        <v>0</v>
      </c>
      <c r="I34" s="958">
        <f>'حساب التركة والوصايا'!U45</f>
        <v>0</v>
      </c>
      <c r="J34" s="959">
        <f>'حساب التركة والوصايا'!V45</f>
        <v>0</v>
      </c>
    </row>
    <row r="35" spans="5:10">
      <c r="E35" s="957"/>
      <c r="F35" s="958">
        <f>'حساب التركة والوصايا'!R46</f>
        <v>0</v>
      </c>
      <c r="G35" s="958">
        <f>'حساب التركة والوصايا'!S46</f>
        <v>0</v>
      </c>
      <c r="H35" s="958">
        <f>'حساب التركة والوصايا'!T46</f>
        <v>0</v>
      </c>
      <c r="I35" s="958">
        <f>'حساب التركة والوصايا'!U46</f>
        <v>0</v>
      </c>
      <c r="J35" s="959">
        <f>'حساب التركة والوصايا'!V46</f>
        <v>0</v>
      </c>
    </row>
    <row r="36" spans="5:10">
      <c r="E36" s="957"/>
      <c r="F36" s="958">
        <f>'حساب التركة والوصايا'!R47</f>
        <v>0</v>
      </c>
      <c r="G36" s="958">
        <f>'حساب التركة والوصايا'!S47</f>
        <v>0</v>
      </c>
      <c r="H36" s="958">
        <f>'حساب التركة والوصايا'!T47</f>
        <v>0</v>
      </c>
      <c r="I36" s="958">
        <f>'حساب التركة والوصايا'!U47</f>
        <v>0</v>
      </c>
      <c r="J36" s="959">
        <f>'حساب التركة والوصايا'!V47</f>
        <v>0</v>
      </c>
    </row>
    <row r="37" spans="5:10">
      <c r="E37" s="957"/>
      <c r="F37" s="958">
        <f>'حساب التركة والوصايا'!R48</f>
        <v>0</v>
      </c>
      <c r="G37" s="958">
        <f>'حساب التركة والوصايا'!S48</f>
        <v>0</v>
      </c>
      <c r="H37" s="958">
        <f>'حساب التركة والوصايا'!T48</f>
        <v>0</v>
      </c>
      <c r="I37" s="958">
        <f>'حساب التركة والوصايا'!U48</f>
        <v>0</v>
      </c>
      <c r="J37" s="959">
        <f>'حساب التركة والوصايا'!V48</f>
        <v>0</v>
      </c>
    </row>
    <row r="38" spans="5:10">
      <c r="E38" s="957"/>
      <c r="F38" s="958">
        <f>'حساب التركة والوصايا'!R49</f>
        <v>0</v>
      </c>
      <c r="G38" s="958">
        <f>'حساب التركة والوصايا'!S49</f>
        <v>0</v>
      </c>
      <c r="H38" s="958">
        <f>'حساب التركة والوصايا'!T49</f>
        <v>0</v>
      </c>
      <c r="I38" s="958">
        <f>'حساب التركة والوصايا'!U49</f>
        <v>0</v>
      </c>
      <c r="J38" s="959">
        <f>'حساب التركة والوصايا'!V49</f>
        <v>0</v>
      </c>
    </row>
    <row r="39" spans="5:10">
      <c r="E39" s="957"/>
      <c r="F39" s="958">
        <f>'حساب التركة والوصايا'!R50</f>
        <v>0</v>
      </c>
      <c r="G39" s="958">
        <f>'حساب التركة والوصايا'!S50</f>
        <v>0</v>
      </c>
      <c r="H39" s="958">
        <f>'حساب التركة والوصايا'!T50</f>
        <v>0</v>
      </c>
      <c r="I39" s="958">
        <f>'حساب التركة والوصايا'!U50</f>
        <v>0</v>
      </c>
      <c r="J39" s="959">
        <f>'حساب التركة والوصايا'!V50</f>
        <v>0</v>
      </c>
    </row>
    <row r="40" spans="5:10">
      <c r="E40" s="957"/>
      <c r="F40" s="958">
        <f>'حساب التركة والوصايا'!R51</f>
        <v>0</v>
      </c>
      <c r="G40" s="958">
        <f>'حساب التركة والوصايا'!S51</f>
        <v>0</v>
      </c>
      <c r="H40" s="958">
        <f>'حساب التركة والوصايا'!T51</f>
        <v>0</v>
      </c>
      <c r="I40" s="958">
        <f>'حساب التركة والوصايا'!U51</f>
        <v>0</v>
      </c>
      <c r="J40" s="959">
        <f>'حساب التركة والوصايا'!V51</f>
        <v>0</v>
      </c>
    </row>
    <row r="41" spans="5:10">
      <c r="E41" s="957"/>
      <c r="F41" s="958">
        <f>'حساب التركة والوصايا'!R52</f>
        <v>0</v>
      </c>
      <c r="G41" s="958">
        <f>'حساب التركة والوصايا'!S52</f>
        <v>0</v>
      </c>
      <c r="H41" s="958">
        <f>'حساب التركة والوصايا'!T52</f>
        <v>0</v>
      </c>
      <c r="I41" s="958">
        <f>'حساب التركة والوصايا'!U52</f>
        <v>0</v>
      </c>
      <c r="J41" s="959">
        <f>'حساب التركة والوصايا'!V52</f>
        <v>0</v>
      </c>
    </row>
    <row r="42" spans="5:10">
      <c r="E42" s="957"/>
      <c r="F42" s="958">
        <f>'حساب التركة والوصايا'!R53</f>
        <v>0</v>
      </c>
      <c r="G42" s="958">
        <f>'حساب التركة والوصايا'!S53</f>
        <v>0</v>
      </c>
      <c r="H42" s="958">
        <f>'حساب التركة والوصايا'!T53</f>
        <v>0</v>
      </c>
      <c r="I42" s="958">
        <f>'حساب التركة والوصايا'!U53</f>
        <v>0</v>
      </c>
      <c r="J42" s="959">
        <f>'حساب التركة والوصايا'!V53</f>
        <v>0</v>
      </c>
    </row>
    <row r="43" spans="5:10">
      <c r="E43" s="957"/>
      <c r="F43" s="958">
        <f>'حساب التركة والوصايا'!R54</f>
        <v>0</v>
      </c>
      <c r="G43" s="958">
        <f>'حساب التركة والوصايا'!S54</f>
        <v>0</v>
      </c>
      <c r="H43" s="958">
        <f>'حساب التركة والوصايا'!T54</f>
        <v>0</v>
      </c>
      <c r="I43" s="958">
        <f>'حساب التركة والوصايا'!U54</f>
        <v>0</v>
      </c>
      <c r="J43" s="959">
        <f>'حساب التركة والوصايا'!V54</f>
        <v>0</v>
      </c>
    </row>
    <row r="44" spans="5:10">
      <c r="E44" s="957"/>
      <c r="F44" s="958">
        <f>'حساب التركة والوصايا'!R55</f>
        <v>0</v>
      </c>
      <c r="G44" s="958">
        <f>'حساب التركة والوصايا'!S55</f>
        <v>0</v>
      </c>
      <c r="H44" s="958">
        <f>'حساب التركة والوصايا'!T55</f>
        <v>0</v>
      </c>
      <c r="I44" s="958">
        <f>'حساب التركة والوصايا'!U55</f>
        <v>0</v>
      </c>
      <c r="J44" s="959">
        <f>'حساب التركة والوصايا'!V55</f>
        <v>0</v>
      </c>
    </row>
    <row r="45" spans="5:10">
      <c r="E45" s="957"/>
      <c r="F45" s="958">
        <f>'حساب التركة والوصايا'!R56</f>
        <v>0</v>
      </c>
      <c r="G45" s="958">
        <f>'حساب التركة والوصايا'!S56</f>
        <v>0</v>
      </c>
      <c r="H45" s="958">
        <f>'حساب التركة والوصايا'!T56</f>
        <v>0</v>
      </c>
      <c r="I45" s="958">
        <f>'حساب التركة والوصايا'!U56</f>
        <v>0</v>
      </c>
      <c r="J45" s="959">
        <f>'حساب التركة والوصايا'!V56</f>
        <v>0</v>
      </c>
    </row>
    <row r="46" spans="5:10">
      <c r="E46" s="957"/>
      <c r="F46" s="958">
        <f>'حساب التركة والوصايا'!R57</f>
        <v>0</v>
      </c>
      <c r="G46" s="958">
        <f>'حساب التركة والوصايا'!S57</f>
        <v>0</v>
      </c>
      <c r="H46" s="958">
        <f>'حساب التركة والوصايا'!T57</f>
        <v>0</v>
      </c>
      <c r="I46" s="958">
        <f>'حساب التركة والوصايا'!U57</f>
        <v>0</v>
      </c>
      <c r="J46" s="959">
        <f>'حساب التركة والوصايا'!V57</f>
        <v>0</v>
      </c>
    </row>
    <row r="47" spans="5:10">
      <c r="E47" s="957"/>
      <c r="F47" s="958">
        <f>'حساب التركة والوصايا'!R58</f>
        <v>0</v>
      </c>
      <c r="G47" s="958">
        <f>'حساب التركة والوصايا'!S58</f>
        <v>0</v>
      </c>
      <c r="H47" s="958">
        <f>'حساب التركة والوصايا'!T58</f>
        <v>0</v>
      </c>
      <c r="I47" s="958">
        <f>'حساب التركة والوصايا'!U58</f>
        <v>0</v>
      </c>
      <c r="J47" s="959">
        <f>'حساب التركة والوصايا'!V58</f>
        <v>0</v>
      </c>
    </row>
    <row r="48" spans="5:10">
      <c r="E48" s="957"/>
      <c r="F48" s="958">
        <f>'حساب التركة والوصايا'!R59</f>
        <v>0</v>
      </c>
      <c r="G48" s="958">
        <f>'حساب التركة والوصايا'!S59</f>
        <v>0</v>
      </c>
      <c r="H48" s="958">
        <f>'حساب التركة والوصايا'!T59</f>
        <v>0</v>
      </c>
      <c r="I48" s="958">
        <f>'حساب التركة والوصايا'!U59</f>
        <v>0</v>
      </c>
      <c r="J48" s="959">
        <f>'حساب التركة والوصايا'!V59</f>
        <v>0</v>
      </c>
    </row>
    <row r="49" spans="5:10">
      <c r="E49" s="957"/>
      <c r="F49" s="958">
        <f>'حساب التركة والوصايا'!R60</f>
        <v>0</v>
      </c>
      <c r="G49" s="958">
        <f>'حساب التركة والوصايا'!S60</f>
        <v>0</v>
      </c>
      <c r="H49" s="958">
        <f>'حساب التركة والوصايا'!T60</f>
        <v>0</v>
      </c>
      <c r="I49" s="958">
        <f>'حساب التركة والوصايا'!U60</f>
        <v>0</v>
      </c>
      <c r="J49" s="959">
        <f>'حساب التركة والوصايا'!V60</f>
        <v>0</v>
      </c>
    </row>
    <row r="50" spans="5:10">
      <c r="E50" s="957"/>
      <c r="F50" s="958">
        <f>'حساب التركة والوصايا'!R61</f>
        <v>0</v>
      </c>
      <c r="G50" s="958">
        <f>'حساب التركة والوصايا'!S61</f>
        <v>0</v>
      </c>
      <c r="H50" s="958">
        <f>'حساب التركة والوصايا'!T61</f>
        <v>0</v>
      </c>
      <c r="I50" s="958">
        <f>'حساب التركة والوصايا'!U61</f>
        <v>0</v>
      </c>
      <c r="J50" s="959">
        <f>'حساب التركة والوصايا'!V61</f>
        <v>0</v>
      </c>
    </row>
    <row r="51" spans="5:10">
      <c r="E51" s="957"/>
      <c r="F51" s="958">
        <f>'حساب التركة والوصايا'!R62</f>
        <v>0</v>
      </c>
      <c r="G51" s="958">
        <f>'حساب التركة والوصايا'!S62</f>
        <v>0</v>
      </c>
      <c r="H51" s="958">
        <f>'حساب التركة والوصايا'!T62</f>
        <v>0</v>
      </c>
      <c r="I51" s="958">
        <f>'حساب التركة والوصايا'!U62</f>
        <v>0</v>
      </c>
      <c r="J51" s="959">
        <f>'حساب التركة والوصايا'!V62</f>
        <v>0</v>
      </c>
    </row>
    <row r="52" spans="5:10">
      <c r="E52" s="957"/>
      <c r="F52" s="958">
        <f>'حساب التركة والوصايا'!R63</f>
        <v>0</v>
      </c>
      <c r="G52" s="958">
        <f>'حساب التركة والوصايا'!S63</f>
        <v>0</v>
      </c>
      <c r="H52" s="958">
        <f>'حساب التركة والوصايا'!T63</f>
        <v>0</v>
      </c>
      <c r="I52" s="958">
        <f>'حساب التركة والوصايا'!U63</f>
        <v>0</v>
      </c>
      <c r="J52" s="959">
        <f>'حساب التركة والوصايا'!V63</f>
        <v>0</v>
      </c>
    </row>
    <row r="53" spans="5:10">
      <c r="E53" s="957"/>
      <c r="F53" s="958">
        <f>'حساب التركة والوصايا'!R64</f>
        <v>0</v>
      </c>
      <c r="G53" s="958">
        <f>'حساب التركة والوصايا'!S64</f>
        <v>0</v>
      </c>
      <c r="H53" s="958">
        <f>'حساب التركة والوصايا'!T64</f>
        <v>0</v>
      </c>
      <c r="I53" s="958">
        <f>'حساب التركة والوصايا'!U64</f>
        <v>0</v>
      </c>
      <c r="J53" s="959">
        <f>'حساب التركة والوصايا'!V64</f>
        <v>0</v>
      </c>
    </row>
    <row r="54" spans="5:10">
      <c r="E54" s="957"/>
      <c r="F54" s="958">
        <f>'حساب التركة والوصايا'!R65</f>
        <v>0</v>
      </c>
      <c r="G54" s="958">
        <f>'حساب التركة والوصايا'!S65</f>
        <v>0</v>
      </c>
      <c r="H54" s="958">
        <f>'حساب التركة والوصايا'!T65</f>
        <v>0</v>
      </c>
      <c r="I54" s="958">
        <f>'حساب التركة والوصايا'!U65</f>
        <v>0</v>
      </c>
      <c r="J54" s="959">
        <f>'حساب التركة والوصايا'!V65</f>
        <v>0</v>
      </c>
    </row>
    <row r="55" spans="5:10">
      <c r="E55" s="957"/>
      <c r="F55" s="958">
        <f>'حساب التركة والوصايا'!R66</f>
        <v>0</v>
      </c>
      <c r="G55" s="958">
        <f>'حساب التركة والوصايا'!S66</f>
        <v>0</v>
      </c>
      <c r="H55" s="958">
        <f>'حساب التركة والوصايا'!T66</f>
        <v>0</v>
      </c>
      <c r="I55" s="958">
        <f>'حساب التركة والوصايا'!U66</f>
        <v>0</v>
      </c>
      <c r="J55" s="959">
        <f>'حساب التركة والوصايا'!V66</f>
        <v>0</v>
      </c>
    </row>
    <row r="56" spans="5:10">
      <c r="E56" s="957"/>
      <c r="F56" s="958">
        <f>'حساب التركة والوصايا'!R67</f>
        <v>0</v>
      </c>
      <c r="G56" s="958">
        <f>'حساب التركة والوصايا'!S67</f>
        <v>0</v>
      </c>
      <c r="H56" s="958">
        <f>'حساب التركة والوصايا'!T67</f>
        <v>0</v>
      </c>
      <c r="I56" s="958">
        <f>'حساب التركة والوصايا'!U67</f>
        <v>0</v>
      </c>
      <c r="J56" s="959">
        <f>'حساب التركة والوصايا'!V67</f>
        <v>0</v>
      </c>
    </row>
    <row r="57" spans="5:10">
      <c r="E57" s="957"/>
      <c r="F57" s="958">
        <f>'حساب التركة والوصايا'!R68</f>
        <v>0</v>
      </c>
      <c r="G57" s="958">
        <f>'حساب التركة والوصايا'!S68</f>
        <v>0</v>
      </c>
      <c r="H57" s="958">
        <f>'حساب التركة والوصايا'!T68</f>
        <v>0</v>
      </c>
      <c r="I57" s="958">
        <f>'حساب التركة والوصايا'!U68</f>
        <v>0</v>
      </c>
      <c r="J57" s="959">
        <f>'حساب التركة والوصايا'!V68</f>
        <v>0</v>
      </c>
    </row>
    <row r="58" spans="5:10">
      <c r="E58" s="957"/>
      <c r="F58" s="958">
        <f>'حساب التركة والوصايا'!R69</f>
        <v>0</v>
      </c>
      <c r="G58" s="958">
        <f>'حساب التركة والوصايا'!S69</f>
        <v>0</v>
      </c>
      <c r="H58" s="958">
        <f>'حساب التركة والوصايا'!T69</f>
        <v>0</v>
      </c>
      <c r="I58" s="958">
        <f>'حساب التركة والوصايا'!U69</f>
        <v>0</v>
      </c>
      <c r="J58" s="959">
        <f>'حساب التركة والوصايا'!V69</f>
        <v>0</v>
      </c>
    </row>
    <row r="59" spans="5:10">
      <c r="E59" s="957"/>
      <c r="F59" s="958">
        <f>'حساب التركة والوصايا'!R70</f>
        <v>0</v>
      </c>
      <c r="G59" s="958">
        <f>'حساب التركة والوصايا'!S70</f>
        <v>0</v>
      </c>
      <c r="H59" s="958">
        <f>'حساب التركة والوصايا'!T70</f>
        <v>0</v>
      </c>
      <c r="I59" s="958">
        <f>'حساب التركة والوصايا'!U70</f>
        <v>0</v>
      </c>
      <c r="J59" s="959">
        <f>'حساب التركة والوصايا'!V70</f>
        <v>0</v>
      </c>
    </row>
    <row r="60" spans="5:10">
      <c r="E60" s="957"/>
      <c r="F60" s="958">
        <f>'حساب التركة والوصايا'!R71</f>
        <v>0</v>
      </c>
      <c r="G60" s="958">
        <f>'حساب التركة والوصايا'!S71</f>
        <v>0</v>
      </c>
      <c r="H60" s="958">
        <f>'حساب التركة والوصايا'!T71</f>
        <v>0</v>
      </c>
      <c r="I60" s="958">
        <f>'حساب التركة والوصايا'!U71</f>
        <v>0</v>
      </c>
      <c r="J60" s="959">
        <f>'حساب التركة والوصايا'!V71</f>
        <v>0</v>
      </c>
    </row>
    <row r="61" spans="5:10">
      <c r="E61" s="957"/>
      <c r="F61" s="958">
        <f>'حساب التركة والوصايا'!R72</f>
        <v>0</v>
      </c>
      <c r="G61" s="958">
        <f>'حساب التركة والوصايا'!S72</f>
        <v>0</v>
      </c>
      <c r="H61" s="958">
        <f>'حساب التركة والوصايا'!T72</f>
        <v>0</v>
      </c>
      <c r="I61" s="958">
        <f>'حساب التركة والوصايا'!U72</f>
        <v>0</v>
      </c>
      <c r="J61" s="959">
        <f>'حساب التركة والوصايا'!V72</f>
        <v>0</v>
      </c>
    </row>
    <row r="62" spans="5:10">
      <c r="E62" s="957"/>
      <c r="F62" s="958">
        <f>'حساب التركة والوصايا'!R73</f>
        <v>0</v>
      </c>
      <c r="G62" s="958">
        <f>'حساب التركة والوصايا'!S73</f>
        <v>0</v>
      </c>
      <c r="H62" s="958">
        <f>'حساب التركة والوصايا'!T73</f>
        <v>0</v>
      </c>
      <c r="I62" s="958">
        <f>'حساب التركة والوصايا'!U73</f>
        <v>0</v>
      </c>
      <c r="J62" s="959">
        <f>'حساب التركة والوصايا'!V73</f>
        <v>0</v>
      </c>
    </row>
    <row r="63" spans="5:10">
      <c r="E63" s="957"/>
      <c r="F63" s="958">
        <f>'حساب التركة والوصايا'!R74</f>
        <v>0</v>
      </c>
      <c r="G63" s="958">
        <f>'حساب التركة والوصايا'!S74</f>
        <v>0</v>
      </c>
      <c r="H63" s="958">
        <f>'حساب التركة والوصايا'!T74</f>
        <v>0</v>
      </c>
      <c r="I63" s="958">
        <f>'حساب التركة والوصايا'!U74</f>
        <v>0</v>
      </c>
      <c r="J63" s="959">
        <f>'حساب التركة والوصايا'!V74</f>
        <v>0</v>
      </c>
    </row>
    <row r="64" spans="5:10" ht="15.75" thickBot="1">
      <c r="E64" s="960"/>
      <c r="F64" s="961">
        <f>'حساب التركة والوصايا'!R75</f>
        <v>0</v>
      </c>
      <c r="G64" s="961">
        <f>'حساب التركة والوصايا'!S75</f>
        <v>0</v>
      </c>
      <c r="H64" s="961">
        <f>'حساب التركة والوصايا'!T75</f>
        <v>0</v>
      </c>
      <c r="I64" s="961">
        <f>'حساب التركة والوصايا'!U75</f>
        <v>0</v>
      </c>
      <c r="J64" s="962">
        <f>'حساب التركة والوصايا'!V75</f>
        <v>0</v>
      </c>
    </row>
    <row r="65" ht="15.75" thickTop="1"/>
  </sheetData>
  <customSheetViews>
    <customSheetView guid="{D786A5C0-FBC0-4F24-9F75-D436CA99DC6C}" showGridLines="0" zeroValues="0" hiddenColumns="1">
      <selection activeCell="E18" sqref="E18"/>
      <pageMargins left="0.7" right="0.7" top="0.75" bottom="0.75" header="0.3" footer="0.3"/>
    </customSheetView>
  </customSheetViews>
  <mergeCells count="1">
    <mergeCell ref="F3:J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P16"/>
  <sheetViews>
    <sheetView rightToLeft="1" workbookViewId="0">
      <selection activeCell="C26" sqref="C26"/>
    </sheetView>
  </sheetViews>
  <sheetFormatPr defaultRowHeight="15"/>
  <sheetData>
    <row r="3" spans="1:16" ht="15.75" thickBot="1"/>
    <row r="4" spans="1:16" ht="15.75" thickTop="1">
      <c r="A4" s="1414" t="s">
        <v>838</v>
      </c>
      <c r="B4" s="1415"/>
      <c r="C4" s="1415"/>
      <c r="D4" s="1415"/>
      <c r="E4" s="1415"/>
      <c r="F4" s="1415"/>
      <c r="G4" s="1415"/>
      <c r="H4" s="1415"/>
      <c r="I4" s="1415"/>
      <c r="J4" s="1415"/>
      <c r="K4" s="1415"/>
      <c r="L4" s="1415"/>
      <c r="M4" s="1415"/>
      <c r="N4" s="1415"/>
      <c r="O4" s="1415"/>
      <c r="P4" s="1416"/>
    </row>
    <row r="5" spans="1:16">
      <c r="A5" s="1417"/>
      <c r="B5" s="1418"/>
      <c r="C5" s="1418"/>
      <c r="D5" s="1418"/>
      <c r="E5" s="1418"/>
      <c r="F5" s="1418"/>
      <c r="G5" s="1418"/>
      <c r="H5" s="1418"/>
      <c r="I5" s="1418"/>
      <c r="J5" s="1418"/>
      <c r="K5" s="1418"/>
      <c r="L5" s="1418"/>
      <c r="M5" s="1418"/>
      <c r="N5" s="1418"/>
      <c r="O5" s="1418"/>
      <c r="P5" s="1419"/>
    </row>
    <row r="6" spans="1:16" ht="15.75" thickBot="1">
      <c r="A6" s="1420"/>
      <c r="B6" s="1421"/>
      <c r="C6" s="1421"/>
      <c r="D6" s="1421"/>
      <c r="E6" s="1421"/>
      <c r="F6" s="1421"/>
      <c r="G6" s="1421"/>
      <c r="H6" s="1421"/>
      <c r="I6" s="1421"/>
      <c r="J6" s="1421"/>
      <c r="K6" s="1421"/>
      <c r="L6" s="1421"/>
      <c r="M6" s="1421"/>
      <c r="N6" s="1421"/>
      <c r="O6" s="1421"/>
      <c r="P6" s="1422"/>
    </row>
    <row r="7" spans="1:16" ht="15.75" thickTop="1"/>
    <row r="16" spans="1:16" ht="21.75" customHeight="1">
      <c r="D16" s="1423" t="s">
        <v>842</v>
      </c>
      <c r="E16" s="1423"/>
      <c r="F16" s="1423"/>
      <c r="G16" s="1423"/>
      <c r="H16" s="1423"/>
      <c r="I16" s="1423"/>
      <c r="J16" s="1423"/>
    </row>
  </sheetData>
  <mergeCells count="2">
    <mergeCell ref="A4:P6"/>
    <mergeCell ref="D16:J1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92D050"/>
  </sheetPr>
  <dimension ref="A1:AD307"/>
  <sheetViews>
    <sheetView rightToLeft="1" tabSelected="1" zoomScaleNormal="100" workbookViewId="0">
      <selection activeCell="E18" sqref="E18"/>
    </sheetView>
  </sheetViews>
  <sheetFormatPr defaultColWidth="4.625" defaultRowHeight="15"/>
  <cols>
    <col min="2" max="2" width="28.375" customWidth="1"/>
    <col min="3" max="3" width="8.75" customWidth="1"/>
    <col min="4" max="4" width="26.375" customWidth="1"/>
    <col min="5" max="5" width="8.75" customWidth="1"/>
    <col min="7" max="7" width="16.25" customWidth="1"/>
    <col min="8" max="8" width="25.375" customWidth="1"/>
    <col min="9" max="9" width="9" customWidth="1"/>
    <col min="10" max="10" width="6.875" customWidth="1"/>
    <col min="11" max="11" width="10.5" customWidth="1"/>
    <col min="14" max="14" width="6.375" hidden="1" customWidth="1"/>
    <col min="24" max="24" width="4.625" customWidth="1"/>
    <col min="25" max="25" width="8.75" hidden="1" customWidth="1"/>
    <col min="26" max="27" width="4.625" hidden="1" customWidth="1"/>
    <col min="28" max="28" width="10.875" hidden="1" customWidth="1"/>
    <col min="29" max="30" width="4.625" hidden="1" customWidth="1"/>
    <col min="31" max="31" width="4.625" customWidth="1"/>
  </cols>
  <sheetData>
    <row r="1" spans="2:30" ht="24" customHeight="1">
      <c r="B1" s="38"/>
      <c r="C1" s="38"/>
      <c r="D1" s="1210" t="str">
        <f>IF(H2=0,"ضع الفريضة من فضلك",N7)</f>
        <v>ضع الفريضة من فضلك</v>
      </c>
      <c r="E1" s="1210"/>
      <c r="J1" s="1133" t="s">
        <v>114</v>
      </c>
    </row>
    <row r="2" spans="2:30" ht="18.75" customHeight="1" thickBot="1">
      <c r="B2" s="1202" t="s">
        <v>114</v>
      </c>
      <c r="C2" s="38"/>
      <c r="D2" s="1210"/>
      <c r="E2" s="1210"/>
      <c r="G2" s="1041" t="s">
        <v>839</v>
      </c>
      <c r="H2" s="1131">
        <f>'حساب التركة والوصايا'!S2</f>
        <v>0</v>
      </c>
      <c r="I2" s="1119"/>
      <c r="K2" t="s">
        <v>114</v>
      </c>
    </row>
    <row r="3" spans="2:30" ht="9.75" customHeight="1" thickTop="1">
      <c r="B3" s="1202"/>
      <c r="C3" s="38"/>
      <c r="D3" s="1214" t="str">
        <f>IF(D1="ضع الفريضة من فضلك","",N8)</f>
        <v/>
      </c>
      <c r="E3" s="1214"/>
      <c r="H3" s="1132"/>
      <c r="I3" s="1132"/>
      <c r="J3" s="1132"/>
    </row>
    <row r="4" spans="2:30" ht="15" customHeight="1">
      <c r="B4" s="38"/>
      <c r="C4" s="38"/>
      <c r="D4" s="1214"/>
      <c r="E4" s="1214"/>
      <c r="G4" s="1223" t="str">
        <f>IF(D1="الوصايا جاوزت الثلث ","لأجازة الوصايا أنتقل الى ورقة الأجازة",N6)</f>
        <v>ورقة حساب الفرائض بالأكسل</v>
      </c>
      <c r="H4" s="1223"/>
      <c r="I4" s="1223"/>
      <c r="J4" s="1223"/>
      <c r="AB4" s="953">
        <f>IF('أدخال  البيانات'!C10="لايوجد",0,'أدخال  البيانات'!C10)</f>
        <v>0</v>
      </c>
    </row>
    <row r="5" spans="2:30" ht="18.75">
      <c r="B5" s="944"/>
      <c r="C5" s="944"/>
      <c r="D5" s="942"/>
      <c r="E5" s="942"/>
      <c r="G5" s="1223"/>
      <c r="H5" s="1223"/>
      <c r="I5" s="1223"/>
      <c r="J5" s="1223"/>
    </row>
    <row r="6" spans="2:30" ht="19.5" thickBot="1">
      <c r="B6" s="944"/>
      <c r="C6" s="944"/>
      <c r="D6" s="942"/>
      <c r="E6" s="942"/>
      <c r="N6" t="str">
        <f>IF(C8+C9/4&gt;1,"  خطأ فى أدخال البيانات الزوج أو الزوجة فقط",'حساب التركة والوصايا'!AE2)</f>
        <v>ورقة حساب الفرائض بالأكسل</v>
      </c>
      <c r="Z6" s="1211">
        <f>Y68</f>
        <v>0</v>
      </c>
      <c r="AB6" s="953">
        <f>IF('أدخال  البيانات'!C11="لايوجد",0,'أدخال  البيانات'!C11)</f>
        <v>0</v>
      </c>
    </row>
    <row r="7" spans="2:30" ht="24.75" customHeight="1" thickTop="1" thickBot="1">
      <c r="B7" s="1121" t="s">
        <v>786</v>
      </c>
      <c r="C7" s="733" t="s">
        <v>3</v>
      </c>
      <c r="D7" s="1122" t="s">
        <v>786</v>
      </c>
      <c r="E7" s="952" t="s">
        <v>3</v>
      </c>
      <c r="G7" s="984" t="s">
        <v>155</v>
      </c>
      <c r="H7" s="984">
        <f>IF( J7=0,"__",Sheet5!V30)</f>
        <v>1</v>
      </c>
      <c r="I7" s="984" t="str">
        <f>'شرح الحالة'!AU2</f>
        <v>ترد على</v>
      </c>
      <c r="J7" s="1221" t="str">
        <f>IF('شرح الحالة'!AV2=0,"__",'شرح الحالة'!AV2)</f>
        <v>__</v>
      </c>
      <c r="K7" s="1222"/>
      <c r="N7" t="str">
        <f>IF('حساب التركة والوصايا'!G4=TRUE,"الوصايا لم تتجاوز الثلث",'حساب التركة والوصايا'!E4)</f>
        <v>الوصايا لم تتجاوز الثلث</v>
      </c>
      <c r="Y7" s="1079"/>
      <c r="Z7" s="1212"/>
      <c r="AB7" t="s">
        <v>834</v>
      </c>
    </row>
    <row r="8" spans="2:30" ht="17.25" customHeight="1" thickTop="1" thickBot="1">
      <c r="B8" s="1123" t="str">
        <f>'أدخال البيانات'!E22</f>
        <v>الزوج</v>
      </c>
      <c r="C8" s="953"/>
      <c r="D8" s="1126" t="str">
        <f>'أدخال البيانات'!E9</f>
        <v>الأولاد(ذكور)</v>
      </c>
      <c r="E8" s="954"/>
      <c r="N8" t="str">
        <f>IF('حساب التركة والوصايا'!J4*'حساب التركة والوصايا'!D4&gt;0,"بعض الورثة أجازو بعض الوصايا لألغاء الأجازة راجع الورقة الصفراء",'حساب التركة والوصايا'!J2)</f>
        <v>الورثــــــــــــة أجازو الثلث فقط</v>
      </c>
      <c r="Y8" s="1">
        <f>IF('حساب التركة والوصايا'!R18=0,1,'حساب التركة والوصايا'!T18)</f>
        <v>1</v>
      </c>
      <c r="Z8" s="1212"/>
      <c r="AC8" s="1101">
        <f>0</f>
        <v>0</v>
      </c>
    </row>
    <row r="9" spans="2:30" ht="17.25" customHeight="1" thickTop="1" thickBot="1">
      <c r="B9" s="1124" t="str">
        <f>'أدخال البيانات'!L18</f>
        <v>الزوجات</v>
      </c>
      <c r="C9" s="955"/>
      <c r="D9" s="1127" t="str">
        <f>'أدخال البيانات'!E10</f>
        <v>أبناء الأبناء(ذكور)</v>
      </c>
      <c r="E9" s="956"/>
      <c r="G9" s="611" t="str">
        <f>'ورقة أجازة وعدم الأجازة للمختصن'!F11</f>
        <v xml:space="preserve">  الفريضة</v>
      </c>
      <c r="H9" s="611" t="s">
        <v>786</v>
      </c>
      <c r="I9" s="611" t="str">
        <f>'ورقة أجازة وعدم الأجازة للمختصن'!G11</f>
        <v>عدد الورثة</v>
      </c>
      <c r="J9" s="1219" t="s">
        <v>845</v>
      </c>
      <c r="K9" s="1220"/>
      <c r="Y9" s="1">
        <f>IF('حساب التركة والوصايا'!R19=0,1,'حساب التركة والوصايا'!T19)</f>
        <v>1</v>
      </c>
      <c r="Z9" s="1213"/>
      <c r="AB9" s="1">
        <f t="shared" ref="AB9:AB40" si="0">1/(300-AC9)</f>
        <v>3.3444816053511705E-3</v>
      </c>
      <c r="AC9">
        <v>1</v>
      </c>
      <c r="AD9" s="956">
        <f>IF('أدخال  البيانات'!E13="لايوجد",0,'أدخال  البيانات'!E13)</f>
        <v>0</v>
      </c>
    </row>
    <row r="10" spans="2:30" ht="17.25" customHeight="1" thickTop="1" thickBot="1">
      <c r="B10" s="1123" t="str">
        <f>'أدخال البيانات'!L9</f>
        <v>البنات</v>
      </c>
      <c r="C10" s="953"/>
      <c r="D10" s="1126" t="str">
        <f>'أدخال البيانات'!E11</f>
        <v>أبناء  أبناء الأبناء(ذكور)</v>
      </c>
      <c r="E10" s="954"/>
      <c r="G10" s="546" t="str">
        <f>IF('ورقة أجازة وعدم الأجازة للمختصن'!F12=0,"__",'ورقة أجازة وعدم الأجازة للمختصن'!F12)</f>
        <v>__</v>
      </c>
      <c r="H10" s="1129" t="str">
        <f>IF(IFERROR('ورقة أجازة وعدم الأجازة للمختصن'!E12,"-")=0,"__",IFERROR('ورقة أجازة وعدم الأجازة للمختصن'!E12,"-"))</f>
        <v>__</v>
      </c>
      <c r="I10" s="1130" t="str">
        <f>IF('ورقة أجازة وعدم الأجازة للمختصن'!G12=0,"__",'ورقة أجازة وعدم الأجازة للمختصن'!G12)</f>
        <v>__</v>
      </c>
      <c r="J10" s="1215" t="str">
        <f>IF(IFERROR('حساب التركة والوصايا'!I10/'حساب التركة والوصايا'!I114,"___")=0,"__",IFERROR('حساب التركة والوصايا'!I10/'حساب التركة والوصايا'!I114,"___"))</f>
        <v>___</v>
      </c>
      <c r="K10" s="1216"/>
      <c r="Y10" s="1">
        <f>IF('حساب التركة والوصايا'!R20=0,1,'حساب التركة والوصايا'!T20)</f>
        <v>1</v>
      </c>
      <c r="AB10" s="1">
        <f t="shared" si="0"/>
        <v>3.3557046979865771E-3</v>
      </c>
      <c r="AC10">
        <f t="shared" ref="AC10:AC41" si="1">AC9+1</f>
        <v>2</v>
      </c>
      <c r="AD10" s="956">
        <f>IF('أدخال  البيانات'!E14="لايوجد",0,'أدخال  البيانات'!E14)</f>
        <v>0</v>
      </c>
    </row>
    <row r="11" spans="2:30" ht="17.25" customHeight="1" thickTop="1" thickBot="1">
      <c r="B11" s="1124" t="str">
        <f>'أدخال البيانات'!L10</f>
        <v>بنات الأبنــاء</v>
      </c>
      <c r="C11" s="955"/>
      <c r="D11" s="1127" t="str">
        <f>'أدخال البيانات'!E12</f>
        <v>الأب</v>
      </c>
      <c r="E11" s="956"/>
      <c r="G11" s="546" t="str">
        <f>IF('ورقة أجازة وعدم الأجازة للمختصن'!F13=0,"__",'ورقة أجازة وعدم الأجازة للمختصن'!F13)</f>
        <v>__</v>
      </c>
      <c r="H11" s="1129" t="str">
        <f>IF(IFERROR('ورقة أجازة وعدم الأجازة للمختصن'!E13,"-")=0,"__",IFERROR('ورقة أجازة وعدم الأجازة للمختصن'!E13,"-"))</f>
        <v>__</v>
      </c>
      <c r="I11" s="1134" t="str">
        <f>IF('ورقة أجازة وعدم الأجازة للمختصن'!G13=0,"__",'ورقة أجازة وعدم الأجازة للمختصن'!G13)</f>
        <v>__</v>
      </c>
      <c r="J11" s="1215" t="str">
        <f>IF(IFERROR('حساب التركة والوصايا'!I11/'حساب التركة والوصايا'!I114,"___")=0,"__",IFERROR('حساب التركة والوصايا'!I11/'حساب التركة والوصايا'!I114,"___"))</f>
        <v>___</v>
      </c>
      <c r="K11" s="1216"/>
      <c r="Y11" s="1">
        <f>IF('حساب التركة والوصايا'!R21=0,1,'حساب التركة والوصايا'!T21)</f>
        <v>1</v>
      </c>
      <c r="AB11" s="1">
        <f t="shared" si="0"/>
        <v>3.3670033670033669E-3</v>
      </c>
      <c r="AC11">
        <f t="shared" si="1"/>
        <v>3</v>
      </c>
      <c r="AD11" s="955">
        <f>IF('أدخال  البيانات'!C13="لايوجد",0,'أدخال  البيانات'!C13)</f>
        <v>0</v>
      </c>
    </row>
    <row r="12" spans="2:30" ht="17.25" customHeight="1" thickTop="1" thickBot="1">
      <c r="B12" s="1123" t="str">
        <f>'أدخال البيانات'!L11</f>
        <v>الأم</v>
      </c>
      <c r="C12" s="953"/>
      <c r="D12" s="1126" t="str">
        <f>'أدخال البيانات'!E13</f>
        <v>الجد(أب الأب)</v>
      </c>
      <c r="E12" s="954"/>
      <c r="G12" s="546" t="str">
        <f>IF('ورقة أجازة وعدم الأجازة للمختصن'!F14=0,"__",'ورقة أجازة وعدم الأجازة للمختصن'!F14)</f>
        <v>__</v>
      </c>
      <c r="H12" s="1129" t="str">
        <f>IF(IFERROR('ورقة أجازة وعدم الأجازة للمختصن'!E14,"-")=0,"__",IFERROR('ورقة أجازة وعدم الأجازة للمختصن'!E14,"-"))</f>
        <v>__</v>
      </c>
      <c r="I12" s="1134" t="str">
        <f>IF('ورقة أجازة وعدم الأجازة للمختصن'!G14=0,"__",'ورقة أجازة وعدم الأجازة للمختصن'!G14)</f>
        <v>__</v>
      </c>
      <c r="J12" s="1215" t="str">
        <f>IF(IFERROR('حساب التركة والوصايا'!I12/'حساب التركة والوصايا'!I114,"___")=0,"__",IFERROR('حساب التركة والوصايا'!I12/'حساب التركة والوصايا'!I114,"___"))</f>
        <v>___</v>
      </c>
      <c r="K12" s="1216"/>
      <c r="Y12" s="1">
        <f>IF('حساب التركة والوصايا'!R22=0,1,'حساب التركة والوصايا'!T22)</f>
        <v>1</v>
      </c>
      <c r="Z12" t="s">
        <v>114</v>
      </c>
      <c r="AB12" s="1">
        <f t="shared" si="0"/>
        <v>3.3783783783783786E-3</v>
      </c>
      <c r="AC12">
        <f t="shared" si="1"/>
        <v>4</v>
      </c>
      <c r="AD12" s="955">
        <f>IF('أدخال  البيانات'!C14="لايوجد",0,'أدخال  البيانات'!C14)</f>
        <v>0</v>
      </c>
    </row>
    <row r="13" spans="2:30" ht="17.25" customHeight="1" thickTop="1" thickBot="1">
      <c r="B13" s="1124" t="str">
        <f>'أدخال البيانات'!L12</f>
        <v>الأخوة(أناث)االشقيقات</v>
      </c>
      <c r="C13" s="955"/>
      <c r="D13" s="1127" t="str">
        <f>'أدخال البيانات'!E14</f>
        <v>الأخوة(ذكور) الأشقاء</v>
      </c>
      <c r="E13" s="956"/>
      <c r="G13" s="546" t="str">
        <f>IF('ورقة أجازة وعدم الأجازة للمختصن'!F15=0,"__",'ورقة أجازة وعدم الأجازة للمختصن'!F15)</f>
        <v>__</v>
      </c>
      <c r="H13" s="1129" t="str">
        <f>IF(IFERROR('ورقة أجازة وعدم الأجازة للمختصن'!E15,"-")=0,"__",IFERROR('ورقة أجازة وعدم الأجازة للمختصن'!E15,"-"))</f>
        <v>__</v>
      </c>
      <c r="I13" s="1134" t="str">
        <f>IF('ورقة أجازة وعدم الأجازة للمختصن'!G15=0,"__",'ورقة أجازة وعدم الأجازة للمختصن'!G15)</f>
        <v>__</v>
      </c>
      <c r="J13" s="1215" t="str">
        <f>IF(IFERROR('حساب التركة والوصايا'!I13/'حساب التركة والوصايا'!I114,"___")=0,"__",IFERROR('حساب التركة والوصايا'!I13/'حساب التركة والوصايا'!I114,"___"))</f>
        <v>___</v>
      </c>
      <c r="K13" s="1216"/>
      <c r="Y13" s="1">
        <f>IF('حساب التركة والوصايا'!R23=0,1,'حساب التركة والوصايا'!T23)</f>
        <v>1</v>
      </c>
      <c r="AB13" s="1">
        <f t="shared" si="0"/>
        <v>3.3898305084745762E-3</v>
      </c>
      <c r="AC13">
        <f t="shared" si="1"/>
        <v>5</v>
      </c>
      <c r="AD13" s="954">
        <f>IF(E12="لايوجد",0,E12)</f>
        <v>0</v>
      </c>
    </row>
    <row r="14" spans="2:30" ht="17.25" customHeight="1" thickTop="1" thickBot="1">
      <c r="B14" s="1123" t="str">
        <f>'أدخال البيانات'!L13</f>
        <v xml:space="preserve">الأخوة(أناث)من ألأب  </v>
      </c>
      <c r="C14" s="953"/>
      <c r="D14" s="1126" t="str">
        <f>'أدخال البيانات'!E15</f>
        <v xml:space="preserve">الأخوة(ذكور)من ألأب  </v>
      </c>
      <c r="E14" s="954"/>
      <c r="G14" s="546" t="str">
        <f>IF('ورقة أجازة وعدم الأجازة للمختصن'!F16=0,"__",'ورقة أجازة وعدم الأجازة للمختصن'!F16)</f>
        <v>__</v>
      </c>
      <c r="H14" s="1129" t="str">
        <f>IF(IFERROR('ورقة أجازة وعدم الأجازة للمختصن'!E16,"-")=0,"__",IFERROR('ورقة أجازة وعدم الأجازة للمختصن'!E16,"-"))</f>
        <v>__</v>
      </c>
      <c r="I14" s="1134" t="str">
        <f>IF('ورقة أجازة وعدم الأجازة للمختصن'!G16=0,"__",'ورقة أجازة وعدم الأجازة للمختصن'!G16)</f>
        <v>__</v>
      </c>
      <c r="J14" s="1215" t="str">
        <f>IF(IFERROR('حساب التركة والوصايا'!I14/'حساب التركة والوصايا'!I114,"___")=0,"__",IFERROR('حساب التركة والوصايا'!I14/'حساب التركة والوصايا'!I114,"___"))</f>
        <v>___</v>
      </c>
      <c r="K14" s="1216"/>
      <c r="Y14" s="1">
        <f>IF('حساب التركة والوصايا'!R24=0,1,'حساب التركة والوصايا'!T24)</f>
        <v>1</v>
      </c>
      <c r="AB14" s="1">
        <f t="shared" si="0"/>
        <v>3.4013605442176869E-3</v>
      </c>
      <c r="AC14">
        <f t="shared" si="1"/>
        <v>6</v>
      </c>
    </row>
    <row r="15" spans="2:30" ht="17.25" customHeight="1" thickTop="1" thickBot="1">
      <c r="B15" s="1124" t="str">
        <f>'أدخال البيانات'!L14</f>
        <v xml:space="preserve">الأخوة(أناث) من الأم </v>
      </c>
      <c r="C15" s="955"/>
      <c r="D15" s="1127" t="str">
        <f>'أدخال البيانات'!E16</f>
        <v xml:space="preserve">أبن الأخ الشقيق  </v>
      </c>
      <c r="E15" s="956"/>
      <c r="G15" s="546" t="str">
        <f>IF('ورقة أجازة وعدم الأجازة للمختصن'!F17=0,"__",'ورقة أجازة وعدم الأجازة للمختصن'!F17)</f>
        <v>__</v>
      </c>
      <c r="H15" s="1129" t="str">
        <f>IF(IFERROR('ورقة أجازة وعدم الأجازة للمختصن'!E17,"-")=0,"__",IFERROR('ورقة أجازة وعدم الأجازة للمختصن'!E17,"-"))</f>
        <v>__</v>
      </c>
      <c r="I15" s="1134" t="str">
        <f>IF('ورقة أجازة وعدم الأجازة للمختصن'!G17=0,"__",'ورقة أجازة وعدم الأجازة للمختصن'!G17)</f>
        <v>__</v>
      </c>
      <c r="J15" s="1215" t="str">
        <f>IF(IFERROR('حساب التركة والوصايا'!I15/'حساب التركة والوصايا'!I114,"___")=0,"__",IFERROR('حساب التركة والوصايا'!I15/'حساب التركة والوصايا'!I114,"___"))</f>
        <v>___</v>
      </c>
      <c r="K15" s="1216"/>
      <c r="Y15" s="1">
        <f>IF('حساب التركة والوصايا'!R25=0,1,'حساب التركة والوصايا'!T25)</f>
        <v>1</v>
      </c>
      <c r="AB15" s="1">
        <f t="shared" si="0"/>
        <v>3.4129692832764505E-3</v>
      </c>
      <c r="AC15">
        <f t="shared" si="1"/>
        <v>7</v>
      </c>
    </row>
    <row r="16" spans="2:30" ht="17.25" customHeight="1" thickTop="1" thickBot="1">
      <c r="B16" s="1123" t="str">
        <f>'أدخال البيانات'!L15</f>
        <v xml:space="preserve">الأخوة(ذكور)من الأم </v>
      </c>
      <c r="C16" s="953"/>
      <c r="D16" s="1126" t="str">
        <f>'أدخال البيانات'!E17</f>
        <v xml:space="preserve">أبن الأخ لأب  </v>
      </c>
      <c r="E16" s="954"/>
      <c r="G16" s="546" t="str">
        <f>IF('ورقة أجازة وعدم الأجازة للمختصن'!F18=0,"__",'ورقة أجازة وعدم الأجازة للمختصن'!F18)</f>
        <v>__</v>
      </c>
      <c r="H16" s="1129" t="str">
        <f>IF(IFERROR('ورقة أجازة وعدم الأجازة للمختصن'!E18,"-")=0,"__",IFERROR('ورقة أجازة وعدم الأجازة للمختصن'!E18,"-"))</f>
        <v>__</v>
      </c>
      <c r="I16" s="1134" t="str">
        <f>IF('ورقة أجازة وعدم الأجازة للمختصن'!G18=0,"__",'ورقة أجازة وعدم الأجازة للمختصن'!G18)</f>
        <v>__</v>
      </c>
      <c r="J16" s="1215" t="str">
        <f>IF(IFERROR('حساب التركة والوصايا'!I16/'حساب التركة والوصايا'!I114,"___")=0,"__",IFERROR('حساب التركة والوصايا'!I16/'حساب التركة والوصايا'!I114,"___"))</f>
        <v>___</v>
      </c>
      <c r="K16" s="1216"/>
      <c r="Y16" s="1">
        <f>IF('حساب التركة والوصايا'!R26=0,1,'حساب التركة والوصايا'!T26)</f>
        <v>1</v>
      </c>
      <c r="AB16" s="1">
        <f t="shared" si="0"/>
        <v>3.4246575342465752E-3</v>
      </c>
      <c r="AC16">
        <f t="shared" si="1"/>
        <v>8</v>
      </c>
    </row>
    <row r="17" spans="2:29" ht="17.25" customHeight="1" thickTop="1" thickBot="1">
      <c r="B17" s="1124" t="str">
        <f>'أدخال البيانات'!L16</f>
        <v>الجدة(أم  الأم)</v>
      </c>
      <c r="C17" s="955"/>
      <c r="D17" s="1127" t="str">
        <f>'أدخال البيانات'!E18</f>
        <v xml:space="preserve">العم الشقيق  </v>
      </c>
      <c r="E17" s="956"/>
      <c r="Y17" s="1">
        <f>IF('حساب التركة والوصايا'!R27=0,1,'حساب التركة والوصايا'!T27)</f>
        <v>1</v>
      </c>
      <c r="AB17" s="1">
        <f t="shared" si="0"/>
        <v>3.4364261168384879E-3</v>
      </c>
      <c r="AC17">
        <f t="shared" si="1"/>
        <v>9</v>
      </c>
    </row>
    <row r="18" spans="2:29" ht="17.25" customHeight="1" thickTop="1" thickBot="1">
      <c r="B18" s="1123" t="str">
        <f>'أدخال البيانات'!L17</f>
        <v>الجدة(أم الأب)</v>
      </c>
      <c r="C18" s="953"/>
      <c r="D18" s="1126" t="str">
        <f>'أدخال البيانات'!E19</f>
        <v xml:space="preserve">العم لأب </v>
      </c>
      <c r="E18" s="954"/>
      <c r="H18" s="1129" t="s">
        <v>766</v>
      </c>
      <c r="J18" s="1217" t="str">
        <f>IFERROR('حساب التركة والوصايا'!I109/'حساب التركة والوصايا'!I114,"___")</f>
        <v>___</v>
      </c>
      <c r="K18" s="1218"/>
      <c r="Y18" s="1">
        <f>IF('حساب التركة والوصايا'!R28=0,1,'حساب التركة والوصايا'!T28)</f>
        <v>1</v>
      </c>
      <c r="AB18" s="1">
        <f t="shared" si="0"/>
        <v>3.4482758620689655E-3</v>
      </c>
      <c r="AC18">
        <f t="shared" si="1"/>
        <v>10</v>
      </c>
    </row>
    <row r="19" spans="2:29" ht="17.25" customHeight="1" thickTop="1" thickBot="1">
      <c r="B19" s="1124" t="str">
        <f>'أدخال البيانات'!E23</f>
        <v>بيت مال المسلمين</v>
      </c>
      <c r="C19" s="955"/>
      <c r="D19" s="1127" t="str">
        <f>'أدخال البيانات'!E20</f>
        <v xml:space="preserve"> أبن العم الشقيق </v>
      </c>
      <c r="E19" s="956"/>
      <c r="H19" s="1129" t="s">
        <v>809</v>
      </c>
      <c r="J19" s="1217" t="str">
        <f>IFERROR('حساب التركة والوصايا'!I110/'حساب التركة والوصايا'!I114,"___")</f>
        <v>___</v>
      </c>
      <c r="K19" s="1218"/>
      <c r="Y19" s="1">
        <f>IF('حساب التركة والوصايا'!R29=0,1,'حساب التركة والوصايا'!T29)</f>
        <v>1</v>
      </c>
      <c r="AB19" s="1">
        <f t="shared" si="0"/>
        <v>3.4602076124567475E-3</v>
      </c>
      <c r="AC19">
        <f t="shared" si="1"/>
        <v>11</v>
      </c>
    </row>
    <row r="20" spans="2:29" ht="17.25" customHeight="1" thickTop="1" thickBot="1">
      <c r="B20" s="1125"/>
      <c r="C20" s="1054"/>
      <c r="D20" s="1128" t="str">
        <f>'أدخال البيانات'!E21</f>
        <v xml:space="preserve"> أبن العم لأب  </v>
      </c>
      <c r="E20" s="1055"/>
      <c r="H20" s="1129" t="s">
        <v>768</v>
      </c>
      <c r="J20" s="1217" t="str">
        <f>IFERROR('حساب التركة والوصايا'!I111/'حساب التركة والوصايا'!I114,"___")</f>
        <v>___</v>
      </c>
      <c r="K20" s="1218"/>
      <c r="Y20" s="1">
        <f>IF('حساب التركة والوصايا'!R30=0,1,'حساب التركة والوصايا'!T30)</f>
        <v>1</v>
      </c>
      <c r="AA20" s="1100"/>
      <c r="AB20" s="1">
        <f t="shared" si="0"/>
        <v>3.472222222222222E-3</v>
      </c>
      <c r="AC20">
        <f t="shared" si="1"/>
        <v>12</v>
      </c>
    </row>
    <row r="21" spans="2:29" ht="17.25" customHeight="1" thickTop="1" thickBot="1">
      <c r="B21" s="1045" t="s">
        <v>766</v>
      </c>
      <c r="C21" s="1203">
        <v>0</v>
      </c>
      <c r="D21" s="1046" t="s">
        <v>768</v>
      </c>
      <c r="E21" s="1205"/>
      <c r="H21" s="1129" t="s">
        <v>769</v>
      </c>
      <c r="J21" s="1217" t="str">
        <f>IFERROR('حساب التركة والوصايا'!I112/'حساب التركة والوصايا'!I114,"___")</f>
        <v>___</v>
      </c>
      <c r="K21" s="1218"/>
      <c r="Y21" s="1">
        <f>IF('حساب التركة والوصايا'!R31=0,1,'حساب التركة والوصايا'!T31)</f>
        <v>1</v>
      </c>
      <c r="AA21" s="1100"/>
      <c r="AB21" s="1">
        <f t="shared" si="0"/>
        <v>3.4843205574912892E-3</v>
      </c>
      <c r="AC21">
        <f t="shared" si="1"/>
        <v>13</v>
      </c>
    </row>
    <row r="22" spans="2:29" ht="17.25" customHeight="1" thickTop="1">
      <c r="B22" s="1047"/>
      <c r="C22" s="1204"/>
      <c r="D22" s="1042"/>
      <c r="E22" s="1206"/>
      <c r="Y22" s="1">
        <f>IF('حساب التركة والوصايا'!R32=0,1,'حساب التركة والوصايا'!T32)</f>
        <v>1</v>
      </c>
      <c r="AA22" s="1100"/>
      <c r="AB22" s="1">
        <f t="shared" si="0"/>
        <v>3.4965034965034965E-3</v>
      </c>
      <c r="AC22">
        <f t="shared" si="1"/>
        <v>14</v>
      </c>
    </row>
    <row r="23" spans="2:29" ht="17.25" customHeight="1" thickBot="1">
      <c r="B23" s="1048" t="s">
        <v>809</v>
      </c>
      <c r="C23" s="1207">
        <v>0</v>
      </c>
      <c r="D23" s="1043" t="s">
        <v>769</v>
      </c>
      <c r="E23" s="1206"/>
      <c r="Y23" s="1">
        <f>IF('حساب التركة والوصايا'!R33=0,1,'حساب التركة والوصايا'!T33)</f>
        <v>1</v>
      </c>
      <c r="AA23" s="1100"/>
      <c r="AB23" s="1">
        <f t="shared" si="0"/>
        <v>3.5087719298245615E-3</v>
      </c>
      <c r="AC23">
        <f t="shared" si="1"/>
        <v>15</v>
      </c>
    </row>
    <row r="24" spans="2:29" ht="17.25" customHeight="1" thickBot="1">
      <c r="B24" s="1049"/>
      <c r="C24" s="1208"/>
      <c r="D24" s="1050"/>
      <c r="E24" s="1209"/>
      <c r="G24" s="984" t="str">
        <f xml:space="preserve"> IF('شرح الحالة'!AU2="ترد على",G26,"")</f>
        <v/>
      </c>
      <c r="H24" s="984" t="str">
        <f xml:space="preserve"> IF( 'شرح الحالة'!AU2="ترد على",H26,"")</f>
        <v/>
      </c>
      <c r="Y24" s="1">
        <f>IF('حساب التركة والوصايا'!R34=0,1,'حساب التركة والوصايا'!T34)</f>
        <v>1</v>
      </c>
      <c r="AB24" s="1">
        <f t="shared" si="0"/>
        <v>3.5211267605633804E-3</v>
      </c>
      <c r="AC24">
        <f t="shared" si="1"/>
        <v>16</v>
      </c>
    </row>
    <row r="25" spans="2:29" ht="17.25" customHeight="1" thickTop="1">
      <c r="B25" s="946"/>
      <c r="C25" s="945"/>
      <c r="D25" s="38"/>
      <c r="E25" s="38"/>
      <c r="Y25" s="1">
        <f>IF('حساب التركة والوصايا'!R35=0,1,'حساب التركة والوصايا'!T35)</f>
        <v>1</v>
      </c>
      <c r="AB25" s="1">
        <f t="shared" si="0"/>
        <v>3.5335689045936395E-3</v>
      </c>
      <c r="AC25">
        <f t="shared" si="1"/>
        <v>17</v>
      </c>
    </row>
    <row r="26" spans="2:29" ht="17.25" hidden="1" customHeight="1" thickBot="1">
      <c r="B26" s="641"/>
      <c r="C26" s="641"/>
      <c r="G26" s="984" t="str">
        <f>IF(C8+C9&gt;0,G27,"")</f>
        <v/>
      </c>
      <c r="H26" s="984" t="str">
        <f>IF( C8+C9&gt;0,H27,"")</f>
        <v/>
      </c>
      <c r="Y26" s="1">
        <f>IF('حساب التركة والوصايا'!R36=0,1,'حساب التركة والوصايا'!T36)</f>
        <v>1</v>
      </c>
      <c r="AB26" s="1">
        <f t="shared" si="0"/>
        <v>3.5460992907801418E-3</v>
      </c>
      <c r="AC26">
        <f t="shared" si="1"/>
        <v>18</v>
      </c>
    </row>
    <row r="27" spans="2:29" ht="17.25" hidden="1" customHeight="1" thickBot="1">
      <c r="B27" s="641"/>
      <c r="C27" s="641"/>
      <c r="G27" s="984" t="s">
        <v>841</v>
      </c>
      <c r="H27">
        <f>Sheet5!Z31</f>
        <v>1</v>
      </c>
      <c r="Y27" s="1">
        <f>IF('حساب التركة والوصايا'!R37=0,1,'حساب التركة والوصايا'!T37)</f>
        <v>1</v>
      </c>
      <c r="AB27" s="1">
        <f t="shared" si="0"/>
        <v>3.5587188612099642E-3</v>
      </c>
      <c r="AC27">
        <f t="shared" si="1"/>
        <v>19</v>
      </c>
    </row>
    <row r="28" spans="2:29">
      <c r="B28" s="641"/>
      <c r="C28" s="641"/>
      <c r="Y28" s="1">
        <f>IF('حساب التركة والوصايا'!R38=0,1,'حساب التركة والوصايا'!T38)</f>
        <v>1</v>
      </c>
      <c r="AB28" s="1">
        <f t="shared" si="0"/>
        <v>3.5714285714285713E-3</v>
      </c>
      <c r="AC28">
        <f t="shared" si="1"/>
        <v>20</v>
      </c>
    </row>
    <row r="29" spans="2:29">
      <c r="Y29" s="1">
        <f>IF('حساب التركة والوصايا'!R39=0,1,'حساب التركة والوصايا'!T39)</f>
        <v>1</v>
      </c>
      <c r="AB29" s="1">
        <f t="shared" si="0"/>
        <v>3.5842293906810036E-3</v>
      </c>
      <c r="AC29">
        <f t="shared" si="1"/>
        <v>21</v>
      </c>
    </row>
    <row r="30" spans="2:29">
      <c r="Y30" s="1">
        <f>IF('حساب التركة والوصايا'!R40=0,1,'حساب التركة والوصايا'!T40)</f>
        <v>1</v>
      </c>
      <c r="AB30" s="1">
        <f t="shared" si="0"/>
        <v>3.5971223021582736E-3</v>
      </c>
      <c r="AC30">
        <f t="shared" si="1"/>
        <v>22</v>
      </c>
    </row>
    <row r="31" spans="2:29">
      <c r="B31" s="1058"/>
      <c r="Y31" s="1">
        <f>IF('حساب التركة والوصايا'!R41=0,1,'حساب التركة والوصايا'!T41)</f>
        <v>1</v>
      </c>
      <c r="AB31" s="1">
        <f t="shared" si="0"/>
        <v>3.6101083032490976E-3</v>
      </c>
      <c r="AC31">
        <f t="shared" si="1"/>
        <v>23</v>
      </c>
    </row>
    <row r="32" spans="2:29">
      <c r="B32" s="1056"/>
      <c r="Y32" s="1">
        <f>IF('حساب التركة والوصايا'!R42=0,1,'حساب التركة والوصايا'!T42)</f>
        <v>1</v>
      </c>
      <c r="AB32" s="1">
        <f t="shared" si="0"/>
        <v>3.6231884057971015E-3</v>
      </c>
      <c r="AC32">
        <f t="shared" si="1"/>
        <v>24</v>
      </c>
    </row>
    <row r="33" spans="1:29">
      <c r="Y33" s="1">
        <f>IF('حساب التركة والوصايا'!R43=0,1,'حساب التركة والوصايا'!T43)</f>
        <v>1</v>
      </c>
      <c r="AB33" s="1">
        <f t="shared" si="0"/>
        <v>3.6363636363636364E-3</v>
      </c>
      <c r="AC33">
        <f t="shared" si="1"/>
        <v>25</v>
      </c>
    </row>
    <row r="34" spans="1:29" ht="15.75" thickBot="1">
      <c r="B34" s="1057"/>
      <c r="Y34" s="1">
        <f>IF('حساب التركة والوصايا'!R44=0,1,'حساب التركة والوصايا'!T44)</f>
        <v>1</v>
      </c>
      <c r="AB34" s="1">
        <f t="shared" si="0"/>
        <v>3.6496350364963502E-3</v>
      </c>
      <c r="AC34">
        <f t="shared" si="1"/>
        <v>26</v>
      </c>
    </row>
    <row r="35" spans="1:29">
      <c r="B35" s="1060"/>
      <c r="Y35" s="1">
        <f>IF('حساب التركة والوصايا'!R45=0,1,'حساب التركة والوصايا'!T45)</f>
        <v>1</v>
      </c>
      <c r="AB35" s="1">
        <f t="shared" si="0"/>
        <v>3.663003663003663E-3</v>
      </c>
      <c r="AC35">
        <f t="shared" si="1"/>
        <v>27</v>
      </c>
    </row>
    <row r="36" spans="1:29">
      <c r="B36" s="1059"/>
      <c r="Y36" s="1">
        <f>IF('حساب التركة والوصايا'!R46=0,1,'حساب التركة والوصايا'!T46)</f>
        <v>1</v>
      </c>
      <c r="AB36" s="1">
        <f t="shared" si="0"/>
        <v>3.6764705882352941E-3</v>
      </c>
      <c r="AC36">
        <f t="shared" si="1"/>
        <v>28</v>
      </c>
    </row>
    <row r="37" spans="1:29">
      <c r="B37" s="1059"/>
      <c r="Y37" s="1">
        <f>IF('حساب التركة والوصايا'!R47=0,1,'حساب التركة والوصايا'!T47)</f>
        <v>1</v>
      </c>
      <c r="AB37" s="1">
        <f t="shared" si="0"/>
        <v>3.6900369003690036E-3</v>
      </c>
      <c r="AC37">
        <f t="shared" si="1"/>
        <v>29</v>
      </c>
    </row>
    <row r="38" spans="1:29">
      <c r="Y38" s="1">
        <f>IF('حساب التركة والوصايا'!R48=0,1,'حساب التركة والوصايا'!T48)</f>
        <v>1</v>
      </c>
      <c r="AB38" s="1">
        <f t="shared" si="0"/>
        <v>3.7037037037037038E-3</v>
      </c>
      <c r="AC38">
        <f t="shared" si="1"/>
        <v>30</v>
      </c>
    </row>
    <row r="39" spans="1:29">
      <c r="Y39" s="1">
        <f>IF('حساب التركة والوصايا'!R49=0,1,'حساب التركة والوصايا'!T49)</f>
        <v>1</v>
      </c>
      <c r="AB39" s="1">
        <f t="shared" si="0"/>
        <v>3.7174721189591076E-3</v>
      </c>
      <c r="AC39">
        <f t="shared" si="1"/>
        <v>31</v>
      </c>
    </row>
    <row r="40" spans="1:29">
      <c r="A40" s="1"/>
      <c r="Y40" s="1">
        <f>IF('حساب التركة والوصايا'!R50=0,1,'حساب التركة والوصايا'!T50)</f>
        <v>1</v>
      </c>
      <c r="AB40" s="1">
        <f t="shared" si="0"/>
        <v>3.7313432835820895E-3</v>
      </c>
      <c r="AC40">
        <f t="shared" si="1"/>
        <v>32</v>
      </c>
    </row>
    <row r="41" spans="1:29">
      <c r="Y41" s="1">
        <f>IF('حساب التركة والوصايا'!R51=0,1,'حساب التركة والوصايا'!T51)</f>
        <v>1</v>
      </c>
      <c r="AB41" s="1">
        <f t="shared" ref="AB41:AB72" si="2">1/(300-AC41)</f>
        <v>3.7453183520599251E-3</v>
      </c>
      <c r="AC41">
        <f t="shared" si="1"/>
        <v>33</v>
      </c>
    </row>
    <row r="42" spans="1:29">
      <c r="Y42" s="1">
        <f>IF('حساب التركة والوصايا'!R52=0,1,'حساب التركة والوصايا'!T52)</f>
        <v>1</v>
      </c>
      <c r="AB42" s="1">
        <f t="shared" si="2"/>
        <v>3.7593984962406013E-3</v>
      </c>
      <c r="AC42">
        <f t="shared" ref="AC42:AC73" si="3">AC41+1</f>
        <v>34</v>
      </c>
    </row>
    <row r="43" spans="1:29">
      <c r="Y43" s="1">
        <f>IF('حساب التركة والوصايا'!R53=0,1,'حساب التركة والوصايا'!T53)</f>
        <v>1</v>
      </c>
      <c r="AB43" s="1">
        <f t="shared" si="2"/>
        <v>3.7735849056603774E-3</v>
      </c>
      <c r="AC43">
        <f t="shared" si="3"/>
        <v>35</v>
      </c>
    </row>
    <row r="44" spans="1:29">
      <c r="Y44" s="1">
        <f>IF('حساب التركة والوصايا'!R54=0,1,'حساب التركة والوصايا'!T54)</f>
        <v>1</v>
      </c>
      <c r="AB44" s="1">
        <f t="shared" si="2"/>
        <v>3.787878787878788E-3</v>
      </c>
      <c r="AC44">
        <f t="shared" si="3"/>
        <v>36</v>
      </c>
    </row>
    <row r="45" spans="1:29">
      <c r="Y45" s="1">
        <f>IF('حساب التركة والوصايا'!R55=0,1,'حساب التركة والوصايا'!T55)</f>
        <v>1</v>
      </c>
      <c r="AB45" s="1">
        <f t="shared" si="2"/>
        <v>3.8022813688212928E-3</v>
      </c>
      <c r="AC45">
        <f t="shared" si="3"/>
        <v>37</v>
      </c>
    </row>
    <row r="46" spans="1:29">
      <c r="Y46" s="1">
        <f>IF('حساب التركة والوصايا'!R56=0,1,'حساب التركة والوصايا'!T56)</f>
        <v>1</v>
      </c>
      <c r="AB46" s="1">
        <f t="shared" si="2"/>
        <v>3.8167938931297708E-3</v>
      </c>
      <c r="AC46">
        <f t="shared" si="3"/>
        <v>38</v>
      </c>
    </row>
    <row r="47" spans="1:29">
      <c r="Y47" s="1">
        <f>IF('حساب التركة والوصايا'!R57=0,1,'حساب التركة والوصايا'!T57)</f>
        <v>1</v>
      </c>
      <c r="AB47" s="1">
        <f t="shared" si="2"/>
        <v>3.8314176245210726E-3</v>
      </c>
      <c r="AC47">
        <f t="shared" si="3"/>
        <v>39</v>
      </c>
    </row>
    <row r="48" spans="1:29">
      <c r="Y48" s="1">
        <f>IF('حساب التركة والوصايا'!R58=0,1,'حساب التركة والوصايا'!T58)</f>
        <v>1</v>
      </c>
      <c r="AB48" s="1">
        <f t="shared" si="2"/>
        <v>3.8461538461538464E-3</v>
      </c>
      <c r="AC48">
        <f t="shared" si="3"/>
        <v>40</v>
      </c>
    </row>
    <row r="49" spans="25:29">
      <c r="Y49" s="1">
        <f>IF('حساب التركة والوصايا'!R59=0,1,'حساب التركة والوصايا'!T59)</f>
        <v>1</v>
      </c>
      <c r="AB49" s="1">
        <f t="shared" si="2"/>
        <v>3.8610038610038611E-3</v>
      </c>
      <c r="AC49">
        <f t="shared" si="3"/>
        <v>41</v>
      </c>
    </row>
    <row r="50" spans="25:29">
      <c r="Y50" s="1">
        <f>IF('حساب التركة والوصايا'!R60=0,1,'حساب التركة والوصايا'!T60)</f>
        <v>1</v>
      </c>
      <c r="AB50" s="1">
        <f t="shared" si="2"/>
        <v>3.875968992248062E-3</v>
      </c>
      <c r="AC50">
        <f t="shared" si="3"/>
        <v>42</v>
      </c>
    </row>
    <row r="51" spans="25:29">
      <c r="Y51" s="1">
        <f>IF('حساب التركة والوصايا'!R61=0,1,'حساب التركة والوصايا'!T61)</f>
        <v>1</v>
      </c>
      <c r="AB51" s="1">
        <f t="shared" si="2"/>
        <v>3.8910505836575876E-3</v>
      </c>
      <c r="AC51">
        <f t="shared" si="3"/>
        <v>43</v>
      </c>
    </row>
    <row r="52" spans="25:29">
      <c r="Y52" s="1">
        <f>IF('حساب التركة والوصايا'!R62=0,1,'حساب التركة والوصايا'!T62)</f>
        <v>1</v>
      </c>
      <c r="AB52" s="1">
        <f t="shared" si="2"/>
        <v>3.90625E-3</v>
      </c>
      <c r="AC52">
        <f t="shared" si="3"/>
        <v>44</v>
      </c>
    </row>
    <row r="53" spans="25:29">
      <c r="Y53" s="1">
        <f>IF('حساب التركة والوصايا'!R63=0,1,'حساب التركة والوصايا'!T63)</f>
        <v>1</v>
      </c>
      <c r="AB53" s="1">
        <f t="shared" si="2"/>
        <v>3.9215686274509803E-3</v>
      </c>
      <c r="AC53">
        <f t="shared" si="3"/>
        <v>45</v>
      </c>
    </row>
    <row r="54" spans="25:29">
      <c r="Y54" s="1">
        <f>IF('حساب التركة والوصايا'!R64=0,1,'حساب التركة والوصايا'!T64)</f>
        <v>1</v>
      </c>
      <c r="AB54" s="1">
        <f t="shared" si="2"/>
        <v>3.937007874015748E-3</v>
      </c>
      <c r="AC54">
        <f t="shared" si="3"/>
        <v>46</v>
      </c>
    </row>
    <row r="55" spans="25:29">
      <c r="Y55" s="1">
        <f>IF('حساب التركة والوصايا'!R65=0,1,'حساب التركة والوصايا'!T65)</f>
        <v>1</v>
      </c>
      <c r="AB55" s="1">
        <f t="shared" si="2"/>
        <v>3.952569169960474E-3</v>
      </c>
      <c r="AC55">
        <f t="shared" si="3"/>
        <v>47</v>
      </c>
    </row>
    <row r="56" spans="25:29">
      <c r="Y56" s="1">
        <f>IF('حساب التركة والوصايا'!R66=0,1,'حساب التركة والوصايا'!T66)</f>
        <v>1</v>
      </c>
      <c r="AB56" s="1">
        <f t="shared" si="2"/>
        <v>3.968253968253968E-3</v>
      </c>
      <c r="AC56">
        <f t="shared" si="3"/>
        <v>48</v>
      </c>
    </row>
    <row r="57" spans="25:29">
      <c r="Y57" s="1">
        <f>IF('حساب التركة والوصايا'!R67=0,1,'حساب التركة والوصايا'!T67)</f>
        <v>1</v>
      </c>
      <c r="AB57" s="1">
        <f t="shared" si="2"/>
        <v>3.9840637450199202E-3</v>
      </c>
      <c r="AC57">
        <f t="shared" si="3"/>
        <v>49</v>
      </c>
    </row>
    <row r="58" spans="25:29">
      <c r="Y58" s="1">
        <f>IF('حساب التركة والوصايا'!R68=0,1,'حساب التركة والوصايا'!T68)</f>
        <v>1</v>
      </c>
      <c r="AB58" s="1">
        <f t="shared" si="2"/>
        <v>4.0000000000000001E-3</v>
      </c>
      <c r="AC58">
        <f t="shared" si="3"/>
        <v>50</v>
      </c>
    </row>
    <row r="59" spans="25:29">
      <c r="Y59" s="1">
        <f>IF('حساب التركة والوصايا'!R69=0,1,'حساب التركة والوصايا'!T69)</f>
        <v>1</v>
      </c>
      <c r="AB59" s="1">
        <f t="shared" si="2"/>
        <v>4.0160642570281121E-3</v>
      </c>
      <c r="AC59">
        <f t="shared" si="3"/>
        <v>51</v>
      </c>
    </row>
    <row r="60" spans="25:29">
      <c r="Y60" s="1">
        <f>IF('حساب التركة والوصايا'!R70=0,1,'حساب التركة والوصايا'!T70)</f>
        <v>1</v>
      </c>
      <c r="AB60" s="1">
        <f t="shared" si="2"/>
        <v>4.0322580645161289E-3</v>
      </c>
      <c r="AC60">
        <f t="shared" si="3"/>
        <v>52</v>
      </c>
    </row>
    <row r="61" spans="25:29">
      <c r="Y61" s="1">
        <f>IF('حساب التركة والوصايا'!R71=0,1,'حساب التركة والوصايا'!T71)</f>
        <v>1</v>
      </c>
      <c r="AB61" s="1">
        <f t="shared" si="2"/>
        <v>4.048582995951417E-3</v>
      </c>
      <c r="AC61">
        <f t="shared" si="3"/>
        <v>53</v>
      </c>
    </row>
    <row r="62" spans="25:29">
      <c r="Y62" s="1">
        <f>IF('حساب التركة والوصايا'!R72=0,1,'حساب التركة والوصايا'!T72)</f>
        <v>1</v>
      </c>
      <c r="AB62" s="1">
        <f t="shared" si="2"/>
        <v>4.0650406504065045E-3</v>
      </c>
      <c r="AC62">
        <f t="shared" si="3"/>
        <v>54</v>
      </c>
    </row>
    <row r="63" spans="25:29">
      <c r="Y63" s="1">
        <f>IF('حساب التركة والوصايا'!R73=0,1,'حساب التركة والوصايا'!T73)</f>
        <v>1</v>
      </c>
      <c r="AB63" s="1">
        <f t="shared" si="2"/>
        <v>4.0816326530612249E-3</v>
      </c>
      <c r="AC63">
        <f t="shared" si="3"/>
        <v>55</v>
      </c>
    </row>
    <row r="64" spans="25:29">
      <c r="Y64" s="1">
        <f>IF('حساب التركة والوصايا'!R74=0,1,'حساب التركة والوصايا'!T74)</f>
        <v>1</v>
      </c>
      <c r="AB64" s="1">
        <f t="shared" si="2"/>
        <v>4.0983606557377051E-3</v>
      </c>
      <c r="AC64">
        <f t="shared" si="3"/>
        <v>56</v>
      </c>
    </row>
    <row r="65" spans="25:29">
      <c r="Y65" s="1">
        <f>IF('حساب التركة والوصايا'!R75=0,1,'حساب التركة والوصايا'!T75)</f>
        <v>1</v>
      </c>
      <c r="AB65" s="1">
        <f t="shared" si="2"/>
        <v>4.11522633744856E-3</v>
      </c>
      <c r="AC65">
        <f t="shared" si="3"/>
        <v>57</v>
      </c>
    </row>
    <row r="66" spans="25:29">
      <c r="AB66" s="1">
        <f t="shared" si="2"/>
        <v>4.1322314049586778E-3</v>
      </c>
      <c r="AC66">
        <f t="shared" si="3"/>
        <v>58</v>
      </c>
    </row>
    <row r="67" spans="25:29">
      <c r="Y67" s="1">
        <f>MIN(Y8:Y65)</f>
        <v>1</v>
      </c>
      <c r="AB67" s="1">
        <f t="shared" si="2"/>
        <v>4.1493775933609959E-3</v>
      </c>
      <c r="AC67">
        <f t="shared" si="3"/>
        <v>59</v>
      </c>
    </row>
    <row r="68" spans="25:29">
      <c r="Y68">
        <f>IF(Y67&lt;1/999,"ظهور بعض الفرائض بقيم صفرية لصغر الفريضة",0)</f>
        <v>0</v>
      </c>
      <c r="AB68" s="1">
        <f t="shared" si="2"/>
        <v>4.1666666666666666E-3</v>
      </c>
      <c r="AC68">
        <f t="shared" si="3"/>
        <v>60</v>
      </c>
    </row>
    <row r="69" spans="25:29">
      <c r="AB69" s="1">
        <f t="shared" si="2"/>
        <v>4.1841004184100415E-3</v>
      </c>
      <c r="AC69">
        <f t="shared" si="3"/>
        <v>61</v>
      </c>
    </row>
    <row r="70" spans="25:29">
      <c r="AB70" s="1">
        <f t="shared" si="2"/>
        <v>4.2016806722689074E-3</v>
      </c>
      <c r="AC70">
        <f t="shared" si="3"/>
        <v>62</v>
      </c>
    </row>
    <row r="71" spans="25:29">
      <c r="AB71" s="1">
        <f t="shared" si="2"/>
        <v>4.2194092827004216E-3</v>
      </c>
      <c r="AC71">
        <f t="shared" si="3"/>
        <v>63</v>
      </c>
    </row>
    <row r="72" spans="25:29">
      <c r="AB72" s="1">
        <f t="shared" si="2"/>
        <v>4.2372881355932203E-3</v>
      </c>
      <c r="AC72">
        <f t="shared" si="3"/>
        <v>64</v>
      </c>
    </row>
    <row r="73" spans="25:29">
      <c r="AB73" s="1">
        <f t="shared" ref="AB73:AB136" si="4">1/(300-AC73)</f>
        <v>4.2553191489361703E-3</v>
      </c>
      <c r="AC73">
        <f t="shared" si="3"/>
        <v>65</v>
      </c>
    </row>
    <row r="74" spans="25:29">
      <c r="AB74" s="1">
        <f t="shared" si="4"/>
        <v>4.2735042735042739E-3</v>
      </c>
      <c r="AC74">
        <f t="shared" ref="AC74:AC137" si="5">AC73+1</f>
        <v>66</v>
      </c>
    </row>
    <row r="75" spans="25:29">
      <c r="AB75" s="1">
        <f t="shared" si="4"/>
        <v>4.2918454935622317E-3</v>
      </c>
      <c r="AC75">
        <f t="shared" si="5"/>
        <v>67</v>
      </c>
    </row>
    <row r="76" spans="25:29">
      <c r="AB76" s="1">
        <f t="shared" si="4"/>
        <v>4.3103448275862068E-3</v>
      </c>
      <c r="AC76">
        <f t="shared" si="5"/>
        <v>68</v>
      </c>
    </row>
    <row r="77" spans="25:29">
      <c r="AB77" s="1">
        <f t="shared" si="4"/>
        <v>4.329004329004329E-3</v>
      </c>
      <c r="AC77">
        <f t="shared" si="5"/>
        <v>69</v>
      </c>
    </row>
    <row r="78" spans="25:29">
      <c r="AB78" s="1">
        <f t="shared" si="4"/>
        <v>4.3478260869565218E-3</v>
      </c>
      <c r="AC78">
        <f t="shared" si="5"/>
        <v>70</v>
      </c>
    </row>
    <row r="79" spans="25:29">
      <c r="AB79" s="1">
        <f t="shared" si="4"/>
        <v>4.3668122270742356E-3</v>
      </c>
      <c r="AC79">
        <f t="shared" si="5"/>
        <v>71</v>
      </c>
    </row>
    <row r="80" spans="25:29">
      <c r="AB80" s="1">
        <f t="shared" si="4"/>
        <v>4.3859649122807015E-3</v>
      </c>
      <c r="AC80">
        <f t="shared" si="5"/>
        <v>72</v>
      </c>
    </row>
    <row r="81" spans="28:29">
      <c r="AB81" s="1">
        <f t="shared" si="4"/>
        <v>4.4052863436123352E-3</v>
      </c>
      <c r="AC81">
        <f t="shared" si="5"/>
        <v>73</v>
      </c>
    </row>
    <row r="82" spans="28:29">
      <c r="AB82" s="1">
        <f t="shared" si="4"/>
        <v>4.4247787610619468E-3</v>
      </c>
      <c r="AC82">
        <f t="shared" si="5"/>
        <v>74</v>
      </c>
    </row>
    <row r="83" spans="28:29">
      <c r="AB83" s="1">
        <f t="shared" si="4"/>
        <v>4.4444444444444444E-3</v>
      </c>
      <c r="AC83">
        <f t="shared" si="5"/>
        <v>75</v>
      </c>
    </row>
    <row r="84" spans="28:29">
      <c r="AB84" s="1">
        <f t="shared" si="4"/>
        <v>4.464285714285714E-3</v>
      </c>
      <c r="AC84">
        <f t="shared" si="5"/>
        <v>76</v>
      </c>
    </row>
    <row r="85" spans="28:29">
      <c r="AB85" s="1">
        <f t="shared" si="4"/>
        <v>4.4843049327354259E-3</v>
      </c>
      <c r="AC85">
        <f t="shared" si="5"/>
        <v>77</v>
      </c>
    </row>
    <row r="86" spans="28:29">
      <c r="AB86" s="1">
        <f t="shared" si="4"/>
        <v>4.5045045045045045E-3</v>
      </c>
      <c r="AC86">
        <f t="shared" si="5"/>
        <v>78</v>
      </c>
    </row>
    <row r="87" spans="28:29">
      <c r="AB87" s="1">
        <f t="shared" si="4"/>
        <v>4.5248868778280547E-3</v>
      </c>
      <c r="AC87">
        <f t="shared" si="5"/>
        <v>79</v>
      </c>
    </row>
    <row r="88" spans="28:29">
      <c r="AB88" s="1">
        <f t="shared" si="4"/>
        <v>4.5454545454545452E-3</v>
      </c>
      <c r="AC88">
        <f t="shared" si="5"/>
        <v>80</v>
      </c>
    </row>
    <row r="89" spans="28:29">
      <c r="AB89" s="1">
        <f t="shared" si="4"/>
        <v>4.5662100456621002E-3</v>
      </c>
      <c r="AC89">
        <f t="shared" si="5"/>
        <v>81</v>
      </c>
    </row>
    <row r="90" spans="28:29">
      <c r="AB90" s="1">
        <f t="shared" si="4"/>
        <v>4.5871559633027525E-3</v>
      </c>
      <c r="AC90">
        <f t="shared" si="5"/>
        <v>82</v>
      </c>
    </row>
    <row r="91" spans="28:29">
      <c r="AB91" s="1">
        <f t="shared" si="4"/>
        <v>4.608294930875576E-3</v>
      </c>
      <c r="AC91">
        <f t="shared" si="5"/>
        <v>83</v>
      </c>
    </row>
    <row r="92" spans="28:29">
      <c r="AB92" s="1">
        <f t="shared" si="4"/>
        <v>4.6296296296296294E-3</v>
      </c>
      <c r="AC92">
        <f t="shared" si="5"/>
        <v>84</v>
      </c>
    </row>
    <row r="93" spans="28:29">
      <c r="AB93" s="1">
        <f t="shared" si="4"/>
        <v>4.6511627906976744E-3</v>
      </c>
      <c r="AC93">
        <f t="shared" si="5"/>
        <v>85</v>
      </c>
    </row>
    <row r="94" spans="28:29">
      <c r="AB94" s="1">
        <f t="shared" si="4"/>
        <v>4.6728971962616819E-3</v>
      </c>
      <c r="AC94">
        <f t="shared" si="5"/>
        <v>86</v>
      </c>
    </row>
    <row r="95" spans="28:29">
      <c r="AB95" s="1">
        <f t="shared" si="4"/>
        <v>4.6948356807511738E-3</v>
      </c>
      <c r="AC95">
        <f t="shared" si="5"/>
        <v>87</v>
      </c>
    </row>
    <row r="96" spans="28:29">
      <c r="AB96" s="1">
        <f t="shared" si="4"/>
        <v>4.7169811320754715E-3</v>
      </c>
      <c r="AC96">
        <f t="shared" si="5"/>
        <v>88</v>
      </c>
    </row>
    <row r="97" spans="28:29">
      <c r="AB97" s="1">
        <f t="shared" si="4"/>
        <v>4.7393364928909956E-3</v>
      </c>
      <c r="AC97">
        <f t="shared" si="5"/>
        <v>89</v>
      </c>
    </row>
    <row r="98" spans="28:29">
      <c r="AB98" s="1">
        <f t="shared" si="4"/>
        <v>4.7619047619047623E-3</v>
      </c>
      <c r="AC98">
        <f t="shared" si="5"/>
        <v>90</v>
      </c>
    </row>
    <row r="99" spans="28:29">
      <c r="AB99" s="1">
        <f t="shared" si="4"/>
        <v>4.7846889952153108E-3</v>
      </c>
      <c r="AC99">
        <f t="shared" si="5"/>
        <v>91</v>
      </c>
    </row>
    <row r="100" spans="28:29">
      <c r="AB100" s="1">
        <f t="shared" si="4"/>
        <v>4.807692307692308E-3</v>
      </c>
      <c r="AC100">
        <f t="shared" si="5"/>
        <v>92</v>
      </c>
    </row>
    <row r="101" spans="28:29">
      <c r="AB101" s="1">
        <f t="shared" si="4"/>
        <v>4.830917874396135E-3</v>
      </c>
      <c r="AC101">
        <f t="shared" si="5"/>
        <v>93</v>
      </c>
    </row>
    <row r="102" spans="28:29">
      <c r="AB102" s="1">
        <f t="shared" si="4"/>
        <v>4.8543689320388345E-3</v>
      </c>
      <c r="AC102">
        <f t="shared" si="5"/>
        <v>94</v>
      </c>
    </row>
    <row r="103" spans="28:29">
      <c r="AB103" s="1">
        <f t="shared" si="4"/>
        <v>4.8780487804878049E-3</v>
      </c>
      <c r="AC103">
        <f t="shared" si="5"/>
        <v>95</v>
      </c>
    </row>
    <row r="104" spans="28:29">
      <c r="AB104" s="1">
        <f t="shared" si="4"/>
        <v>4.9019607843137254E-3</v>
      </c>
      <c r="AC104">
        <f t="shared" si="5"/>
        <v>96</v>
      </c>
    </row>
    <row r="105" spans="28:29">
      <c r="AB105" s="1">
        <f t="shared" si="4"/>
        <v>4.9261083743842365E-3</v>
      </c>
      <c r="AC105">
        <f t="shared" si="5"/>
        <v>97</v>
      </c>
    </row>
    <row r="106" spans="28:29">
      <c r="AB106" s="1">
        <f t="shared" si="4"/>
        <v>4.9504950495049506E-3</v>
      </c>
      <c r="AC106">
        <f t="shared" si="5"/>
        <v>98</v>
      </c>
    </row>
    <row r="107" spans="28:29">
      <c r="AB107" s="1">
        <f t="shared" si="4"/>
        <v>4.9751243781094526E-3</v>
      </c>
      <c r="AC107">
        <f t="shared" si="5"/>
        <v>99</v>
      </c>
    </row>
    <row r="108" spans="28:29">
      <c r="AB108" s="1">
        <f t="shared" si="4"/>
        <v>5.0000000000000001E-3</v>
      </c>
      <c r="AC108">
        <f t="shared" si="5"/>
        <v>100</v>
      </c>
    </row>
    <row r="109" spans="28:29">
      <c r="AB109" s="1">
        <f t="shared" si="4"/>
        <v>5.0251256281407036E-3</v>
      </c>
      <c r="AC109">
        <f t="shared" si="5"/>
        <v>101</v>
      </c>
    </row>
    <row r="110" spans="28:29">
      <c r="AB110" s="1">
        <f t="shared" si="4"/>
        <v>5.0505050505050509E-3</v>
      </c>
      <c r="AC110">
        <f t="shared" si="5"/>
        <v>102</v>
      </c>
    </row>
    <row r="111" spans="28:29">
      <c r="AB111" s="1">
        <f t="shared" si="4"/>
        <v>5.076142131979695E-3</v>
      </c>
      <c r="AC111">
        <f t="shared" si="5"/>
        <v>103</v>
      </c>
    </row>
    <row r="112" spans="28:29">
      <c r="AB112" s="1">
        <f t="shared" si="4"/>
        <v>5.1020408163265302E-3</v>
      </c>
      <c r="AC112">
        <f t="shared" si="5"/>
        <v>104</v>
      </c>
    </row>
    <row r="113" spans="28:29">
      <c r="AB113" s="1">
        <f t="shared" si="4"/>
        <v>5.1282051282051282E-3</v>
      </c>
      <c r="AC113">
        <f t="shared" si="5"/>
        <v>105</v>
      </c>
    </row>
    <row r="114" spans="28:29">
      <c r="AB114" s="1">
        <f t="shared" si="4"/>
        <v>5.1546391752577319E-3</v>
      </c>
      <c r="AC114">
        <f t="shared" si="5"/>
        <v>106</v>
      </c>
    </row>
    <row r="115" spans="28:29">
      <c r="AB115" s="1">
        <f t="shared" si="4"/>
        <v>5.1813471502590676E-3</v>
      </c>
      <c r="AC115">
        <f t="shared" si="5"/>
        <v>107</v>
      </c>
    </row>
    <row r="116" spans="28:29">
      <c r="AB116" s="1">
        <f t="shared" si="4"/>
        <v>5.208333333333333E-3</v>
      </c>
      <c r="AC116">
        <f t="shared" si="5"/>
        <v>108</v>
      </c>
    </row>
    <row r="117" spans="28:29">
      <c r="AB117" s="1">
        <f t="shared" si="4"/>
        <v>5.235602094240838E-3</v>
      </c>
      <c r="AC117">
        <f t="shared" si="5"/>
        <v>109</v>
      </c>
    </row>
    <row r="118" spans="28:29">
      <c r="AB118" s="1">
        <f t="shared" si="4"/>
        <v>5.263157894736842E-3</v>
      </c>
      <c r="AC118">
        <f t="shared" si="5"/>
        <v>110</v>
      </c>
    </row>
    <row r="119" spans="28:29">
      <c r="AB119" s="1">
        <f t="shared" si="4"/>
        <v>5.2910052910052907E-3</v>
      </c>
      <c r="AC119">
        <f t="shared" si="5"/>
        <v>111</v>
      </c>
    </row>
    <row r="120" spans="28:29">
      <c r="AB120" s="1">
        <f t="shared" si="4"/>
        <v>5.3191489361702126E-3</v>
      </c>
      <c r="AC120">
        <f t="shared" si="5"/>
        <v>112</v>
      </c>
    </row>
    <row r="121" spans="28:29">
      <c r="AB121" s="1">
        <f t="shared" si="4"/>
        <v>5.3475935828877002E-3</v>
      </c>
      <c r="AC121">
        <f t="shared" si="5"/>
        <v>113</v>
      </c>
    </row>
    <row r="122" spans="28:29">
      <c r="AB122" s="1">
        <f t="shared" si="4"/>
        <v>5.3763440860215058E-3</v>
      </c>
      <c r="AC122">
        <f t="shared" si="5"/>
        <v>114</v>
      </c>
    </row>
    <row r="123" spans="28:29">
      <c r="AB123" s="1">
        <f t="shared" si="4"/>
        <v>5.4054054054054057E-3</v>
      </c>
      <c r="AC123">
        <f t="shared" si="5"/>
        <v>115</v>
      </c>
    </row>
    <row r="124" spans="28:29">
      <c r="AB124" s="1">
        <f t="shared" si="4"/>
        <v>5.434782608695652E-3</v>
      </c>
      <c r="AC124">
        <f t="shared" si="5"/>
        <v>116</v>
      </c>
    </row>
    <row r="125" spans="28:29">
      <c r="AB125" s="1">
        <f t="shared" si="4"/>
        <v>5.4644808743169399E-3</v>
      </c>
      <c r="AC125">
        <f t="shared" si="5"/>
        <v>117</v>
      </c>
    </row>
    <row r="126" spans="28:29">
      <c r="AB126" s="1">
        <f t="shared" si="4"/>
        <v>5.4945054945054949E-3</v>
      </c>
      <c r="AC126">
        <f t="shared" si="5"/>
        <v>118</v>
      </c>
    </row>
    <row r="127" spans="28:29">
      <c r="AB127" s="1">
        <f t="shared" si="4"/>
        <v>5.5248618784530384E-3</v>
      </c>
      <c r="AC127">
        <f t="shared" si="5"/>
        <v>119</v>
      </c>
    </row>
    <row r="128" spans="28:29">
      <c r="AB128" s="1">
        <f t="shared" si="4"/>
        <v>5.5555555555555558E-3</v>
      </c>
      <c r="AC128">
        <f t="shared" si="5"/>
        <v>120</v>
      </c>
    </row>
    <row r="129" spans="28:29">
      <c r="AB129" s="1">
        <f t="shared" si="4"/>
        <v>5.5865921787709499E-3</v>
      </c>
      <c r="AC129">
        <f t="shared" si="5"/>
        <v>121</v>
      </c>
    </row>
    <row r="130" spans="28:29">
      <c r="AB130" s="1">
        <f t="shared" si="4"/>
        <v>5.6179775280898875E-3</v>
      </c>
      <c r="AC130">
        <f t="shared" si="5"/>
        <v>122</v>
      </c>
    </row>
    <row r="131" spans="28:29">
      <c r="AB131" s="1">
        <f t="shared" si="4"/>
        <v>5.6497175141242938E-3</v>
      </c>
      <c r="AC131">
        <f t="shared" si="5"/>
        <v>123</v>
      </c>
    </row>
    <row r="132" spans="28:29">
      <c r="AB132" s="1">
        <f t="shared" si="4"/>
        <v>5.681818181818182E-3</v>
      </c>
      <c r="AC132">
        <f t="shared" si="5"/>
        <v>124</v>
      </c>
    </row>
    <row r="133" spans="28:29">
      <c r="AB133" s="1">
        <f t="shared" si="4"/>
        <v>5.7142857142857143E-3</v>
      </c>
      <c r="AC133">
        <f t="shared" si="5"/>
        <v>125</v>
      </c>
    </row>
    <row r="134" spans="28:29">
      <c r="AB134" s="1">
        <f t="shared" si="4"/>
        <v>5.7471264367816091E-3</v>
      </c>
      <c r="AC134">
        <f t="shared" si="5"/>
        <v>126</v>
      </c>
    </row>
    <row r="135" spans="28:29">
      <c r="AB135" s="1">
        <f t="shared" si="4"/>
        <v>5.7803468208092483E-3</v>
      </c>
      <c r="AC135">
        <f t="shared" si="5"/>
        <v>127</v>
      </c>
    </row>
    <row r="136" spans="28:29">
      <c r="AB136" s="1">
        <f t="shared" si="4"/>
        <v>5.8139534883720929E-3</v>
      </c>
      <c r="AC136">
        <f t="shared" si="5"/>
        <v>128</v>
      </c>
    </row>
    <row r="137" spans="28:29">
      <c r="AB137" s="1">
        <f t="shared" ref="AB137:AB200" si="6">1/(300-AC137)</f>
        <v>5.8479532163742687E-3</v>
      </c>
      <c r="AC137">
        <f t="shared" si="5"/>
        <v>129</v>
      </c>
    </row>
    <row r="138" spans="28:29">
      <c r="AB138" s="1">
        <f t="shared" si="6"/>
        <v>5.8823529411764705E-3</v>
      </c>
      <c r="AC138">
        <f t="shared" ref="AC138:AC201" si="7">AC137+1</f>
        <v>130</v>
      </c>
    </row>
    <row r="139" spans="28:29">
      <c r="AB139" s="1">
        <f t="shared" si="6"/>
        <v>5.9171597633136093E-3</v>
      </c>
      <c r="AC139">
        <f t="shared" si="7"/>
        <v>131</v>
      </c>
    </row>
    <row r="140" spans="28:29">
      <c r="AB140" s="1">
        <f t="shared" si="6"/>
        <v>5.9523809523809521E-3</v>
      </c>
      <c r="AC140">
        <f t="shared" si="7"/>
        <v>132</v>
      </c>
    </row>
    <row r="141" spans="28:29">
      <c r="AB141" s="1">
        <f t="shared" si="6"/>
        <v>5.9880239520958087E-3</v>
      </c>
      <c r="AC141">
        <f t="shared" si="7"/>
        <v>133</v>
      </c>
    </row>
    <row r="142" spans="28:29">
      <c r="AB142" s="1">
        <f t="shared" si="6"/>
        <v>6.024096385542169E-3</v>
      </c>
      <c r="AC142">
        <f t="shared" si="7"/>
        <v>134</v>
      </c>
    </row>
    <row r="143" spans="28:29">
      <c r="AB143" s="1">
        <f t="shared" si="6"/>
        <v>6.0606060606060606E-3</v>
      </c>
      <c r="AC143">
        <f t="shared" si="7"/>
        <v>135</v>
      </c>
    </row>
    <row r="144" spans="28:29">
      <c r="AB144" s="1">
        <f t="shared" si="6"/>
        <v>6.0975609756097563E-3</v>
      </c>
      <c r="AC144">
        <f t="shared" si="7"/>
        <v>136</v>
      </c>
    </row>
    <row r="145" spans="28:29">
      <c r="AB145" s="1">
        <f t="shared" si="6"/>
        <v>6.1349693251533744E-3</v>
      </c>
      <c r="AC145">
        <f t="shared" si="7"/>
        <v>137</v>
      </c>
    </row>
    <row r="146" spans="28:29">
      <c r="AB146" s="1">
        <f t="shared" si="6"/>
        <v>6.1728395061728392E-3</v>
      </c>
      <c r="AC146">
        <f t="shared" si="7"/>
        <v>138</v>
      </c>
    </row>
    <row r="147" spans="28:29">
      <c r="AB147" s="1">
        <f t="shared" si="6"/>
        <v>6.2111801242236021E-3</v>
      </c>
      <c r="AC147">
        <f t="shared" si="7"/>
        <v>139</v>
      </c>
    </row>
    <row r="148" spans="28:29">
      <c r="AB148" s="1">
        <f t="shared" si="6"/>
        <v>6.2500000000000003E-3</v>
      </c>
      <c r="AC148">
        <f t="shared" si="7"/>
        <v>140</v>
      </c>
    </row>
    <row r="149" spans="28:29">
      <c r="AB149" s="1">
        <f t="shared" si="6"/>
        <v>6.2893081761006293E-3</v>
      </c>
      <c r="AC149">
        <f t="shared" si="7"/>
        <v>141</v>
      </c>
    </row>
    <row r="150" spans="28:29">
      <c r="AB150" s="1">
        <f t="shared" si="6"/>
        <v>6.3291139240506328E-3</v>
      </c>
      <c r="AC150">
        <f t="shared" si="7"/>
        <v>142</v>
      </c>
    </row>
    <row r="151" spans="28:29">
      <c r="AB151" s="1">
        <f t="shared" si="6"/>
        <v>6.369426751592357E-3</v>
      </c>
      <c r="AC151">
        <f t="shared" si="7"/>
        <v>143</v>
      </c>
    </row>
    <row r="152" spans="28:29">
      <c r="AB152" s="1">
        <f t="shared" si="6"/>
        <v>6.41025641025641E-3</v>
      </c>
      <c r="AC152">
        <f t="shared" si="7"/>
        <v>144</v>
      </c>
    </row>
    <row r="153" spans="28:29">
      <c r="AB153" s="1">
        <f t="shared" si="6"/>
        <v>6.4516129032258064E-3</v>
      </c>
      <c r="AC153">
        <f t="shared" si="7"/>
        <v>145</v>
      </c>
    </row>
    <row r="154" spans="28:29">
      <c r="AB154" s="1">
        <f t="shared" si="6"/>
        <v>6.4935064935064939E-3</v>
      </c>
      <c r="AC154">
        <f t="shared" si="7"/>
        <v>146</v>
      </c>
    </row>
    <row r="155" spans="28:29">
      <c r="AB155" s="1">
        <f t="shared" si="6"/>
        <v>6.5359477124183009E-3</v>
      </c>
      <c r="AC155">
        <f t="shared" si="7"/>
        <v>147</v>
      </c>
    </row>
    <row r="156" spans="28:29">
      <c r="AB156" s="1">
        <f t="shared" si="6"/>
        <v>6.5789473684210523E-3</v>
      </c>
      <c r="AC156">
        <f t="shared" si="7"/>
        <v>148</v>
      </c>
    </row>
    <row r="157" spans="28:29">
      <c r="AB157" s="1">
        <f t="shared" si="6"/>
        <v>6.6225165562913907E-3</v>
      </c>
      <c r="AC157">
        <f t="shared" si="7"/>
        <v>149</v>
      </c>
    </row>
    <row r="158" spans="28:29">
      <c r="AB158" s="1">
        <f t="shared" si="6"/>
        <v>6.6666666666666671E-3</v>
      </c>
      <c r="AC158">
        <f t="shared" si="7"/>
        <v>150</v>
      </c>
    </row>
    <row r="159" spans="28:29">
      <c r="AB159" s="1">
        <f t="shared" si="6"/>
        <v>6.7114093959731542E-3</v>
      </c>
      <c r="AC159">
        <f t="shared" si="7"/>
        <v>151</v>
      </c>
    </row>
    <row r="160" spans="28:29">
      <c r="AB160" s="1">
        <f t="shared" si="6"/>
        <v>6.7567567567567571E-3</v>
      </c>
      <c r="AC160">
        <f t="shared" si="7"/>
        <v>152</v>
      </c>
    </row>
    <row r="161" spans="28:29">
      <c r="AB161" s="1">
        <f t="shared" si="6"/>
        <v>6.8027210884353739E-3</v>
      </c>
      <c r="AC161">
        <f t="shared" si="7"/>
        <v>153</v>
      </c>
    </row>
    <row r="162" spans="28:29">
      <c r="AB162" s="1">
        <f t="shared" si="6"/>
        <v>6.8493150684931503E-3</v>
      </c>
      <c r="AC162">
        <f t="shared" si="7"/>
        <v>154</v>
      </c>
    </row>
    <row r="163" spans="28:29">
      <c r="AB163" s="1">
        <f t="shared" si="6"/>
        <v>6.8965517241379309E-3</v>
      </c>
      <c r="AC163">
        <f t="shared" si="7"/>
        <v>155</v>
      </c>
    </row>
    <row r="164" spans="28:29">
      <c r="AB164" s="1">
        <f t="shared" si="6"/>
        <v>6.9444444444444441E-3</v>
      </c>
      <c r="AC164">
        <f t="shared" si="7"/>
        <v>156</v>
      </c>
    </row>
    <row r="165" spans="28:29">
      <c r="AB165" s="1">
        <f t="shared" si="6"/>
        <v>6.993006993006993E-3</v>
      </c>
      <c r="AC165">
        <f t="shared" si="7"/>
        <v>157</v>
      </c>
    </row>
    <row r="166" spans="28:29">
      <c r="AB166" s="1">
        <f t="shared" si="6"/>
        <v>7.0422535211267607E-3</v>
      </c>
      <c r="AC166">
        <f t="shared" si="7"/>
        <v>158</v>
      </c>
    </row>
    <row r="167" spans="28:29">
      <c r="AB167" s="1">
        <f t="shared" si="6"/>
        <v>7.0921985815602835E-3</v>
      </c>
      <c r="AC167">
        <f t="shared" si="7"/>
        <v>159</v>
      </c>
    </row>
    <row r="168" spans="28:29">
      <c r="AB168" s="1">
        <f t="shared" si="6"/>
        <v>7.1428571428571426E-3</v>
      </c>
      <c r="AC168">
        <f t="shared" si="7"/>
        <v>160</v>
      </c>
    </row>
    <row r="169" spans="28:29">
      <c r="AB169" s="1">
        <f t="shared" si="6"/>
        <v>7.1942446043165471E-3</v>
      </c>
      <c r="AC169">
        <f t="shared" si="7"/>
        <v>161</v>
      </c>
    </row>
    <row r="170" spans="28:29">
      <c r="AB170" s="1">
        <f t="shared" si="6"/>
        <v>7.246376811594203E-3</v>
      </c>
      <c r="AC170">
        <f t="shared" si="7"/>
        <v>162</v>
      </c>
    </row>
    <row r="171" spans="28:29">
      <c r="AB171" s="1">
        <f t="shared" si="6"/>
        <v>7.2992700729927005E-3</v>
      </c>
      <c r="AC171">
        <f t="shared" si="7"/>
        <v>163</v>
      </c>
    </row>
    <row r="172" spans="28:29">
      <c r="AB172" s="1">
        <f t="shared" si="6"/>
        <v>7.3529411764705881E-3</v>
      </c>
      <c r="AC172">
        <f t="shared" si="7"/>
        <v>164</v>
      </c>
    </row>
    <row r="173" spans="28:29">
      <c r="AB173" s="1">
        <f t="shared" si="6"/>
        <v>7.4074074074074077E-3</v>
      </c>
      <c r="AC173">
        <f t="shared" si="7"/>
        <v>165</v>
      </c>
    </row>
    <row r="174" spans="28:29">
      <c r="AB174" s="1">
        <f t="shared" si="6"/>
        <v>7.462686567164179E-3</v>
      </c>
      <c r="AC174">
        <f t="shared" si="7"/>
        <v>166</v>
      </c>
    </row>
    <row r="175" spans="28:29">
      <c r="AB175" s="1">
        <f t="shared" si="6"/>
        <v>7.5187969924812026E-3</v>
      </c>
      <c r="AC175">
        <f t="shared" si="7"/>
        <v>167</v>
      </c>
    </row>
    <row r="176" spans="28:29">
      <c r="AB176" s="1">
        <f t="shared" si="6"/>
        <v>7.575757575757576E-3</v>
      </c>
      <c r="AC176">
        <f t="shared" si="7"/>
        <v>168</v>
      </c>
    </row>
    <row r="177" spans="28:29">
      <c r="AB177" s="1">
        <f t="shared" si="6"/>
        <v>7.6335877862595417E-3</v>
      </c>
      <c r="AC177">
        <f t="shared" si="7"/>
        <v>169</v>
      </c>
    </row>
    <row r="178" spans="28:29">
      <c r="AB178" s="1">
        <f t="shared" si="6"/>
        <v>7.6923076923076927E-3</v>
      </c>
      <c r="AC178">
        <f t="shared" si="7"/>
        <v>170</v>
      </c>
    </row>
    <row r="179" spans="28:29">
      <c r="AB179" s="1">
        <f t="shared" si="6"/>
        <v>7.7519379844961239E-3</v>
      </c>
      <c r="AC179">
        <f t="shared" si="7"/>
        <v>171</v>
      </c>
    </row>
    <row r="180" spans="28:29">
      <c r="AB180" s="1">
        <f t="shared" si="6"/>
        <v>7.8125E-3</v>
      </c>
      <c r="AC180">
        <f t="shared" si="7"/>
        <v>172</v>
      </c>
    </row>
    <row r="181" spans="28:29">
      <c r="AB181" s="1">
        <f t="shared" si="6"/>
        <v>7.874015748031496E-3</v>
      </c>
      <c r="AC181">
        <f t="shared" si="7"/>
        <v>173</v>
      </c>
    </row>
    <row r="182" spans="28:29">
      <c r="AB182" s="1">
        <f t="shared" si="6"/>
        <v>7.9365079365079361E-3</v>
      </c>
      <c r="AC182">
        <f t="shared" si="7"/>
        <v>174</v>
      </c>
    </row>
    <row r="183" spans="28:29">
      <c r="AB183" s="1">
        <f t="shared" si="6"/>
        <v>8.0000000000000002E-3</v>
      </c>
      <c r="AC183">
        <f t="shared" si="7"/>
        <v>175</v>
      </c>
    </row>
    <row r="184" spans="28:29">
      <c r="AB184" s="1">
        <f t="shared" si="6"/>
        <v>8.0645161290322578E-3</v>
      </c>
      <c r="AC184">
        <f t="shared" si="7"/>
        <v>176</v>
      </c>
    </row>
    <row r="185" spans="28:29">
      <c r="AB185" s="1">
        <f t="shared" si="6"/>
        <v>8.130081300813009E-3</v>
      </c>
      <c r="AC185">
        <f t="shared" si="7"/>
        <v>177</v>
      </c>
    </row>
    <row r="186" spans="28:29">
      <c r="AB186" s="1">
        <f t="shared" si="6"/>
        <v>8.1967213114754103E-3</v>
      </c>
      <c r="AC186">
        <f t="shared" si="7"/>
        <v>178</v>
      </c>
    </row>
    <row r="187" spans="28:29">
      <c r="AB187" s="1">
        <f t="shared" si="6"/>
        <v>8.2644628099173556E-3</v>
      </c>
      <c r="AC187">
        <f t="shared" si="7"/>
        <v>179</v>
      </c>
    </row>
    <row r="188" spans="28:29">
      <c r="AB188" s="1">
        <f t="shared" si="6"/>
        <v>8.3333333333333332E-3</v>
      </c>
      <c r="AC188">
        <f t="shared" si="7"/>
        <v>180</v>
      </c>
    </row>
    <row r="189" spans="28:29">
      <c r="AB189" s="1">
        <f t="shared" si="6"/>
        <v>8.4033613445378148E-3</v>
      </c>
      <c r="AC189">
        <f t="shared" si="7"/>
        <v>181</v>
      </c>
    </row>
    <row r="190" spans="28:29">
      <c r="AB190" s="1">
        <f t="shared" si="6"/>
        <v>8.4745762711864406E-3</v>
      </c>
      <c r="AC190">
        <f t="shared" si="7"/>
        <v>182</v>
      </c>
    </row>
    <row r="191" spans="28:29">
      <c r="AB191" s="1">
        <f t="shared" si="6"/>
        <v>8.5470085470085479E-3</v>
      </c>
      <c r="AC191">
        <f t="shared" si="7"/>
        <v>183</v>
      </c>
    </row>
    <row r="192" spans="28:29">
      <c r="AB192" s="1">
        <f t="shared" si="6"/>
        <v>8.6206896551724137E-3</v>
      </c>
      <c r="AC192">
        <f t="shared" si="7"/>
        <v>184</v>
      </c>
    </row>
    <row r="193" spans="28:29">
      <c r="AB193" s="1">
        <f t="shared" si="6"/>
        <v>8.6956521739130436E-3</v>
      </c>
      <c r="AC193">
        <f t="shared" si="7"/>
        <v>185</v>
      </c>
    </row>
    <row r="194" spans="28:29">
      <c r="AB194" s="1">
        <f t="shared" si="6"/>
        <v>8.771929824561403E-3</v>
      </c>
      <c r="AC194">
        <f t="shared" si="7"/>
        <v>186</v>
      </c>
    </row>
    <row r="195" spans="28:29">
      <c r="AB195" s="1">
        <f t="shared" si="6"/>
        <v>8.8495575221238937E-3</v>
      </c>
      <c r="AC195">
        <f t="shared" si="7"/>
        <v>187</v>
      </c>
    </row>
    <row r="196" spans="28:29">
      <c r="AB196" s="1">
        <f t="shared" si="6"/>
        <v>8.9285714285714281E-3</v>
      </c>
      <c r="AC196">
        <f t="shared" si="7"/>
        <v>188</v>
      </c>
    </row>
    <row r="197" spans="28:29">
      <c r="AB197" s="1">
        <f t="shared" si="6"/>
        <v>9.0090090090090089E-3</v>
      </c>
      <c r="AC197">
        <f t="shared" si="7"/>
        <v>189</v>
      </c>
    </row>
    <row r="198" spans="28:29">
      <c r="AB198" s="1">
        <f t="shared" si="6"/>
        <v>9.0909090909090905E-3</v>
      </c>
      <c r="AC198">
        <f t="shared" si="7"/>
        <v>190</v>
      </c>
    </row>
    <row r="199" spans="28:29">
      <c r="AB199" s="1">
        <f t="shared" si="6"/>
        <v>9.1743119266055051E-3</v>
      </c>
      <c r="AC199">
        <f t="shared" si="7"/>
        <v>191</v>
      </c>
    </row>
    <row r="200" spans="28:29">
      <c r="AB200" s="1">
        <f t="shared" si="6"/>
        <v>9.2592592592592587E-3</v>
      </c>
      <c r="AC200">
        <f t="shared" si="7"/>
        <v>192</v>
      </c>
    </row>
    <row r="201" spans="28:29">
      <c r="AB201" s="1">
        <f t="shared" ref="AB201:AB264" si="8">1/(300-AC201)</f>
        <v>9.3457943925233638E-3</v>
      </c>
      <c r="AC201">
        <f t="shared" si="7"/>
        <v>193</v>
      </c>
    </row>
    <row r="202" spans="28:29">
      <c r="AB202" s="1">
        <f t="shared" si="8"/>
        <v>9.433962264150943E-3</v>
      </c>
      <c r="AC202">
        <f t="shared" ref="AC202:AC265" si="9">AC201+1</f>
        <v>194</v>
      </c>
    </row>
    <row r="203" spans="28:29">
      <c r="AB203" s="1">
        <f t="shared" si="8"/>
        <v>9.5238095238095247E-3</v>
      </c>
      <c r="AC203">
        <f t="shared" si="9"/>
        <v>195</v>
      </c>
    </row>
    <row r="204" spans="28:29">
      <c r="AB204" s="1">
        <f t="shared" si="8"/>
        <v>9.6153846153846159E-3</v>
      </c>
      <c r="AC204">
        <f t="shared" si="9"/>
        <v>196</v>
      </c>
    </row>
    <row r="205" spans="28:29">
      <c r="AB205" s="1">
        <f t="shared" si="8"/>
        <v>9.7087378640776691E-3</v>
      </c>
      <c r="AC205">
        <f t="shared" si="9"/>
        <v>197</v>
      </c>
    </row>
    <row r="206" spans="28:29">
      <c r="AB206" s="1">
        <f t="shared" si="8"/>
        <v>9.8039215686274508E-3</v>
      </c>
      <c r="AC206">
        <f t="shared" si="9"/>
        <v>198</v>
      </c>
    </row>
    <row r="207" spans="28:29">
      <c r="AB207" s="1">
        <f t="shared" si="8"/>
        <v>9.9009900990099011E-3</v>
      </c>
      <c r="AC207">
        <f t="shared" si="9"/>
        <v>199</v>
      </c>
    </row>
    <row r="208" spans="28:29">
      <c r="AB208" s="1">
        <f t="shared" si="8"/>
        <v>0.01</v>
      </c>
      <c r="AC208">
        <f t="shared" si="9"/>
        <v>200</v>
      </c>
    </row>
    <row r="209" spans="28:29">
      <c r="AB209" s="1">
        <f t="shared" si="8"/>
        <v>1.0101010101010102E-2</v>
      </c>
      <c r="AC209">
        <f t="shared" si="9"/>
        <v>201</v>
      </c>
    </row>
    <row r="210" spans="28:29">
      <c r="AB210" s="1">
        <f t="shared" si="8"/>
        <v>1.020408163265306E-2</v>
      </c>
      <c r="AC210">
        <f t="shared" si="9"/>
        <v>202</v>
      </c>
    </row>
    <row r="211" spans="28:29">
      <c r="AB211" s="1">
        <f t="shared" si="8"/>
        <v>1.0309278350515464E-2</v>
      </c>
      <c r="AC211">
        <f t="shared" si="9"/>
        <v>203</v>
      </c>
    </row>
    <row r="212" spans="28:29">
      <c r="AB212" s="1">
        <f t="shared" si="8"/>
        <v>1.0416666666666666E-2</v>
      </c>
      <c r="AC212">
        <f t="shared" si="9"/>
        <v>204</v>
      </c>
    </row>
    <row r="213" spans="28:29">
      <c r="AB213" s="1">
        <f t="shared" si="8"/>
        <v>1.0526315789473684E-2</v>
      </c>
      <c r="AC213">
        <f t="shared" si="9"/>
        <v>205</v>
      </c>
    </row>
    <row r="214" spans="28:29">
      <c r="AB214" s="1">
        <f t="shared" si="8"/>
        <v>1.0638297872340425E-2</v>
      </c>
      <c r="AC214">
        <f t="shared" si="9"/>
        <v>206</v>
      </c>
    </row>
    <row r="215" spans="28:29">
      <c r="AB215" s="1">
        <f t="shared" si="8"/>
        <v>1.0752688172043012E-2</v>
      </c>
      <c r="AC215">
        <f t="shared" si="9"/>
        <v>207</v>
      </c>
    </row>
    <row r="216" spans="28:29">
      <c r="AB216" s="1">
        <f t="shared" si="8"/>
        <v>1.0869565217391304E-2</v>
      </c>
      <c r="AC216">
        <f t="shared" si="9"/>
        <v>208</v>
      </c>
    </row>
    <row r="217" spans="28:29">
      <c r="AB217" s="1">
        <f t="shared" si="8"/>
        <v>1.098901098901099E-2</v>
      </c>
      <c r="AC217">
        <f t="shared" si="9"/>
        <v>209</v>
      </c>
    </row>
    <row r="218" spans="28:29">
      <c r="AB218" s="1">
        <f t="shared" si="8"/>
        <v>1.1111111111111112E-2</v>
      </c>
      <c r="AC218">
        <f t="shared" si="9"/>
        <v>210</v>
      </c>
    </row>
    <row r="219" spans="28:29">
      <c r="AB219" s="1">
        <f t="shared" si="8"/>
        <v>1.1235955056179775E-2</v>
      </c>
      <c r="AC219">
        <f t="shared" si="9"/>
        <v>211</v>
      </c>
    </row>
    <row r="220" spans="28:29">
      <c r="AB220" s="1">
        <f t="shared" si="8"/>
        <v>1.1363636363636364E-2</v>
      </c>
      <c r="AC220">
        <f t="shared" si="9"/>
        <v>212</v>
      </c>
    </row>
    <row r="221" spans="28:29">
      <c r="AB221" s="1">
        <f t="shared" si="8"/>
        <v>1.1494252873563218E-2</v>
      </c>
      <c r="AC221">
        <f t="shared" si="9"/>
        <v>213</v>
      </c>
    </row>
    <row r="222" spans="28:29">
      <c r="AB222" s="1">
        <f t="shared" si="8"/>
        <v>1.1627906976744186E-2</v>
      </c>
      <c r="AC222">
        <f t="shared" si="9"/>
        <v>214</v>
      </c>
    </row>
    <row r="223" spans="28:29">
      <c r="AB223" s="1">
        <f t="shared" si="8"/>
        <v>1.1764705882352941E-2</v>
      </c>
      <c r="AC223">
        <f t="shared" si="9"/>
        <v>215</v>
      </c>
    </row>
    <row r="224" spans="28:29">
      <c r="AB224" s="1">
        <f t="shared" si="8"/>
        <v>1.1904761904761904E-2</v>
      </c>
      <c r="AC224">
        <f t="shared" si="9"/>
        <v>216</v>
      </c>
    </row>
    <row r="225" spans="28:29">
      <c r="AB225" s="1">
        <f t="shared" si="8"/>
        <v>1.2048192771084338E-2</v>
      </c>
      <c r="AC225">
        <f t="shared" si="9"/>
        <v>217</v>
      </c>
    </row>
    <row r="226" spans="28:29">
      <c r="AB226" s="1">
        <f t="shared" si="8"/>
        <v>1.2195121951219513E-2</v>
      </c>
      <c r="AC226">
        <f t="shared" si="9"/>
        <v>218</v>
      </c>
    </row>
    <row r="227" spans="28:29">
      <c r="AB227" s="1">
        <f t="shared" si="8"/>
        <v>1.2345679012345678E-2</v>
      </c>
      <c r="AC227">
        <f t="shared" si="9"/>
        <v>219</v>
      </c>
    </row>
    <row r="228" spans="28:29">
      <c r="AB228" s="1">
        <f t="shared" si="8"/>
        <v>1.2500000000000001E-2</v>
      </c>
      <c r="AC228">
        <f t="shared" si="9"/>
        <v>220</v>
      </c>
    </row>
    <row r="229" spans="28:29">
      <c r="AB229" s="1">
        <f t="shared" si="8"/>
        <v>1.2658227848101266E-2</v>
      </c>
      <c r="AC229">
        <f t="shared" si="9"/>
        <v>221</v>
      </c>
    </row>
    <row r="230" spans="28:29">
      <c r="AB230" s="1">
        <f t="shared" si="8"/>
        <v>1.282051282051282E-2</v>
      </c>
      <c r="AC230">
        <f t="shared" si="9"/>
        <v>222</v>
      </c>
    </row>
    <row r="231" spans="28:29">
      <c r="AB231" s="1">
        <f t="shared" si="8"/>
        <v>1.2987012987012988E-2</v>
      </c>
      <c r="AC231">
        <f t="shared" si="9"/>
        <v>223</v>
      </c>
    </row>
    <row r="232" spans="28:29">
      <c r="AB232" s="1">
        <f t="shared" si="8"/>
        <v>1.3157894736842105E-2</v>
      </c>
      <c r="AC232">
        <f t="shared" si="9"/>
        <v>224</v>
      </c>
    </row>
    <row r="233" spans="28:29">
      <c r="AB233" s="1">
        <f t="shared" si="8"/>
        <v>1.3333333333333334E-2</v>
      </c>
      <c r="AC233">
        <f t="shared" si="9"/>
        <v>225</v>
      </c>
    </row>
    <row r="234" spans="28:29">
      <c r="AB234" s="1">
        <f t="shared" si="8"/>
        <v>1.3513513513513514E-2</v>
      </c>
      <c r="AC234">
        <f t="shared" si="9"/>
        <v>226</v>
      </c>
    </row>
    <row r="235" spans="28:29">
      <c r="AB235" s="1">
        <f t="shared" si="8"/>
        <v>1.3698630136986301E-2</v>
      </c>
      <c r="AC235">
        <f t="shared" si="9"/>
        <v>227</v>
      </c>
    </row>
    <row r="236" spans="28:29">
      <c r="AB236" s="1">
        <f t="shared" si="8"/>
        <v>1.3888888888888888E-2</v>
      </c>
      <c r="AC236">
        <f t="shared" si="9"/>
        <v>228</v>
      </c>
    </row>
    <row r="237" spans="28:29">
      <c r="AB237" s="1">
        <f t="shared" si="8"/>
        <v>1.4084507042253521E-2</v>
      </c>
      <c r="AC237">
        <f t="shared" si="9"/>
        <v>229</v>
      </c>
    </row>
    <row r="238" spans="28:29">
      <c r="AB238" s="1">
        <f t="shared" si="8"/>
        <v>1.4285714285714285E-2</v>
      </c>
      <c r="AC238">
        <f t="shared" si="9"/>
        <v>230</v>
      </c>
    </row>
    <row r="239" spans="28:29">
      <c r="AB239" s="1">
        <f t="shared" si="8"/>
        <v>1.4492753623188406E-2</v>
      </c>
      <c r="AC239">
        <f t="shared" si="9"/>
        <v>231</v>
      </c>
    </row>
    <row r="240" spans="28:29">
      <c r="AB240" s="1">
        <f t="shared" si="8"/>
        <v>1.4705882352941176E-2</v>
      </c>
      <c r="AC240">
        <f t="shared" si="9"/>
        <v>232</v>
      </c>
    </row>
    <row r="241" spans="28:29">
      <c r="AB241" s="1">
        <f t="shared" si="8"/>
        <v>1.4925373134328358E-2</v>
      </c>
      <c r="AC241">
        <f t="shared" si="9"/>
        <v>233</v>
      </c>
    </row>
    <row r="242" spans="28:29">
      <c r="AB242" s="1">
        <f t="shared" si="8"/>
        <v>1.5151515151515152E-2</v>
      </c>
      <c r="AC242">
        <f t="shared" si="9"/>
        <v>234</v>
      </c>
    </row>
    <row r="243" spans="28:29">
      <c r="AB243" s="1">
        <f t="shared" si="8"/>
        <v>1.5384615384615385E-2</v>
      </c>
      <c r="AC243">
        <f t="shared" si="9"/>
        <v>235</v>
      </c>
    </row>
    <row r="244" spans="28:29">
      <c r="AB244" s="1">
        <f t="shared" si="8"/>
        <v>1.5625E-2</v>
      </c>
      <c r="AC244">
        <f t="shared" si="9"/>
        <v>236</v>
      </c>
    </row>
    <row r="245" spans="28:29">
      <c r="AB245" s="1">
        <f t="shared" si="8"/>
        <v>1.5873015873015872E-2</v>
      </c>
      <c r="AC245">
        <f t="shared" si="9"/>
        <v>237</v>
      </c>
    </row>
    <row r="246" spans="28:29">
      <c r="AB246" s="1">
        <f t="shared" si="8"/>
        <v>1.6129032258064516E-2</v>
      </c>
      <c r="AC246">
        <f t="shared" si="9"/>
        <v>238</v>
      </c>
    </row>
    <row r="247" spans="28:29">
      <c r="AB247" s="1">
        <f t="shared" si="8"/>
        <v>1.6393442622950821E-2</v>
      </c>
      <c r="AC247">
        <f t="shared" si="9"/>
        <v>239</v>
      </c>
    </row>
    <row r="248" spans="28:29">
      <c r="AB248" s="1">
        <f t="shared" si="8"/>
        <v>1.6666666666666666E-2</v>
      </c>
      <c r="AC248">
        <f t="shared" si="9"/>
        <v>240</v>
      </c>
    </row>
    <row r="249" spans="28:29">
      <c r="AB249" s="1">
        <f t="shared" si="8"/>
        <v>1.6949152542372881E-2</v>
      </c>
      <c r="AC249">
        <f t="shared" si="9"/>
        <v>241</v>
      </c>
    </row>
    <row r="250" spans="28:29">
      <c r="AB250" s="1">
        <f t="shared" si="8"/>
        <v>1.7241379310344827E-2</v>
      </c>
      <c r="AC250">
        <f t="shared" si="9"/>
        <v>242</v>
      </c>
    </row>
    <row r="251" spans="28:29">
      <c r="AB251" s="1">
        <f t="shared" si="8"/>
        <v>1.7543859649122806E-2</v>
      </c>
      <c r="AC251">
        <f t="shared" si="9"/>
        <v>243</v>
      </c>
    </row>
    <row r="252" spans="28:29">
      <c r="AB252" s="1">
        <f t="shared" si="8"/>
        <v>1.7857142857142856E-2</v>
      </c>
      <c r="AC252">
        <f t="shared" si="9"/>
        <v>244</v>
      </c>
    </row>
    <row r="253" spans="28:29">
      <c r="AB253" s="1">
        <f t="shared" si="8"/>
        <v>1.8181818181818181E-2</v>
      </c>
      <c r="AC253">
        <f t="shared" si="9"/>
        <v>245</v>
      </c>
    </row>
    <row r="254" spans="28:29">
      <c r="AB254" s="1">
        <f t="shared" si="8"/>
        <v>1.8518518518518517E-2</v>
      </c>
      <c r="AC254">
        <f t="shared" si="9"/>
        <v>246</v>
      </c>
    </row>
    <row r="255" spans="28:29">
      <c r="AB255" s="1">
        <f t="shared" si="8"/>
        <v>1.8867924528301886E-2</v>
      </c>
      <c r="AC255">
        <f t="shared" si="9"/>
        <v>247</v>
      </c>
    </row>
    <row r="256" spans="28:29">
      <c r="AB256" s="1">
        <f t="shared" si="8"/>
        <v>1.9230769230769232E-2</v>
      </c>
      <c r="AC256">
        <f t="shared" si="9"/>
        <v>248</v>
      </c>
    </row>
    <row r="257" spans="28:29">
      <c r="AB257" s="1">
        <f t="shared" si="8"/>
        <v>1.9607843137254902E-2</v>
      </c>
      <c r="AC257">
        <f t="shared" si="9"/>
        <v>249</v>
      </c>
    </row>
    <row r="258" spans="28:29">
      <c r="AB258" s="1">
        <f t="shared" si="8"/>
        <v>0.02</v>
      </c>
      <c r="AC258">
        <f t="shared" si="9"/>
        <v>250</v>
      </c>
    </row>
    <row r="259" spans="28:29">
      <c r="AB259" s="1">
        <f t="shared" si="8"/>
        <v>2.0408163265306121E-2</v>
      </c>
      <c r="AC259">
        <f t="shared" si="9"/>
        <v>251</v>
      </c>
    </row>
    <row r="260" spans="28:29">
      <c r="AB260" s="1">
        <f t="shared" si="8"/>
        <v>2.0833333333333332E-2</v>
      </c>
      <c r="AC260">
        <f t="shared" si="9"/>
        <v>252</v>
      </c>
    </row>
    <row r="261" spans="28:29">
      <c r="AB261" s="1">
        <f t="shared" si="8"/>
        <v>2.1276595744680851E-2</v>
      </c>
      <c r="AC261">
        <f t="shared" si="9"/>
        <v>253</v>
      </c>
    </row>
    <row r="262" spans="28:29">
      <c r="AB262" s="1">
        <f t="shared" si="8"/>
        <v>2.1739130434782608E-2</v>
      </c>
      <c r="AC262">
        <f t="shared" si="9"/>
        <v>254</v>
      </c>
    </row>
    <row r="263" spans="28:29">
      <c r="AB263" s="1">
        <f t="shared" si="8"/>
        <v>2.2222222222222223E-2</v>
      </c>
      <c r="AC263">
        <f t="shared" si="9"/>
        <v>255</v>
      </c>
    </row>
    <row r="264" spans="28:29">
      <c r="AB264" s="1">
        <f t="shared" si="8"/>
        <v>2.2727272727272728E-2</v>
      </c>
      <c r="AC264">
        <f t="shared" si="9"/>
        <v>256</v>
      </c>
    </row>
    <row r="265" spans="28:29">
      <c r="AB265" s="1">
        <f t="shared" ref="AB265:AB306" si="10">1/(300-AC265)</f>
        <v>2.3255813953488372E-2</v>
      </c>
      <c r="AC265">
        <f t="shared" si="9"/>
        <v>257</v>
      </c>
    </row>
    <row r="266" spans="28:29">
      <c r="AB266" s="1">
        <f t="shared" si="10"/>
        <v>2.3809523809523808E-2</v>
      </c>
      <c r="AC266">
        <f t="shared" ref="AC266:AC307" si="11">AC265+1</f>
        <v>258</v>
      </c>
    </row>
    <row r="267" spans="28:29">
      <c r="AB267" s="1">
        <f t="shared" si="10"/>
        <v>2.4390243902439025E-2</v>
      </c>
      <c r="AC267">
        <f t="shared" si="11"/>
        <v>259</v>
      </c>
    </row>
    <row r="268" spans="28:29">
      <c r="AB268" s="1">
        <f t="shared" si="10"/>
        <v>2.5000000000000001E-2</v>
      </c>
      <c r="AC268">
        <f t="shared" si="11"/>
        <v>260</v>
      </c>
    </row>
    <row r="269" spans="28:29">
      <c r="AB269" s="1">
        <f t="shared" si="10"/>
        <v>2.564102564102564E-2</v>
      </c>
      <c r="AC269">
        <f t="shared" si="11"/>
        <v>261</v>
      </c>
    </row>
    <row r="270" spans="28:29">
      <c r="AB270" s="1">
        <f t="shared" si="10"/>
        <v>2.6315789473684209E-2</v>
      </c>
      <c r="AC270">
        <f t="shared" si="11"/>
        <v>262</v>
      </c>
    </row>
    <row r="271" spans="28:29">
      <c r="AB271" s="1">
        <f t="shared" si="10"/>
        <v>2.7027027027027029E-2</v>
      </c>
      <c r="AC271">
        <f t="shared" si="11"/>
        <v>263</v>
      </c>
    </row>
    <row r="272" spans="28:29">
      <c r="AB272" s="1">
        <f t="shared" si="10"/>
        <v>2.7777777777777776E-2</v>
      </c>
      <c r="AC272">
        <f t="shared" si="11"/>
        <v>264</v>
      </c>
    </row>
    <row r="273" spans="28:29">
      <c r="AB273" s="1">
        <f t="shared" si="10"/>
        <v>2.8571428571428571E-2</v>
      </c>
      <c r="AC273">
        <f t="shared" si="11"/>
        <v>265</v>
      </c>
    </row>
    <row r="274" spans="28:29">
      <c r="AB274" s="1">
        <f t="shared" si="10"/>
        <v>2.9411764705882353E-2</v>
      </c>
      <c r="AC274">
        <f t="shared" si="11"/>
        <v>266</v>
      </c>
    </row>
    <row r="275" spans="28:29">
      <c r="AB275" s="1">
        <f t="shared" si="10"/>
        <v>3.0303030303030304E-2</v>
      </c>
      <c r="AC275">
        <f t="shared" si="11"/>
        <v>267</v>
      </c>
    </row>
    <row r="276" spans="28:29">
      <c r="AB276" s="1">
        <f t="shared" si="10"/>
        <v>3.125E-2</v>
      </c>
      <c r="AC276">
        <f t="shared" si="11"/>
        <v>268</v>
      </c>
    </row>
    <row r="277" spans="28:29">
      <c r="AB277" s="1">
        <f t="shared" si="10"/>
        <v>3.2258064516129031E-2</v>
      </c>
      <c r="AC277">
        <f t="shared" si="11"/>
        <v>269</v>
      </c>
    </row>
    <row r="278" spans="28:29">
      <c r="AB278" s="1">
        <f t="shared" si="10"/>
        <v>3.3333333333333333E-2</v>
      </c>
      <c r="AC278">
        <f t="shared" si="11"/>
        <v>270</v>
      </c>
    </row>
    <row r="279" spans="28:29">
      <c r="AB279" s="1">
        <f t="shared" si="10"/>
        <v>3.4482758620689655E-2</v>
      </c>
      <c r="AC279">
        <f t="shared" si="11"/>
        <v>271</v>
      </c>
    </row>
    <row r="280" spans="28:29">
      <c r="AB280" s="1">
        <f t="shared" si="10"/>
        <v>3.5714285714285712E-2</v>
      </c>
      <c r="AC280">
        <f t="shared" si="11"/>
        <v>272</v>
      </c>
    </row>
    <row r="281" spans="28:29">
      <c r="AB281" s="1">
        <f t="shared" si="10"/>
        <v>3.7037037037037035E-2</v>
      </c>
      <c r="AC281">
        <f t="shared" si="11"/>
        <v>273</v>
      </c>
    </row>
    <row r="282" spans="28:29">
      <c r="AB282" s="1">
        <f t="shared" si="10"/>
        <v>3.8461538461538464E-2</v>
      </c>
      <c r="AC282">
        <f t="shared" si="11"/>
        <v>274</v>
      </c>
    </row>
    <row r="283" spans="28:29">
      <c r="AB283" s="1">
        <f t="shared" si="10"/>
        <v>0.04</v>
      </c>
      <c r="AC283">
        <f t="shared" si="11"/>
        <v>275</v>
      </c>
    </row>
    <row r="284" spans="28:29">
      <c r="AB284" s="1">
        <f t="shared" si="10"/>
        <v>4.1666666666666664E-2</v>
      </c>
      <c r="AC284">
        <f t="shared" si="11"/>
        <v>276</v>
      </c>
    </row>
    <row r="285" spans="28:29">
      <c r="AB285" s="1">
        <f t="shared" si="10"/>
        <v>4.3478260869565216E-2</v>
      </c>
      <c r="AC285">
        <f t="shared" si="11"/>
        <v>277</v>
      </c>
    </row>
    <row r="286" spans="28:29">
      <c r="AB286" s="1">
        <f t="shared" si="10"/>
        <v>4.5454545454545456E-2</v>
      </c>
      <c r="AC286">
        <f t="shared" si="11"/>
        <v>278</v>
      </c>
    </row>
    <row r="287" spans="28:29">
      <c r="AB287" s="1">
        <f t="shared" si="10"/>
        <v>4.7619047619047616E-2</v>
      </c>
      <c r="AC287">
        <f t="shared" si="11"/>
        <v>279</v>
      </c>
    </row>
    <row r="288" spans="28:29">
      <c r="AB288" s="1">
        <f t="shared" si="10"/>
        <v>0.05</v>
      </c>
      <c r="AC288">
        <f t="shared" si="11"/>
        <v>280</v>
      </c>
    </row>
    <row r="289" spans="28:29">
      <c r="AB289" s="1">
        <f t="shared" si="10"/>
        <v>5.2631578947368418E-2</v>
      </c>
      <c r="AC289">
        <f t="shared" si="11"/>
        <v>281</v>
      </c>
    </row>
    <row r="290" spans="28:29">
      <c r="AB290" s="1">
        <f t="shared" si="10"/>
        <v>5.5555555555555552E-2</v>
      </c>
      <c r="AC290">
        <f t="shared" si="11"/>
        <v>282</v>
      </c>
    </row>
    <row r="291" spans="28:29">
      <c r="AB291" s="1">
        <f t="shared" si="10"/>
        <v>5.8823529411764705E-2</v>
      </c>
      <c r="AC291">
        <f t="shared" si="11"/>
        <v>283</v>
      </c>
    </row>
    <row r="292" spans="28:29">
      <c r="AB292" s="1">
        <f t="shared" si="10"/>
        <v>6.25E-2</v>
      </c>
      <c r="AC292">
        <f t="shared" si="11"/>
        <v>284</v>
      </c>
    </row>
    <row r="293" spans="28:29">
      <c r="AB293" s="1">
        <f t="shared" si="10"/>
        <v>6.6666666666666666E-2</v>
      </c>
      <c r="AC293">
        <f t="shared" si="11"/>
        <v>285</v>
      </c>
    </row>
    <row r="294" spans="28:29">
      <c r="AB294" s="1">
        <f t="shared" si="10"/>
        <v>7.1428571428571425E-2</v>
      </c>
      <c r="AC294">
        <f t="shared" si="11"/>
        <v>286</v>
      </c>
    </row>
    <row r="295" spans="28:29">
      <c r="AB295" s="1">
        <f t="shared" si="10"/>
        <v>7.6923076923076927E-2</v>
      </c>
      <c r="AC295">
        <f t="shared" si="11"/>
        <v>287</v>
      </c>
    </row>
    <row r="296" spans="28:29">
      <c r="AB296" s="1">
        <f t="shared" si="10"/>
        <v>8.3333333333333329E-2</v>
      </c>
      <c r="AC296">
        <f t="shared" si="11"/>
        <v>288</v>
      </c>
    </row>
    <row r="297" spans="28:29">
      <c r="AB297" s="1">
        <f t="shared" si="10"/>
        <v>9.0909090909090912E-2</v>
      </c>
      <c r="AC297">
        <f t="shared" si="11"/>
        <v>289</v>
      </c>
    </row>
    <row r="298" spans="28:29">
      <c r="AB298" s="1">
        <f t="shared" si="10"/>
        <v>0.1</v>
      </c>
      <c r="AC298">
        <f t="shared" si="11"/>
        <v>290</v>
      </c>
    </row>
    <row r="299" spans="28:29">
      <c r="AB299" s="1">
        <f t="shared" si="10"/>
        <v>0.1111111111111111</v>
      </c>
      <c r="AC299">
        <f t="shared" si="11"/>
        <v>291</v>
      </c>
    </row>
    <row r="300" spans="28:29">
      <c r="AB300" s="1">
        <f t="shared" si="10"/>
        <v>0.125</v>
      </c>
      <c r="AC300">
        <f t="shared" si="11"/>
        <v>292</v>
      </c>
    </row>
    <row r="301" spans="28:29">
      <c r="AB301" s="1">
        <f t="shared" si="10"/>
        <v>0.14285714285714285</v>
      </c>
      <c r="AC301">
        <f t="shared" si="11"/>
        <v>293</v>
      </c>
    </row>
    <row r="302" spans="28:29">
      <c r="AB302" s="1">
        <f t="shared" si="10"/>
        <v>0.16666666666666666</v>
      </c>
      <c r="AC302">
        <f t="shared" si="11"/>
        <v>294</v>
      </c>
    </row>
    <row r="303" spans="28:29">
      <c r="AB303" s="1">
        <f t="shared" si="10"/>
        <v>0.2</v>
      </c>
      <c r="AC303">
        <f t="shared" si="11"/>
        <v>295</v>
      </c>
    </row>
    <row r="304" spans="28:29">
      <c r="AB304" s="1">
        <f t="shared" si="10"/>
        <v>0.25</v>
      </c>
      <c r="AC304">
        <f t="shared" si="11"/>
        <v>296</v>
      </c>
    </row>
    <row r="305" spans="28:29">
      <c r="AB305" s="1">
        <f t="shared" si="10"/>
        <v>0.33333333333333331</v>
      </c>
      <c r="AC305">
        <f t="shared" si="11"/>
        <v>297</v>
      </c>
    </row>
    <row r="306" spans="28:29">
      <c r="AB306" s="1">
        <f t="shared" si="10"/>
        <v>0.5</v>
      </c>
      <c r="AC306">
        <f t="shared" si="11"/>
        <v>298</v>
      </c>
    </row>
    <row r="307" spans="28:29">
      <c r="AB307" s="1102">
        <v>0</v>
      </c>
      <c r="AC307">
        <f t="shared" si="11"/>
        <v>299</v>
      </c>
    </row>
  </sheetData>
  <sheetProtection password="EF73" sheet="1" objects="1" scenarios="1"/>
  <protectedRanges>
    <protectedRange sqref="E12" name="Range10"/>
    <protectedRange sqref="AD13 E8:E11 E13:E20" name="Range4"/>
    <protectedRange sqref="E21:E24" name="Range2"/>
    <protectedRange sqref="C21:C24" name="Range1"/>
    <protectedRange sqref="E12" name="Range7"/>
    <protectedRange sqref="E8:E20" name="Range8"/>
    <protectedRange sqref="C8:C20" name="Range9"/>
  </protectedRanges>
  <customSheetViews>
    <customSheetView guid="{D786A5C0-FBC0-4F24-9F75-D436CA99DC6C}" topLeftCell="A21">
      <selection activeCell="B41" sqref="B41"/>
      <pageMargins left="0.7" right="0.7" top="0.75" bottom="0.75" header="0.3" footer="0.3"/>
      <pageSetup orientation="portrait" r:id="rId1"/>
    </customSheetView>
  </customSheetViews>
  <mergeCells count="22">
    <mergeCell ref="J19:K19"/>
    <mergeCell ref="J20:K20"/>
    <mergeCell ref="J21:K21"/>
    <mergeCell ref="J15:K15"/>
    <mergeCell ref="J14:K14"/>
    <mergeCell ref="Z6:Z9"/>
    <mergeCell ref="D3:E4"/>
    <mergeCell ref="J16:K16"/>
    <mergeCell ref="J18:K18"/>
    <mergeCell ref="J13:K13"/>
    <mergeCell ref="J12:K12"/>
    <mergeCell ref="J11:K11"/>
    <mergeCell ref="J10:K10"/>
    <mergeCell ref="J9:K9"/>
    <mergeCell ref="J7:K7"/>
    <mergeCell ref="G4:J5"/>
    <mergeCell ref="B2:B3"/>
    <mergeCell ref="C21:C22"/>
    <mergeCell ref="E21:E22"/>
    <mergeCell ref="C23:C24"/>
    <mergeCell ref="E23:E24"/>
    <mergeCell ref="D1:E2"/>
  </mergeCells>
  <dataValidations count="9">
    <dataValidation type="list" allowBlank="1" showErrorMessage="1" errorTitle="الوصية مقامها =1 والكسر&gt;1" error="أدخــــــــــــــال غير صحيـــــــح" promptTitle=" " prompt=" " sqref="E23:E24">
      <formula1>$AB$9:$AB$308</formula1>
    </dataValidation>
    <dataValidation type="list" allowBlank="1" showErrorMessage="1" errorTitle="ضع عدد الورثـــــــــــة 1--12" error=" تجاوز الحد المسموح يؤدى الى عدم ظهور الرقم فى الخلايا" promptTitle="عدد الورثــــــــــــــــــــــة" prompt="تجاوز عدد الورثة الحد المسموح يؤدى الى عدم ضهور العدد فى الخلية" sqref="E8:E10 C13:C16 E13:E20 C10:C11">
      <formula1>$AC$8:$AC$20</formula1>
    </dataValidation>
    <dataValidation type="list" errorStyle="warning" allowBlank="1" showErrorMessage="1" errorTitle="ضع عدد الورثـــــــــــة 1--4" error=" تجاوز الحد المسموح يؤدى الى عدم ظهور الرقم فى الخلايا" promptTitle="عدد الورثــــــــــــــــــــــة" prompt="تجاوز عدد الورثة الحد المسموح يؤدى الى عدم ضهور العدد فى الخلية" sqref="C9">
      <formula1>$AC$8:$AC$12</formula1>
    </dataValidation>
    <dataValidation type="list" allowBlank="1" showErrorMessage="1" errorTitle="ضع عدد الورثـــــــــــة 1--12" error=" تجاوز الحد المسموح يؤدى الى عدم ظهور الرقم فى الخلايا" promptTitle="عدد الورثــــــــــــــــــــــة" prompt="تجاوز عدد الورثة الحد المسموح يؤدى الى عدم ضهور العدد فى الخلية" sqref="C19">
      <formula1>$AC$8:$AC$9</formula1>
    </dataValidation>
    <dataValidation type="list" allowBlank="1" showErrorMessage="1" errorTitle="الوصية مقامها =1 والكسر&gt;1" error="أدخــــــــــــــال غير صحيـــــــح" promptTitle="ضع الوصية فى الخلية" prompt="عدد كسرى  1/4-1/5-1/6" sqref="E21:E22 C21:C24">
      <formula1>$AB$9:$AB$308</formula1>
    </dataValidation>
    <dataValidation type="list" errorStyle="warning" allowBlank="1" showErrorMessage="1" errorTitle="ضع عدد الورثـــــــــــة 1--12" error=" تجاوز الحد المسموح يؤدى الى عدم ظهور الرقم فى الخلايا" promptTitle="عدد الورثــــــــــــــــــــــة" prompt="تجاوز عدد الورثة الحد المسموح يؤدى الى عدم ضهور العدد فى الخلية" sqref="AD9:AD12">
      <formula1>$AC$8:$AC$20</formula1>
    </dataValidation>
    <dataValidation type="list" errorStyle="information" allowBlank="1" showErrorMessage="1" errorTitle="ضع عدد الورثـــــــــــة 1--12" error=" تجاوز الحد المسموح يؤدى الى عدم ظهور الرقم فى الخلايا" promptTitle="عدد الورثــــــــــــــــــــــة" prompt="تجاوز عدد الورثة الحد المسموح يؤدى الى عدم ضهور العدد فى الخلية" sqref="AB4 AB6">
      <formula1>$AC$8:$AC$20</formula1>
    </dataValidation>
    <dataValidation type="list" allowBlank="1" showErrorMessage="1" errorTitle="ضع عدد الورثـــــــــــة 1 " error=" تجاوز الحد المسموح يؤدى الى عدم ظهور الرقم فى الخلايا" promptTitle="عدد الورثــــــــــــــــــــــة" prompt="تجاوز عدد الورثة الحد المسموح يؤدى الى عدم ضهور العدد فى الخلية" sqref="C8 E11 C17:C18 C12">
      <formula1>$AC$8:$AC$9</formula1>
    </dataValidation>
    <dataValidation type="list" errorStyle="warning" allowBlank="1" showErrorMessage="1" errorTitle="ضع عدد الورثـــــــــــة 1 " error=" تجاوز الحد المسموح يؤدى الى عدم ظهور الرقم فى الخلايا" promptTitle="عدد الورثــــــــــــــــــــــة" prompt="تجاوز عدد الورثة الحد المسموح يؤدى الى عدم ضهور العدد فى الخلية" sqref="AD13 E12">
      <formula1>$AC$8:$AC$9</formula1>
    </dataValidation>
  </dataValidations>
  <hyperlinks>
    <hyperlink ref="B34" r:id="rId2" display="http://ly.opensooq.com/post/contact/3628640"/>
    <hyperlink ref="B35" r:id="rId3" display="http://ly.opensooq.com/post/contact/3628640"/>
    <hyperlink ref="B36" r:id="rId4" display="http://ly.opensooq.com/post/violation/3628640"/>
    <hyperlink ref="B37" r:id="rId5" display="http://ly.opensooq.com/sendPost/create/3628640"/>
  </hyperlinks>
  <pageMargins left="0.7" right="0.7" top="0.75" bottom="0.75" header="0.3" footer="0.3"/>
  <pageSetup orientation="portrait" r:id="rId6"/>
  <drawing r:id="rId7"/>
  <extLst>
    <ext xmlns:x14="http://schemas.microsoft.com/office/spreadsheetml/2009/9/main" uri="{05C60535-1F16-4fd2-B633-F4F36F0B64E0}">
      <x14:sparklineGroups xmlns:xm="http://schemas.microsoft.com/office/excel/2006/main">
        <x14:sparklineGroup type="stacked"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'حساب التركة والوصايا'!S18:S31</xm:f>
              <xm:sqref>B4</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8" tint="0.39997558519241921"/>
    <pageSetUpPr fitToPage="1"/>
  </sheetPr>
  <dimension ref="A1:AH318"/>
  <sheetViews>
    <sheetView showGridLines="0" showZeros="0" rightToLeft="1" topLeftCell="P1" zoomScale="110" zoomScaleNormal="110" workbookViewId="0">
      <selection activeCell="O1" sqref="O1:O1048576"/>
    </sheetView>
  </sheetViews>
  <sheetFormatPr defaultColWidth="9.25" defaultRowHeight="15" customHeight="1"/>
  <cols>
    <col min="1" max="6" width="9.25" hidden="1" customWidth="1"/>
    <col min="7" max="7" width="17.375" hidden="1" customWidth="1"/>
    <col min="8" max="8" width="19.25" hidden="1" customWidth="1"/>
    <col min="9" max="9" width="21.75" hidden="1" customWidth="1"/>
    <col min="10" max="10" width="20.25" style="38" hidden="1" customWidth="1"/>
    <col min="11" max="11" width="2.25" style="38" hidden="1" customWidth="1"/>
    <col min="12" max="12" width="27.5" style="38" hidden="1" customWidth="1"/>
    <col min="13" max="13" width="9.25" style="38" hidden="1" customWidth="1"/>
    <col min="14" max="14" width="26.625" style="38" hidden="1" customWidth="1"/>
    <col min="15" max="15" width="10.125" style="38" hidden="1" customWidth="1"/>
    <col min="16" max="16" width="6.875" style="38" customWidth="1"/>
    <col min="17" max="17" width="14.5" customWidth="1"/>
    <col min="18" max="18" width="15" customWidth="1"/>
    <col min="19" max="19" width="8.75" customWidth="1"/>
    <col min="20" max="20" width="14.125" customWidth="1"/>
    <col min="21" max="21" width="10.75" customWidth="1"/>
    <col min="22" max="22" width="16.25" customWidth="1"/>
    <col min="23" max="23" width="15.5" hidden="1" customWidth="1"/>
    <col min="24" max="24" width="6.375" customWidth="1"/>
    <col min="25" max="25" width="7" hidden="1" customWidth="1"/>
    <col min="26" max="26" width="14.75" hidden="1" customWidth="1"/>
    <col min="27" max="30" width="9.25" hidden="1" customWidth="1"/>
    <col min="31" max="31" width="11.125" customWidth="1"/>
    <col min="32" max="32" width="24.25" customWidth="1"/>
  </cols>
  <sheetData>
    <row r="1" spans="4:34" ht="15" customHeight="1" thickBot="1">
      <c r="E1" s="1">
        <f>IF(F3&lt;0,1,F3)</f>
        <v>100</v>
      </c>
      <c r="F1">
        <f>1/3*(X2-'حساب التركة والوصايا'!AF21)</f>
        <v>33.333333333333329</v>
      </c>
      <c r="I1" t="str">
        <f>IF(SUM('أدخال  البيانات'!C21+'أدخال  البيانات'!E21+'أدخال  البيانات'!E23+'أدخال  البيانات'!C23)+'حساب التركة والوصايا'!AF20/(X2+'حساب التركة والوصايا'!AF21)&gt;1,"الوصايا جاوزت التركة ",J3)</f>
        <v>الوصايا لم تتجاوز الثلث</v>
      </c>
      <c r="P1" s="947"/>
    </row>
    <row r="2" spans="4:34" ht="30.75" customHeight="1" thickTop="1" thickBot="1">
      <c r="D2" s="36">
        <f>IF(E3=1,0,D3)</f>
        <v>0</v>
      </c>
      <c r="E2" s="972">
        <f>('أدخال  البيانات'!C21+'أدخال  البيانات'!E21+'أدخال  البيانات'!E23+'أدخال  البيانات'!C23)</f>
        <v>0</v>
      </c>
      <c r="F2" s="974">
        <f>D2*F3</f>
        <v>0</v>
      </c>
      <c r="G2" s="36">
        <f>IF('حساب التركة والوصايا'!AF20&gt;(1/3*(X2-'حساب التركة والوصايا'!AF21)),1/3*X2,H2)</f>
        <v>0</v>
      </c>
      <c r="H2">
        <f>IF('أدخال  البيانات'!C21+'أدخال  البيانات'!C23+'أدخال  البيانات'!E21+'أدخال  البيانات'!E23=0,'حساب التركة والوصايا'!AF20,0)</f>
        <v>0</v>
      </c>
      <c r="I2">
        <f>IF(D2&gt;1/3,F1,F2)</f>
        <v>0</v>
      </c>
      <c r="J2" s="38" t="str">
        <f>IF('أدخال  البيانات'!D1="الوصايا لم تتجاوز الثلث","","الورثــــــــــــة أجازو الثلث فقط")</f>
        <v>الورثــــــــــــة أجازو الثلث فقط</v>
      </c>
      <c r="P2" s="947"/>
      <c r="R2" s="1224" t="s">
        <v>840</v>
      </c>
      <c r="S2" s="1226">
        <f>'حساب التركة والوصايا'!T78</f>
        <v>0</v>
      </c>
      <c r="T2" s="1226"/>
      <c r="V2" s="943" t="str">
        <f>IF( Z2=0,W2,"البيانات المدخلة غير صحيحة")</f>
        <v>تم مراجعة الحسابات</v>
      </c>
      <c r="W2" t="str">
        <f>IF(Z2=0,"تم مراجعة الحسابات","خطأ فى الحسابات")</f>
        <v>تم مراجعة الحسابات</v>
      </c>
      <c r="X2" s="975">
        <f>IF('حساب التركة والوصايا'!AF23=0,100,'حساب التركة والوصايا'!AF23)</f>
        <v>100</v>
      </c>
      <c r="Z2" s="1044">
        <f>IF(X2=X19,0,X19)</f>
        <v>0</v>
      </c>
      <c r="AE2" s="1231" t="str">
        <f>IF('أدخال البيانات'!J20=TRUE,'حساب التركة والوصايا'!I4,'حساب التركة والوصايا'!H4)</f>
        <v>ورقة حساب الفرائض بالأكسل</v>
      </c>
      <c r="AF2" s="1231"/>
      <c r="AG2" s="1132"/>
      <c r="AH2" s="1132"/>
    </row>
    <row r="3" spans="4:34" ht="24" customHeight="1" thickTop="1" thickBot="1">
      <c r="D3">
        <f>'حساب التركة والوصايا'!AF20/(X2-'حساب التركة والوصايا'!AF21)</f>
        <v>0</v>
      </c>
      <c r="E3">
        <f>IF('حساب التركة والوصايا'!AF20=0,0,E1)</f>
        <v>0</v>
      </c>
      <c r="F3" s="560">
        <f>X2-'حساب التركة والوصايا'!AF21</f>
        <v>100</v>
      </c>
      <c r="G3" s="842" t="str">
        <f>'أدخال البيانات'!$R$5</f>
        <v xml:space="preserve"> خطأ يرجى مراجعة القسمةوتصحيح الحالات</v>
      </c>
      <c r="H3" s="973">
        <f>IF(I3=TRUE,0,I2)</f>
        <v>0</v>
      </c>
      <c r="I3" t="b">
        <f>AND('أدخال  البيانات'!C21+'أدخال  البيانات'!C23+'أدخال  البيانات'!E21+'أدخال  البيانات'!E23&gt;0,'حساب التركة والوصايا'!AF20&gt;0)</f>
        <v>0</v>
      </c>
      <c r="J3" s="38" t="str">
        <f>IF( E2+D2&gt;1/3,"الوصايا جاوزت الثلث ","الوصايا لم تتجاوز الثلث")</f>
        <v>الوصايا لم تتجاوز الثلث</v>
      </c>
      <c r="P3" s="948"/>
      <c r="R3" s="1225"/>
      <c r="S3" s="1226"/>
      <c r="T3" s="1226"/>
      <c r="V3" s="1227" t="str">
        <f>IF(V2="البيانات المدخلة غير صحيحة","خطأ يطلب المراجعة",G3)</f>
        <v xml:space="preserve"> خطأ يرجى مراجعة القسمةوتصحيح الحالات</v>
      </c>
      <c r="W3" s="842">
        <f>ROUNDDOWN( IF('حساب التركة والوصايا'!S2=0,0,X2),0)</f>
        <v>0</v>
      </c>
      <c r="AE3" s="1231"/>
      <c r="AF3" s="1231"/>
      <c r="AG3" s="1132"/>
      <c r="AH3" s="1132"/>
    </row>
    <row r="4" spans="4:34" ht="17.25" customHeight="1" thickTop="1" thickBot="1">
      <c r="D4">
        <f>IF('الأجـــازة للوصايا'!K61+'الأجـــازة للوصايا'!L61+'الأجـــازة للوصايا'!M61+'الأجـــازة للوصايا'!N61='الأجـــازة للوصايا'!N62+'الأجـــازة للوصايا'!M62+'الأجـــازة للوصايا'!L62+'الأجـــازة للوصايا'!K62,0,1)</f>
        <v>0</v>
      </c>
      <c r="E4" s="34" t="str">
        <f>IFERROR(IF(E3=1,"الديون أستغرقت التركة",I1),"ضع الوصايا  بعد وضع التركة والديون أن وجدت")</f>
        <v>الوصايا لم تتجاوز الثلث</v>
      </c>
      <c r="G4" t="b">
        <f>AND('أدخال  البيانات'!C21+'أدخال  البيانات'!C23+'أدخال  البيانات'!E23+'أدخال  البيانات'!E21&gt;0,'أدخال  البيانات'!C21+'أدخال  البيانات'!E21+'أدخال  البيانات'!E23+'أدخال  البيانات'!C23&lt;1/3,'حساب التركة والوصايا'!AF20/(X2-'حساب التركة والوصايا'!AF21)&lt;1/3)</f>
        <v>0</v>
      </c>
      <c r="H4" t="str">
        <f>IF('أدخال البيانات'!J19=TRUE,I4," الأخوة من الأم أو لأب أو الأشقاء  محجوبون ولكن ضرورى وضع عددهم لأحتساب فريضة الأم ")</f>
        <v xml:space="preserve"> الأخوة من الأم أو لأب أو الأشقاء  محجوبون ولكن ضرورى وضع عددهم لأحتساب فريضة الأم </v>
      </c>
      <c r="I4" s="34" t="str">
        <f>IF(I3=TRUE,"  لن يتم حساب الوصية النقدية  , ضعها على هيئة كسرلعدم الجمع بين  الوصايا الكسرية والنقدية ","ورقة حساب الفرائض بالأكسل")</f>
        <v>ورقة حساب الفرائض بالأكسل</v>
      </c>
      <c r="J4" s="38">
        <f>SUM( 'الأجـــازة للوصايا'!K64:N75,'الأجـــازة للوصايا'!K88:N99,'الأجـــازة للوصايا'!K76:N87,'الأجـــازة للوصايا'!K100:N111,'الأجـــازة للوصايا'!K112:N123,'الأجـــازة للوصايا'!K124:N135,'الأجـــازة للوصايا'!K136:N147)</f>
        <v>0</v>
      </c>
      <c r="P4" s="948"/>
      <c r="V4" s="1228"/>
    </row>
    <row r="5" spans="4:34" ht="22.5" hidden="1" customHeight="1">
      <c r="P5" s="947"/>
    </row>
    <row r="6" spans="4:34" ht="22.5" hidden="1" customHeight="1">
      <c r="P6" s="947"/>
    </row>
    <row r="7" spans="4:34" ht="22.5" hidden="1" customHeight="1">
      <c r="P7" s="947"/>
    </row>
    <row r="8" spans="4:34" ht="22.5" hidden="1" customHeight="1" thickBot="1">
      <c r="P8" s="947"/>
    </row>
    <row r="9" spans="4:34" ht="22.5" hidden="1" customHeight="1" thickTop="1" thickBot="1">
      <c r="D9" s="611" t="str">
        <f>'ورقة أجازة وعدم الأجازة للمختصن'!E11</f>
        <v>أسم الوارث</v>
      </c>
      <c r="E9" s="611" t="str">
        <f>'ورقة أجازة وعدم الأجازة للمختصن'!F11</f>
        <v xml:space="preserve">  الفريضة</v>
      </c>
      <c r="F9" s="611" t="str">
        <f>'ورقة أجازة وعدم الأجازة للمختصن'!G11</f>
        <v>عدد الورثة</v>
      </c>
      <c r="G9" s="611" t="str">
        <f>'ورقة أجازة وعدم الأجازة للمختصن'!H11</f>
        <v>الفريضة بعدالوصية</v>
      </c>
      <c r="H9" s="629" t="str">
        <f>'ورقة أجازة وعدم الأجازة للمختصن'!J11</f>
        <v xml:space="preserve">    الحصص لكل وارث     فقط عند عدم أختلاف أجازة الورثة </v>
      </c>
      <c r="I9" s="629" t="str">
        <f>'ورقة أجازة وعدم الأجازة للمختصن'!L11</f>
        <v>الحصص لكل الورثة</v>
      </c>
      <c r="J9" s="637" t="s">
        <v>785</v>
      </c>
      <c r="K9" s="1051"/>
      <c r="P9" s="947"/>
    </row>
    <row r="10" spans="4:34" ht="22.5" hidden="1" customHeight="1" thickTop="1" thickBot="1">
      <c r="D10" s="615">
        <f>'ورقة أجازة وعدم الأجازة للمختصن'!E12</f>
        <v>0</v>
      </c>
      <c r="E10" s="615">
        <f>'ورقة أجازة وعدم الأجازة للمختصن'!F12</f>
        <v>0</v>
      </c>
      <c r="F10" s="615">
        <f>'ورقة أجازة وعدم الأجازة للمختصن'!G12</f>
        <v>0</v>
      </c>
      <c r="G10" s="615">
        <f>'ورقة أجازة وعدم الأجازة للمختصن'!H12</f>
        <v>0</v>
      </c>
      <c r="H10" s="616" t="e">
        <f>'ورقة أجازة وعدم الأجازة للمختصن'!I12</f>
        <v>#DIV/0!</v>
      </c>
      <c r="I10" s="625" t="e">
        <f>'ورقة أجازة وعدم الأجازة للمختصن'!L12</f>
        <v>#DIV/0!</v>
      </c>
      <c r="J10" s="641"/>
      <c r="K10" s="641"/>
      <c r="P10" s="947"/>
    </row>
    <row r="11" spans="4:34" ht="22.5" hidden="1" customHeight="1" thickTop="1" thickBot="1">
      <c r="D11" s="546">
        <f>'ورقة أجازة وعدم الأجازة للمختصن'!E13</f>
        <v>0</v>
      </c>
      <c r="E11" s="546">
        <f>'ورقة أجازة وعدم الأجازة للمختصن'!F13</f>
        <v>0</v>
      </c>
      <c r="F11" s="546">
        <f>'ورقة أجازة وعدم الأجازة للمختصن'!G13</f>
        <v>0</v>
      </c>
      <c r="G11" s="546">
        <f>'ورقة أجازة وعدم الأجازة للمختصن'!H13</f>
        <v>0</v>
      </c>
      <c r="H11" s="616" t="e">
        <f>'ورقة أجازة وعدم الأجازة للمختصن'!I13</f>
        <v>#DIV/0!</v>
      </c>
      <c r="I11" s="625" t="e">
        <f>'ورقة أجازة وعدم الأجازة للمختصن'!L13</f>
        <v>#DIV/0!</v>
      </c>
      <c r="J11" s="641"/>
      <c r="K11" s="641"/>
      <c r="P11" s="947"/>
    </row>
    <row r="12" spans="4:34" ht="22.5" hidden="1" customHeight="1" thickTop="1" thickBot="1">
      <c r="D12" s="546">
        <f>'ورقة أجازة وعدم الأجازة للمختصن'!E14</f>
        <v>0</v>
      </c>
      <c r="E12" s="546">
        <f>'ورقة أجازة وعدم الأجازة للمختصن'!F14</f>
        <v>0</v>
      </c>
      <c r="F12" s="546">
        <f>'ورقة أجازة وعدم الأجازة للمختصن'!G14</f>
        <v>0</v>
      </c>
      <c r="G12" s="546">
        <f>'ورقة أجازة وعدم الأجازة للمختصن'!H14</f>
        <v>0</v>
      </c>
      <c r="H12" s="616" t="e">
        <f>'ورقة أجازة وعدم الأجازة للمختصن'!I14</f>
        <v>#DIV/0!</v>
      </c>
      <c r="I12" s="625" t="e">
        <f>'ورقة أجازة وعدم الأجازة للمختصن'!L14</f>
        <v>#DIV/0!</v>
      </c>
      <c r="J12" s="638" t="s">
        <v>765</v>
      </c>
      <c r="K12" s="1051"/>
      <c r="P12" s="947"/>
    </row>
    <row r="13" spans="4:34" ht="22.5" hidden="1" customHeight="1" thickTop="1" thickBot="1">
      <c r="D13" s="546">
        <f>'ورقة أجازة وعدم الأجازة للمختصن'!E15</f>
        <v>0</v>
      </c>
      <c r="E13" s="546">
        <f>'ورقة أجازة وعدم الأجازة للمختصن'!F15</f>
        <v>0</v>
      </c>
      <c r="F13" s="546">
        <f>'ورقة أجازة وعدم الأجازة للمختصن'!G15</f>
        <v>0</v>
      </c>
      <c r="G13" s="546">
        <f>'ورقة أجازة وعدم الأجازة للمختصن'!H15</f>
        <v>0</v>
      </c>
      <c r="H13" s="616" t="e">
        <f>'ورقة أجازة وعدم الأجازة للمختصن'!I15</f>
        <v>#DIV/0!</v>
      </c>
      <c r="I13" s="625" t="e">
        <f>'ورقة أجازة وعدم الأجازة للمختصن'!L15</f>
        <v>#DIV/0!</v>
      </c>
      <c r="J13" s="639"/>
      <c r="K13" s="1052"/>
      <c r="P13" s="947"/>
    </row>
    <row r="14" spans="4:34" ht="22.5" hidden="1" customHeight="1" thickTop="1" thickBot="1">
      <c r="D14" s="546">
        <f>'ورقة أجازة وعدم الأجازة للمختصن'!E16</f>
        <v>0</v>
      </c>
      <c r="E14" s="546">
        <f>'ورقة أجازة وعدم الأجازة للمختصن'!F16</f>
        <v>0</v>
      </c>
      <c r="F14" s="546">
        <f>'ورقة أجازة وعدم الأجازة للمختصن'!G16</f>
        <v>0</v>
      </c>
      <c r="G14" s="546">
        <f>'ورقة أجازة وعدم الأجازة للمختصن'!H16</f>
        <v>0</v>
      </c>
      <c r="H14" s="616" t="e">
        <f>'ورقة أجازة وعدم الأجازة للمختصن'!I16</f>
        <v>#DIV/0!</v>
      </c>
      <c r="I14" s="616" t="e">
        <f>'ورقة أجازة وعدم الأجازة للمختصن'!L16</f>
        <v>#DIV/0!</v>
      </c>
      <c r="J14" s="639"/>
      <c r="K14" s="1052"/>
      <c r="P14" s="947"/>
    </row>
    <row r="15" spans="4:34" ht="22.5" hidden="1" customHeight="1" thickTop="1" thickBot="1">
      <c r="D15" s="546">
        <f>'ورقة أجازة وعدم الأجازة للمختصن'!E17</f>
        <v>0</v>
      </c>
      <c r="E15" s="546">
        <f>'ورقة أجازة وعدم الأجازة للمختصن'!F17</f>
        <v>0</v>
      </c>
      <c r="F15" s="546">
        <f>'ورقة أجازة وعدم الأجازة للمختصن'!G17</f>
        <v>0</v>
      </c>
      <c r="G15" s="546">
        <f>'ورقة أجازة وعدم الأجازة للمختصن'!H17</f>
        <v>0</v>
      </c>
      <c r="H15" s="616" t="e">
        <f>'ورقة أجازة وعدم الأجازة للمختصن'!I17</f>
        <v>#DIV/0!</v>
      </c>
      <c r="I15" s="625" t="e">
        <f>'ورقة أجازة وعدم الأجازة للمختصن'!L17</f>
        <v>#DIV/0!</v>
      </c>
      <c r="J15" s="639"/>
      <c r="K15" s="1052"/>
      <c r="P15" s="947"/>
    </row>
    <row r="16" spans="4:34" ht="15.75" customHeight="1" thickTop="1" thickBot="1">
      <c r="D16" s="546">
        <f>'ورقة أجازة وعدم الأجازة للمختصن'!E18</f>
        <v>0</v>
      </c>
      <c r="E16" s="546">
        <f>'ورقة أجازة وعدم الأجازة للمختصن'!F18</f>
        <v>0</v>
      </c>
      <c r="F16" s="546">
        <f>'ورقة أجازة وعدم الأجازة للمختصن'!G18</f>
        <v>0</v>
      </c>
      <c r="G16" s="546">
        <f>'ورقة أجازة وعدم الأجازة للمختصن'!H18</f>
        <v>0</v>
      </c>
      <c r="H16" s="616" t="e">
        <f>'ورقة أجازة وعدم الأجازة للمختصن'!I18</f>
        <v>#DIV/0!</v>
      </c>
      <c r="I16" s="616" t="e">
        <f>'ورقة أجازة وعدم الأجازة للمختصن'!L18</f>
        <v>#DIV/0!</v>
      </c>
      <c r="J16" s="640"/>
      <c r="K16" s="1052"/>
      <c r="P16" s="947"/>
    </row>
    <row r="17" spans="1:32" ht="39.75" customHeight="1" thickTop="1" thickBot="1">
      <c r="C17">
        <v>1</v>
      </c>
      <c r="I17" s="1" t="e">
        <f>SUM(I10:I16)/I114+(SUM(I109:I113)/I114)</f>
        <v>#DIV/0!</v>
      </c>
      <c r="P17" s="949"/>
      <c r="Q17" s="1104" t="str">
        <f>D170</f>
        <v>أسم الوارث</v>
      </c>
      <c r="R17" s="1104" t="str">
        <f>E170</f>
        <v>الصفة</v>
      </c>
      <c r="S17" s="1105" t="str">
        <f>F170</f>
        <v xml:space="preserve">  الفريضة</v>
      </c>
      <c r="T17" s="1105" t="str">
        <f>G170</f>
        <v>الفريضة بعدالوصية</v>
      </c>
      <c r="U17" s="1105" t="s">
        <v>787</v>
      </c>
      <c r="V17" s="1106" t="str">
        <f>IF('حساب التركة والوصايا'!AF23=0,"النسبة المئوية %","القيمة المالية للورثة والموصى لهم")</f>
        <v>النسبة المئوية %</v>
      </c>
    </row>
    <row r="18" spans="1:32" ht="17.25" customHeight="1" thickTop="1" thickBot="1">
      <c r="A18">
        <f>IF(E18&gt;0, C17+1,C17)</f>
        <v>1</v>
      </c>
      <c r="B18" t="e">
        <f>$I$114</f>
        <v>#DIV/0!</v>
      </c>
      <c r="C18">
        <f t="shared" ref="C18:C49" si="0">IFERROR(A18,0)</f>
        <v>1</v>
      </c>
      <c r="D18" s="546">
        <f>'الأجـــازة للوصايا'!H64</f>
        <v>0</v>
      </c>
      <c r="E18" s="546">
        <f>'الأجـــازة للوصايا'!I64</f>
        <v>0</v>
      </c>
      <c r="F18" s="546"/>
      <c r="G18" s="546">
        <f>'الأجـــازة للوصايا'!O12</f>
        <v>0</v>
      </c>
      <c r="H18" s="616" t="e">
        <f>'الأجـــازة للوصايا'!P12</f>
        <v>#DIV/0!</v>
      </c>
      <c r="I18" s="616" t="e">
        <f>'الأجـــازة للوصايا'!Q12</f>
        <v>#DIV/0!</v>
      </c>
      <c r="J18" s="641">
        <f>'الأجـــازة للوصايا'!AL12</f>
        <v>0</v>
      </c>
      <c r="K18" s="641"/>
      <c r="P18" s="950"/>
      <c r="Q18" s="1107"/>
      <c r="R18" s="1107">
        <f t="shared" ref="R18:R49" si="1">IFERROR(E171,0)</f>
        <v>0</v>
      </c>
      <c r="S18" s="1108">
        <f t="shared" ref="S18:S49" si="2">IFERROR(F171,0)</f>
        <v>0</v>
      </c>
      <c r="T18" s="1108">
        <f t="shared" ref="T18:T49" si="3">IFERROR(G171,0)</f>
        <v>0</v>
      </c>
      <c r="U18" s="1109">
        <f t="shared" ref="U18:U49" si="4">IFERROR((H171/B18),0)</f>
        <v>0</v>
      </c>
      <c r="V18" s="1110">
        <f t="shared" ref="V18:V49" si="5">IFERROR(I171,0)</f>
        <v>0</v>
      </c>
      <c r="X18" s="1">
        <f>MIN(S18:T75)</f>
        <v>0</v>
      </c>
    </row>
    <row r="19" spans="1:32" ht="17.25" customHeight="1" thickTop="1" thickBot="1">
      <c r="A19">
        <f t="shared" ref="A19:A50" si="6">IF(E19&gt;0, A18+1,A18)</f>
        <v>1</v>
      </c>
      <c r="B19" t="e">
        <f t="shared" ref="B19:B50" si="7">$B$18</f>
        <v>#DIV/0!</v>
      </c>
      <c r="C19">
        <f t="shared" si="0"/>
        <v>1</v>
      </c>
      <c r="D19" s="546">
        <f>'الأجـــازة للوصايا'!H65</f>
        <v>0</v>
      </c>
      <c r="E19" s="546">
        <f>'الأجـــازة للوصايا'!I65</f>
        <v>0</v>
      </c>
      <c r="F19" s="546"/>
      <c r="G19" s="546">
        <f>'الأجـــازة للوصايا'!O13</f>
        <v>0</v>
      </c>
      <c r="H19" s="616" t="e">
        <f>'الأجـــازة للوصايا'!P13</f>
        <v>#DIV/0!</v>
      </c>
      <c r="I19" s="616" t="e">
        <f>'الأجـــازة للوصايا'!Q13</f>
        <v>#DIV/0!</v>
      </c>
      <c r="J19" s="641">
        <f>'الأجـــازة للوصايا'!AL13</f>
        <v>0</v>
      </c>
      <c r="K19" s="641"/>
      <c r="P19" s="950"/>
      <c r="Q19" s="1111"/>
      <c r="R19" s="1111">
        <f t="shared" si="1"/>
        <v>0</v>
      </c>
      <c r="S19" s="1112">
        <f t="shared" si="2"/>
        <v>0</v>
      </c>
      <c r="T19" s="1112">
        <f t="shared" si="3"/>
        <v>0</v>
      </c>
      <c r="U19" s="1113">
        <f t="shared" si="4"/>
        <v>0</v>
      </c>
      <c r="V19" s="1114">
        <f t="shared" si="5"/>
        <v>0</v>
      </c>
      <c r="X19" s="299">
        <f>ROUNDDOWN(V78-W3,0)</f>
        <v>0</v>
      </c>
    </row>
    <row r="20" spans="1:32" ht="17.25" customHeight="1" thickTop="1" thickBot="1">
      <c r="A20">
        <f t="shared" si="6"/>
        <v>1</v>
      </c>
      <c r="B20" t="e">
        <f t="shared" si="7"/>
        <v>#DIV/0!</v>
      </c>
      <c r="C20">
        <f t="shared" si="0"/>
        <v>1</v>
      </c>
      <c r="D20" s="546">
        <f>'الأجـــازة للوصايا'!H66</f>
        <v>0</v>
      </c>
      <c r="E20" s="546">
        <f>'الأجـــازة للوصايا'!I66</f>
        <v>0</v>
      </c>
      <c r="F20" s="546"/>
      <c r="G20" s="546">
        <f>'الأجـــازة للوصايا'!O14</f>
        <v>0</v>
      </c>
      <c r="H20" s="616" t="e">
        <f>'الأجـــازة للوصايا'!P14</f>
        <v>#DIV/0!</v>
      </c>
      <c r="I20" s="616" t="e">
        <f>'الأجـــازة للوصايا'!Q14</f>
        <v>#DIV/0!</v>
      </c>
      <c r="J20" s="641">
        <f>'الأجـــازة للوصايا'!AL14</f>
        <v>0</v>
      </c>
      <c r="K20" s="641"/>
      <c r="P20" s="950"/>
      <c r="Q20" s="1107"/>
      <c r="R20" s="1107">
        <f t="shared" si="1"/>
        <v>0</v>
      </c>
      <c r="S20" s="1108">
        <f t="shared" si="2"/>
        <v>0</v>
      </c>
      <c r="T20" s="1108">
        <f t="shared" si="3"/>
        <v>0</v>
      </c>
      <c r="U20" s="1109">
        <f t="shared" si="4"/>
        <v>0</v>
      </c>
      <c r="V20" s="1110">
        <f t="shared" si="5"/>
        <v>0</v>
      </c>
      <c r="AE20" s="1041" t="s">
        <v>789</v>
      </c>
      <c r="AF20" s="1103">
        <v>0</v>
      </c>
    </row>
    <row r="21" spans="1:32" ht="17.25" customHeight="1" thickTop="1" thickBot="1">
      <c r="A21">
        <f t="shared" si="6"/>
        <v>1</v>
      </c>
      <c r="B21" t="e">
        <f t="shared" si="7"/>
        <v>#DIV/0!</v>
      </c>
      <c r="C21">
        <f t="shared" si="0"/>
        <v>1</v>
      </c>
      <c r="D21" s="546">
        <f>'الأجـــازة للوصايا'!H67</f>
        <v>0</v>
      </c>
      <c r="E21" s="546">
        <f>'الأجـــازة للوصايا'!I67</f>
        <v>0</v>
      </c>
      <c r="F21" s="546"/>
      <c r="G21" s="546">
        <f>'الأجـــازة للوصايا'!O15</f>
        <v>0</v>
      </c>
      <c r="H21" s="616" t="e">
        <f>'الأجـــازة للوصايا'!P15</f>
        <v>#DIV/0!</v>
      </c>
      <c r="I21" s="616" t="e">
        <f>'الأجـــازة للوصايا'!Q15</f>
        <v>#DIV/0!</v>
      </c>
      <c r="J21" s="641">
        <f>'الأجـــازة للوصايا'!AL15</f>
        <v>0</v>
      </c>
      <c r="K21" s="641"/>
      <c r="P21" s="950"/>
      <c r="Q21" s="1111"/>
      <c r="R21" s="1111">
        <f t="shared" si="1"/>
        <v>0</v>
      </c>
      <c r="S21" s="1112">
        <f t="shared" si="2"/>
        <v>0</v>
      </c>
      <c r="T21" s="1112">
        <f t="shared" si="3"/>
        <v>0</v>
      </c>
      <c r="U21" s="1113">
        <f t="shared" si="4"/>
        <v>0</v>
      </c>
      <c r="V21" s="1114">
        <f t="shared" si="5"/>
        <v>0</v>
      </c>
      <c r="AE21" s="1041" t="s">
        <v>790</v>
      </c>
      <c r="AF21" s="1103"/>
    </row>
    <row r="22" spans="1:32" ht="17.25" customHeight="1" thickTop="1" thickBot="1">
      <c r="A22">
        <f t="shared" si="6"/>
        <v>1</v>
      </c>
      <c r="B22" t="e">
        <f t="shared" si="7"/>
        <v>#DIV/0!</v>
      </c>
      <c r="C22">
        <f t="shared" si="0"/>
        <v>1</v>
      </c>
      <c r="D22" s="546">
        <f>'الأجـــازة للوصايا'!H68</f>
        <v>0</v>
      </c>
      <c r="E22" s="546">
        <f>'الأجـــازة للوصايا'!I68</f>
        <v>0</v>
      </c>
      <c r="F22" s="546"/>
      <c r="G22" s="546">
        <f>'الأجـــازة للوصايا'!O16</f>
        <v>0</v>
      </c>
      <c r="H22" s="616" t="e">
        <f>'الأجـــازة للوصايا'!P16</f>
        <v>#DIV/0!</v>
      </c>
      <c r="I22" s="616" t="e">
        <f>'الأجـــازة للوصايا'!Q16</f>
        <v>#DIV/0!</v>
      </c>
      <c r="J22" s="641">
        <f>'الأجـــازة للوصايا'!AL16</f>
        <v>0</v>
      </c>
      <c r="K22" s="641"/>
      <c r="P22" s="950"/>
      <c r="Q22" s="1107"/>
      <c r="R22" s="1107">
        <f t="shared" si="1"/>
        <v>0</v>
      </c>
      <c r="S22" s="1108">
        <f t="shared" si="2"/>
        <v>0</v>
      </c>
      <c r="T22" s="1108">
        <f t="shared" si="3"/>
        <v>0</v>
      </c>
      <c r="U22" s="1109">
        <f t="shared" si="4"/>
        <v>0</v>
      </c>
      <c r="V22" s="1110">
        <f t="shared" si="5"/>
        <v>0</v>
      </c>
    </row>
    <row r="23" spans="1:32" ht="17.25" customHeight="1" thickTop="1" thickBot="1">
      <c r="A23">
        <f t="shared" si="6"/>
        <v>1</v>
      </c>
      <c r="B23" t="e">
        <f t="shared" si="7"/>
        <v>#DIV/0!</v>
      </c>
      <c r="C23">
        <f t="shared" si="0"/>
        <v>1</v>
      </c>
      <c r="D23" s="546">
        <f>'الأجـــازة للوصايا'!H69</f>
        <v>0</v>
      </c>
      <c r="E23" s="546">
        <f>'الأجـــازة للوصايا'!I69</f>
        <v>0</v>
      </c>
      <c r="F23" s="546"/>
      <c r="G23" s="546">
        <f>'الأجـــازة للوصايا'!O17</f>
        <v>0</v>
      </c>
      <c r="H23" s="616" t="e">
        <f>'الأجـــازة للوصايا'!P17</f>
        <v>#DIV/0!</v>
      </c>
      <c r="I23" s="616" t="e">
        <f>'الأجـــازة للوصايا'!Q17</f>
        <v>#DIV/0!</v>
      </c>
      <c r="J23" s="641">
        <f>'الأجـــازة للوصايا'!AL17</f>
        <v>0</v>
      </c>
      <c r="K23" s="641"/>
      <c r="P23" s="950"/>
      <c r="Q23" s="1111"/>
      <c r="R23" s="1111">
        <f t="shared" si="1"/>
        <v>0</v>
      </c>
      <c r="S23" s="1112">
        <f t="shared" si="2"/>
        <v>0</v>
      </c>
      <c r="T23" s="1112">
        <f t="shared" si="3"/>
        <v>0</v>
      </c>
      <c r="U23" s="1113">
        <f t="shared" si="4"/>
        <v>0</v>
      </c>
      <c r="V23" s="1114">
        <f t="shared" si="5"/>
        <v>0</v>
      </c>
      <c r="AE23" s="1041" t="s">
        <v>785</v>
      </c>
      <c r="AF23" s="1103"/>
    </row>
    <row r="24" spans="1:32" ht="17.25" customHeight="1" thickTop="1" thickBot="1">
      <c r="A24">
        <f t="shared" si="6"/>
        <v>1</v>
      </c>
      <c r="B24" t="e">
        <f t="shared" si="7"/>
        <v>#DIV/0!</v>
      </c>
      <c r="C24">
        <f t="shared" si="0"/>
        <v>1</v>
      </c>
      <c r="D24" s="546">
        <f>'الأجـــازة للوصايا'!H70</f>
        <v>0</v>
      </c>
      <c r="E24" s="546">
        <f>'الأجـــازة للوصايا'!I70</f>
        <v>0</v>
      </c>
      <c r="F24" s="546"/>
      <c r="G24" s="546">
        <f>'الأجـــازة للوصايا'!O18</f>
        <v>0</v>
      </c>
      <c r="H24" s="616" t="e">
        <f>'الأجـــازة للوصايا'!P18</f>
        <v>#DIV/0!</v>
      </c>
      <c r="I24" s="616" t="e">
        <f>'الأجـــازة للوصايا'!Q18</f>
        <v>#DIV/0!</v>
      </c>
      <c r="J24" s="641">
        <f>'الأجـــازة للوصايا'!AL18</f>
        <v>0</v>
      </c>
      <c r="K24" s="641"/>
      <c r="P24" s="950"/>
      <c r="Q24" s="1107"/>
      <c r="R24" s="1107">
        <f t="shared" si="1"/>
        <v>0</v>
      </c>
      <c r="S24" s="1108">
        <f t="shared" si="2"/>
        <v>0</v>
      </c>
      <c r="T24" s="1108">
        <f t="shared" si="3"/>
        <v>0</v>
      </c>
      <c r="U24" s="1109">
        <f t="shared" si="4"/>
        <v>0</v>
      </c>
      <c r="V24" s="1110">
        <f t="shared" si="5"/>
        <v>0</v>
      </c>
    </row>
    <row r="25" spans="1:32" ht="17.25" customHeight="1" thickTop="1" thickBot="1">
      <c r="A25">
        <f t="shared" si="6"/>
        <v>1</v>
      </c>
      <c r="B25" t="e">
        <f t="shared" si="7"/>
        <v>#DIV/0!</v>
      </c>
      <c r="C25">
        <f t="shared" si="0"/>
        <v>1</v>
      </c>
      <c r="D25" s="546">
        <f>'الأجـــازة للوصايا'!H71</f>
        <v>0</v>
      </c>
      <c r="E25" s="546">
        <f>'الأجـــازة للوصايا'!I71</f>
        <v>0</v>
      </c>
      <c r="F25" s="546"/>
      <c r="G25" s="546">
        <f>'الأجـــازة للوصايا'!O19</f>
        <v>0</v>
      </c>
      <c r="H25" s="616" t="e">
        <f>'الأجـــازة للوصايا'!P19</f>
        <v>#DIV/0!</v>
      </c>
      <c r="I25" s="616" t="e">
        <f>'الأجـــازة للوصايا'!Q19</f>
        <v>#DIV/0!</v>
      </c>
      <c r="J25" s="641">
        <f>'الأجـــازة للوصايا'!AL19</f>
        <v>0</v>
      </c>
      <c r="K25" s="641"/>
      <c r="P25" s="950"/>
      <c r="Q25" s="1111"/>
      <c r="R25" s="1111">
        <f t="shared" si="1"/>
        <v>0</v>
      </c>
      <c r="S25" s="1112">
        <f t="shared" si="2"/>
        <v>0</v>
      </c>
      <c r="T25" s="1112">
        <f t="shared" si="3"/>
        <v>0</v>
      </c>
      <c r="U25" s="1113">
        <f t="shared" si="4"/>
        <v>0</v>
      </c>
      <c r="V25" s="1114">
        <f t="shared" si="5"/>
        <v>0</v>
      </c>
    </row>
    <row r="26" spans="1:32" ht="17.25" customHeight="1" thickTop="1" thickBot="1">
      <c r="A26">
        <f t="shared" si="6"/>
        <v>1</v>
      </c>
      <c r="B26" t="e">
        <f t="shared" si="7"/>
        <v>#DIV/0!</v>
      </c>
      <c r="C26">
        <f t="shared" si="0"/>
        <v>1</v>
      </c>
      <c r="D26" s="546">
        <f>'الأجـــازة للوصايا'!H72</f>
        <v>0</v>
      </c>
      <c r="E26" s="546">
        <f>'الأجـــازة للوصايا'!I72</f>
        <v>0</v>
      </c>
      <c r="F26" s="546"/>
      <c r="G26" s="546">
        <f>'الأجـــازة للوصايا'!O20</f>
        <v>0</v>
      </c>
      <c r="H26" s="616" t="e">
        <f>'الأجـــازة للوصايا'!P20</f>
        <v>#DIV/0!</v>
      </c>
      <c r="I26" s="616" t="e">
        <f>'الأجـــازة للوصايا'!Q20</f>
        <v>#DIV/0!</v>
      </c>
      <c r="J26" s="641">
        <f>'الأجـــازة للوصايا'!AL20</f>
        <v>0</v>
      </c>
      <c r="K26" s="641"/>
      <c r="P26" s="950"/>
      <c r="Q26" s="1107"/>
      <c r="R26" s="1107">
        <f t="shared" si="1"/>
        <v>0</v>
      </c>
      <c r="S26" s="1108">
        <f t="shared" si="2"/>
        <v>0</v>
      </c>
      <c r="T26" s="1108">
        <f t="shared" si="3"/>
        <v>0</v>
      </c>
      <c r="U26" s="1109">
        <f t="shared" si="4"/>
        <v>0</v>
      </c>
      <c r="V26" s="1110">
        <f t="shared" si="5"/>
        <v>0</v>
      </c>
    </row>
    <row r="27" spans="1:32" ht="17.25" customHeight="1" thickTop="1" thickBot="1">
      <c r="A27">
        <f t="shared" si="6"/>
        <v>1</v>
      </c>
      <c r="B27" t="e">
        <f t="shared" si="7"/>
        <v>#DIV/0!</v>
      </c>
      <c r="C27">
        <f t="shared" si="0"/>
        <v>1</v>
      </c>
      <c r="D27" s="546">
        <f>'الأجـــازة للوصايا'!H73</f>
        <v>0</v>
      </c>
      <c r="E27" s="546">
        <f>'الأجـــازة للوصايا'!I73</f>
        <v>0</v>
      </c>
      <c r="F27" s="546"/>
      <c r="G27" s="546">
        <f>'الأجـــازة للوصايا'!O21</f>
        <v>0</v>
      </c>
      <c r="H27" s="616" t="e">
        <f>'الأجـــازة للوصايا'!P21</f>
        <v>#DIV/0!</v>
      </c>
      <c r="I27" s="616" t="e">
        <f>'الأجـــازة للوصايا'!Q21</f>
        <v>#DIV/0!</v>
      </c>
      <c r="J27" s="641">
        <f>'الأجـــازة للوصايا'!AL21</f>
        <v>0</v>
      </c>
      <c r="K27" s="641"/>
      <c r="P27" s="950"/>
      <c r="Q27" s="1111"/>
      <c r="R27" s="1111">
        <f t="shared" si="1"/>
        <v>0</v>
      </c>
      <c r="S27" s="1112">
        <f t="shared" si="2"/>
        <v>0</v>
      </c>
      <c r="T27" s="1112">
        <f t="shared" si="3"/>
        <v>0</v>
      </c>
      <c r="U27" s="1113">
        <f t="shared" si="4"/>
        <v>0</v>
      </c>
      <c r="V27" s="1114">
        <f t="shared" si="5"/>
        <v>0</v>
      </c>
    </row>
    <row r="28" spans="1:32" ht="17.25" customHeight="1" thickTop="1" thickBot="1">
      <c r="A28">
        <f t="shared" si="6"/>
        <v>1</v>
      </c>
      <c r="B28" t="e">
        <f t="shared" si="7"/>
        <v>#DIV/0!</v>
      </c>
      <c r="C28">
        <f t="shared" si="0"/>
        <v>1</v>
      </c>
      <c r="D28" s="546">
        <f>'الأجـــازة للوصايا'!H74</f>
        <v>0</v>
      </c>
      <c r="E28" s="546">
        <f>'الأجـــازة للوصايا'!I74</f>
        <v>0</v>
      </c>
      <c r="F28" s="546"/>
      <c r="G28" s="546">
        <f>'الأجـــازة للوصايا'!O22</f>
        <v>0</v>
      </c>
      <c r="H28" s="616" t="e">
        <f>'الأجـــازة للوصايا'!P22</f>
        <v>#DIV/0!</v>
      </c>
      <c r="I28" s="616" t="e">
        <f>'الأجـــازة للوصايا'!Q22</f>
        <v>#DIV/0!</v>
      </c>
      <c r="J28" s="641">
        <f>'الأجـــازة للوصايا'!AL22</f>
        <v>0</v>
      </c>
      <c r="K28" s="641"/>
      <c r="P28" s="950"/>
      <c r="Q28" s="1107"/>
      <c r="R28" s="1107">
        <f t="shared" si="1"/>
        <v>0</v>
      </c>
      <c r="S28" s="1108">
        <f t="shared" si="2"/>
        <v>0</v>
      </c>
      <c r="T28" s="1108">
        <f t="shared" si="3"/>
        <v>0</v>
      </c>
      <c r="U28" s="1109">
        <f t="shared" si="4"/>
        <v>0</v>
      </c>
      <c r="V28" s="1110">
        <f t="shared" si="5"/>
        <v>0</v>
      </c>
    </row>
    <row r="29" spans="1:32" ht="17.25" customHeight="1" thickTop="1" thickBot="1">
      <c r="A29">
        <f t="shared" si="6"/>
        <v>1</v>
      </c>
      <c r="B29" t="e">
        <f t="shared" si="7"/>
        <v>#DIV/0!</v>
      </c>
      <c r="C29">
        <f t="shared" si="0"/>
        <v>1</v>
      </c>
      <c r="D29" s="546">
        <f>'الأجـــازة للوصايا'!H75</f>
        <v>0</v>
      </c>
      <c r="E29" s="546">
        <f>'الأجـــازة للوصايا'!I75</f>
        <v>0</v>
      </c>
      <c r="F29" s="546"/>
      <c r="G29" s="546">
        <f>'الأجـــازة للوصايا'!O23</f>
        <v>0</v>
      </c>
      <c r="H29" s="616" t="e">
        <f>'الأجـــازة للوصايا'!P23</f>
        <v>#DIV/0!</v>
      </c>
      <c r="I29" s="616" t="e">
        <f>'الأجـــازة للوصايا'!Q23</f>
        <v>#DIV/0!</v>
      </c>
      <c r="J29" s="641">
        <f>'الأجـــازة للوصايا'!AL23</f>
        <v>0</v>
      </c>
      <c r="K29" s="641"/>
      <c r="P29" s="950"/>
      <c r="Q29" s="1111"/>
      <c r="R29" s="1111">
        <f t="shared" si="1"/>
        <v>0</v>
      </c>
      <c r="S29" s="1112">
        <f t="shared" si="2"/>
        <v>0</v>
      </c>
      <c r="T29" s="1112">
        <f t="shared" si="3"/>
        <v>0</v>
      </c>
      <c r="U29" s="1113">
        <f t="shared" si="4"/>
        <v>0</v>
      </c>
      <c r="V29" s="1114">
        <f t="shared" si="5"/>
        <v>0</v>
      </c>
    </row>
    <row r="30" spans="1:32" ht="17.25" customHeight="1" thickTop="1" thickBot="1">
      <c r="A30">
        <f t="shared" si="6"/>
        <v>1</v>
      </c>
      <c r="B30" t="e">
        <f t="shared" si="7"/>
        <v>#DIV/0!</v>
      </c>
      <c r="C30">
        <f t="shared" si="0"/>
        <v>1</v>
      </c>
      <c r="D30" s="546"/>
      <c r="E30" s="546"/>
      <c r="F30" s="546"/>
      <c r="G30" s="546"/>
      <c r="H30" s="616"/>
      <c r="I30" s="616"/>
      <c r="J30" s="641"/>
      <c r="K30" s="641"/>
      <c r="P30" s="950"/>
      <c r="Q30" s="1107"/>
      <c r="R30" s="1107">
        <f t="shared" si="1"/>
        <v>0</v>
      </c>
      <c r="S30" s="1108">
        <f t="shared" si="2"/>
        <v>0</v>
      </c>
      <c r="T30" s="1108">
        <f t="shared" si="3"/>
        <v>0</v>
      </c>
      <c r="U30" s="1109">
        <f t="shared" si="4"/>
        <v>0</v>
      </c>
      <c r="V30" s="1110">
        <f t="shared" si="5"/>
        <v>0</v>
      </c>
    </row>
    <row r="31" spans="1:32" ht="17.25" customHeight="1" thickTop="1" thickBot="1">
      <c r="A31">
        <f t="shared" si="6"/>
        <v>1</v>
      </c>
      <c r="B31" t="e">
        <f t="shared" si="7"/>
        <v>#DIV/0!</v>
      </c>
      <c r="C31">
        <f t="shared" si="0"/>
        <v>1</v>
      </c>
      <c r="D31" s="546">
        <f>'الأجـــازة للوصايا'!H76</f>
        <v>0</v>
      </c>
      <c r="E31" s="546">
        <f>'الأجـــازة للوصايا'!I76</f>
        <v>0</v>
      </c>
      <c r="F31" s="546"/>
      <c r="G31" s="546">
        <f>'(2) '!M12</f>
        <v>0</v>
      </c>
      <c r="H31" s="616" t="e">
        <f>'(2) '!N12</f>
        <v>#DIV/0!</v>
      </c>
      <c r="I31" s="616" t="e">
        <f>'(2) '!O12</f>
        <v>#DIV/0!</v>
      </c>
      <c r="J31" s="641">
        <f>'(2) '!AJ12</f>
        <v>0</v>
      </c>
      <c r="K31" s="641"/>
      <c r="P31" s="951"/>
      <c r="Q31" s="1111"/>
      <c r="R31" s="1111">
        <f t="shared" si="1"/>
        <v>0</v>
      </c>
      <c r="S31" s="1112">
        <f t="shared" si="2"/>
        <v>0</v>
      </c>
      <c r="T31" s="1112">
        <f t="shared" si="3"/>
        <v>0</v>
      </c>
      <c r="U31" s="1113">
        <f t="shared" si="4"/>
        <v>0</v>
      </c>
      <c r="V31" s="1114">
        <f t="shared" si="5"/>
        <v>0</v>
      </c>
    </row>
    <row r="32" spans="1:32" ht="17.25" customHeight="1" thickTop="1" thickBot="1">
      <c r="A32">
        <f t="shared" si="6"/>
        <v>1</v>
      </c>
      <c r="B32" t="e">
        <f t="shared" si="7"/>
        <v>#DIV/0!</v>
      </c>
      <c r="C32">
        <f t="shared" si="0"/>
        <v>1</v>
      </c>
      <c r="D32" s="546">
        <f>'الأجـــازة للوصايا'!H77</f>
        <v>0</v>
      </c>
      <c r="E32" s="546">
        <f>'الأجـــازة للوصايا'!I77</f>
        <v>0</v>
      </c>
      <c r="F32" s="546"/>
      <c r="G32" s="546">
        <f>'(2) '!M13</f>
        <v>0</v>
      </c>
      <c r="H32" s="616" t="e">
        <f>'(2) '!N13</f>
        <v>#DIV/0!</v>
      </c>
      <c r="I32" s="616" t="e">
        <f>'(2) '!O13</f>
        <v>#DIV/0!</v>
      </c>
      <c r="J32" s="641">
        <f>'(2) '!AJ13</f>
        <v>0</v>
      </c>
      <c r="K32" s="641"/>
      <c r="P32" s="951"/>
      <c r="Q32" s="1107"/>
      <c r="R32" s="1107">
        <f t="shared" si="1"/>
        <v>0</v>
      </c>
      <c r="S32" s="1108">
        <f t="shared" si="2"/>
        <v>0</v>
      </c>
      <c r="T32" s="1108">
        <f t="shared" si="3"/>
        <v>0</v>
      </c>
      <c r="U32" s="1109">
        <f t="shared" si="4"/>
        <v>0</v>
      </c>
      <c r="V32" s="1110">
        <f t="shared" si="5"/>
        <v>0</v>
      </c>
    </row>
    <row r="33" spans="1:22" ht="17.25" customHeight="1" thickTop="1" thickBot="1">
      <c r="A33">
        <f t="shared" si="6"/>
        <v>1</v>
      </c>
      <c r="B33" t="e">
        <f t="shared" si="7"/>
        <v>#DIV/0!</v>
      </c>
      <c r="C33">
        <f t="shared" si="0"/>
        <v>1</v>
      </c>
      <c r="D33" s="546">
        <f>'الأجـــازة للوصايا'!H78</f>
        <v>0</v>
      </c>
      <c r="E33" s="546">
        <f>'الأجـــازة للوصايا'!I78</f>
        <v>0</v>
      </c>
      <c r="F33" s="546"/>
      <c r="G33" s="546">
        <f>'(2) '!M14</f>
        <v>0</v>
      </c>
      <c r="H33" s="616" t="e">
        <f>'(2) '!N14</f>
        <v>#DIV/0!</v>
      </c>
      <c r="I33" s="616" t="e">
        <f>'(2) '!O14</f>
        <v>#DIV/0!</v>
      </c>
      <c r="J33" s="641">
        <f>'(2) '!AJ14</f>
        <v>0</v>
      </c>
      <c r="K33" s="641"/>
      <c r="P33" s="951"/>
      <c r="Q33" s="1111"/>
      <c r="R33" s="1111">
        <f t="shared" si="1"/>
        <v>0</v>
      </c>
      <c r="S33" s="1112">
        <f t="shared" si="2"/>
        <v>0</v>
      </c>
      <c r="T33" s="1112">
        <f t="shared" si="3"/>
        <v>0</v>
      </c>
      <c r="U33" s="1113">
        <f t="shared" si="4"/>
        <v>0</v>
      </c>
      <c r="V33" s="1114">
        <f t="shared" si="5"/>
        <v>0</v>
      </c>
    </row>
    <row r="34" spans="1:22" ht="17.25" customHeight="1" thickTop="1" thickBot="1">
      <c r="A34">
        <f t="shared" si="6"/>
        <v>1</v>
      </c>
      <c r="B34" t="e">
        <f t="shared" si="7"/>
        <v>#DIV/0!</v>
      </c>
      <c r="C34">
        <f t="shared" si="0"/>
        <v>1</v>
      </c>
      <c r="D34" s="546">
        <f>'الأجـــازة للوصايا'!H79</f>
        <v>0</v>
      </c>
      <c r="E34" s="546">
        <f>'الأجـــازة للوصايا'!I79</f>
        <v>0</v>
      </c>
      <c r="F34" s="546"/>
      <c r="G34" s="546">
        <f>'(2) '!M15</f>
        <v>0</v>
      </c>
      <c r="H34" s="616" t="e">
        <f>'(2) '!N15</f>
        <v>#DIV/0!</v>
      </c>
      <c r="I34" s="616" t="e">
        <f>'(2) '!O15</f>
        <v>#DIV/0!</v>
      </c>
      <c r="J34" s="641">
        <f>'(2) '!AJ15</f>
        <v>0</v>
      </c>
      <c r="K34" s="641"/>
      <c r="P34" s="951"/>
      <c r="Q34" s="1107"/>
      <c r="R34" s="1107">
        <f t="shared" si="1"/>
        <v>0</v>
      </c>
      <c r="S34" s="1108">
        <f t="shared" si="2"/>
        <v>0</v>
      </c>
      <c r="T34" s="1108">
        <f t="shared" si="3"/>
        <v>0</v>
      </c>
      <c r="U34" s="1109">
        <f t="shared" si="4"/>
        <v>0</v>
      </c>
      <c r="V34" s="1110">
        <f t="shared" si="5"/>
        <v>0</v>
      </c>
    </row>
    <row r="35" spans="1:22" ht="17.25" customHeight="1" thickTop="1" thickBot="1">
      <c r="A35">
        <f t="shared" si="6"/>
        <v>1</v>
      </c>
      <c r="B35" t="e">
        <f t="shared" si="7"/>
        <v>#DIV/0!</v>
      </c>
      <c r="C35">
        <f t="shared" si="0"/>
        <v>1</v>
      </c>
      <c r="D35" s="546">
        <f>'الأجـــازة للوصايا'!H80</f>
        <v>0</v>
      </c>
      <c r="E35" s="546">
        <f>'الأجـــازة للوصايا'!I80</f>
        <v>0</v>
      </c>
      <c r="F35" s="546"/>
      <c r="G35" s="546">
        <f>'(2) '!M16</f>
        <v>0</v>
      </c>
      <c r="H35" s="616" t="e">
        <f>'(2) '!N16</f>
        <v>#DIV/0!</v>
      </c>
      <c r="I35" s="616" t="e">
        <f>'(2) '!O16</f>
        <v>#DIV/0!</v>
      </c>
      <c r="J35" s="641">
        <f>'(2) '!AJ16</f>
        <v>0</v>
      </c>
      <c r="K35" s="641"/>
      <c r="Q35" s="1111"/>
      <c r="R35" s="1111">
        <f t="shared" si="1"/>
        <v>0</v>
      </c>
      <c r="S35" s="1112">
        <f t="shared" si="2"/>
        <v>0</v>
      </c>
      <c r="T35" s="1112">
        <f t="shared" si="3"/>
        <v>0</v>
      </c>
      <c r="U35" s="1113">
        <f t="shared" si="4"/>
        <v>0</v>
      </c>
      <c r="V35" s="1114">
        <f t="shared" si="5"/>
        <v>0</v>
      </c>
    </row>
    <row r="36" spans="1:22" ht="17.25" customHeight="1" thickTop="1" thickBot="1">
      <c r="A36">
        <f t="shared" si="6"/>
        <v>1</v>
      </c>
      <c r="B36" t="e">
        <f t="shared" si="7"/>
        <v>#DIV/0!</v>
      </c>
      <c r="C36">
        <f t="shared" si="0"/>
        <v>1</v>
      </c>
      <c r="D36" s="546">
        <f>'الأجـــازة للوصايا'!H81</f>
        <v>0</v>
      </c>
      <c r="E36" s="546">
        <f>'الأجـــازة للوصايا'!I81</f>
        <v>0</v>
      </c>
      <c r="F36" s="546"/>
      <c r="G36" s="546">
        <f>'(2) '!M17</f>
        <v>0</v>
      </c>
      <c r="H36" s="616" t="e">
        <f>'(2) '!N17</f>
        <v>#DIV/0!</v>
      </c>
      <c r="I36" s="616" t="e">
        <f>'(2) '!O17</f>
        <v>#DIV/0!</v>
      </c>
      <c r="J36" s="641">
        <f>'(2) '!AJ17</f>
        <v>0</v>
      </c>
      <c r="K36" s="641"/>
      <c r="Q36" s="1107"/>
      <c r="R36" s="1107">
        <f t="shared" si="1"/>
        <v>0</v>
      </c>
      <c r="S36" s="1108">
        <f t="shared" si="2"/>
        <v>0</v>
      </c>
      <c r="T36" s="1108">
        <f t="shared" si="3"/>
        <v>0</v>
      </c>
      <c r="U36" s="1109">
        <f t="shared" si="4"/>
        <v>0</v>
      </c>
      <c r="V36" s="1110">
        <f t="shared" si="5"/>
        <v>0</v>
      </c>
    </row>
    <row r="37" spans="1:22" ht="17.25" customHeight="1" thickTop="1" thickBot="1">
      <c r="A37">
        <f t="shared" si="6"/>
        <v>1</v>
      </c>
      <c r="B37" t="e">
        <f t="shared" si="7"/>
        <v>#DIV/0!</v>
      </c>
      <c r="C37">
        <f t="shared" si="0"/>
        <v>1</v>
      </c>
      <c r="D37" s="546">
        <f>'الأجـــازة للوصايا'!H82</f>
        <v>0</v>
      </c>
      <c r="E37" s="546">
        <f>'الأجـــازة للوصايا'!I82</f>
        <v>0</v>
      </c>
      <c r="F37" s="546"/>
      <c r="G37" s="546">
        <f>'(2) '!M18</f>
        <v>0</v>
      </c>
      <c r="H37" s="616" t="e">
        <f>'(2) '!N18</f>
        <v>#DIV/0!</v>
      </c>
      <c r="I37" s="616" t="e">
        <f>'(2) '!O18</f>
        <v>#DIV/0!</v>
      </c>
      <c r="J37" s="641">
        <f>'(2) '!AJ18</f>
        <v>0</v>
      </c>
      <c r="K37" s="641"/>
      <c r="Q37" s="1115"/>
      <c r="R37" s="1115">
        <f t="shared" si="1"/>
        <v>0</v>
      </c>
      <c r="S37" s="1116">
        <f t="shared" si="2"/>
        <v>0</v>
      </c>
      <c r="T37" s="1116">
        <f t="shared" si="3"/>
        <v>0</v>
      </c>
      <c r="U37" s="1117">
        <f t="shared" si="4"/>
        <v>0</v>
      </c>
      <c r="V37" s="1118">
        <f t="shared" si="5"/>
        <v>0</v>
      </c>
    </row>
    <row r="38" spans="1:22" ht="17.25" customHeight="1" thickTop="1" thickBot="1">
      <c r="A38">
        <f t="shared" si="6"/>
        <v>1</v>
      </c>
      <c r="B38" t="e">
        <f t="shared" si="7"/>
        <v>#DIV/0!</v>
      </c>
      <c r="C38">
        <f t="shared" si="0"/>
        <v>1</v>
      </c>
      <c r="D38" s="546">
        <f>'الأجـــازة للوصايا'!H83</f>
        <v>0</v>
      </c>
      <c r="E38" s="546">
        <f>'الأجـــازة للوصايا'!I83</f>
        <v>0</v>
      </c>
      <c r="F38" s="546"/>
      <c r="G38" s="546">
        <f>'(2) '!M19</f>
        <v>0</v>
      </c>
      <c r="H38" s="616" t="e">
        <f>'(2) '!N19</f>
        <v>#DIV/0!</v>
      </c>
      <c r="I38" s="616" t="e">
        <f>'(2) '!O19</f>
        <v>#DIV/0!</v>
      </c>
      <c r="J38" s="641">
        <f>'(2) '!AJ19</f>
        <v>0</v>
      </c>
      <c r="K38" s="641"/>
      <c r="Q38" s="1107"/>
      <c r="R38" s="1107">
        <f t="shared" si="1"/>
        <v>0</v>
      </c>
      <c r="S38" s="1108">
        <f t="shared" si="2"/>
        <v>0</v>
      </c>
      <c r="T38" s="1108">
        <f t="shared" si="3"/>
        <v>0</v>
      </c>
      <c r="U38" s="1109">
        <f t="shared" si="4"/>
        <v>0</v>
      </c>
      <c r="V38" s="1110">
        <f t="shared" si="5"/>
        <v>0</v>
      </c>
    </row>
    <row r="39" spans="1:22" ht="17.25" customHeight="1" thickTop="1" thickBot="1">
      <c r="A39">
        <f t="shared" si="6"/>
        <v>1</v>
      </c>
      <c r="B39" t="e">
        <f t="shared" si="7"/>
        <v>#DIV/0!</v>
      </c>
      <c r="C39">
        <f t="shared" si="0"/>
        <v>1</v>
      </c>
      <c r="D39" s="546">
        <f>'الأجـــازة للوصايا'!H84</f>
        <v>0</v>
      </c>
      <c r="E39" s="546">
        <f>'الأجـــازة للوصايا'!I84</f>
        <v>0</v>
      </c>
      <c r="F39" s="546"/>
      <c r="G39" s="546">
        <f>'(2) '!M20</f>
        <v>0</v>
      </c>
      <c r="H39" s="616" t="e">
        <f>'(2) '!N20</f>
        <v>#DIV/0!</v>
      </c>
      <c r="I39" s="616" t="e">
        <f>'(2) '!O20</f>
        <v>#DIV/0!</v>
      </c>
      <c r="J39" s="641">
        <f>'(2) '!AJ20</f>
        <v>0</v>
      </c>
      <c r="K39" s="641"/>
      <c r="L39" s="641"/>
      <c r="M39" s="641"/>
      <c r="Q39" s="1111"/>
      <c r="R39" s="1111">
        <f t="shared" si="1"/>
        <v>0</v>
      </c>
      <c r="S39" s="1112">
        <f t="shared" si="2"/>
        <v>0</v>
      </c>
      <c r="T39" s="1112">
        <f t="shared" si="3"/>
        <v>0</v>
      </c>
      <c r="U39" s="1113">
        <f t="shared" si="4"/>
        <v>0</v>
      </c>
      <c r="V39" s="1114">
        <f t="shared" si="5"/>
        <v>0</v>
      </c>
    </row>
    <row r="40" spans="1:22" ht="17.25" customHeight="1" thickTop="1" thickBot="1">
      <c r="A40">
        <f t="shared" si="6"/>
        <v>1</v>
      </c>
      <c r="B40" t="e">
        <f t="shared" si="7"/>
        <v>#DIV/0!</v>
      </c>
      <c r="C40">
        <f t="shared" si="0"/>
        <v>1</v>
      </c>
      <c r="D40" s="546">
        <f>'الأجـــازة للوصايا'!H85</f>
        <v>0</v>
      </c>
      <c r="E40" s="546">
        <f>'الأجـــازة للوصايا'!I85</f>
        <v>0</v>
      </c>
      <c r="F40" s="546"/>
      <c r="G40" s="546">
        <f>'(2) '!M21</f>
        <v>0</v>
      </c>
      <c r="H40" s="616" t="e">
        <f>'(2) '!N21</f>
        <v>#DIV/0!</v>
      </c>
      <c r="I40" s="616" t="e">
        <f>'(2) '!O21</f>
        <v>#DIV/0!</v>
      </c>
      <c r="J40" s="641">
        <f>'(2) '!AJ21</f>
        <v>0</v>
      </c>
      <c r="K40" s="641"/>
      <c r="L40" s="641"/>
      <c r="M40" s="641"/>
      <c r="Q40" s="1107"/>
      <c r="R40" s="1107">
        <f t="shared" si="1"/>
        <v>0</v>
      </c>
      <c r="S40" s="1108">
        <f t="shared" si="2"/>
        <v>0</v>
      </c>
      <c r="T40" s="1108">
        <f t="shared" si="3"/>
        <v>0</v>
      </c>
      <c r="U40" s="1109">
        <f t="shared" si="4"/>
        <v>0</v>
      </c>
      <c r="V40" s="1110">
        <f t="shared" si="5"/>
        <v>0</v>
      </c>
    </row>
    <row r="41" spans="1:22" ht="17.25" customHeight="1" thickTop="1" thickBot="1">
      <c r="A41">
        <f t="shared" si="6"/>
        <v>1</v>
      </c>
      <c r="B41" t="e">
        <f t="shared" si="7"/>
        <v>#DIV/0!</v>
      </c>
      <c r="C41">
        <f t="shared" si="0"/>
        <v>1</v>
      </c>
      <c r="D41" s="546">
        <f>'الأجـــازة للوصايا'!H86</f>
        <v>0</v>
      </c>
      <c r="E41" s="546">
        <f>'الأجـــازة للوصايا'!I86</f>
        <v>0</v>
      </c>
      <c r="F41" s="546"/>
      <c r="G41" s="546">
        <f>'(2) '!M22</f>
        <v>0</v>
      </c>
      <c r="H41" s="616" t="e">
        <f>'(2) '!N22</f>
        <v>#DIV/0!</v>
      </c>
      <c r="I41" s="616" t="e">
        <f>'(2) '!O22</f>
        <v>#DIV/0!</v>
      </c>
      <c r="J41" s="641">
        <f>'(2) '!AJ22</f>
        <v>0</v>
      </c>
      <c r="K41" s="641"/>
      <c r="L41" s="641"/>
      <c r="M41" s="641"/>
      <c r="Q41" s="1111"/>
      <c r="R41" s="1111">
        <f t="shared" si="1"/>
        <v>0</v>
      </c>
      <c r="S41" s="1112">
        <f t="shared" si="2"/>
        <v>0</v>
      </c>
      <c r="T41" s="1112">
        <f t="shared" si="3"/>
        <v>0</v>
      </c>
      <c r="U41" s="1113">
        <f t="shared" si="4"/>
        <v>0</v>
      </c>
      <c r="V41" s="1114">
        <f t="shared" si="5"/>
        <v>0</v>
      </c>
    </row>
    <row r="42" spans="1:22" ht="17.25" customHeight="1" thickTop="1" thickBot="1">
      <c r="A42">
        <f t="shared" si="6"/>
        <v>1</v>
      </c>
      <c r="B42" t="e">
        <f t="shared" si="7"/>
        <v>#DIV/0!</v>
      </c>
      <c r="C42">
        <f t="shared" si="0"/>
        <v>1</v>
      </c>
      <c r="D42" s="546">
        <f>'الأجـــازة للوصايا'!H87</f>
        <v>0</v>
      </c>
      <c r="E42" s="546">
        <f>'الأجـــازة للوصايا'!I87</f>
        <v>0</v>
      </c>
      <c r="F42" s="546"/>
      <c r="G42" s="546">
        <f>'(2) '!M23</f>
        <v>0</v>
      </c>
      <c r="H42" s="616" t="e">
        <f>'(2) '!N23</f>
        <v>#DIV/0!</v>
      </c>
      <c r="I42" s="616" t="e">
        <f>'(2) '!O23</f>
        <v>#DIV/0!</v>
      </c>
      <c r="J42" s="641">
        <f>'(2) '!AJ23</f>
        <v>0</v>
      </c>
      <c r="K42" s="641"/>
      <c r="L42" s="641"/>
      <c r="M42" s="641"/>
      <c r="Q42" s="1107"/>
      <c r="R42" s="1107">
        <f t="shared" si="1"/>
        <v>0</v>
      </c>
      <c r="S42" s="1108">
        <f t="shared" si="2"/>
        <v>0</v>
      </c>
      <c r="T42" s="1108">
        <f t="shared" si="3"/>
        <v>0</v>
      </c>
      <c r="U42" s="1109">
        <f t="shared" si="4"/>
        <v>0</v>
      </c>
      <c r="V42" s="1110">
        <f t="shared" si="5"/>
        <v>0</v>
      </c>
    </row>
    <row r="43" spans="1:22" ht="17.25" customHeight="1" thickTop="1" thickBot="1">
      <c r="A43">
        <f t="shared" si="6"/>
        <v>1</v>
      </c>
      <c r="B43" t="e">
        <f t="shared" si="7"/>
        <v>#DIV/0!</v>
      </c>
      <c r="C43">
        <f t="shared" si="0"/>
        <v>1</v>
      </c>
      <c r="D43" s="546"/>
      <c r="E43" s="546"/>
      <c r="F43" s="546"/>
      <c r="G43" s="546"/>
      <c r="H43" s="616"/>
      <c r="I43" s="616"/>
      <c r="J43" s="641"/>
      <c r="K43" s="641"/>
      <c r="L43" s="641"/>
      <c r="M43" s="641"/>
      <c r="N43" s="641"/>
      <c r="O43" s="641"/>
      <c r="P43" s="641"/>
      <c r="Q43" s="1111"/>
      <c r="R43" s="1111">
        <f t="shared" si="1"/>
        <v>0</v>
      </c>
      <c r="S43" s="1112">
        <f t="shared" si="2"/>
        <v>0</v>
      </c>
      <c r="T43" s="1112">
        <f t="shared" si="3"/>
        <v>0</v>
      </c>
      <c r="U43" s="1113">
        <f t="shared" si="4"/>
        <v>0</v>
      </c>
      <c r="V43" s="1114">
        <f t="shared" si="5"/>
        <v>0</v>
      </c>
    </row>
    <row r="44" spans="1:22" ht="17.25" customHeight="1" thickTop="1" thickBot="1">
      <c r="A44">
        <f t="shared" si="6"/>
        <v>1</v>
      </c>
      <c r="B44" t="e">
        <f t="shared" si="7"/>
        <v>#DIV/0!</v>
      </c>
      <c r="C44">
        <f t="shared" si="0"/>
        <v>1</v>
      </c>
      <c r="D44" s="546">
        <f>'الأجـــازة للوصايا'!H88</f>
        <v>0</v>
      </c>
      <c r="E44" s="546">
        <f>'الأجـــازة للوصايا'!I88</f>
        <v>0</v>
      </c>
      <c r="F44" s="546"/>
      <c r="G44" s="546">
        <f>'(3) '!M12</f>
        <v>0</v>
      </c>
      <c r="H44" s="616" t="e">
        <f>'(3) '!N12</f>
        <v>#DIV/0!</v>
      </c>
      <c r="I44" s="616" t="e">
        <f>'(3) '!O12</f>
        <v>#DIV/0!</v>
      </c>
      <c r="J44" s="641">
        <f>'(3) '!AJ12</f>
        <v>0</v>
      </c>
      <c r="K44" s="641"/>
      <c r="L44" s="641"/>
      <c r="M44" s="641"/>
      <c r="N44" s="641"/>
      <c r="O44" s="641"/>
      <c r="P44" s="641"/>
      <c r="Q44" s="1107"/>
      <c r="R44" s="1107">
        <f t="shared" si="1"/>
        <v>0</v>
      </c>
      <c r="S44" s="1108">
        <f t="shared" si="2"/>
        <v>0</v>
      </c>
      <c r="T44" s="1108">
        <f t="shared" si="3"/>
        <v>0</v>
      </c>
      <c r="U44" s="1109">
        <f t="shared" si="4"/>
        <v>0</v>
      </c>
      <c r="V44" s="1110">
        <f t="shared" si="5"/>
        <v>0</v>
      </c>
    </row>
    <row r="45" spans="1:22" ht="17.25" customHeight="1" thickTop="1" thickBot="1">
      <c r="A45">
        <f t="shared" si="6"/>
        <v>1</v>
      </c>
      <c r="B45" t="e">
        <f t="shared" si="7"/>
        <v>#DIV/0!</v>
      </c>
      <c r="C45">
        <f t="shared" si="0"/>
        <v>1</v>
      </c>
      <c r="D45" s="546">
        <f>'الأجـــازة للوصايا'!H89</f>
        <v>0</v>
      </c>
      <c r="E45" s="546">
        <f>'الأجـــازة للوصايا'!I89</f>
        <v>0</v>
      </c>
      <c r="F45" s="546"/>
      <c r="G45" s="546">
        <f>'(3) '!M13</f>
        <v>0</v>
      </c>
      <c r="H45" s="616" t="e">
        <f>'(3) '!N13</f>
        <v>#DIV/0!</v>
      </c>
      <c r="I45" s="616" t="e">
        <f>'(3) '!O13</f>
        <v>#DIV/0!</v>
      </c>
      <c r="J45" s="641">
        <f>'(3) '!AJ13</f>
        <v>0</v>
      </c>
      <c r="K45" s="641"/>
      <c r="L45" s="641"/>
      <c r="M45" s="641"/>
      <c r="N45" s="641"/>
      <c r="O45" s="641"/>
      <c r="P45" s="641"/>
      <c r="Q45" s="1111"/>
      <c r="R45" s="1111">
        <f t="shared" si="1"/>
        <v>0</v>
      </c>
      <c r="S45" s="1112">
        <f t="shared" si="2"/>
        <v>0</v>
      </c>
      <c r="T45" s="1112">
        <f t="shared" si="3"/>
        <v>0</v>
      </c>
      <c r="U45" s="1113">
        <f t="shared" si="4"/>
        <v>0</v>
      </c>
      <c r="V45" s="1114">
        <f t="shared" si="5"/>
        <v>0</v>
      </c>
    </row>
    <row r="46" spans="1:22" ht="17.25" customHeight="1" thickTop="1" thickBot="1">
      <c r="A46">
        <f t="shared" si="6"/>
        <v>1</v>
      </c>
      <c r="B46" t="e">
        <f t="shared" si="7"/>
        <v>#DIV/0!</v>
      </c>
      <c r="C46">
        <f t="shared" si="0"/>
        <v>1</v>
      </c>
      <c r="D46" s="546">
        <f>'الأجـــازة للوصايا'!H90</f>
        <v>0</v>
      </c>
      <c r="E46" s="546">
        <f>'الأجـــازة للوصايا'!I90</f>
        <v>0</v>
      </c>
      <c r="F46" s="546"/>
      <c r="G46" s="546">
        <f>'(3) '!M14</f>
        <v>0</v>
      </c>
      <c r="H46" s="616" t="e">
        <f>'(3) '!N14</f>
        <v>#DIV/0!</v>
      </c>
      <c r="I46" s="616" t="e">
        <f>'(3) '!O14</f>
        <v>#DIV/0!</v>
      </c>
      <c r="J46" s="641">
        <f>'(3) '!AJ14</f>
        <v>0</v>
      </c>
      <c r="K46" s="641"/>
      <c r="L46" s="641"/>
      <c r="M46" s="641"/>
      <c r="N46" s="641"/>
      <c r="O46" s="641"/>
      <c r="P46" s="641"/>
      <c r="Q46" s="1107"/>
      <c r="R46" s="1107">
        <f t="shared" si="1"/>
        <v>0</v>
      </c>
      <c r="S46" s="1108">
        <f t="shared" si="2"/>
        <v>0</v>
      </c>
      <c r="T46" s="1108">
        <f t="shared" si="3"/>
        <v>0</v>
      </c>
      <c r="U46" s="1109">
        <f t="shared" si="4"/>
        <v>0</v>
      </c>
      <c r="V46" s="1110">
        <f t="shared" si="5"/>
        <v>0</v>
      </c>
    </row>
    <row r="47" spans="1:22" ht="17.25" customHeight="1" thickTop="1" thickBot="1">
      <c r="A47">
        <f t="shared" si="6"/>
        <v>1</v>
      </c>
      <c r="B47" t="e">
        <f t="shared" si="7"/>
        <v>#DIV/0!</v>
      </c>
      <c r="C47">
        <f t="shared" si="0"/>
        <v>1</v>
      </c>
      <c r="D47" s="546">
        <f>'الأجـــازة للوصايا'!H91</f>
        <v>0</v>
      </c>
      <c r="E47" s="546">
        <f>'الأجـــازة للوصايا'!I91</f>
        <v>0</v>
      </c>
      <c r="F47" s="546"/>
      <c r="G47" s="546">
        <f>'(3) '!M15</f>
        <v>0</v>
      </c>
      <c r="H47" s="616" t="e">
        <f>'(3) '!N15</f>
        <v>#DIV/0!</v>
      </c>
      <c r="I47" s="616" t="e">
        <f>'(3) '!O15</f>
        <v>#DIV/0!</v>
      </c>
      <c r="J47" s="641">
        <f>'(3) '!AJ15</f>
        <v>0</v>
      </c>
      <c r="K47" s="641"/>
      <c r="L47" s="641"/>
      <c r="M47" s="641"/>
      <c r="N47" s="641"/>
      <c r="O47" s="641"/>
      <c r="P47" s="641"/>
      <c r="Q47" s="1111"/>
      <c r="R47" s="1111">
        <f t="shared" si="1"/>
        <v>0</v>
      </c>
      <c r="S47" s="1112">
        <f t="shared" si="2"/>
        <v>0</v>
      </c>
      <c r="T47" s="1112">
        <f t="shared" si="3"/>
        <v>0</v>
      </c>
      <c r="U47" s="1113">
        <f t="shared" si="4"/>
        <v>0</v>
      </c>
      <c r="V47" s="1114">
        <f t="shared" si="5"/>
        <v>0</v>
      </c>
    </row>
    <row r="48" spans="1:22" ht="17.25" customHeight="1" thickTop="1" thickBot="1">
      <c r="A48">
        <f t="shared" si="6"/>
        <v>1</v>
      </c>
      <c r="B48" t="e">
        <f t="shared" si="7"/>
        <v>#DIV/0!</v>
      </c>
      <c r="C48">
        <f t="shared" si="0"/>
        <v>1</v>
      </c>
      <c r="D48" s="546">
        <f>'الأجـــازة للوصايا'!H92</f>
        <v>0</v>
      </c>
      <c r="E48" s="546">
        <f>'الأجـــازة للوصايا'!I92</f>
        <v>0</v>
      </c>
      <c r="F48" s="546"/>
      <c r="G48" s="546">
        <f>'(3) '!M16</f>
        <v>0</v>
      </c>
      <c r="H48" s="616" t="e">
        <f>'(3) '!N16</f>
        <v>#DIV/0!</v>
      </c>
      <c r="I48" s="616" t="e">
        <f>'(3) '!O16</f>
        <v>#DIV/0!</v>
      </c>
      <c r="J48" s="641">
        <f>'(3) '!AJ16</f>
        <v>0</v>
      </c>
      <c r="K48" s="641"/>
      <c r="L48" s="641"/>
      <c r="M48" s="641"/>
      <c r="N48" s="641"/>
      <c r="O48" s="641"/>
      <c r="P48" s="641"/>
      <c r="Q48" s="1107"/>
      <c r="R48" s="1107">
        <f t="shared" si="1"/>
        <v>0</v>
      </c>
      <c r="S48" s="1108">
        <f t="shared" si="2"/>
        <v>0</v>
      </c>
      <c r="T48" s="1108">
        <f t="shared" si="3"/>
        <v>0</v>
      </c>
      <c r="U48" s="1109">
        <f t="shared" si="4"/>
        <v>0</v>
      </c>
      <c r="V48" s="1110">
        <f t="shared" si="5"/>
        <v>0</v>
      </c>
    </row>
    <row r="49" spans="1:22" ht="17.25" customHeight="1" thickTop="1" thickBot="1">
      <c r="A49">
        <f t="shared" si="6"/>
        <v>1</v>
      </c>
      <c r="B49" t="e">
        <f t="shared" si="7"/>
        <v>#DIV/0!</v>
      </c>
      <c r="C49">
        <f t="shared" si="0"/>
        <v>1</v>
      </c>
      <c r="D49" s="546">
        <f>'الأجـــازة للوصايا'!H93</f>
        <v>0</v>
      </c>
      <c r="E49" s="546">
        <f>'الأجـــازة للوصايا'!I93</f>
        <v>0</v>
      </c>
      <c r="F49" s="546"/>
      <c r="G49" s="546">
        <f>'(3) '!M17</f>
        <v>0</v>
      </c>
      <c r="H49" s="616" t="e">
        <f>'(3) '!N17</f>
        <v>#DIV/0!</v>
      </c>
      <c r="I49" s="616" t="e">
        <f>'(3) '!O17</f>
        <v>#DIV/0!</v>
      </c>
      <c r="J49" s="641">
        <f>'(3) '!AJ17</f>
        <v>0</v>
      </c>
      <c r="K49" s="641"/>
      <c r="L49" s="641"/>
      <c r="M49" s="641"/>
      <c r="N49" s="641"/>
      <c r="O49" s="641"/>
      <c r="P49" s="641"/>
      <c r="Q49" s="1111"/>
      <c r="R49" s="1111">
        <f t="shared" si="1"/>
        <v>0</v>
      </c>
      <c r="S49" s="1112">
        <f t="shared" si="2"/>
        <v>0</v>
      </c>
      <c r="T49" s="1112">
        <f t="shared" si="3"/>
        <v>0</v>
      </c>
      <c r="U49" s="1113">
        <f t="shared" si="4"/>
        <v>0</v>
      </c>
      <c r="V49" s="1114">
        <f t="shared" si="5"/>
        <v>0</v>
      </c>
    </row>
    <row r="50" spans="1:22" ht="17.25" customHeight="1" thickTop="1" thickBot="1">
      <c r="A50">
        <f t="shared" si="6"/>
        <v>1</v>
      </c>
      <c r="B50" t="e">
        <f t="shared" si="7"/>
        <v>#DIV/0!</v>
      </c>
      <c r="C50">
        <f t="shared" ref="C50:C81" si="8">IFERROR(A50,0)</f>
        <v>1</v>
      </c>
      <c r="D50" s="546">
        <f>'الأجـــازة للوصايا'!H94</f>
        <v>0</v>
      </c>
      <c r="E50" s="546">
        <f>'الأجـــازة للوصايا'!I94</f>
        <v>0</v>
      </c>
      <c r="F50" s="546"/>
      <c r="G50" s="546">
        <f>'(3) '!M18</f>
        <v>0</v>
      </c>
      <c r="H50" s="616" t="e">
        <f>'(3) '!N18</f>
        <v>#DIV/0!</v>
      </c>
      <c r="I50" s="616" t="e">
        <f>'(3) '!O18</f>
        <v>#DIV/0!</v>
      </c>
      <c r="J50" s="641">
        <f>'(3) '!AJ18</f>
        <v>0</v>
      </c>
      <c r="K50" s="641"/>
      <c r="L50" s="641"/>
      <c r="M50" s="641"/>
      <c r="N50" s="641"/>
      <c r="O50" s="641"/>
      <c r="P50" s="641"/>
      <c r="Q50" s="1107"/>
      <c r="R50" s="1107">
        <f t="shared" ref="R50:R75" si="9">IFERROR(E203,0)</f>
        <v>0</v>
      </c>
      <c r="S50" s="1108">
        <f t="shared" ref="S50:S75" si="10">IFERROR(F203,0)</f>
        <v>0</v>
      </c>
      <c r="T50" s="1108">
        <f t="shared" ref="T50:T75" si="11">IFERROR(G203,0)</f>
        <v>0</v>
      </c>
      <c r="U50" s="1109">
        <f t="shared" ref="U50:U75" si="12">IFERROR((H203/B50),0)</f>
        <v>0</v>
      </c>
      <c r="V50" s="1110">
        <f t="shared" ref="V50:V75" si="13">IFERROR(I203,0)</f>
        <v>0</v>
      </c>
    </row>
    <row r="51" spans="1:22" ht="17.25" customHeight="1" thickTop="1" thickBot="1">
      <c r="A51">
        <f t="shared" ref="A51:A82" si="14">IF(E51&gt;0, A50+1,A50)</f>
        <v>1</v>
      </c>
      <c r="B51" t="e">
        <f t="shared" ref="B51:B82" si="15">$B$18</f>
        <v>#DIV/0!</v>
      </c>
      <c r="C51">
        <f t="shared" si="8"/>
        <v>1</v>
      </c>
      <c r="D51" s="546">
        <f>'الأجـــازة للوصايا'!H95</f>
        <v>0</v>
      </c>
      <c r="E51" s="546">
        <f>'الأجـــازة للوصايا'!I95</f>
        <v>0</v>
      </c>
      <c r="F51" s="546"/>
      <c r="G51" s="546">
        <f>'(3) '!M19</f>
        <v>0</v>
      </c>
      <c r="H51" s="616" t="e">
        <f>'(3) '!N19</f>
        <v>#DIV/0!</v>
      </c>
      <c r="I51" s="616" t="e">
        <f>'(3) '!O19</f>
        <v>#DIV/0!</v>
      </c>
      <c r="J51" s="641">
        <f>'(3) '!AJ19</f>
        <v>0</v>
      </c>
      <c r="K51" s="641"/>
      <c r="L51" s="641"/>
      <c r="M51" s="641"/>
      <c r="N51" s="641"/>
      <c r="O51" s="641"/>
      <c r="P51" s="641"/>
      <c r="Q51" s="1111"/>
      <c r="R51" s="1111">
        <f t="shared" si="9"/>
        <v>0</v>
      </c>
      <c r="S51" s="1112">
        <f t="shared" si="10"/>
        <v>0</v>
      </c>
      <c r="T51" s="1112">
        <f t="shared" si="11"/>
        <v>0</v>
      </c>
      <c r="U51" s="1113">
        <f t="shared" si="12"/>
        <v>0</v>
      </c>
      <c r="V51" s="1114">
        <f t="shared" si="13"/>
        <v>0</v>
      </c>
    </row>
    <row r="52" spans="1:22" ht="17.25" customHeight="1" thickTop="1" thickBot="1">
      <c r="A52">
        <f t="shared" si="14"/>
        <v>1</v>
      </c>
      <c r="B52" t="e">
        <f t="shared" si="15"/>
        <v>#DIV/0!</v>
      </c>
      <c r="C52">
        <f t="shared" si="8"/>
        <v>1</v>
      </c>
      <c r="D52" s="546">
        <f>'الأجـــازة للوصايا'!H96</f>
        <v>0</v>
      </c>
      <c r="E52" s="546">
        <f>'الأجـــازة للوصايا'!I96</f>
        <v>0</v>
      </c>
      <c r="F52" s="546"/>
      <c r="G52" s="546">
        <f>'(3) '!M20</f>
        <v>0</v>
      </c>
      <c r="H52" s="616" t="e">
        <f>'(3) '!N20</f>
        <v>#DIV/0!</v>
      </c>
      <c r="I52" s="616" t="e">
        <f>'(3) '!O20</f>
        <v>#DIV/0!</v>
      </c>
      <c r="J52" s="641">
        <f>'(3) '!AJ20</f>
        <v>0</v>
      </c>
      <c r="K52" s="641"/>
      <c r="L52" s="641"/>
      <c r="M52" s="641"/>
      <c r="N52" s="641"/>
      <c r="O52" s="641"/>
      <c r="P52" s="641"/>
      <c r="Q52" s="1107"/>
      <c r="R52" s="1107">
        <f t="shared" si="9"/>
        <v>0</v>
      </c>
      <c r="S52" s="1108">
        <f t="shared" si="10"/>
        <v>0</v>
      </c>
      <c r="T52" s="1108">
        <f t="shared" si="11"/>
        <v>0</v>
      </c>
      <c r="U52" s="1109">
        <f t="shared" si="12"/>
        <v>0</v>
      </c>
      <c r="V52" s="1110">
        <f t="shared" si="13"/>
        <v>0</v>
      </c>
    </row>
    <row r="53" spans="1:22" ht="17.25" customHeight="1" thickTop="1" thickBot="1">
      <c r="A53">
        <f t="shared" si="14"/>
        <v>1</v>
      </c>
      <c r="B53" t="e">
        <f t="shared" si="15"/>
        <v>#DIV/0!</v>
      </c>
      <c r="C53">
        <f t="shared" si="8"/>
        <v>1</v>
      </c>
      <c r="D53" s="546">
        <f>'الأجـــازة للوصايا'!H97</f>
        <v>0</v>
      </c>
      <c r="E53" s="546">
        <f>'الأجـــازة للوصايا'!I97</f>
        <v>0</v>
      </c>
      <c r="F53" s="546"/>
      <c r="G53" s="546">
        <f>'(3) '!M21</f>
        <v>0</v>
      </c>
      <c r="H53" s="616" t="e">
        <f>'(3) '!N21</f>
        <v>#DIV/0!</v>
      </c>
      <c r="I53" s="616" t="e">
        <f>'(3) '!O21</f>
        <v>#DIV/0!</v>
      </c>
      <c r="J53" s="641">
        <f>'(3) '!AJ21</f>
        <v>0</v>
      </c>
      <c r="K53" s="641"/>
      <c r="L53" s="641"/>
      <c r="M53" s="641"/>
      <c r="N53" s="641"/>
      <c r="O53" s="641"/>
      <c r="P53" s="641"/>
      <c r="Q53" s="1111"/>
      <c r="R53" s="1111">
        <f t="shared" si="9"/>
        <v>0</v>
      </c>
      <c r="S53" s="1112">
        <f t="shared" si="10"/>
        <v>0</v>
      </c>
      <c r="T53" s="1112">
        <f t="shared" si="11"/>
        <v>0</v>
      </c>
      <c r="U53" s="1113">
        <f t="shared" si="12"/>
        <v>0</v>
      </c>
      <c r="V53" s="1114">
        <f t="shared" si="13"/>
        <v>0</v>
      </c>
    </row>
    <row r="54" spans="1:22" ht="17.25" customHeight="1" thickTop="1" thickBot="1">
      <c r="A54">
        <f t="shared" si="14"/>
        <v>1</v>
      </c>
      <c r="B54" t="e">
        <f t="shared" si="15"/>
        <v>#DIV/0!</v>
      </c>
      <c r="C54">
        <f t="shared" si="8"/>
        <v>1</v>
      </c>
      <c r="D54" s="546">
        <f>'الأجـــازة للوصايا'!H98</f>
        <v>0</v>
      </c>
      <c r="E54" s="546">
        <f>'الأجـــازة للوصايا'!I98</f>
        <v>0</v>
      </c>
      <c r="F54" s="546"/>
      <c r="G54" s="546">
        <f>'(3) '!M22</f>
        <v>0</v>
      </c>
      <c r="H54" s="616" t="e">
        <f>'(3) '!N22</f>
        <v>#DIV/0!</v>
      </c>
      <c r="I54" s="616" t="e">
        <f>'(3) '!O22</f>
        <v>#DIV/0!</v>
      </c>
      <c r="J54" s="641">
        <f>'(3) '!AJ22</f>
        <v>0</v>
      </c>
      <c r="K54" s="641"/>
      <c r="L54" s="641"/>
      <c r="M54" s="641"/>
      <c r="N54" s="641"/>
      <c r="O54" s="641"/>
      <c r="P54" s="641"/>
      <c r="Q54" s="1107"/>
      <c r="R54" s="1107">
        <f t="shared" si="9"/>
        <v>0</v>
      </c>
      <c r="S54" s="1108">
        <f t="shared" si="10"/>
        <v>0</v>
      </c>
      <c r="T54" s="1108">
        <f t="shared" si="11"/>
        <v>0</v>
      </c>
      <c r="U54" s="1109">
        <f t="shared" si="12"/>
        <v>0</v>
      </c>
      <c r="V54" s="1110">
        <f t="shared" si="13"/>
        <v>0</v>
      </c>
    </row>
    <row r="55" spans="1:22" ht="17.25" customHeight="1" thickTop="1" thickBot="1">
      <c r="A55">
        <f t="shared" si="14"/>
        <v>1</v>
      </c>
      <c r="B55" t="e">
        <f t="shared" si="15"/>
        <v>#DIV/0!</v>
      </c>
      <c r="C55">
        <f t="shared" si="8"/>
        <v>1</v>
      </c>
      <c r="D55" s="546">
        <f>'الأجـــازة للوصايا'!H99</f>
        <v>0</v>
      </c>
      <c r="E55" s="546">
        <f>'الأجـــازة للوصايا'!I99</f>
        <v>0</v>
      </c>
      <c r="F55" s="546"/>
      <c r="G55" s="546">
        <f>'(3) '!M23</f>
        <v>0</v>
      </c>
      <c r="H55" s="616" t="e">
        <f>'(3) '!N23</f>
        <v>#DIV/0!</v>
      </c>
      <c r="I55" s="616" t="e">
        <f>'(3) '!O23</f>
        <v>#DIV/0!</v>
      </c>
      <c r="J55" s="641">
        <f>'(3) '!AJ23</f>
        <v>0</v>
      </c>
      <c r="K55" s="641"/>
      <c r="L55" s="641"/>
      <c r="M55" s="641"/>
      <c r="N55" s="641"/>
      <c r="O55" s="641"/>
      <c r="P55" s="641"/>
      <c r="Q55" s="1111"/>
      <c r="R55" s="1111">
        <f t="shared" si="9"/>
        <v>0</v>
      </c>
      <c r="S55" s="1112">
        <f t="shared" si="10"/>
        <v>0</v>
      </c>
      <c r="T55" s="1112">
        <f t="shared" si="11"/>
        <v>0</v>
      </c>
      <c r="U55" s="1113">
        <f t="shared" si="12"/>
        <v>0</v>
      </c>
      <c r="V55" s="1114">
        <f t="shared" si="13"/>
        <v>0</v>
      </c>
    </row>
    <row r="56" spans="1:22" ht="17.25" customHeight="1" thickTop="1" thickBot="1">
      <c r="A56">
        <f t="shared" si="14"/>
        <v>1</v>
      </c>
      <c r="B56" t="e">
        <f t="shared" si="15"/>
        <v>#DIV/0!</v>
      </c>
      <c r="C56">
        <f t="shared" si="8"/>
        <v>1</v>
      </c>
      <c r="D56" s="546"/>
      <c r="E56" s="546"/>
      <c r="F56" s="546"/>
      <c r="G56" s="546"/>
      <c r="H56" s="616"/>
      <c r="I56" s="616"/>
      <c r="J56" s="641"/>
      <c r="K56" s="641"/>
      <c r="L56" s="641"/>
      <c r="M56" s="641"/>
      <c r="N56" s="641"/>
      <c r="O56" s="641"/>
      <c r="P56" s="641"/>
      <c r="Q56" s="1107"/>
      <c r="R56" s="1107">
        <f t="shared" si="9"/>
        <v>0</v>
      </c>
      <c r="S56" s="1108">
        <f t="shared" si="10"/>
        <v>0</v>
      </c>
      <c r="T56" s="1108">
        <f t="shared" si="11"/>
        <v>0</v>
      </c>
      <c r="U56" s="1109">
        <f t="shared" si="12"/>
        <v>0</v>
      </c>
      <c r="V56" s="1110">
        <f t="shared" si="13"/>
        <v>0</v>
      </c>
    </row>
    <row r="57" spans="1:22" ht="17.25" customHeight="1" thickTop="1" thickBot="1">
      <c r="A57">
        <f t="shared" si="14"/>
        <v>1</v>
      </c>
      <c r="B57" t="e">
        <f t="shared" si="15"/>
        <v>#DIV/0!</v>
      </c>
      <c r="C57">
        <f t="shared" si="8"/>
        <v>1</v>
      </c>
      <c r="D57" s="546">
        <f>'الأجـــازة للوصايا'!H100</f>
        <v>0</v>
      </c>
      <c r="E57" s="546">
        <f>'الأجـــازة للوصايا'!I100</f>
        <v>0</v>
      </c>
      <c r="F57" s="546"/>
      <c r="G57" s="546">
        <f>'(4) '!M12</f>
        <v>0</v>
      </c>
      <c r="H57" s="616" t="e">
        <f>'(4) '!N12</f>
        <v>#DIV/0!</v>
      </c>
      <c r="I57" s="616" t="e">
        <f>'(4) '!O12</f>
        <v>#DIV/0!</v>
      </c>
      <c r="J57" s="641">
        <f>'(4) '!AJ12</f>
        <v>0</v>
      </c>
      <c r="K57" s="641"/>
      <c r="L57" s="641"/>
      <c r="M57" s="641"/>
      <c r="N57" s="641"/>
      <c r="O57" s="641"/>
      <c r="P57" s="641"/>
      <c r="Q57" s="1115"/>
      <c r="R57" s="1115">
        <f t="shared" si="9"/>
        <v>0</v>
      </c>
      <c r="S57" s="1116">
        <f t="shared" si="10"/>
        <v>0</v>
      </c>
      <c r="T57" s="1116">
        <f t="shared" si="11"/>
        <v>0</v>
      </c>
      <c r="U57" s="1117">
        <f t="shared" si="12"/>
        <v>0</v>
      </c>
      <c r="V57" s="1118">
        <f t="shared" si="13"/>
        <v>0</v>
      </c>
    </row>
    <row r="58" spans="1:22" ht="17.25" customHeight="1" thickTop="1" thickBot="1">
      <c r="A58">
        <f t="shared" si="14"/>
        <v>1</v>
      </c>
      <c r="B58" t="e">
        <f t="shared" si="15"/>
        <v>#DIV/0!</v>
      </c>
      <c r="C58">
        <f t="shared" si="8"/>
        <v>1</v>
      </c>
      <c r="D58" s="546">
        <f>'الأجـــازة للوصايا'!H101</f>
        <v>0</v>
      </c>
      <c r="E58" s="546">
        <f>'الأجـــازة للوصايا'!I101</f>
        <v>0</v>
      </c>
      <c r="F58" s="546"/>
      <c r="G58" s="546">
        <f>'(4) '!M13</f>
        <v>0</v>
      </c>
      <c r="H58" s="616" t="e">
        <f>'(4) '!N13</f>
        <v>#DIV/0!</v>
      </c>
      <c r="I58" s="616" t="e">
        <f>'(4) '!O13</f>
        <v>#DIV/0!</v>
      </c>
      <c r="J58" s="641">
        <f>'(4) '!AJ13</f>
        <v>0</v>
      </c>
      <c r="K58" s="641"/>
      <c r="L58" s="641"/>
      <c r="M58" s="641"/>
      <c r="N58" s="641"/>
      <c r="O58" s="641"/>
      <c r="P58" s="641"/>
      <c r="Q58" s="1107"/>
      <c r="R58" s="1107">
        <f t="shared" si="9"/>
        <v>0</v>
      </c>
      <c r="S58" s="1108">
        <f t="shared" si="10"/>
        <v>0</v>
      </c>
      <c r="T58" s="1108">
        <f t="shared" si="11"/>
        <v>0</v>
      </c>
      <c r="U58" s="1109">
        <f t="shared" si="12"/>
        <v>0</v>
      </c>
      <c r="V58" s="1110">
        <f t="shared" si="13"/>
        <v>0</v>
      </c>
    </row>
    <row r="59" spans="1:22" ht="17.25" customHeight="1" thickTop="1" thickBot="1">
      <c r="A59">
        <f t="shared" si="14"/>
        <v>1</v>
      </c>
      <c r="B59" t="e">
        <f t="shared" si="15"/>
        <v>#DIV/0!</v>
      </c>
      <c r="C59">
        <f t="shared" si="8"/>
        <v>1</v>
      </c>
      <c r="D59" s="546">
        <f>'الأجـــازة للوصايا'!H102</f>
        <v>0</v>
      </c>
      <c r="E59" s="546">
        <f>'الأجـــازة للوصايا'!I102</f>
        <v>0</v>
      </c>
      <c r="F59" s="546"/>
      <c r="G59" s="546">
        <f>'(4) '!M14</f>
        <v>0</v>
      </c>
      <c r="H59" s="616" t="e">
        <f>'(4) '!N14</f>
        <v>#DIV/0!</v>
      </c>
      <c r="I59" s="616" t="e">
        <f>'(4) '!O14</f>
        <v>#DIV/0!</v>
      </c>
      <c r="J59" s="641">
        <f>'(4) '!AJ14</f>
        <v>0</v>
      </c>
      <c r="K59" s="641"/>
      <c r="L59" s="641"/>
      <c r="M59" s="641"/>
      <c r="N59" s="641"/>
      <c r="O59" s="641"/>
      <c r="P59" s="641"/>
      <c r="Q59" s="1111"/>
      <c r="R59" s="1111">
        <f t="shared" si="9"/>
        <v>0</v>
      </c>
      <c r="S59" s="1112">
        <f t="shared" si="10"/>
        <v>0</v>
      </c>
      <c r="T59" s="1112">
        <f t="shared" si="11"/>
        <v>0</v>
      </c>
      <c r="U59" s="1113">
        <f t="shared" si="12"/>
        <v>0</v>
      </c>
      <c r="V59" s="1114">
        <f t="shared" si="13"/>
        <v>0</v>
      </c>
    </row>
    <row r="60" spans="1:22" ht="17.25" customHeight="1" thickTop="1" thickBot="1">
      <c r="A60">
        <f t="shared" si="14"/>
        <v>1</v>
      </c>
      <c r="B60" t="e">
        <f t="shared" si="15"/>
        <v>#DIV/0!</v>
      </c>
      <c r="C60">
        <f t="shared" si="8"/>
        <v>1</v>
      </c>
      <c r="D60" s="546">
        <f>'الأجـــازة للوصايا'!H103</f>
        <v>0</v>
      </c>
      <c r="E60" s="546">
        <f>'الأجـــازة للوصايا'!I103</f>
        <v>0</v>
      </c>
      <c r="F60" s="546"/>
      <c r="G60" s="546">
        <f>'(4) '!M15</f>
        <v>0</v>
      </c>
      <c r="H60" s="616" t="e">
        <f>'(4) '!N15</f>
        <v>#DIV/0!</v>
      </c>
      <c r="I60" s="616" t="e">
        <f>'(4) '!O15</f>
        <v>#DIV/0!</v>
      </c>
      <c r="J60" s="641">
        <f>'(4) '!AJ15</f>
        <v>0</v>
      </c>
      <c r="K60" s="641"/>
      <c r="L60" s="641"/>
      <c r="M60" s="641"/>
      <c r="N60" s="641"/>
      <c r="O60" s="641"/>
      <c r="P60" s="641"/>
      <c r="Q60" s="1107"/>
      <c r="R60" s="1107">
        <f t="shared" si="9"/>
        <v>0</v>
      </c>
      <c r="S60" s="1108">
        <f t="shared" si="10"/>
        <v>0</v>
      </c>
      <c r="T60" s="1108">
        <f t="shared" si="11"/>
        <v>0</v>
      </c>
      <c r="U60" s="1109">
        <f t="shared" si="12"/>
        <v>0</v>
      </c>
      <c r="V60" s="1110">
        <f t="shared" si="13"/>
        <v>0</v>
      </c>
    </row>
    <row r="61" spans="1:22" ht="17.25" customHeight="1" thickTop="1" thickBot="1">
      <c r="A61">
        <f t="shared" si="14"/>
        <v>1</v>
      </c>
      <c r="B61" t="e">
        <f t="shared" si="15"/>
        <v>#DIV/0!</v>
      </c>
      <c r="C61">
        <f t="shared" si="8"/>
        <v>1</v>
      </c>
      <c r="D61" s="546">
        <f>'الأجـــازة للوصايا'!H104</f>
        <v>0</v>
      </c>
      <c r="E61" s="546">
        <f>'الأجـــازة للوصايا'!I104</f>
        <v>0</v>
      </c>
      <c r="F61" s="546"/>
      <c r="G61" s="546">
        <f>'(4) '!M16</f>
        <v>0</v>
      </c>
      <c r="H61" s="616" t="e">
        <f>'(4) '!N16</f>
        <v>#DIV/0!</v>
      </c>
      <c r="I61" s="616" t="e">
        <f>'(4) '!O16</f>
        <v>#DIV/0!</v>
      </c>
      <c r="J61" s="641">
        <f>'(4) '!AJ16</f>
        <v>0</v>
      </c>
      <c r="K61" s="641"/>
      <c r="L61" s="641"/>
      <c r="M61" s="641"/>
      <c r="N61" s="641"/>
      <c r="O61" s="641"/>
      <c r="P61" s="641"/>
      <c r="Q61" s="1111"/>
      <c r="R61" s="1111">
        <f t="shared" si="9"/>
        <v>0</v>
      </c>
      <c r="S61" s="1112">
        <f t="shared" si="10"/>
        <v>0</v>
      </c>
      <c r="T61" s="1112">
        <f t="shared" si="11"/>
        <v>0</v>
      </c>
      <c r="U61" s="1113">
        <f t="shared" si="12"/>
        <v>0</v>
      </c>
      <c r="V61" s="1114">
        <f t="shared" si="13"/>
        <v>0</v>
      </c>
    </row>
    <row r="62" spans="1:22" ht="17.25" customHeight="1" thickTop="1" thickBot="1">
      <c r="A62">
        <f t="shared" si="14"/>
        <v>1</v>
      </c>
      <c r="B62" t="e">
        <f t="shared" si="15"/>
        <v>#DIV/0!</v>
      </c>
      <c r="C62">
        <f t="shared" si="8"/>
        <v>1</v>
      </c>
      <c r="D62" s="546">
        <f>'الأجـــازة للوصايا'!H105</f>
        <v>0</v>
      </c>
      <c r="E62" s="546">
        <f>'الأجـــازة للوصايا'!I105</f>
        <v>0</v>
      </c>
      <c r="F62" s="546"/>
      <c r="G62" s="546">
        <f>'(4) '!M17</f>
        <v>0</v>
      </c>
      <c r="H62" s="616" t="e">
        <f>'(4) '!N17</f>
        <v>#DIV/0!</v>
      </c>
      <c r="I62" s="616" t="e">
        <f>'(4) '!O17</f>
        <v>#DIV/0!</v>
      </c>
      <c r="J62" s="641">
        <f>'(4) '!AJ17</f>
        <v>0</v>
      </c>
      <c r="K62" s="641"/>
      <c r="L62" s="641"/>
      <c r="M62" s="641"/>
      <c r="N62" s="641"/>
      <c r="O62" s="641"/>
      <c r="P62" s="641"/>
      <c r="Q62" s="1107"/>
      <c r="R62" s="1107">
        <f t="shared" si="9"/>
        <v>0</v>
      </c>
      <c r="S62" s="1108">
        <f t="shared" si="10"/>
        <v>0</v>
      </c>
      <c r="T62" s="1108">
        <f t="shared" si="11"/>
        <v>0</v>
      </c>
      <c r="U62" s="1109">
        <f t="shared" si="12"/>
        <v>0</v>
      </c>
      <c r="V62" s="1110">
        <f t="shared" si="13"/>
        <v>0</v>
      </c>
    </row>
    <row r="63" spans="1:22" ht="17.25" customHeight="1" thickTop="1" thickBot="1">
      <c r="A63">
        <f t="shared" si="14"/>
        <v>1</v>
      </c>
      <c r="B63" t="e">
        <f t="shared" si="15"/>
        <v>#DIV/0!</v>
      </c>
      <c r="C63">
        <f t="shared" si="8"/>
        <v>1</v>
      </c>
      <c r="D63" s="546">
        <f>'الأجـــازة للوصايا'!H106</f>
        <v>0</v>
      </c>
      <c r="E63" s="546">
        <f>'الأجـــازة للوصايا'!I106</f>
        <v>0</v>
      </c>
      <c r="F63" s="546"/>
      <c r="G63" s="546">
        <f>'(4) '!M18</f>
        <v>0</v>
      </c>
      <c r="H63" s="616" t="e">
        <f>'(4) '!N18</f>
        <v>#DIV/0!</v>
      </c>
      <c r="I63" s="616" t="e">
        <f>'(4) '!O18</f>
        <v>#DIV/0!</v>
      </c>
      <c r="J63" s="641">
        <f>'(4) '!AJ18</f>
        <v>0</v>
      </c>
      <c r="K63" s="641"/>
      <c r="L63" s="641"/>
      <c r="M63" s="641"/>
      <c r="N63" s="641"/>
      <c r="O63" s="641"/>
      <c r="P63" s="641"/>
      <c r="Q63" s="1111"/>
      <c r="R63" s="1111">
        <f t="shared" si="9"/>
        <v>0</v>
      </c>
      <c r="S63" s="1112">
        <f t="shared" si="10"/>
        <v>0</v>
      </c>
      <c r="T63" s="1112">
        <f t="shared" si="11"/>
        <v>0</v>
      </c>
      <c r="U63" s="1113">
        <f t="shared" si="12"/>
        <v>0</v>
      </c>
      <c r="V63" s="1114">
        <f t="shared" si="13"/>
        <v>0</v>
      </c>
    </row>
    <row r="64" spans="1:22" ht="17.25" customHeight="1" thickTop="1" thickBot="1">
      <c r="A64">
        <f t="shared" si="14"/>
        <v>1</v>
      </c>
      <c r="B64" t="e">
        <f t="shared" si="15"/>
        <v>#DIV/0!</v>
      </c>
      <c r="C64">
        <f t="shared" si="8"/>
        <v>1</v>
      </c>
      <c r="D64" s="546">
        <f>'الأجـــازة للوصايا'!H107</f>
        <v>0</v>
      </c>
      <c r="E64" s="546">
        <f>'الأجـــازة للوصايا'!I107</f>
        <v>0</v>
      </c>
      <c r="F64" s="546"/>
      <c r="G64" s="546">
        <f>'(4) '!M19</f>
        <v>0</v>
      </c>
      <c r="H64" s="616" t="e">
        <f>'(4) '!N19</f>
        <v>#DIV/0!</v>
      </c>
      <c r="I64" s="616" t="e">
        <f>'(4) '!O19</f>
        <v>#DIV/0!</v>
      </c>
      <c r="J64" s="641">
        <f>'(4) '!AJ19</f>
        <v>0</v>
      </c>
      <c r="K64" s="641"/>
      <c r="L64" s="641"/>
      <c r="M64" s="641"/>
      <c r="N64" s="641"/>
      <c r="O64" s="641"/>
      <c r="P64" s="641"/>
      <c r="Q64" s="1107"/>
      <c r="R64" s="1107">
        <f t="shared" si="9"/>
        <v>0</v>
      </c>
      <c r="S64" s="1108">
        <f t="shared" si="10"/>
        <v>0</v>
      </c>
      <c r="T64" s="1108">
        <f t="shared" si="11"/>
        <v>0</v>
      </c>
      <c r="U64" s="1109">
        <f t="shared" si="12"/>
        <v>0</v>
      </c>
      <c r="V64" s="1110">
        <f t="shared" si="13"/>
        <v>0</v>
      </c>
    </row>
    <row r="65" spans="1:22" ht="17.25" customHeight="1" thickTop="1" thickBot="1">
      <c r="A65">
        <f t="shared" si="14"/>
        <v>1</v>
      </c>
      <c r="B65" t="e">
        <f t="shared" si="15"/>
        <v>#DIV/0!</v>
      </c>
      <c r="C65">
        <f t="shared" si="8"/>
        <v>1</v>
      </c>
      <c r="D65" s="546">
        <f>'الأجـــازة للوصايا'!H108</f>
        <v>0</v>
      </c>
      <c r="E65" s="546">
        <f>'الأجـــازة للوصايا'!I108</f>
        <v>0</v>
      </c>
      <c r="F65" s="546"/>
      <c r="G65" s="546">
        <f>'(4) '!M20</f>
        <v>0</v>
      </c>
      <c r="H65" s="616" t="e">
        <f>'(4) '!N20</f>
        <v>#DIV/0!</v>
      </c>
      <c r="I65" s="616" t="e">
        <f>'(4) '!O20</f>
        <v>#DIV/0!</v>
      </c>
      <c r="J65" s="641">
        <f>'(4) '!AJ20</f>
        <v>0</v>
      </c>
      <c r="K65" s="641"/>
      <c r="L65" s="641"/>
      <c r="M65" s="641"/>
      <c r="N65" s="641"/>
      <c r="O65" s="641"/>
      <c r="P65" s="641"/>
      <c r="Q65" s="1111"/>
      <c r="R65" s="1111">
        <f t="shared" si="9"/>
        <v>0</v>
      </c>
      <c r="S65" s="1112">
        <f t="shared" si="10"/>
        <v>0</v>
      </c>
      <c r="T65" s="1112">
        <f t="shared" si="11"/>
        <v>0</v>
      </c>
      <c r="U65" s="1113">
        <f t="shared" si="12"/>
        <v>0</v>
      </c>
      <c r="V65" s="1114">
        <f t="shared" si="13"/>
        <v>0</v>
      </c>
    </row>
    <row r="66" spans="1:22" ht="17.25" customHeight="1" thickTop="1" thickBot="1">
      <c r="A66">
        <f t="shared" si="14"/>
        <v>1</v>
      </c>
      <c r="B66" t="e">
        <f t="shared" si="15"/>
        <v>#DIV/0!</v>
      </c>
      <c r="C66">
        <f t="shared" si="8"/>
        <v>1</v>
      </c>
      <c r="D66" s="546">
        <f>'الأجـــازة للوصايا'!H109</f>
        <v>0</v>
      </c>
      <c r="E66" s="546">
        <f>'الأجـــازة للوصايا'!I109</f>
        <v>0</v>
      </c>
      <c r="F66" s="546"/>
      <c r="G66" s="546">
        <f>'(4) '!M21</f>
        <v>0</v>
      </c>
      <c r="H66" s="616" t="e">
        <f>'(4) '!N21</f>
        <v>#DIV/0!</v>
      </c>
      <c r="I66" s="616" t="e">
        <f>'(4) '!O21</f>
        <v>#DIV/0!</v>
      </c>
      <c r="J66" s="641">
        <f>'(4) '!AJ21</f>
        <v>0</v>
      </c>
      <c r="K66" s="641"/>
      <c r="L66" s="641"/>
      <c r="M66" s="641"/>
      <c r="N66" s="641"/>
      <c r="O66" s="641"/>
      <c r="P66" s="641"/>
      <c r="Q66" s="1107"/>
      <c r="R66" s="1107">
        <f t="shared" si="9"/>
        <v>0</v>
      </c>
      <c r="S66" s="1108">
        <f t="shared" si="10"/>
        <v>0</v>
      </c>
      <c r="T66" s="1108">
        <f t="shared" si="11"/>
        <v>0</v>
      </c>
      <c r="U66" s="1109">
        <f t="shared" si="12"/>
        <v>0</v>
      </c>
      <c r="V66" s="1110">
        <f t="shared" si="13"/>
        <v>0</v>
      </c>
    </row>
    <row r="67" spans="1:22" ht="17.25" customHeight="1" thickTop="1" thickBot="1">
      <c r="A67">
        <f t="shared" si="14"/>
        <v>1</v>
      </c>
      <c r="B67" t="e">
        <f t="shared" si="15"/>
        <v>#DIV/0!</v>
      </c>
      <c r="C67">
        <f t="shared" si="8"/>
        <v>1</v>
      </c>
      <c r="D67" s="546">
        <f>'الأجـــازة للوصايا'!H110</f>
        <v>0</v>
      </c>
      <c r="E67" s="546">
        <f>'الأجـــازة للوصايا'!I110</f>
        <v>0</v>
      </c>
      <c r="F67" s="546"/>
      <c r="G67" s="546">
        <f>'(4) '!M22</f>
        <v>0</v>
      </c>
      <c r="H67" s="616" t="e">
        <f>'(4) '!N22</f>
        <v>#DIV/0!</v>
      </c>
      <c r="I67" s="616" t="e">
        <f>'(4) '!O22</f>
        <v>#DIV/0!</v>
      </c>
      <c r="J67" s="641">
        <f>'(4) '!AJ22</f>
        <v>0</v>
      </c>
      <c r="K67" s="641"/>
      <c r="L67" s="641"/>
      <c r="M67" s="641"/>
      <c r="N67" s="641"/>
      <c r="O67" s="641"/>
      <c r="P67" s="641"/>
      <c r="Q67" s="1111"/>
      <c r="R67" s="1111">
        <f t="shared" si="9"/>
        <v>0</v>
      </c>
      <c r="S67" s="1112">
        <f t="shared" si="10"/>
        <v>0</v>
      </c>
      <c r="T67" s="1112">
        <f t="shared" si="11"/>
        <v>0</v>
      </c>
      <c r="U67" s="1113">
        <f t="shared" si="12"/>
        <v>0</v>
      </c>
      <c r="V67" s="1114">
        <f t="shared" si="13"/>
        <v>0</v>
      </c>
    </row>
    <row r="68" spans="1:22" ht="17.25" customHeight="1" thickTop="1" thickBot="1">
      <c r="A68">
        <f t="shared" si="14"/>
        <v>1</v>
      </c>
      <c r="B68" t="e">
        <f t="shared" si="15"/>
        <v>#DIV/0!</v>
      </c>
      <c r="C68">
        <f t="shared" si="8"/>
        <v>1</v>
      </c>
      <c r="D68" s="546">
        <f>'الأجـــازة للوصايا'!H111</f>
        <v>0</v>
      </c>
      <c r="E68" s="546">
        <f>'الأجـــازة للوصايا'!I111</f>
        <v>0</v>
      </c>
      <c r="F68" s="546"/>
      <c r="G68" s="546">
        <f>'(4) '!M23</f>
        <v>0</v>
      </c>
      <c r="H68" s="616" t="e">
        <f>'(4) '!N23</f>
        <v>#DIV/0!</v>
      </c>
      <c r="I68" s="616" t="e">
        <f>'(4) '!O23</f>
        <v>#DIV/0!</v>
      </c>
      <c r="J68" s="641">
        <f>'(4) '!AJ23</f>
        <v>0</v>
      </c>
      <c r="K68" s="641"/>
      <c r="L68" s="641"/>
      <c r="M68" s="641"/>
      <c r="N68" s="641"/>
      <c r="O68" s="641"/>
      <c r="P68" s="641"/>
      <c r="Q68" s="1107"/>
      <c r="R68" s="1107">
        <f t="shared" si="9"/>
        <v>0</v>
      </c>
      <c r="S68" s="1108">
        <f t="shared" si="10"/>
        <v>0</v>
      </c>
      <c r="T68" s="1108">
        <f t="shared" si="11"/>
        <v>0</v>
      </c>
      <c r="U68" s="1109">
        <f t="shared" si="12"/>
        <v>0</v>
      </c>
      <c r="V68" s="1110">
        <f t="shared" si="13"/>
        <v>0</v>
      </c>
    </row>
    <row r="69" spans="1:22" ht="17.25" customHeight="1" thickTop="1" thickBot="1">
      <c r="A69">
        <f t="shared" si="14"/>
        <v>1</v>
      </c>
      <c r="B69" t="e">
        <f t="shared" si="15"/>
        <v>#DIV/0!</v>
      </c>
      <c r="C69">
        <f t="shared" si="8"/>
        <v>1</v>
      </c>
      <c r="D69" s="546"/>
      <c r="E69" s="546"/>
      <c r="F69" s="546"/>
      <c r="G69" s="546"/>
      <c r="H69" s="616"/>
      <c r="I69" s="616"/>
      <c r="J69" s="641"/>
      <c r="K69" s="641"/>
      <c r="L69" s="641"/>
      <c r="M69" s="641"/>
      <c r="N69" s="641"/>
      <c r="O69" s="641"/>
      <c r="P69" s="641"/>
      <c r="Q69" s="1111"/>
      <c r="R69" s="1111">
        <f t="shared" si="9"/>
        <v>0</v>
      </c>
      <c r="S69" s="1112">
        <f t="shared" si="10"/>
        <v>0</v>
      </c>
      <c r="T69" s="1112">
        <f t="shared" si="11"/>
        <v>0</v>
      </c>
      <c r="U69" s="1113">
        <f t="shared" si="12"/>
        <v>0</v>
      </c>
      <c r="V69" s="1114">
        <f t="shared" si="13"/>
        <v>0</v>
      </c>
    </row>
    <row r="70" spans="1:22" ht="17.25" customHeight="1" thickTop="1" thickBot="1">
      <c r="A70">
        <f t="shared" si="14"/>
        <v>1</v>
      </c>
      <c r="B70" t="e">
        <f t="shared" si="15"/>
        <v>#DIV/0!</v>
      </c>
      <c r="C70">
        <f t="shared" si="8"/>
        <v>1</v>
      </c>
      <c r="D70" s="546">
        <f>'الأجـــازة للوصايا'!H112</f>
        <v>0</v>
      </c>
      <c r="E70" s="546">
        <f>'الأجـــازة للوصايا'!I112</f>
        <v>0</v>
      </c>
      <c r="F70" s="546"/>
      <c r="G70" s="546">
        <f>'(5) '!M12</f>
        <v>0</v>
      </c>
      <c r="H70" s="616" t="e">
        <f>'(5) '!N12</f>
        <v>#DIV/0!</v>
      </c>
      <c r="I70" s="616" t="e">
        <f>'(5) '!O12</f>
        <v>#DIV/0!</v>
      </c>
      <c r="J70" s="641">
        <f>'(5) '!AJ12</f>
        <v>0</v>
      </c>
      <c r="K70" s="641"/>
      <c r="L70" s="641"/>
      <c r="M70" s="641"/>
      <c r="N70" s="641"/>
      <c r="O70" s="641"/>
      <c r="P70" s="641"/>
      <c r="Q70" s="1107"/>
      <c r="R70" s="1107">
        <f t="shared" si="9"/>
        <v>0</v>
      </c>
      <c r="S70" s="1108">
        <f t="shared" si="10"/>
        <v>0</v>
      </c>
      <c r="T70" s="1108">
        <f t="shared" si="11"/>
        <v>0</v>
      </c>
      <c r="U70" s="1109">
        <f t="shared" si="12"/>
        <v>0</v>
      </c>
      <c r="V70" s="1110">
        <f t="shared" si="13"/>
        <v>0</v>
      </c>
    </row>
    <row r="71" spans="1:22" ht="17.25" customHeight="1" thickTop="1" thickBot="1">
      <c r="A71">
        <f t="shared" si="14"/>
        <v>1</v>
      </c>
      <c r="B71" t="e">
        <f t="shared" si="15"/>
        <v>#DIV/0!</v>
      </c>
      <c r="C71">
        <f t="shared" si="8"/>
        <v>1</v>
      </c>
      <c r="D71" s="546">
        <f>'الأجـــازة للوصايا'!H113</f>
        <v>0</v>
      </c>
      <c r="E71" s="546">
        <f>'الأجـــازة للوصايا'!I113</f>
        <v>0</v>
      </c>
      <c r="F71" s="546"/>
      <c r="G71" s="546">
        <f>'(5) '!M13</f>
        <v>0</v>
      </c>
      <c r="H71" s="616" t="e">
        <f>'(5) '!N13</f>
        <v>#DIV/0!</v>
      </c>
      <c r="I71" s="616" t="e">
        <f>'(5) '!O13</f>
        <v>#DIV/0!</v>
      </c>
      <c r="J71" s="641">
        <f>'(5) '!AJ13</f>
        <v>0</v>
      </c>
      <c r="K71" s="641"/>
      <c r="L71" s="641"/>
      <c r="M71" s="641"/>
      <c r="N71" s="641"/>
      <c r="O71" s="641"/>
      <c r="P71" s="641"/>
      <c r="Q71" s="1111"/>
      <c r="R71" s="1111">
        <f t="shared" si="9"/>
        <v>0</v>
      </c>
      <c r="S71" s="1112">
        <f t="shared" si="10"/>
        <v>0</v>
      </c>
      <c r="T71" s="1112">
        <f t="shared" si="11"/>
        <v>0</v>
      </c>
      <c r="U71" s="1113">
        <f t="shared" si="12"/>
        <v>0</v>
      </c>
      <c r="V71" s="1114">
        <f t="shared" si="13"/>
        <v>0</v>
      </c>
    </row>
    <row r="72" spans="1:22" ht="17.25" customHeight="1" thickTop="1" thickBot="1">
      <c r="A72">
        <f t="shared" si="14"/>
        <v>1</v>
      </c>
      <c r="B72" t="e">
        <f t="shared" si="15"/>
        <v>#DIV/0!</v>
      </c>
      <c r="C72">
        <f t="shared" si="8"/>
        <v>1</v>
      </c>
      <c r="D72" s="546">
        <f>'الأجـــازة للوصايا'!H114</f>
        <v>0</v>
      </c>
      <c r="E72" s="546">
        <f>'الأجـــازة للوصايا'!I114</f>
        <v>0</v>
      </c>
      <c r="F72" s="546"/>
      <c r="G72" s="546">
        <f>'(5) '!M14</f>
        <v>0</v>
      </c>
      <c r="H72" s="616" t="e">
        <f>'(5) '!N14</f>
        <v>#DIV/0!</v>
      </c>
      <c r="I72" s="616" t="e">
        <f>'(5) '!O14</f>
        <v>#DIV/0!</v>
      </c>
      <c r="J72" s="641">
        <f>'(5) '!AJ14</f>
        <v>0</v>
      </c>
      <c r="K72" s="641"/>
      <c r="L72" s="641"/>
      <c r="M72" s="641"/>
      <c r="N72" s="641"/>
      <c r="O72" s="641"/>
      <c r="P72" s="641"/>
      <c r="Q72" s="1107"/>
      <c r="R72" s="1107">
        <f t="shared" si="9"/>
        <v>0</v>
      </c>
      <c r="S72" s="1108">
        <f t="shared" si="10"/>
        <v>0</v>
      </c>
      <c r="T72" s="1108">
        <f t="shared" si="11"/>
        <v>0</v>
      </c>
      <c r="U72" s="1109">
        <f t="shared" si="12"/>
        <v>0</v>
      </c>
      <c r="V72" s="1110">
        <f t="shared" si="13"/>
        <v>0</v>
      </c>
    </row>
    <row r="73" spans="1:22" ht="17.25" customHeight="1" thickTop="1" thickBot="1">
      <c r="A73">
        <f t="shared" si="14"/>
        <v>1</v>
      </c>
      <c r="B73" t="e">
        <f t="shared" si="15"/>
        <v>#DIV/0!</v>
      </c>
      <c r="C73">
        <f t="shared" si="8"/>
        <v>1</v>
      </c>
      <c r="D73" s="546">
        <f>'الأجـــازة للوصايا'!H115</f>
        <v>0</v>
      </c>
      <c r="E73" s="546">
        <f>'الأجـــازة للوصايا'!I115</f>
        <v>0</v>
      </c>
      <c r="F73" s="546"/>
      <c r="G73" s="546">
        <f>'(5) '!M15</f>
        <v>0</v>
      </c>
      <c r="H73" s="616" t="e">
        <f>'(5) '!N15</f>
        <v>#DIV/0!</v>
      </c>
      <c r="I73" s="616" t="e">
        <f>'(5) '!O15</f>
        <v>#DIV/0!</v>
      </c>
      <c r="J73" s="641">
        <f>'(5) '!AJ15</f>
        <v>0</v>
      </c>
      <c r="K73" s="641"/>
      <c r="L73" s="641"/>
      <c r="M73" s="641"/>
      <c r="N73" s="641"/>
      <c r="O73" s="641"/>
      <c r="P73" s="641"/>
      <c r="Q73" s="1111"/>
      <c r="R73" s="1111">
        <f t="shared" si="9"/>
        <v>0</v>
      </c>
      <c r="S73" s="1112">
        <f t="shared" si="10"/>
        <v>0</v>
      </c>
      <c r="T73" s="1112">
        <f t="shared" si="11"/>
        <v>0</v>
      </c>
      <c r="U73" s="1113">
        <f t="shared" si="12"/>
        <v>0</v>
      </c>
      <c r="V73" s="1114">
        <f t="shared" si="13"/>
        <v>0</v>
      </c>
    </row>
    <row r="74" spans="1:22" ht="17.25" customHeight="1" thickTop="1" thickBot="1">
      <c r="A74">
        <f t="shared" si="14"/>
        <v>1</v>
      </c>
      <c r="B74" t="e">
        <f t="shared" si="15"/>
        <v>#DIV/0!</v>
      </c>
      <c r="C74">
        <f t="shared" si="8"/>
        <v>1</v>
      </c>
      <c r="D74" s="546">
        <f>'الأجـــازة للوصايا'!H116</f>
        <v>0</v>
      </c>
      <c r="E74" s="546">
        <f>'الأجـــازة للوصايا'!I116</f>
        <v>0</v>
      </c>
      <c r="F74" s="546"/>
      <c r="G74" s="546">
        <f>'(5) '!M16</f>
        <v>0</v>
      </c>
      <c r="H74" s="616" t="e">
        <f>'(5) '!N16</f>
        <v>#DIV/0!</v>
      </c>
      <c r="I74" s="616" t="e">
        <f>'(5) '!O16</f>
        <v>#DIV/0!</v>
      </c>
      <c r="J74" s="641">
        <f>'(5) '!AJ16</f>
        <v>0</v>
      </c>
      <c r="K74" s="641"/>
      <c r="L74" s="641"/>
      <c r="M74" s="641"/>
      <c r="N74" s="641"/>
      <c r="O74" s="641"/>
      <c r="P74" s="641"/>
      <c r="Q74" s="1107"/>
      <c r="R74" s="1107">
        <f t="shared" si="9"/>
        <v>0</v>
      </c>
      <c r="S74" s="1108">
        <f t="shared" si="10"/>
        <v>0</v>
      </c>
      <c r="T74" s="1108">
        <f t="shared" si="11"/>
        <v>0</v>
      </c>
      <c r="U74" s="1109">
        <f t="shared" si="12"/>
        <v>0</v>
      </c>
      <c r="V74" s="1110">
        <f t="shared" si="13"/>
        <v>0</v>
      </c>
    </row>
    <row r="75" spans="1:22" ht="17.25" customHeight="1" thickTop="1" thickBot="1">
      <c r="A75">
        <f t="shared" si="14"/>
        <v>1</v>
      </c>
      <c r="B75" t="e">
        <f t="shared" si="15"/>
        <v>#DIV/0!</v>
      </c>
      <c r="C75">
        <f t="shared" si="8"/>
        <v>1</v>
      </c>
      <c r="D75" s="546">
        <f>'الأجـــازة للوصايا'!H117</f>
        <v>0</v>
      </c>
      <c r="E75" s="546">
        <f>'الأجـــازة للوصايا'!I117</f>
        <v>0</v>
      </c>
      <c r="F75" s="546"/>
      <c r="G75" s="546">
        <f>'(5) '!M17</f>
        <v>0</v>
      </c>
      <c r="H75" s="616" t="e">
        <f>'(5) '!N17</f>
        <v>#DIV/0!</v>
      </c>
      <c r="I75" s="616" t="e">
        <f>'(5) '!O17</f>
        <v>#DIV/0!</v>
      </c>
      <c r="J75" s="641">
        <f>'(5) '!AJ17</f>
        <v>0</v>
      </c>
      <c r="K75" s="641"/>
      <c r="L75" s="641"/>
      <c r="M75" s="641"/>
      <c r="N75" s="641"/>
      <c r="O75" s="641"/>
      <c r="P75" s="641"/>
      <c r="Q75" s="1111"/>
      <c r="R75" s="1111">
        <f t="shared" si="9"/>
        <v>0</v>
      </c>
      <c r="S75" s="1112">
        <f t="shared" si="10"/>
        <v>0</v>
      </c>
      <c r="T75" s="1112">
        <f t="shared" si="11"/>
        <v>0</v>
      </c>
      <c r="U75" s="1113">
        <f t="shared" si="12"/>
        <v>0</v>
      </c>
      <c r="V75" s="1114">
        <f t="shared" si="13"/>
        <v>0</v>
      </c>
    </row>
    <row r="76" spans="1:22" ht="17.25" customHeight="1" thickTop="1" thickBot="1">
      <c r="A76">
        <f t="shared" si="14"/>
        <v>1</v>
      </c>
      <c r="B76" t="e">
        <f t="shared" si="15"/>
        <v>#DIV/0!</v>
      </c>
      <c r="C76">
        <f t="shared" si="8"/>
        <v>1</v>
      </c>
      <c r="D76" s="546">
        <f>'الأجـــازة للوصايا'!H118</f>
        <v>0</v>
      </c>
      <c r="E76" s="546">
        <f>'الأجـــازة للوصايا'!I118</f>
        <v>0</v>
      </c>
      <c r="F76" s="546"/>
      <c r="G76" s="546">
        <f>'(5) '!M18</f>
        <v>0</v>
      </c>
      <c r="H76" s="616" t="e">
        <f>'(5) '!N18</f>
        <v>#DIV/0!</v>
      </c>
      <c r="I76" s="616" t="e">
        <f>'(5) '!O18</f>
        <v>#DIV/0!</v>
      </c>
      <c r="J76" s="641">
        <f>'(5) '!AJ18</f>
        <v>0</v>
      </c>
      <c r="K76" s="641"/>
      <c r="L76" s="641"/>
      <c r="M76" s="641"/>
      <c r="N76" s="641"/>
      <c r="O76" s="641"/>
      <c r="P76" s="641"/>
    </row>
    <row r="77" spans="1:22" ht="17.25" customHeight="1" thickTop="1" thickBot="1">
      <c r="A77">
        <f t="shared" si="14"/>
        <v>1</v>
      </c>
      <c r="B77" t="e">
        <f t="shared" si="15"/>
        <v>#DIV/0!</v>
      </c>
      <c r="C77">
        <f t="shared" si="8"/>
        <v>1</v>
      </c>
      <c r="D77" s="546">
        <f>'الأجـــازة للوصايا'!H119</f>
        <v>0</v>
      </c>
      <c r="E77" s="546">
        <f>'الأجـــازة للوصايا'!I119</f>
        <v>0</v>
      </c>
      <c r="F77" s="546"/>
      <c r="G77" s="546">
        <f>'(5) '!M19</f>
        <v>0</v>
      </c>
      <c r="H77" s="616" t="e">
        <f>'(5) '!N19</f>
        <v>#DIV/0!</v>
      </c>
      <c r="I77" s="616" t="e">
        <f>'(5) '!O19</f>
        <v>#DIV/0!</v>
      </c>
      <c r="J77" s="641">
        <f>'(5) '!AJ19</f>
        <v>0</v>
      </c>
      <c r="K77" s="641"/>
      <c r="L77" s="641"/>
      <c r="M77" s="641"/>
      <c r="N77" s="641"/>
      <c r="O77" s="641"/>
      <c r="P77" s="641"/>
    </row>
    <row r="78" spans="1:22" ht="17.25" customHeight="1" thickTop="1" thickBot="1">
      <c r="A78">
        <f t="shared" si="14"/>
        <v>1</v>
      </c>
      <c r="B78" t="e">
        <f t="shared" si="15"/>
        <v>#DIV/0!</v>
      </c>
      <c r="C78">
        <f t="shared" si="8"/>
        <v>1</v>
      </c>
      <c r="D78" s="546">
        <f>'الأجـــازة للوصايا'!H120</f>
        <v>0</v>
      </c>
      <c r="E78" s="546">
        <f>'الأجـــازة للوصايا'!I120</f>
        <v>0</v>
      </c>
      <c r="F78" s="546"/>
      <c r="G78" s="546">
        <f>'(5) '!M20</f>
        <v>0</v>
      </c>
      <c r="H78" s="616" t="e">
        <f>'(5) '!N20</f>
        <v>#DIV/0!</v>
      </c>
      <c r="I78" s="616" t="e">
        <f>'(5) '!O20</f>
        <v>#DIV/0!</v>
      </c>
      <c r="J78" s="641">
        <f>'(5) '!AJ20</f>
        <v>0</v>
      </c>
      <c r="K78" s="641"/>
      <c r="L78" s="641"/>
      <c r="M78" s="641"/>
      <c r="N78" s="641"/>
      <c r="O78" s="641"/>
      <c r="P78" s="641"/>
      <c r="R78" s="645" t="s">
        <v>788</v>
      </c>
      <c r="S78" s="646"/>
      <c r="T78" s="1229">
        <f>SUM(U18:U75)</f>
        <v>0</v>
      </c>
      <c r="U78" s="1230"/>
      <c r="V78" s="868">
        <f>ROUNDDOWN(SUM(V18:V75)+'حساب التركة والوصايا'!AF21,3)</f>
        <v>0</v>
      </c>
    </row>
    <row r="79" spans="1:22" ht="17.25" customHeight="1" thickTop="1" thickBot="1">
      <c r="A79">
        <f t="shared" si="14"/>
        <v>1</v>
      </c>
      <c r="B79" t="e">
        <f t="shared" si="15"/>
        <v>#DIV/0!</v>
      </c>
      <c r="C79">
        <f t="shared" si="8"/>
        <v>1</v>
      </c>
      <c r="D79" s="546">
        <f>'الأجـــازة للوصايا'!H121</f>
        <v>0</v>
      </c>
      <c r="E79" s="546">
        <f>'الأجـــازة للوصايا'!I121</f>
        <v>0</v>
      </c>
      <c r="F79" s="546"/>
      <c r="G79" s="546">
        <f>'(5) '!M21</f>
        <v>0</v>
      </c>
      <c r="H79" s="616" t="e">
        <f>'(5) '!N21</f>
        <v>#DIV/0!</v>
      </c>
      <c r="I79" s="616" t="e">
        <f>'(5) '!O21</f>
        <v>#DIV/0!</v>
      </c>
      <c r="J79" s="641">
        <f>'(5) '!AJ21</f>
        <v>0</v>
      </c>
      <c r="K79" s="641"/>
      <c r="L79" s="641"/>
      <c r="M79" s="641"/>
      <c r="N79" s="641"/>
      <c r="O79" s="641"/>
      <c r="P79" s="641"/>
    </row>
    <row r="80" spans="1:22" ht="17.25" customHeight="1" thickTop="1" thickBot="1">
      <c r="A80">
        <f t="shared" si="14"/>
        <v>1</v>
      </c>
      <c r="B80" t="e">
        <f t="shared" si="15"/>
        <v>#DIV/0!</v>
      </c>
      <c r="C80">
        <f t="shared" si="8"/>
        <v>1</v>
      </c>
      <c r="D80" s="546">
        <f>'الأجـــازة للوصايا'!H122</f>
        <v>0</v>
      </c>
      <c r="E80" s="546">
        <f>'الأجـــازة للوصايا'!I122</f>
        <v>0</v>
      </c>
      <c r="F80" s="546"/>
      <c r="G80" s="546">
        <f>'(5) '!M22</f>
        <v>0</v>
      </c>
      <c r="H80" s="616" t="e">
        <f>'(5) '!N22</f>
        <v>#DIV/0!</v>
      </c>
      <c r="I80" s="616" t="e">
        <f>'(5) '!O22</f>
        <v>#DIV/0!</v>
      </c>
      <c r="J80" s="641">
        <f>'(5) '!AJ22</f>
        <v>0</v>
      </c>
      <c r="K80" s="641"/>
      <c r="L80" s="641"/>
      <c r="M80" s="641"/>
      <c r="N80" s="641"/>
      <c r="O80" s="641"/>
      <c r="P80" s="641"/>
    </row>
    <row r="81" spans="1:16" ht="17.25" customHeight="1" thickTop="1" thickBot="1">
      <c r="A81">
        <f t="shared" si="14"/>
        <v>1</v>
      </c>
      <c r="B81" t="e">
        <f t="shared" si="15"/>
        <v>#DIV/0!</v>
      </c>
      <c r="C81">
        <f t="shared" si="8"/>
        <v>1</v>
      </c>
      <c r="D81" s="546">
        <f>'الأجـــازة للوصايا'!H123</f>
        <v>0</v>
      </c>
      <c r="E81" s="546">
        <f>'الأجـــازة للوصايا'!I123</f>
        <v>0</v>
      </c>
      <c r="F81" s="546"/>
      <c r="G81" s="546">
        <f>'(5) '!M23</f>
        <v>0</v>
      </c>
      <c r="H81" s="616" t="e">
        <f>'(5) '!N23</f>
        <v>#DIV/0!</v>
      </c>
      <c r="I81" s="616" t="e">
        <f>'(5) '!O23</f>
        <v>#DIV/0!</v>
      </c>
      <c r="J81" s="641">
        <f>'(5) '!AJ23</f>
        <v>0</v>
      </c>
      <c r="K81" s="641"/>
      <c r="L81" s="641"/>
      <c r="M81" s="641"/>
      <c r="N81" s="641"/>
      <c r="O81" s="641"/>
      <c r="P81" s="641"/>
    </row>
    <row r="82" spans="1:16" ht="17.25" customHeight="1" thickTop="1" thickBot="1">
      <c r="A82">
        <f t="shared" si="14"/>
        <v>1</v>
      </c>
      <c r="B82" t="e">
        <f t="shared" si="15"/>
        <v>#DIV/0!</v>
      </c>
      <c r="C82">
        <f t="shared" ref="C82:C113" si="16">IFERROR(A82,0)</f>
        <v>1</v>
      </c>
      <c r="D82" s="546"/>
      <c r="E82" s="546"/>
      <c r="F82" s="546"/>
      <c r="G82" s="546"/>
      <c r="H82" s="616"/>
      <c r="I82" s="616"/>
      <c r="J82" s="641"/>
      <c r="K82" s="641"/>
      <c r="L82" s="641"/>
      <c r="M82" s="641"/>
      <c r="N82" s="641"/>
      <c r="O82" s="641"/>
      <c r="P82" s="641"/>
    </row>
    <row r="83" spans="1:16" ht="17.25" customHeight="1" thickTop="1" thickBot="1">
      <c r="A83">
        <f t="shared" ref="A83:A113" si="17">IF(E83&gt;0, A82+1,A82)</f>
        <v>1</v>
      </c>
      <c r="B83" t="e">
        <f t="shared" ref="B83:B114" si="18">$B$18</f>
        <v>#DIV/0!</v>
      </c>
      <c r="C83">
        <f t="shared" si="16"/>
        <v>1</v>
      </c>
      <c r="D83" s="546">
        <f>'الأجـــازة للوصايا'!H124</f>
        <v>0</v>
      </c>
      <c r="E83" s="546">
        <f>'الأجـــازة للوصايا'!I124</f>
        <v>0</v>
      </c>
      <c r="F83" s="546"/>
      <c r="G83" s="546">
        <f>'(6) '!M12</f>
        <v>0</v>
      </c>
      <c r="H83" s="616" t="e">
        <f>'(6) '!N12</f>
        <v>#DIV/0!</v>
      </c>
      <c r="I83" s="616" t="e">
        <f>'(6) '!O12</f>
        <v>#DIV/0!</v>
      </c>
      <c r="J83" s="641">
        <f>'(6) '!AJ12</f>
        <v>0</v>
      </c>
      <c r="K83" s="641"/>
      <c r="L83" s="641"/>
      <c r="M83" s="641"/>
      <c r="N83" s="641"/>
      <c r="O83" s="641"/>
      <c r="P83" s="641"/>
    </row>
    <row r="84" spans="1:16" ht="17.25" customHeight="1" thickTop="1" thickBot="1">
      <c r="A84">
        <f t="shared" si="17"/>
        <v>1</v>
      </c>
      <c r="B84" t="e">
        <f t="shared" si="18"/>
        <v>#DIV/0!</v>
      </c>
      <c r="C84">
        <f t="shared" si="16"/>
        <v>1</v>
      </c>
      <c r="D84" s="546">
        <f>'الأجـــازة للوصايا'!H125</f>
        <v>0</v>
      </c>
      <c r="E84" s="546">
        <f>'الأجـــازة للوصايا'!I125</f>
        <v>0</v>
      </c>
      <c r="F84" s="546"/>
      <c r="G84" s="546">
        <f>'(6) '!M13</f>
        <v>0</v>
      </c>
      <c r="H84" s="616" t="e">
        <f>'(6) '!N13</f>
        <v>#DIV/0!</v>
      </c>
      <c r="I84" s="616" t="e">
        <f>'(6) '!O13</f>
        <v>#DIV/0!</v>
      </c>
      <c r="J84" s="641">
        <f>'(6) '!AJ13</f>
        <v>0</v>
      </c>
      <c r="K84" s="641"/>
      <c r="L84" s="641"/>
      <c r="M84" s="641"/>
      <c r="N84" s="641"/>
      <c r="O84" s="641"/>
      <c r="P84" s="641"/>
    </row>
    <row r="85" spans="1:16" ht="17.25" customHeight="1" thickTop="1" thickBot="1">
      <c r="A85">
        <f t="shared" si="17"/>
        <v>1</v>
      </c>
      <c r="B85" t="e">
        <f t="shared" si="18"/>
        <v>#DIV/0!</v>
      </c>
      <c r="C85">
        <f t="shared" si="16"/>
        <v>1</v>
      </c>
      <c r="D85" s="546">
        <f>'الأجـــازة للوصايا'!H126</f>
        <v>0</v>
      </c>
      <c r="E85" s="546">
        <f>'الأجـــازة للوصايا'!I126</f>
        <v>0</v>
      </c>
      <c r="F85" s="546"/>
      <c r="G85" s="546">
        <f>'(6) '!M14</f>
        <v>0</v>
      </c>
      <c r="H85" s="616" t="e">
        <f>'(6) '!N14</f>
        <v>#DIV/0!</v>
      </c>
      <c r="I85" s="616" t="e">
        <f>'(6) '!O14</f>
        <v>#DIV/0!</v>
      </c>
      <c r="J85" s="641">
        <f>'(6) '!AJ14</f>
        <v>0</v>
      </c>
      <c r="K85" s="641"/>
      <c r="L85" s="641"/>
      <c r="M85" s="641"/>
      <c r="N85" s="641"/>
      <c r="O85" s="641"/>
      <c r="P85" s="641"/>
    </row>
    <row r="86" spans="1:16" ht="17.25" customHeight="1" thickTop="1" thickBot="1">
      <c r="A86">
        <f t="shared" si="17"/>
        <v>1</v>
      </c>
      <c r="B86" t="e">
        <f t="shared" si="18"/>
        <v>#DIV/0!</v>
      </c>
      <c r="C86">
        <f t="shared" si="16"/>
        <v>1</v>
      </c>
      <c r="D86" s="546">
        <f>'الأجـــازة للوصايا'!H127</f>
        <v>0</v>
      </c>
      <c r="E86" s="546">
        <f>'الأجـــازة للوصايا'!I127</f>
        <v>0</v>
      </c>
      <c r="F86" s="546"/>
      <c r="G86" s="546">
        <f>'(6) '!M15</f>
        <v>0</v>
      </c>
      <c r="H86" s="616" t="e">
        <f>'(6) '!N15</f>
        <v>#DIV/0!</v>
      </c>
      <c r="I86" s="616" t="e">
        <f>'(6) '!O15</f>
        <v>#DIV/0!</v>
      </c>
      <c r="J86" s="641">
        <f>'(6) '!AJ15</f>
        <v>0</v>
      </c>
      <c r="K86" s="641"/>
      <c r="L86" s="641"/>
      <c r="M86" s="641"/>
      <c r="N86" s="641"/>
      <c r="O86" s="641"/>
      <c r="P86" s="641"/>
    </row>
    <row r="87" spans="1:16" ht="17.25" customHeight="1" thickTop="1" thickBot="1">
      <c r="A87">
        <f t="shared" si="17"/>
        <v>1</v>
      </c>
      <c r="B87" t="e">
        <f t="shared" si="18"/>
        <v>#DIV/0!</v>
      </c>
      <c r="C87">
        <f t="shared" si="16"/>
        <v>1</v>
      </c>
      <c r="D87" s="546">
        <f>'الأجـــازة للوصايا'!H128</f>
        <v>0</v>
      </c>
      <c r="E87" s="546">
        <f>'الأجـــازة للوصايا'!I128</f>
        <v>0</v>
      </c>
      <c r="F87" s="546"/>
      <c r="G87" s="546">
        <f>'(6) '!M16</f>
        <v>0</v>
      </c>
      <c r="H87" s="616" t="e">
        <f>'(6) '!N16</f>
        <v>#DIV/0!</v>
      </c>
      <c r="I87" s="616" t="e">
        <f>'(6) '!O16</f>
        <v>#DIV/0!</v>
      </c>
      <c r="J87" s="641">
        <f>'(6) '!AJ16</f>
        <v>0</v>
      </c>
      <c r="K87" s="641"/>
      <c r="L87" s="641"/>
      <c r="M87" s="641"/>
      <c r="N87" s="641"/>
      <c r="O87" s="641"/>
      <c r="P87" s="641"/>
    </row>
    <row r="88" spans="1:16" ht="17.25" customHeight="1" thickTop="1" thickBot="1">
      <c r="A88">
        <f t="shared" si="17"/>
        <v>1</v>
      </c>
      <c r="B88" t="e">
        <f t="shared" si="18"/>
        <v>#DIV/0!</v>
      </c>
      <c r="C88">
        <f t="shared" si="16"/>
        <v>1</v>
      </c>
      <c r="D88" s="546">
        <f>'الأجـــازة للوصايا'!H129</f>
        <v>0</v>
      </c>
      <c r="E88" s="546">
        <f>'الأجـــازة للوصايا'!I129</f>
        <v>0</v>
      </c>
      <c r="F88" s="546"/>
      <c r="G88" s="546">
        <f>'(6) '!M17</f>
        <v>0</v>
      </c>
      <c r="H88" s="616" t="e">
        <f>'(6) '!N17</f>
        <v>#DIV/0!</v>
      </c>
      <c r="I88" s="616" t="e">
        <f>'(6) '!O17</f>
        <v>#DIV/0!</v>
      </c>
      <c r="J88" s="641">
        <f>'(6) '!AJ17</f>
        <v>0</v>
      </c>
      <c r="K88" s="641"/>
      <c r="L88" s="641"/>
      <c r="M88" s="641"/>
      <c r="N88" s="641"/>
      <c r="O88" s="641"/>
      <c r="P88" s="641"/>
    </row>
    <row r="89" spans="1:16" ht="17.25" customHeight="1" thickTop="1" thickBot="1">
      <c r="A89">
        <f t="shared" si="17"/>
        <v>1</v>
      </c>
      <c r="B89" t="e">
        <f t="shared" si="18"/>
        <v>#DIV/0!</v>
      </c>
      <c r="C89">
        <f t="shared" si="16"/>
        <v>1</v>
      </c>
      <c r="D89" s="546">
        <f>'الأجـــازة للوصايا'!H130</f>
        <v>0</v>
      </c>
      <c r="E89" s="546">
        <f>'الأجـــازة للوصايا'!I130</f>
        <v>0</v>
      </c>
      <c r="F89" s="546"/>
      <c r="G89" s="546">
        <f>'(6) '!M18</f>
        <v>0</v>
      </c>
      <c r="H89" s="616" t="e">
        <f>'(6) '!N18</f>
        <v>#DIV/0!</v>
      </c>
      <c r="I89" s="616" t="e">
        <f>'(6) '!O18</f>
        <v>#DIV/0!</v>
      </c>
      <c r="J89" s="641">
        <f>'(6) '!AJ18</f>
        <v>0</v>
      </c>
      <c r="K89" s="641"/>
      <c r="L89" s="641"/>
      <c r="M89" s="641"/>
      <c r="N89" s="641"/>
      <c r="O89" s="641"/>
      <c r="P89" s="641"/>
    </row>
    <row r="90" spans="1:16" ht="17.25" customHeight="1" thickTop="1" thickBot="1">
      <c r="A90">
        <f t="shared" si="17"/>
        <v>1</v>
      </c>
      <c r="B90" t="e">
        <f t="shared" si="18"/>
        <v>#DIV/0!</v>
      </c>
      <c r="C90">
        <f t="shared" si="16"/>
        <v>1</v>
      </c>
      <c r="D90" s="546">
        <f>'الأجـــازة للوصايا'!H131</f>
        <v>0</v>
      </c>
      <c r="E90" s="546">
        <f>'الأجـــازة للوصايا'!I131</f>
        <v>0</v>
      </c>
      <c r="F90" s="546"/>
      <c r="G90" s="546">
        <f>'(6) '!M19</f>
        <v>0</v>
      </c>
      <c r="H90" s="616" t="e">
        <f>'(6) '!N19</f>
        <v>#DIV/0!</v>
      </c>
      <c r="I90" s="616" t="e">
        <f>'(6) '!O19</f>
        <v>#DIV/0!</v>
      </c>
      <c r="J90" s="641">
        <f>'(6) '!AJ19</f>
        <v>0</v>
      </c>
      <c r="K90" s="641"/>
      <c r="L90" s="641"/>
      <c r="M90" s="641"/>
      <c r="N90" s="641"/>
      <c r="O90" s="641"/>
      <c r="P90" s="641"/>
    </row>
    <row r="91" spans="1:16" ht="17.25" customHeight="1" thickTop="1" thickBot="1">
      <c r="A91">
        <f t="shared" si="17"/>
        <v>1</v>
      </c>
      <c r="B91" t="e">
        <f t="shared" si="18"/>
        <v>#DIV/0!</v>
      </c>
      <c r="C91">
        <f t="shared" si="16"/>
        <v>1</v>
      </c>
      <c r="D91" s="546">
        <f>'الأجـــازة للوصايا'!H132</f>
        <v>0</v>
      </c>
      <c r="E91" s="546">
        <f>'الأجـــازة للوصايا'!I132</f>
        <v>0</v>
      </c>
      <c r="F91" s="546"/>
      <c r="G91" s="546">
        <f>'(6) '!M20</f>
        <v>0</v>
      </c>
      <c r="H91" s="616" t="e">
        <f>'(6) '!N20</f>
        <v>#DIV/0!</v>
      </c>
      <c r="I91" s="616" t="e">
        <f>'(6) '!O20</f>
        <v>#DIV/0!</v>
      </c>
      <c r="J91" s="641">
        <f>'(6) '!AJ20</f>
        <v>0</v>
      </c>
      <c r="K91" s="641"/>
      <c r="L91" s="641"/>
      <c r="M91" s="641"/>
      <c r="N91" s="641"/>
      <c r="O91" s="641"/>
      <c r="P91" s="641"/>
    </row>
    <row r="92" spans="1:16" ht="17.25" customHeight="1" thickTop="1" thickBot="1">
      <c r="A92">
        <f t="shared" si="17"/>
        <v>1</v>
      </c>
      <c r="B92" t="e">
        <f t="shared" si="18"/>
        <v>#DIV/0!</v>
      </c>
      <c r="C92">
        <f t="shared" si="16"/>
        <v>1</v>
      </c>
      <c r="D92" s="546">
        <f>'الأجـــازة للوصايا'!H133</f>
        <v>0</v>
      </c>
      <c r="E92" s="546">
        <f>'الأجـــازة للوصايا'!I133</f>
        <v>0</v>
      </c>
      <c r="F92" s="546"/>
      <c r="G92" s="546">
        <f>'(6) '!M21</f>
        <v>0</v>
      </c>
      <c r="H92" s="616" t="e">
        <f>'(6) '!N21</f>
        <v>#DIV/0!</v>
      </c>
      <c r="I92" s="616" t="e">
        <f>'(6) '!O21</f>
        <v>#DIV/0!</v>
      </c>
      <c r="J92" s="641">
        <f>'(6) '!AJ21</f>
        <v>0</v>
      </c>
      <c r="K92" s="641"/>
      <c r="L92" s="641"/>
      <c r="M92" s="641"/>
      <c r="N92" s="641"/>
      <c r="O92" s="641"/>
      <c r="P92" s="641"/>
    </row>
    <row r="93" spans="1:16" ht="17.25" customHeight="1" thickTop="1" thickBot="1">
      <c r="A93">
        <f t="shared" si="17"/>
        <v>1</v>
      </c>
      <c r="B93" t="e">
        <f t="shared" si="18"/>
        <v>#DIV/0!</v>
      </c>
      <c r="C93">
        <f t="shared" si="16"/>
        <v>1</v>
      </c>
      <c r="D93" s="546">
        <f>'الأجـــازة للوصايا'!H134</f>
        <v>0</v>
      </c>
      <c r="E93" s="546">
        <f>'الأجـــازة للوصايا'!I134</f>
        <v>0</v>
      </c>
      <c r="F93" s="546"/>
      <c r="G93" s="546">
        <f>'(6) '!M22</f>
        <v>0</v>
      </c>
      <c r="H93" s="616" t="e">
        <f>'(6) '!N22</f>
        <v>#DIV/0!</v>
      </c>
      <c r="I93" s="616" t="e">
        <f>'(6) '!O22</f>
        <v>#DIV/0!</v>
      </c>
      <c r="J93" s="641">
        <f>'(6) '!AJ22</f>
        <v>0</v>
      </c>
      <c r="K93" s="641"/>
      <c r="L93" s="641"/>
      <c r="M93" s="641"/>
      <c r="N93" s="641"/>
      <c r="O93" s="641"/>
      <c r="P93" s="641"/>
    </row>
    <row r="94" spans="1:16" ht="17.25" customHeight="1" thickTop="1" thickBot="1">
      <c r="A94">
        <f t="shared" si="17"/>
        <v>1</v>
      </c>
      <c r="B94" t="e">
        <f t="shared" si="18"/>
        <v>#DIV/0!</v>
      </c>
      <c r="C94">
        <f t="shared" si="16"/>
        <v>1</v>
      </c>
      <c r="D94" s="546">
        <f>'الأجـــازة للوصايا'!H135</f>
        <v>0</v>
      </c>
      <c r="E94" s="546">
        <f>'الأجـــازة للوصايا'!I135</f>
        <v>0</v>
      </c>
      <c r="F94" s="546"/>
      <c r="G94" s="546">
        <f>'(6) '!M23</f>
        <v>0</v>
      </c>
      <c r="H94" s="616" t="e">
        <f>'(6) '!N23</f>
        <v>#DIV/0!</v>
      </c>
      <c r="I94" s="616" t="e">
        <f>'(6) '!O23</f>
        <v>#DIV/0!</v>
      </c>
      <c r="J94" s="641">
        <f>'(6) '!AJ23</f>
        <v>0</v>
      </c>
      <c r="K94" s="641"/>
      <c r="L94" s="641"/>
      <c r="M94" s="641"/>
      <c r="N94" s="641"/>
      <c r="O94" s="641"/>
      <c r="P94" s="641"/>
    </row>
    <row r="95" spans="1:16" ht="17.25" customHeight="1" thickTop="1" thickBot="1">
      <c r="A95">
        <f t="shared" si="17"/>
        <v>1</v>
      </c>
      <c r="B95" t="e">
        <f t="shared" si="18"/>
        <v>#DIV/0!</v>
      </c>
      <c r="C95">
        <f t="shared" si="16"/>
        <v>1</v>
      </c>
      <c r="D95" s="546"/>
      <c r="E95" s="546"/>
      <c r="F95" s="546"/>
      <c r="G95" s="546"/>
      <c r="H95" s="616"/>
      <c r="I95" s="616"/>
      <c r="J95" s="641"/>
      <c r="K95" s="641"/>
      <c r="L95" s="641"/>
      <c r="M95" s="641"/>
      <c r="N95" s="641"/>
      <c r="O95" s="641"/>
      <c r="P95" s="641"/>
    </row>
    <row r="96" spans="1:16" ht="17.25" customHeight="1" thickTop="1" thickBot="1">
      <c r="A96">
        <f t="shared" si="17"/>
        <v>1</v>
      </c>
      <c r="B96" t="e">
        <f t="shared" si="18"/>
        <v>#DIV/0!</v>
      </c>
      <c r="C96">
        <f t="shared" si="16"/>
        <v>1</v>
      </c>
      <c r="D96" s="546">
        <f>'الأجـــازة للوصايا'!H136</f>
        <v>0</v>
      </c>
      <c r="E96" s="546">
        <f>'الأجـــازة للوصايا'!I136</f>
        <v>0</v>
      </c>
      <c r="F96" s="546"/>
      <c r="G96" s="546">
        <f>'(7) '!M12</f>
        <v>0</v>
      </c>
      <c r="H96" s="616"/>
      <c r="I96" s="616" t="e">
        <f>'(7) '!O12</f>
        <v>#DIV/0!</v>
      </c>
      <c r="J96" s="641">
        <f>'(7) '!AJ12</f>
        <v>0</v>
      </c>
      <c r="K96" s="641"/>
      <c r="L96" s="641"/>
      <c r="M96" s="641"/>
      <c r="N96" s="641"/>
      <c r="O96" s="641"/>
      <c r="P96" s="641"/>
    </row>
    <row r="97" spans="1:16" ht="17.25" customHeight="1" thickTop="1" thickBot="1">
      <c r="A97">
        <f t="shared" si="17"/>
        <v>1</v>
      </c>
      <c r="B97" t="e">
        <f t="shared" si="18"/>
        <v>#DIV/0!</v>
      </c>
      <c r="C97">
        <f t="shared" si="16"/>
        <v>1</v>
      </c>
      <c r="D97" s="546">
        <f>'الأجـــازة للوصايا'!H137</f>
        <v>0</v>
      </c>
      <c r="E97" s="546">
        <f>'الأجـــازة للوصايا'!I137</f>
        <v>0</v>
      </c>
      <c r="F97" s="546"/>
      <c r="G97" s="546">
        <f>'(7) '!M13</f>
        <v>0</v>
      </c>
      <c r="H97" s="616"/>
      <c r="I97" s="616" t="e">
        <f>'(7) '!O13</f>
        <v>#DIV/0!</v>
      </c>
      <c r="J97" s="641">
        <f>'(7) '!AJ13</f>
        <v>0</v>
      </c>
      <c r="K97" s="641"/>
      <c r="L97" s="641"/>
      <c r="M97" s="641"/>
      <c r="N97" s="641"/>
      <c r="O97" s="641"/>
      <c r="P97" s="641"/>
    </row>
    <row r="98" spans="1:16" ht="17.25" customHeight="1" thickTop="1" thickBot="1">
      <c r="A98">
        <f t="shared" si="17"/>
        <v>1</v>
      </c>
      <c r="B98" t="e">
        <f t="shared" si="18"/>
        <v>#DIV/0!</v>
      </c>
      <c r="C98">
        <f t="shared" si="16"/>
        <v>1</v>
      </c>
      <c r="D98" s="546">
        <f>'الأجـــازة للوصايا'!H138</f>
        <v>0</v>
      </c>
      <c r="E98" s="546">
        <f>'الأجـــازة للوصايا'!I138</f>
        <v>0</v>
      </c>
      <c r="F98" s="546"/>
      <c r="G98" s="546">
        <f>'(7) '!M14</f>
        <v>0</v>
      </c>
      <c r="H98" s="616"/>
      <c r="I98" s="616" t="e">
        <f>'(7) '!O14</f>
        <v>#DIV/0!</v>
      </c>
      <c r="J98" s="641">
        <f>'(7) '!AJ14</f>
        <v>0</v>
      </c>
      <c r="K98" s="641"/>
      <c r="L98" s="641"/>
      <c r="M98" s="641"/>
      <c r="N98" s="641"/>
      <c r="O98" s="641"/>
      <c r="P98" s="641"/>
    </row>
    <row r="99" spans="1:16" ht="17.25" customHeight="1" thickTop="1" thickBot="1">
      <c r="A99">
        <f t="shared" si="17"/>
        <v>1</v>
      </c>
      <c r="B99" t="e">
        <f t="shared" si="18"/>
        <v>#DIV/0!</v>
      </c>
      <c r="C99">
        <f t="shared" si="16"/>
        <v>1</v>
      </c>
      <c r="D99" s="546">
        <f>'الأجـــازة للوصايا'!H139</f>
        <v>0</v>
      </c>
      <c r="E99" s="546">
        <f>'الأجـــازة للوصايا'!I139</f>
        <v>0</v>
      </c>
      <c r="F99" s="546"/>
      <c r="G99" s="546">
        <f>'(7) '!M15</f>
        <v>0</v>
      </c>
      <c r="H99" s="616"/>
      <c r="I99" s="616" t="e">
        <f>'(7) '!O15</f>
        <v>#DIV/0!</v>
      </c>
      <c r="J99" s="641">
        <f>'(7) '!AJ15</f>
        <v>0</v>
      </c>
      <c r="K99" s="641"/>
      <c r="L99" s="641"/>
      <c r="M99" s="641"/>
      <c r="N99" s="641"/>
      <c r="O99" s="641"/>
      <c r="P99" s="641"/>
    </row>
    <row r="100" spans="1:16" ht="17.25" customHeight="1" thickTop="1" thickBot="1">
      <c r="A100">
        <f t="shared" si="17"/>
        <v>1</v>
      </c>
      <c r="B100" t="e">
        <f t="shared" si="18"/>
        <v>#DIV/0!</v>
      </c>
      <c r="C100">
        <f t="shared" si="16"/>
        <v>1</v>
      </c>
      <c r="D100" s="546">
        <f>'الأجـــازة للوصايا'!H140</f>
        <v>0</v>
      </c>
      <c r="E100" s="546">
        <f>'الأجـــازة للوصايا'!I140</f>
        <v>0</v>
      </c>
      <c r="F100" s="546"/>
      <c r="G100" s="546">
        <f>'(7) '!M16</f>
        <v>0</v>
      </c>
      <c r="H100" s="616"/>
      <c r="I100" s="616" t="e">
        <f>'(7) '!O16</f>
        <v>#DIV/0!</v>
      </c>
      <c r="J100" s="641">
        <f>'(7) '!AJ16</f>
        <v>0</v>
      </c>
      <c r="K100" s="641"/>
      <c r="L100" s="641"/>
      <c r="M100" s="641"/>
      <c r="N100" s="641"/>
      <c r="O100" s="641"/>
      <c r="P100" s="641"/>
    </row>
    <row r="101" spans="1:16" ht="17.25" customHeight="1" thickTop="1" thickBot="1">
      <c r="A101">
        <f t="shared" si="17"/>
        <v>1</v>
      </c>
      <c r="B101" t="e">
        <f t="shared" si="18"/>
        <v>#DIV/0!</v>
      </c>
      <c r="C101">
        <f t="shared" si="16"/>
        <v>1</v>
      </c>
      <c r="D101" s="546">
        <f>'الأجـــازة للوصايا'!H141</f>
        <v>0</v>
      </c>
      <c r="E101" s="546">
        <f>'الأجـــازة للوصايا'!I141</f>
        <v>0</v>
      </c>
      <c r="F101" s="546"/>
      <c r="G101" s="546">
        <f>'(7) '!M17</f>
        <v>0</v>
      </c>
      <c r="H101" s="616"/>
      <c r="I101" s="616" t="e">
        <f>'(7) '!O17</f>
        <v>#DIV/0!</v>
      </c>
      <c r="J101" s="641">
        <f>'(7) '!AJ17</f>
        <v>0</v>
      </c>
      <c r="K101" s="641"/>
      <c r="L101" s="641"/>
      <c r="M101" s="641"/>
      <c r="N101" s="641"/>
      <c r="O101" s="641"/>
      <c r="P101" s="641"/>
    </row>
    <row r="102" spans="1:16" ht="17.25" customHeight="1" thickTop="1" thickBot="1">
      <c r="A102">
        <f t="shared" si="17"/>
        <v>1</v>
      </c>
      <c r="B102" t="e">
        <f t="shared" si="18"/>
        <v>#DIV/0!</v>
      </c>
      <c r="C102">
        <f t="shared" si="16"/>
        <v>1</v>
      </c>
      <c r="D102" s="546">
        <f>'الأجـــازة للوصايا'!H142</f>
        <v>0</v>
      </c>
      <c r="E102" s="546">
        <f>'الأجـــازة للوصايا'!I142</f>
        <v>0</v>
      </c>
      <c r="F102" s="546"/>
      <c r="G102" s="546">
        <f>'(7) '!M18</f>
        <v>0</v>
      </c>
      <c r="H102" s="616"/>
      <c r="I102" s="616" t="e">
        <f>'(7) '!O18</f>
        <v>#DIV/0!</v>
      </c>
      <c r="J102" s="641">
        <f>'(7) '!AJ18</f>
        <v>0</v>
      </c>
      <c r="K102" s="641"/>
      <c r="L102" s="641"/>
      <c r="M102" s="641"/>
      <c r="N102" s="641"/>
      <c r="O102" s="641"/>
      <c r="P102" s="641"/>
    </row>
    <row r="103" spans="1:16" ht="17.25" customHeight="1" thickTop="1" thickBot="1">
      <c r="A103">
        <f t="shared" si="17"/>
        <v>1</v>
      </c>
      <c r="B103" t="e">
        <f t="shared" si="18"/>
        <v>#DIV/0!</v>
      </c>
      <c r="C103">
        <f t="shared" si="16"/>
        <v>1</v>
      </c>
      <c r="D103" s="546">
        <f>'الأجـــازة للوصايا'!H143</f>
        <v>0</v>
      </c>
      <c r="E103" s="546">
        <f>'الأجـــازة للوصايا'!I143</f>
        <v>0</v>
      </c>
      <c r="F103" s="546"/>
      <c r="G103" s="546">
        <f>'(7) '!M19</f>
        <v>0</v>
      </c>
      <c r="H103" s="616"/>
      <c r="I103" s="616" t="e">
        <f>'(7) '!O19</f>
        <v>#DIV/0!</v>
      </c>
      <c r="J103" s="641">
        <f>'(7) '!AJ19</f>
        <v>0</v>
      </c>
      <c r="K103" s="641"/>
      <c r="L103" s="641"/>
      <c r="M103" s="641"/>
      <c r="N103" s="641"/>
      <c r="O103" s="641"/>
      <c r="P103" s="641"/>
    </row>
    <row r="104" spans="1:16" ht="17.25" customHeight="1" thickTop="1" thickBot="1">
      <c r="A104">
        <f t="shared" si="17"/>
        <v>1</v>
      </c>
      <c r="B104" t="e">
        <f t="shared" si="18"/>
        <v>#DIV/0!</v>
      </c>
      <c r="C104">
        <f t="shared" si="16"/>
        <v>1</v>
      </c>
      <c r="D104" s="546">
        <f>'الأجـــازة للوصايا'!H144</f>
        <v>0</v>
      </c>
      <c r="E104" s="546">
        <f>'الأجـــازة للوصايا'!I144</f>
        <v>0</v>
      </c>
      <c r="F104" s="546"/>
      <c r="G104" s="546">
        <f>'(7) '!M20</f>
        <v>0</v>
      </c>
      <c r="H104" s="616"/>
      <c r="I104" s="616" t="e">
        <f>'(7) '!O20</f>
        <v>#DIV/0!</v>
      </c>
      <c r="J104" s="641">
        <f>'(7) '!AJ20</f>
        <v>0</v>
      </c>
      <c r="K104" s="641"/>
      <c r="L104" s="641"/>
      <c r="M104" s="641"/>
      <c r="N104" s="641"/>
      <c r="O104" s="641"/>
      <c r="P104" s="641"/>
    </row>
    <row r="105" spans="1:16" ht="17.25" customHeight="1" thickTop="1" thickBot="1">
      <c r="A105">
        <f t="shared" si="17"/>
        <v>1</v>
      </c>
      <c r="B105" t="e">
        <f t="shared" si="18"/>
        <v>#DIV/0!</v>
      </c>
      <c r="C105">
        <f t="shared" si="16"/>
        <v>1</v>
      </c>
      <c r="D105" s="546">
        <f>'الأجـــازة للوصايا'!H145</f>
        <v>0</v>
      </c>
      <c r="E105" s="546">
        <f>'الأجـــازة للوصايا'!I145</f>
        <v>0</v>
      </c>
      <c r="F105" s="546"/>
      <c r="G105" s="546">
        <f>'(7) '!M21</f>
        <v>0</v>
      </c>
      <c r="H105" s="616"/>
      <c r="I105" s="616" t="e">
        <f>'(7) '!O21</f>
        <v>#DIV/0!</v>
      </c>
      <c r="J105" s="641">
        <f>'(7) '!AJ21</f>
        <v>0</v>
      </c>
      <c r="K105" s="641"/>
      <c r="L105" s="641"/>
      <c r="M105" s="641"/>
      <c r="N105" s="641"/>
      <c r="O105" s="641"/>
      <c r="P105" s="641"/>
    </row>
    <row r="106" spans="1:16" ht="17.25" customHeight="1" thickTop="1" thickBot="1">
      <c r="A106">
        <f t="shared" si="17"/>
        <v>1</v>
      </c>
      <c r="B106" t="e">
        <f t="shared" si="18"/>
        <v>#DIV/0!</v>
      </c>
      <c r="C106">
        <f t="shared" si="16"/>
        <v>1</v>
      </c>
      <c r="D106" s="546">
        <f>'الأجـــازة للوصايا'!H146</f>
        <v>0</v>
      </c>
      <c r="E106" s="546">
        <f>'الأجـــازة للوصايا'!I146</f>
        <v>0</v>
      </c>
      <c r="F106" s="546"/>
      <c r="G106" s="546">
        <f>'(7) '!M22</f>
        <v>0</v>
      </c>
      <c r="H106" s="616"/>
      <c r="I106" s="616" t="e">
        <f>'(7) '!O22</f>
        <v>#DIV/0!</v>
      </c>
      <c r="J106" s="641">
        <f>'(7) '!AJ22</f>
        <v>0</v>
      </c>
      <c r="K106" s="641"/>
      <c r="L106" s="641"/>
      <c r="M106" s="641"/>
      <c r="N106" s="641"/>
      <c r="O106" s="641"/>
      <c r="P106" s="641"/>
    </row>
    <row r="107" spans="1:16" ht="17.25" customHeight="1" thickTop="1" thickBot="1">
      <c r="A107">
        <f t="shared" si="17"/>
        <v>1</v>
      </c>
      <c r="B107" t="e">
        <f t="shared" si="18"/>
        <v>#DIV/0!</v>
      </c>
      <c r="C107">
        <f t="shared" si="16"/>
        <v>1</v>
      </c>
      <c r="D107" s="546">
        <f>'الأجـــازة للوصايا'!H147</f>
        <v>0</v>
      </c>
      <c r="E107" s="546">
        <f>'الأجـــازة للوصايا'!I147</f>
        <v>0</v>
      </c>
      <c r="F107" s="546"/>
      <c r="G107" s="546">
        <f>'(7) '!M23</f>
        <v>0</v>
      </c>
      <c r="H107" s="616"/>
      <c r="I107" s="616" t="e">
        <f>'(7) '!O23</f>
        <v>#DIV/0!</v>
      </c>
      <c r="J107" s="641">
        <f>'(7) '!AJ23</f>
        <v>0</v>
      </c>
      <c r="K107" s="641"/>
      <c r="L107" s="641"/>
      <c r="M107" s="641"/>
      <c r="N107" s="641"/>
      <c r="O107" s="641"/>
      <c r="P107" s="641"/>
    </row>
    <row r="108" spans="1:16" ht="17.25" customHeight="1" thickTop="1" thickBot="1">
      <c r="A108">
        <f t="shared" si="17"/>
        <v>1</v>
      </c>
      <c r="B108" t="e">
        <f t="shared" si="18"/>
        <v>#DIV/0!</v>
      </c>
      <c r="C108">
        <f t="shared" si="16"/>
        <v>1</v>
      </c>
      <c r="D108" s="487" t="s">
        <v>764</v>
      </c>
      <c r="E108" s="487">
        <v>0</v>
      </c>
      <c r="H108" s="487" t="str">
        <f>$G$9</f>
        <v>الفريضة بعدالوصية</v>
      </c>
      <c r="I108" s="637">
        <v>0</v>
      </c>
    </row>
    <row r="109" spans="1:16" ht="17.25" customHeight="1" thickTop="1" thickBot="1">
      <c r="A109">
        <f t="shared" si="17"/>
        <v>1</v>
      </c>
      <c r="B109" t="e">
        <f t="shared" si="18"/>
        <v>#DIV/0!</v>
      </c>
      <c r="C109">
        <f t="shared" si="16"/>
        <v>1</v>
      </c>
      <c r="D109" s="632" t="s">
        <v>766</v>
      </c>
      <c r="E109" s="632">
        <f>'ورقة أجازة وعدم الأجازة للمختصن'!H7</f>
        <v>0</v>
      </c>
      <c r="F109">
        <v>0</v>
      </c>
      <c r="G109" s="1">
        <f>H109</f>
        <v>0</v>
      </c>
      <c r="H109" s="632">
        <f>'ورقة أجازة وعدم الأجازة للمختصن'!F24</f>
        <v>0</v>
      </c>
      <c r="I109" s="633">
        <f>(IFERROR('ورقة أجازة وعدم الأجازة للمختصن'!L24,0))</f>
        <v>0</v>
      </c>
      <c r="J109" s="644">
        <f>'ورقة أجازة وعدم الأجازة للمختصن'!AK24</f>
        <v>0</v>
      </c>
      <c r="K109" s="1053"/>
    </row>
    <row r="110" spans="1:16" ht="17.25" customHeight="1" thickTop="1" thickBot="1">
      <c r="A110">
        <f t="shared" si="17"/>
        <v>1</v>
      </c>
      <c r="B110" t="e">
        <f t="shared" si="18"/>
        <v>#DIV/0!</v>
      </c>
      <c r="C110">
        <f t="shared" si="16"/>
        <v>1</v>
      </c>
      <c r="D110" s="632" t="s">
        <v>767</v>
      </c>
      <c r="E110" s="632">
        <f>'ورقة أجازة وعدم الأجازة للمختصن'!J7</f>
        <v>0</v>
      </c>
      <c r="G110" s="1">
        <f>H110</f>
        <v>0</v>
      </c>
      <c r="H110" s="632">
        <f>'ورقة أجازة وعدم الأجازة للمختصن'!F25</f>
        <v>0</v>
      </c>
      <c r="I110" s="633">
        <f>IFERROR('ورقة أجازة وعدم الأجازة للمختصن'!L25,0)</f>
        <v>0</v>
      </c>
      <c r="J110" s="644">
        <f>'ورقة أجازة وعدم الأجازة للمختصن'!AK25</f>
        <v>0</v>
      </c>
      <c r="K110" s="1053"/>
    </row>
    <row r="111" spans="1:16" ht="17.25" customHeight="1" thickTop="1" thickBot="1">
      <c r="A111">
        <f t="shared" si="17"/>
        <v>1</v>
      </c>
      <c r="B111" t="e">
        <f t="shared" si="18"/>
        <v>#DIV/0!</v>
      </c>
      <c r="C111">
        <f t="shared" si="16"/>
        <v>1</v>
      </c>
      <c r="D111" s="632" t="s">
        <v>768</v>
      </c>
      <c r="E111" s="632">
        <f>'ورقة أجازة وعدم الأجازة للمختصن'!K7</f>
        <v>0</v>
      </c>
      <c r="G111" s="1">
        <f>H111</f>
        <v>0</v>
      </c>
      <c r="H111" s="632">
        <f>'ورقة أجازة وعدم الأجازة للمختصن'!F26</f>
        <v>0</v>
      </c>
      <c r="I111" s="633">
        <f>IFERROR('ورقة أجازة وعدم الأجازة للمختصن'!L26,0)</f>
        <v>0</v>
      </c>
      <c r="J111" s="644">
        <f>'ورقة أجازة وعدم الأجازة للمختصن'!AK26</f>
        <v>0</v>
      </c>
      <c r="K111" s="1053"/>
    </row>
    <row r="112" spans="1:16" ht="17.25" customHeight="1" thickTop="1" thickBot="1">
      <c r="A112">
        <f t="shared" si="17"/>
        <v>1</v>
      </c>
      <c r="B112" t="e">
        <f t="shared" si="18"/>
        <v>#DIV/0!</v>
      </c>
      <c r="C112">
        <f t="shared" si="16"/>
        <v>1</v>
      </c>
      <c r="D112" s="632" t="s">
        <v>769</v>
      </c>
      <c r="E112" s="635">
        <f>'ورقة أجازة وعدم الأجازة للمختصن'!L7</f>
        <v>0</v>
      </c>
      <c r="G112" s="1">
        <f>H112</f>
        <v>0</v>
      </c>
      <c r="H112" s="635">
        <f>'ورقة أجازة وعدم الأجازة للمختصن'!F27</f>
        <v>0</v>
      </c>
      <c r="I112" s="633">
        <f>IFERROR('ورقة أجازة وعدم الأجازة للمختصن'!L27,0)</f>
        <v>0</v>
      </c>
      <c r="J112" s="644">
        <f>'ورقة أجازة وعدم الأجازة للمختصن'!AK27</f>
        <v>0</v>
      </c>
      <c r="K112" s="1053"/>
    </row>
    <row r="113" spans="1:11" ht="17.25" customHeight="1" thickTop="1" thickBot="1">
      <c r="A113">
        <f t="shared" si="17"/>
        <v>1</v>
      </c>
      <c r="B113" t="e">
        <f t="shared" si="18"/>
        <v>#DIV/0!</v>
      </c>
      <c r="C113">
        <f t="shared" si="16"/>
        <v>1</v>
      </c>
      <c r="D113" s="632" t="s">
        <v>793</v>
      </c>
      <c r="E113" s="635">
        <f>IFERROR(H3/(X2-'حساب التركة والوصايا'!AF21),0)</f>
        <v>0</v>
      </c>
      <c r="G113" t="str">
        <f>IF(H3&gt;0,"وصية نقدية","")</f>
        <v/>
      </c>
      <c r="H113" s="635" t="str">
        <f>G113</f>
        <v/>
      </c>
      <c r="I113" s="633">
        <v>0</v>
      </c>
      <c r="J113" s="644">
        <f>H3</f>
        <v>0</v>
      </c>
      <c r="K113" s="1053"/>
    </row>
    <row r="114" spans="1:11" ht="17.25" customHeight="1" thickTop="1">
      <c r="A114">
        <v>60</v>
      </c>
      <c r="B114" t="e">
        <f t="shared" si="18"/>
        <v>#DIV/0!</v>
      </c>
      <c r="C114">
        <f t="shared" ref="C114" si="19">IFERROR(A114,0)</f>
        <v>60</v>
      </c>
      <c r="D114" t="s">
        <v>114</v>
      </c>
      <c r="E114" s="1">
        <v>0</v>
      </c>
      <c r="I114" t="e">
        <f>GCD(I18:I113)</f>
        <v>#DIV/0!</v>
      </c>
    </row>
    <row r="115" spans="1:11" ht="17.25" customHeight="1"/>
    <row r="116" spans="1:11" ht="17.25" customHeight="1"/>
    <row r="117" spans="1:11" ht="17.25" customHeight="1"/>
    <row r="118" spans="1:11" ht="17.25" customHeight="1"/>
    <row r="119" spans="1:11" ht="17.25" customHeight="1"/>
    <row r="120" spans="1:11" ht="17.25" customHeight="1"/>
    <row r="121" spans="1:11" ht="17.25" customHeight="1"/>
    <row r="122" spans="1:11" ht="17.25" customHeight="1"/>
    <row r="123" spans="1:11" ht="17.25" customHeight="1"/>
    <row r="124" spans="1:11" ht="17.25" customHeight="1"/>
    <row r="125" spans="1:11" ht="17.25" customHeight="1"/>
    <row r="126" spans="1:11" ht="17.25" customHeight="1"/>
    <row r="127" spans="1:11" ht="17.25" customHeight="1"/>
    <row r="128" spans="1:11"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69" spans="4:10" ht="15" customHeight="1" thickBot="1"/>
    <row r="170" spans="4:10" ht="15" customHeight="1" thickTop="1" thickBot="1">
      <c r="D170" s="630" t="s">
        <v>735</v>
      </c>
      <c r="E170" s="630" t="s">
        <v>764</v>
      </c>
      <c r="F170" s="487" t="str">
        <f>E9</f>
        <v xml:space="preserve">  الفريضة</v>
      </c>
      <c r="G170" s="487" t="str">
        <f>$G$9</f>
        <v>الفريضة بعدالوصية</v>
      </c>
      <c r="H170" s="637" t="str">
        <f>$I$9</f>
        <v>الحصص لكل الورثة</v>
      </c>
    </row>
    <row r="171" spans="4:10" ht="15" customHeight="1" thickTop="1" thickBot="1">
      <c r="D171" s="631"/>
      <c r="E171" s="631" t="e">
        <f>VLOOKUP(2,C18:I113,2,FALSE)</f>
        <v>#N/A</v>
      </c>
      <c r="F171" s="632" t="e">
        <f>VLOOKUP(2,C18:I113,3,FALSE)</f>
        <v>#N/A</v>
      </c>
      <c r="G171" s="632" t="e">
        <f>VLOOKUP(2,C18:I113,5,FALSE)</f>
        <v>#N/A</v>
      </c>
      <c r="H171" s="633" t="e">
        <f>VLOOKUP(2,C18:I113,7,FALSE)</f>
        <v>#N/A</v>
      </c>
      <c r="I171" s="633" t="e">
        <f>VLOOKUP(2,C18:J113,8,FALSE)</f>
        <v>#N/A</v>
      </c>
      <c r="J171" s="38">
        <v>2</v>
      </c>
    </row>
    <row r="172" spans="4:10" ht="15" customHeight="1" thickTop="1" thickBot="1">
      <c r="D172" s="631"/>
      <c r="E172" s="631" t="e">
        <f>VLOOKUP(3,C19:I113,2,FALSE)</f>
        <v>#N/A</v>
      </c>
      <c r="F172" s="632" t="e">
        <f>VLOOKUP(3,C19:I113,3,FALSE)</f>
        <v>#N/A</v>
      </c>
      <c r="G172" s="632" t="e">
        <f>VLOOKUP(3,C19:I113,5,FALSE)</f>
        <v>#N/A</v>
      </c>
      <c r="H172" s="633" t="e">
        <f>VLOOKUP(3,C19:I113,7,FALSE)</f>
        <v>#N/A</v>
      </c>
      <c r="I172" s="633" t="e">
        <f>VLOOKUP(3,C19:J113,8,FALSE)</f>
        <v>#N/A</v>
      </c>
      <c r="J172" s="38">
        <f>J171+1</f>
        <v>3</v>
      </c>
    </row>
    <row r="173" spans="4:10" ht="15" customHeight="1" thickTop="1" thickBot="1">
      <c r="D173" s="631"/>
      <c r="E173" s="631" t="e">
        <f>VLOOKUP(4,C20:I113,2,FALSE)</f>
        <v>#N/A</v>
      </c>
      <c r="F173" s="632" t="e">
        <f>VLOOKUP(4,C20:I113,3,FALSE)</f>
        <v>#N/A</v>
      </c>
      <c r="G173" s="632" t="e">
        <f>VLOOKUP(4,C20:I113,5,FALSE)</f>
        <v>#N/A</v>
      </c>
      <c r="H173" s="633" t="e">
        <f>VLOOKUP(4,C20:I113,7,FALSE)</f>
        <v>#N/A</v>
      </c>
      <c r="I173" s="633" t="e">
        <f>VLOOKUP(J173,C20:J113,8,FALSE)</f>
        <v>#N/A</v>
      </c>
      <c r="J173" s="38">
        <f t="shared" ref="J173:J230" si="20">J172+1</f>
        <v>4</v>
      </c>
    </row>
    <row r="174" spans="4:10" ht="15" customHeight="1" thickTop="1" thickBot="1">
      <c r="D174" s="631"/>
      <c r="E174" s="631" t="e">
        <f>VLOOKUP(5,C21:I113,2,FALSE)</f>
        <v>#N/A</v>
      </c>
      <c r="F174" s="632" t="e">
        <f>VLOOKUP(5,C21:I113,3,FALSE)</f>
        <v>#N/A</v>
      </c>
      <c r="G174" s="632" t="e">
        <f>VLOOKUP(5,C21:I113,5,FALSE)</f>
        <v>#N/A</v>
      </c>
      <c r="H174" s="633" t="e">
        <f>VLOOKUP(5,C21:I113,7,FALSE)</f>
        <v>#N/A</v>
      </c>
      <c r="I174" s="633" t="e">
        <f>VLOOKUP(J174,C21:J113,8,FALSE)</f>
        <v>#N/A</v>
      </c>
      <c r="J174" s="38">
        <f t="shared" si="20"/>
        <v>5</v>
      </c>
    </row>
    <row r="175" spans="4:10" ht="15" customHeight="1" thickTop="1" thickBot="1">
      <c r="D175" s="631"/>
      <c r="E175" s="631" t="e">
        <f>VLOOKUP(6,C22:I113,2,FALSE)</f>
        <v>#N/A</v>
      </c>
      <c r="F175" s="632" t="e">
        <f>VLOOKUP(6,C22:I113,3,FALSE)</f>
        <v>#N/A</v>
      </c>
      <c r="G175" s="632" t="e">
        <f>VLOOKUP(6,C22:I113,5,FALSE)</f>
        <v>#N/A</v>
      </c>
      <c r="H175" s="633" t="e">
        <f>VLOOKUP(6,C22:I113,7,FALSE)</f>
        <v>#N/A</v>
      </c>
      <c r="I175" s="633" t="e">
        <f>VLOOKUP(J175,C22:J113,8,FALSE)</f>
        <v>#N/A</v>
      </c>
      <c r="J175" s="38">
        <f t="shared" si="20"/>
        <v>6</v>
      </c>
    </row>
    <row r="176" spans="4:10" ht="15" customHeight="1" thickTop="1" thickBot="1">
      <c r="D176" s="631"/>
      <c r="E176" s="631" t="e">
        <f>VLOOKUP(7,C23:I113,2,FALSE)</f>
        <v>#N/A</v>
      </c>
      <c r="F176" s="632" t="e">
        <f>VLOOKUP(7,C23:I113,3,FALSE)</f>
        <v>#N/A</v>
      </c>
      <c r="G176" s="632" t="e">
        <f>VLOOKUP(7,C23:I113,5,FALSE)</f>
        <v>#N/A</v>
      </c>
      <c r="H176" s="633" t="e">
        <f>VLOOKUP(7,C23:I113,7,FALSE)</f>
        <v>#N/A</v>
      </c>
      <c r="I176" s="633" t="e">
        <f>VLOOKUP(J176,C23:J113,8,FALSE)</f>
        <v>#N/A</v>
      </c>
      <c r="J176" s="38">
        <f t="shared" si="20"/>
        <v>7</v>
      </c>
    </row>
    <row r="177" spans="4:10" ht="15" customHeight="1" thickTop="1" thickBot="1">
      <c r="D177" s="631"/>
      <c r="E177" s="631" t="e">
        <f>VLOOKUP(8,C24:I113,2,FALSE)</f>
        <v>#N/A</v>
      </c>
      <c r="F177" s="632" t="e">
        <f>VLOOKUP(8,C24:I113,3,FALSE)</f>
        <v>#N/A</v>
      </c>
      <c r="G177" s="632" t="e">
        <f>VLOOKUP(8,C24:I113,5,FALSE)</f>
        <v>#N/A</v>
      </c>
      <c r="H177" s="633" t="e">
        <f>VLOOKUP(8,C24:I113,7,FALSE)</f>
        <v>#N/A</v>
      </c>
      <c r="I177" s="633" t="e">
        <f t="shared" ref="I177:I224" si="21">VLOOKUP(J177,C24:J113,8,FALSE)</f>
        <v>#N/A</v>
      </c>
      <c r="J177" s="38">
        <f t="shared" si="20"/>
        <v>8</v>
      </c>
    </row>
    <row r="178" spans="4:10" ht="15" customHeight="1" thickTop="1" thickBot="1">
      <c r="D178" s="631"/>
      <c r="E178" s="631" t="e">
        <f>VLOOKUP(9,C25:I114,2,FALSE)</f>
        <v>#N/A</v>
      </c>
      <c r="F178" s="632" t="e">
        <f>VLOOKUP(9,C25:I114,3,FALSE)</f>
        <v>#N/A</v>
      </c>
      <c r="G178" s="632" t="e">
        <f>VLOOKUP(9,C25:I114,5,FALSE)</f>
        <v>#N/A</v>
      </c>
      <c r="H178" s="633" t="e">
        <f>VLOOKUP(9,C25:I114,7,FALSE)</f>
        <v>#N/A</v>
      </c>
      <c r="I178" s="633" t="e">
        <f t="shared" si="21"/>
        <v>#N/A</v>
      </c>
      <c r="J178" s="38">
        <f t="shared" si="20"/>
        <v>9</v>
      </c>
    </row>
    <row r="179" spans="4:10" ht="15" customHeight="1" thickTop="1" thickBot="1">
      <c r="D179" s="631"/>
      <c r="E179" s="631" t="e">
        <f>VLOOKUP(10,C26:I115,2,FALSE)</f>
        <v>#N/A</v>
      </c>
      <c r="F179" s="632" t="e">
        <f>VLOOKUP(10,C26:I115,3,FALSE)</f>
        <v>#N/A</v>
      </c>
      <c r="G179" s="632" t="e">
        <f>VLOOKUP(10,C26:I115,5,FALSE)</f>
        <v>#N/A</v>
      </c>
      <c r="H179" s="633" t="e">
        <f>VLOOKUP(10,C26:I115,7,FALSE)</f>
        <v>#N/A</v>
      </c>
      <c r="I179" s="633" t="e">
        <f t="shared" si="21"/>
        <v>#N/A</v>
      </c>
      <c r="J179" s="38">
        <f t="shared" si="20"/>
        <v>10</v>
      </c>
    </row>
    <row r="180" spans="4:10" ht="15" customHeight="1" thickTop="1" thickBot="1">
      <c r="D180" s="631"/>
      <c r="E180" s="631" t="e">
        <f>VLOOKUP(11,C27:I116,2,FALSE)</f>
        <v>#N/A</v>
      </c>
      <c r="F180" s="632" t="e">
        <f>VLOOKUP(11,C27:I116,3,FALSE)</f>
        <v>#N/A</v>
      </c>
      <c r="G180" s="632" t="e">
        <f>VLOOKUP(11,C27:I116,5,FALSE)</f>
        <v>#N/A</v>
      </c>
      <c r="H180" s="633" t="e">
        <f>VLOOKUP(11,C27:I116,7,FALSE)</f>
        <v>#N/A</v>
      </c>
      <c r="I180" s="633" t="e">
        <f t="shared" si="21"/>
        <v>#N/A</v>
      </c>
      <c r="J180" s="38">
        <f t="shared" si="20"/>
        <v>11</v>
      </c>
    </row>
    <row r="181" spans="4:10" ht="15" customHeight="1" thickTop="1" thickBot="1">
      <c r="D181" s="631"/>
      <c r="E181" s="631" t="e">
        <f>VLOOKUP(12,C28:I117,2,FALSE)</f>
        <v>#N/A</v>
      </c>
      <c r="F181" s="632" t="e">
        <f>VLOOKUP(12,C28:I117,3,FALSE)</f>
        <v>#N/A</v>
      </c>
      <c r="G181" s="632" t="e">
        <f>VLOOKUP(12,C28:I117,5,FALSE)</f>
        <v>#N/A</v>
      </c>
      <c r="H181" s="633" t="e">
        <f>VLOOKUP(12,C28:I117,7,FALSE)</f>
        <v>#N/A</v>
      </c>
      <c r="I181" s="633" t="e">
        <f t="shared" si="21"/>
        <v>#N/A</v>
      </c>
      <c r="J181" s="38">
        <f t="shared" si="20"/>
        <v>12</v>
      </c>
    </row>
    <row r="182" spans="4:10" ht="15" customHeight="1" thickTop="1" thickBot="1">
      <c r="D182" s="631"/>
      <c r="E182" s="631" t="e">
        <f>VLOOKUP(13,C29:I118,2,FALSE)</f>
        <v>#N/A</v>
      </c>
      <c r="F182" s="632" t="e">
        <f>VLOOKUP(13,C29:I118,3,FALSE)</f>
        <v>#N/A</v>
      </c>
      <c r="G182" s="632" t="e">
        <f>VLOOKUP(13,C29:I118,5,FALSE)</f>
        <v>#N/A</v>
      </c>
      <c r="H182" s="633" t="e">
        <f>VLOOKUP(13,C29:I118,7,FALSE)</f>
        <v>#N/A</v>
      </c>
      <c r="I182" s="633" t="e">
        <f t="shared" si="21"/>
        <v>#N/A</v>
      </c>
      <c r="J182" s="38">
        <f t="shared" si="20"/>
        <v>13</v>
      </c>
    </row>
    <row r="183" spans="4:10" ht="15" customHeight="1" thickTop="1" thickBot="1">
      <c r="D183" s="631"/>
      <c r="E183" s="631" t="e">
        <f>VLOOKUP(14,C30:I119,2,FALSE)</f>
        <v>#N/A</v>
      </c>
      <c r="F183" s="632" t="e">
        <f>VLOOKUP(14,C30:I119,3,FALSE)</f>
        <v>#N/A</v>
      </c>
      <c r="G183" s="632" t="e">
        <f>VLOOKUP(14,C30:I119,5,FALSE)</f>
        <v>#N/A</v>
      </c>
      <c r="H183" s="633" t="e">
        <f>VLOOKUP(14,C30:I119,7,FALSE)</f>
        <v>#N/A</v>
      </c>
      <c r="I183" s="633" t="e">
        <f t="shared" si="21"/>
        <v>#N/A</v>
      </c>
      <c r="J183" s="38">
        <f t="shared" si="20"/>
        <v>14</v>
      </c>
    </row>
    <row r="184" spans="4:10" ht="15" customHeight="1" thickTop="1" thickBot="1">
      <c r="D184" s="631"/>
      <c r="E184" s="631" t="e">
        <f>VLOOKUP(15,C31:I120,2,FALSE)</f>
        <v>#N/A</v>
      </c>
      <c r="F184" s="632" t="e">
        <f>VLOOKUP(15,C31:I120,3,FALSE)</f>
        <v>#N/A</v>
      </c>
      <c r="G184" s="632" t="e">
        <f>VLOOKUP(15,C31:I120,5,FALSE)</f>
        <v>#N/A</v>
      </c>
      <c r="H184" s="633" t="e">
        <f>VLOOKUP(15,C31:I120,7,FALSE)</f>
        <v>#N/A</v>
      </c>
      <c r="I184" s="633" t="e">
        <f t="shared" si="21"/>
        <v>#N/A</v>
      </c>
      <c r="J184" s="38">
        <f t="shared" si="20"/>
        <v>15</v>
      </c>
    </row>
    <row r="185" spans="4:10" ht="15" customHeight="1" thickTop="1" thickBot="1">
      <c r="D185" s="631"/>
      <c r="E185" s="631" t="e">
        <f>VLOOKUP(16,C32:I121,2,FALSE)</f>
        <v>#N/A</v>
      </c>
      <c r="F185" s="632" t="e">
        <f>VLOOKUP(16,C32:I121,3,FALSE)</f>
        <v>#N/A</v>
      </c>
      <c r="G185" s="632" t="e">
        <f>VLOOKUP(16,C32:I121,5,FALSE)</f>
        <v>#N/A</v>
      </c>
      <c r="H185" s="633" t="e">
        <f>VLOOKUP(16,C32:I121,7,FALSE)</f>
        <v>#N/A</v>
      </c>
      <c r="I185" s="633" t="e">
        <f t="shared" si="21"/>
        <v>#N/A</v>
      </c>
      <c r="J185" s="38">
        <f t="shared" si="20"/>
        <v>16</v>
      </c>
    </row>
    <row r="186" spans="4:10" ht="15" customHeight="1" thickTop="1" thickBot="1">
      <c r="D186" s="631"/>
      <c r="E186" s="631" t="e">
        <f>VLOOKUP(17,C33:I122,2,FALSE)</f>
        <v>#N/A</v>
      </c>
      <c r="F186" s="632" t="e">
        <f>VLOOKUP(17,C33:I122,3,FALSE)</f>
        <v>#N/A</v>
      </c>
      <c r="G186" s="632" t="e">
        <f>VLOOKUP(17,C33:I122,5,FALSE)</f>
        <v>#N/A</v>
      </c>
      <c r="H186" s="633" t="e">
        <f>VLOOKUP(17,C33:I122,7,FALSE)</f>
        <v>#N/A</v>
      </c>
      <c r="I186" s="633" t="e">
        <f t="shared" si="21"/>
        <v>#N/A</v>
      </c>
      <c r="J186" s="38">
        <f t="shared" si="20"/>
        <v>17</v>
      </c>
    </row>
    <row r="187" spans="4:10" ht="15" customHeight="1" thickTop="1" thickBot="1">
      <c r="D187" s="631"/>
      <c r="E187" s="631" t="e">
        <f>VLOOKUP(18,C34:I123,2,FALSE)</f>
        <v>#N/A</v>
      </c>
      <c r="F187" s="632" t="e">
        <f>VLOOKUP(18,C34:I123,3,FALSE)</f>
        <v>#N/A</v>
      </c>
      <c r="G187" s="632" t="e">
        <f>VLOOKUP(18,C34:I123,5,FALSE)</f>
        <v>#N/A</v>
      </c>
      <c r="H187" s="633" t="e">
        <f>VLOOKUP(18,C34:I123,7,FALSE)</f>
        <v>#N/A</v>
      </c>
      <c r="I187" s="633" t="e">
        <f t="shared" si="21"/>
        <v>#N/A</v>
      </c>
      <c r="J187" s="38">
        <f t="shared" si="20"/>
        <v>18</v>
      </c>
    </row>
    <row r="188" spans="4:10" ht="15" customHeight="1" thickTop="1" thickBot="1">
      <c r="D188" s="631"/>
      <c r="E188" s="631" t="e">
        <f>VLOOKUP(19,C35:I124,2,FALSE)</f>
        <v>#N/A</v>
      </c>
      <c r="F188" s="632" t="e">
        <f>VLOOKUP(19,C35:I124,3,FALSE)</f>
        <v>#N/A</v>
      </c>
      <c r="G188" s="632" t="e">
        <f>VLOOKUP(19,C35:I124,5,FALSE)</f>
        <v>#N/A</v>
      </c>
      <c r="H188" s="633" t="e">
        <f>VLOOKUP(19,C35:I124,7,FALSE)</f>
        <v>#N/A</v>
      </c>
      <c r="I188" s="633" t="e">
        <f t="shared" si="21"/>
        <v>#N/A</v>
      </c>
      <c r="J188" s="38">
        <f t="shared" si="20"/>
        <v>19</v>
      </c>
    </row>
    <row r="189" spans="4:10" ht="15" customHeight="1" thickTop="1" thickBot="1">
      <c r="D189" s="631"/>
      <c r="E189" s="631" t="e">
        <f>VLOOKUP(20,C36:I125,2,FALSE)</f>
        <v>#N/A</v>
      </c>
      <c r="F189" s="632" t="e">
        <f>VLOOKUP(20,C36:I125,3,FALSE)</f>
        <v>#N/A</v>
      </c>
      <c r="G189" s="632" t="e">
        <f>VLOOKUP(20,C36:I125,5,FALSE)</f>
        <v>#N/A</v>
      </c>
      <c r="H189" s="633" t="e">
        <f>VLOOKUP(20,C36:I125,7,FALSE)</f>
        <v>#N/A</v>
      </c>
      <c r="I189" s="633" t="e">
        <f t="shared" si="21"/>
        <v>#N/A</v>
      </c>
      <c r="J189" s="38">
        <f t="shared" si="20"/>
        <v>20</v>
      </c>
    </row>
    <row r="190" spans="4:10" ht="15" customHeight="1" thickTop="1" thickBot="1">
      <c r="D190" s="631"/>
      <c r="E190" s="631" t="e">
        <f>VLOOKUP(21,C37:I126,2,FALSE)</f>
        <v>#N/A</v>
      </c>
      <c r="F190" s="632" t="e">
        <f>VLOOKUP(21,C37:I126,3,FALSE)</f>
        <v>#N/A</v>
      </c>
      <c r="G190" s="632" t="e">
        <f>VLOOKUP(21,C37:I126,5,FALSE)</f>
        <v>#N/A</v>
      </c>
      <c r="H190" s="633" t="e">
        <f>VLOOKUP(21,C37:I126,7,FALSE)</f>
        <v>#N/A</v>
      </c>
      <c r="I190" s="633" t="e">
        <f t="shared" si="21"/>
        <v>#N/A</v>
      </c>
      <c r="J190" s="38">
        <f t="shared" si="20"/>
        <v>21</v>
      </c>
    </row>
    <row r="191" spans="4:10" ht="15" customHeight="1" thickTop="1" thickBot="1">
      <c r="D191" s="631"/>
      <c r="E191" s="631" t="e">
        <f>VLOOKUP(22,C38:I127,2,FALSE)</f>
        <v>#N/A</v>
      </c>
      <c r="F191" s="632" t="e">
        <f>VLOOKUP(22,C38:I127,3,FALSE)</f>
        <v>#N/A</v>
      </c>
      <c r="G191" s="632" t="e">
        <f>VLOOKUP(22,C38:I127,5,FALSE)</f>
        <v>#N/A</v>
      </c>
      <c r="H191" s="633" t="e">
        <f>VLOOKUP(22,C38:I127,7,FALSE)</f>
        <v>#N/A</v>
      </c>
      <c r="I191" s="633" t="e">
        <f t="shared" si="21"/>
        <v>#N/A</v>
      </c>
      <c r="J191" s="38">
        <f t="shared" si="20"/>
        <v>22</v>
      </c>
    </row>
    <row r="192" spans="4:10" ht="15" customHeight="1" thickTop="1" thickBot="1">
      <c r="D192" s="631"/>
      <c r="E192" s="631" t="e">
        <f>VLOOKUP(23,C39:I128,2,FALSE)</f>
        <v>#N/A</v>
      </c>
      <c r="F192" s="632" t="e">
        <f>VLOOKUP(23,C39:I128,3,FALSE)</f>
        <v>#N/A</v>
      </c>
      <c r="G192" s="632" t="e">
        <f>VLOOKUP(23,C39:I128,5,FALSE)</f>
        <v>#N/A</v>
      </c>
      <c r="H192" s="633" t="e">
        <f>VLOOKUP(23,C39:I128,7,FALSE)</f>
        <v>#N/A</v>
      </c>
      <c r="I192" s="633" t="e">
        <f t="shared" si="21"/>
        <v>#N/A</v>
      </c>
      <c r="J192" s="38">
        <f t="shared" si="20"/>
        <v>23</v>
      </c>
    </row>
    <row r="193" spans="4:10" ht="15" customHeight="1" thickTop="1" thickBot="1">
      <c r="D193" s="631"/>
      <c r="E193" s="631" t="e">
        <f>VLOOKUP(24,C40:I129,2,FALSE)</f>
        <v>#N/A</v>
      </c>
      <c r="F193" s="632" t="e">
        <f>VLOOKUP(24,C40:I129,3,FALSE)</f>
        <v>#N/A</v>
      </c>
      <c r="G193" s="632" t="e">
        <f>VLOOKUP(24,C40:I129,5,FALSE)</f>
        <v>#N/A</v>
      </c>
      <c r="H193" s="633" t="e">
        <f>VLOOKUP(24,C40:I129,7,FALSE)</f>
        <v>#N/A</v>
      </c>
      <c r="I193" s="633" t="e">
        <f t="shared" si="21"/>
        <v>#N/A</v>
      </c>
      <c r="J193" s="38">
        <f t="shared" si="20"/>
        <v>24</v>
      </c>
    </row>
    <row r="194" spans="4:10" ht="15" customHeight="1" thickTop="1" thickBot="1">
      <c r="D194" s="631"/>
      <c r="E194" s="631" t="e">
        <f>VLOOKUP(25,C41:I130,2,FALSE)</f>
        <v>#N/A</v>
      </c>
      <c r="F194" s="632" t="e">
        <f>VLOOKUP(25,C41:I130,3,FALSE)</f>
        <v>#N/A</v>
      </c>
      <c r="G194" s="632" t="e">
        <f>VLOOKUP(25,C41:I130,5,FALSE)</f>
        <v>#N/A</v>
      </c>
      <c r="H194" s="633" t="e">
        <f>VLOOKUP(25,C41:I130,7,FALSE)</f>
        <v>#N/A</v>
      </c>
      <c r="I194" s="633" t="e">
        <f t="shared" si="21"/>
        <v>#N/A</v>
      </c>
      <c r="J194" s="38">
        <f t="shared" si="20"/>
        <v>25</v>
      </c>
    </row>
    <row r="195" spans="4:10" ht="15" customHeight="1" thickTop="1" thickBot="1">
      <c r="D195" s="631"/>
      <c r="E195" s="631" t="e">
        <f>VLOOKUP(26,C42:I131,2,FALSE)</f>
        <v>#N/A</v>
      </c>
      <c r="F195" s="632" t="e">
        <f>VLOOKUP(26,C42:I131,3,FALSE)</f>
        <v>#N/A</v>
      </c>
      <c r="G195" s="632" t="e">
        <f>VLOOKUP(26,C42:I131,5,FALSE)</f>
        <v>#N/A</v>
      </c>
      <c r="H195" s="633" t="e">
        <f>VLOOKUP(26,C42:I131,7,FALSE)</f>
        <v>#N/A</v>
      </c>
      <c r="I195" s="633" t="e">
        <f t="shared" si="21"/>
        <v>#N/A</v>
      </c>
      <c r="J195" s="38">
        <f t="shared" si="20"/>
        <v>26</v>
      </c>
    </row>
    <row r="196" spans="4:10" ht="15" customHeight="1" thickTop="1" thickBot="1">
      <c r="D196" s="631"/>
      <c r="E196" s="631" t="e">
        <f>VLOOKUP(27,C43:I132,2,FALSE)</f>
        <v>#N/A</v>
      </c>
      <c r="F196" s="632" t="e">
        <f>VLOOKUP(27,C43:I132,3,FALSE)</f>
        <v>#N/A</v>
      </c>
      <c r="G196" s="632" t="e">
        <f>VLOOKUP(27,C43:I132,5,FALSE)</f>
        <v>#N/A</v>
      </c>
      <c r="H196" s="633" t="e">
        <f>VLOOKUP(27,C43:I132,7,FALSE)</f>
        <v>#N/A</v>
      </c>
      <c r="I196" s="633" t="e">
        <f t="shared" si="21"/>
        <v>#N/A</v>
      </c>
      <c r="J196" s="38">
        <f t="shared" si="20"/>
        <v>27</v>
      </c>
    </row>
    <row r="197" spans="4:10" ht="15" customHeight="1" thickTop="1" thickBot="1">
      <c r="D197" s="631"/>
      <c r="E197" s="631" t="e">
        <f>VLOOKUP(28,C44:I133,2,FALSE)</f>
        <v>#N/A</v>
      </c>
      <c r="F197" s="632" t="e">
        <f>VLOOKUP(28,C44:I133,3,FALSE)</f>
        <v>#N/A</v>
      </c>
      <c r="G197" s="632" t="e">
        <f>VLOOKUP(28,C44:I133,5,FALSE)</f>
        <v>#N/A</v>
      </c>
      <c r="H197" s="633" t="e">
        <f>VLOOKUP(28,C44:I133,7,FALSE)</f>
        <v>#N/A</v>
      </c>
      <c r="I197" s="633" t="e">
        <f t="shared" si="21"/>
        <v>#N/A</v>
      </c>
      <c r="J197" s="38">
        <f t="shared" si="20"/>
        <v>28</v>
      </c>
    </row>
    <row r="198" spans="4:10" ht="15" customHeight="1" thickTop="1" thickBot="1">
      <c r="D198" s="631"/>
      <c r="E198" s="631" t="e">
        <f>VLOOKUP(29,C45:I134,2,FALSE)</f>
        <v>#N/A</v>
      </c>
      <c r="F198" s="632" t="e">
        <f>VLOOKUP(29,C45:I134,3,FALSE)</f>
        <v>#N/A</v>
      </c>
      <c r="G198" s="632" t="e">
        <f>VLOOKUP(29,C45:I134,5,FALSE)</f>
        <v>#N/A</v>
      </c>
      <c r="H198" s="633" t="e">
        <f>VLOOKUP(29,C45:I134,7,FALSE)</f>
        <v>#N/A</v>
      </c>
      <c r="I198" s="633" t="e">
        <f t="shared" si="21"/>
        <v>#N/A</v>
      </c>
      <c r="J198" s="38">
        <f t="shared" si="20"/>
        <v>29</v>
      </c>
    </row>
    <row r="199" spans="4:10" ht="15" customHeight="1" thickTop="1" thickBot="1">
      <c r="D199" s="631"/>
      <c r="E199" s="631" t="e">
        <f>VLOOKUP(30,C46:I135,2,FALSE)</f>
        <v>#N/A</v>
      </c>
      <c r="F199" s="632" t="e">
        <f>VLOOKUP(30,C46:I135,3,FALSE)</f>
        <v>#N/A</v>
      </c>
      <c r="G199" s="632" t="e">
        <f>VLOOKUP(30,C46:I135,5,FALSE)</f>
        <v>#N/A</v>
      </c>
      <c r="H199" s="633" t="e">
        <f>VLOOKUP(30,C46:I135,7,FALSE)</f>
        <v>#N/A</v>
      </c>
      <c r="I199" s="633" t="e">
        <f t="shared" si="21"/>
        <v>#N/A</v>
      </c>
      <c r="J199" s="38">
        <f t="shared" si="20"/>
        <v>30</v>
      </c>
    </row>
    <row r="200" spans="4:10" ht="15" customHeight="1" thickTop="1" thickBot="1">
      <c r="D200" s="631"/>
      <c r="E200" s="631" t="e">
        <f>VLOOKUP(31,C47:I136,2,FALSE)</f>
        <v>#N/A</v>
      </c>
      <c r="F200" s="632" t="e">
        <f>VLOOKUP(31,C47:I136,3,FALSE)</f>
        <v>#N/A</v>
      </c>
      <c r="G200" s="632" t="e">
        <f>VLOOKUP(31,C47:I136,5,FALSE)</f>
        <v>#N/A</v>
      </c>
      <c r="H200" s="633" t="e">
        <f>VLOOKUP(31,C47:I136,7,FALSE)</f>
        <v>#N/A</v>
      </c>
      <c r="I200" s="633" t="e">
        <f t="shared" si="21"/>
        <v>#N/A</v>
      </c>
      <c r="J200" s="38">
        <f t="shared" si="20"/>
        <v>31</v>
      </c>
    </row>
    <row r="201" spans="4:10" ht="15" customHeight="1" thickTop="1" thickBot="1">
      <c r="D201" s="631"/>
      <c r="E201" s="631" t="e">
        <f>VLOOKUP(32,C48:I137,2,FALSE)</f>
        <v>#N/A</v>
      </c>
      <c r="F201" s="632" t="e">
        <f>VLOOKUP(32,C48:I137,3,FALSE)</f>
        <v>#N/A</v>
      </c>
      <c r="G201" s="632" t="e">
        <f>VLOOKUP(32,C48:I137,5,FALSE)</f>
        <v>#N/A</v>
      </c>
      <c r="H201" s="633" t="e">
        <f>VLOOKUP(32,C48:I137,7,FALSE)</f>
        <v>#N/A</v>
      </c>
      <c r="I201" s="633" t="e">
        <f t="shared" si="21"/>
        <v>#N/A</v>
      </c>
      <c r="J201" s="38">
        <f t="shared" si="20"/>
        <v>32</v>
      </c>
    </row>
    <row r="202" spans="4:10" ht="15" customHeight="1" thickTop="1" thickBot="1">
      <c r="D202" s="631"/>
      <c r="E202" s="631" t="e">
        <f>VLOOKUP(33,C49:I138,2,FALSE)</f>
        <v>#N/A</v>
      </c>
      <c r="F202" s="632" t="e">
        <f>VLOOKUP(33,C49:I138,3,FALSE)</f>
        <v>#N/A</v>
      </c>
      <c r="G202" s="632" t="e">
        <f>VLOOKUP(33,C49:I138,5,FALSE)</f>
        <v>#N/A</v>
      </c>
      <c r="H202" s="633" t="e">
        <f>VLOOKUP(33,C49:I138,7,FALSE)</f>
        <v>#N/A</v>
      </c>
      <c r="I202" s="633" t="e">
        <f t="shared" si="21"/>
        <v>#N/A</v>
      </c>
      <c r="J202" s="38">
        <f t="shared" si="20"/>
        <v>33</v>
      </c>
    </row>
    <row r="203" spans="4:10" ht="15" customHeight="1" thickTop="1" thickBot="1">
      <c r="D203" s="631"/>
      <c r="E203" s="631" t="e">
        <f>VLOOKUP(34,C50:I139,2,FALSE)</f>
        <v>#N/A</v>
      </c>
      <c r="F203" s="632" t="e">
        <f>VLOOKUP(34,C50:I139,3,FALSE)</f>
        <v>#N/A</v>
      </c>
      <c r="G203" s="632" t="e">
        <f>VLOOKUP(34,C50:I139,5,FALSE)</f>
        <v>#N/A</v>
      </c>
      <c r="H203" s="633" t="e">
        <f>VLOOKUP(34,C50:I139,7,FALSE)</f>
        <v>#N/A</v>
      </c>
      <c r="I203" s="633" t="e">
        <f t="shared" si="21"/>
        <v>#N/A</v>
      </c>
      <c r="J203" s="38">
        <f t="shared" si="20"/>
        <v>34</v>
      </c>
    </row>
    <row r="204" spans="4:10" ht="15" customHeight="1" thickTop="1" thickBot="1">
      <c r="D204" s="631"/>
      <c r="E204" s="631" t="e">
        <f>VLOOKUP(35,C51:I140,2,FALSE)</f>
        <v>#N/A</v>
      </c>
      <c r="F204" s="632" t="e">
        <f>VLOOKUP(35,C51:I140,3,FALSE)</f>
        <v>#N/A</v>
      </c>
      <c r="G204" s="632" t="e">
        <f>VLOOKUP(35,C51:I140,5,FALSE)</f>
        <v>#N/A</v>
      </c>
      <c r="H204" s="633" t="e">
        <f>VLOOKUP(35,C51:I140,7,FALSE)</f>
        <v>#N/A</v>
      </c>
      <c r="I204" s="633" t="e">
        <f t="shared" si="21"/>
        <v>#N/A</v>
      </c>
      <c r="J204" s="38">
        <f t="shared" si="20"/>
        <v>35</v>
      </c>
    </row>
    <row r="205" spans="4:10" ht="15" customHeight="1" thickTop="1" thickBot="1">
      <c r="D205" s="631"/>
      <c r="E205" s="631" t="e">
        <f>VLOOKUP(36,C52:I141,2,FALSE)</f>
        <v>#N/A</v>
      </c>
      <c r="F205" s="632" t="e">
        <f>VLOOKUP(36,C52:I141,3,FALSE)</f>
        <v>#N/A</v>
      </c>
      <c r="G205" s="632" t="e">
        <f>VLOOKUP(36,C52:I141,5,FALSE)</f>
        <v>#N/A</v>
      </c>
      <c r="H205" s="633" t="e">
        <f>VLOOKUP(36,C52:I141,7,FALSE)</f>
        <v>#N/A</v>
      </c>
      <c r="I205" s="633" t="e">
        <f t="shared" si="21"/>
        <v>#N/A</v>
      </c>
      <c r="J205" s="38">
        <f t="shared" si="20"/>
        <v>36</v>
      </c>
    </row>
    <row r="206" spans="4:10" ht="15" customHeight="1" thickTop="1" thickBot="1">
      <c r="D206" s="631"/>
      <c r="E206" s="631" t="e">
        <f>VLOOKUP(37,C52:I142,2,FALSE)</f>
        <v>#N/A</v>
      </c>
      <c r="F206" s="632" t="e">
        <f>VLOOKUP(37,C52:I142,3,FALSE)</f>
        <v>#N/A</v>
      </c>
      <c r="G206" s="632" t="e">
        <f>VLOOKUP(37,C52:I142,5,FALSE)</f>
        <v>#N/A</v>
      </c>
      <c r="H206" s="633" t="e">
        <f>VLOOKUP(37,C53:I142,7,FALSE)</f>
        <v>#N/A</v>
      </c>
      <c r="I206" s="633" t="e">
        <f t="shared" si="21"/>
        <v>#N/A</v>
      </c>
      <c r="J206" s="38">
        <f t="shared" si="20"/>
        <v>37</v>
      </c>
    </row>
    <row r="207" spans="4:10" ht="15" customHeight="1" thickTop="1" thickBot="1">
      <c r="D207" s="631"/>
      <c r="E207" s="631" t="e">
        <f>VLOOKUP(38,C52:I143,2,FALSE)</f>
        <v>#N/A</v>
      </c>
      <c r="F207" s="632" t="e">
        <f>VLOOKUP(38,C52:I143,3,FALSE)</f>
        <v>#N/A</v>
      </c>
      <c r="G207" s="632" t="e">
        <f>VLOOKUP(38,C52:I143,5,FALSE)</f>
        <v>#N/A</v>
      </c>
      <c r="H207" s="633" t="e">
        <f>VLOOKUP(38,C54:I143,7,FALSE)</f>
        <v>#N/A</v>
      </c>
      <c r="I207" s="633" t="e">
        <f t="shared" si="21"/>
        <v>#N/A</v>
      </c>
      <c r="J207" s="38">
        <f t="shared" si="20"/>
        <v>38</v>
      </c>
    </row>
    <row r="208" spans="4:10" ht="15" customHeight="1" thickTop="1" thickBot="1">
      <c r="D208" s="631"/>
      <c r="E208" s="631" t="e">
        <f>VLOOKUP(39,C52:I144,2,FALSE)</f>
        <v>#N/A</v>
      </c>
      <c r="F208" s="632" t="e">
        <f>VLOOKUP(39,C52:I144,3,FALSE)</f>
        <v>#N/A</v>
      </c>
      <c r="G208" s="632" t="e">
        <f>VLOOKUP(39,C52:I144,5,FALSE)</f>
        <v>#N/A</v>
      </c>
      <c r="H208" s="633" t="e">
        <f>VLOOKUP(39,C55:I144,7,FALSE)</f>
        <v>#N/A</v>
      </c>
      <c r="I208" s="633" t="e">
        <f t="shared" si="21"/>
        <v>#N/A</v>
      </c>
      <c r="J208" s="38">
        <f t="shared" si="20"/>
        <v>39</v>
      </c>
    </row>
    <row r="209" spans="4:10" ht="15" customHeight="1" thickTop="1" thickBot="1">
      <c r="D209" s="631"/>
      <c r="E209" s="631" t="e">
        <f>VLOOKUP(40,C52:I145,2,FALSE)</f>
        <v>#N/A</v>
      </c>
      <c r="F209" s="632" t="e">
        <f>VLOOKUP(40,C52:I145,3,FALSE)</f>
        <v>#N/A</v>
      </c>
      <c r="G209" s="632" t="e">
        <f>VLOOKUP(40,C52:I145,5,FALSE)</f>
        <v>#N/A</v>
      </c>
      <c r="H209" s="633" t="e">
        <f>VLOOKUP(40,C56:I145,7,FALSE)</f>
        <v>#N/A</v>
      </c>
      <c r="I209" s="633" t="e">
        <f t="shared" si="21"/>
        <v>#N/A</v>
      </c>
      <c r="J209" s="38">
        <f t="shared" si="20"/>
        <v>40</v>
      </c>
    </row>
    <row r="210" spans="4:10" ht="15" customHeight="1" thickTop="1" thickBot="1">
      <c r="D210" s="631"/>
      <c r="E210" s="631" t="e">
        <f>VLOOKUP(41,C57:I146,2,FALSE)</f>
        <v>#N/A</v>
      </c>
      <c r="F210" s="632" t="e">
        <f>VLOOKUP(41,C57:I146,3,FALSE)</f>
        <v>#N/A</v>
      </c>
      <c r="G210" s="632" t="e">
        <f>VLOOKUP(41,C52:I146,5,FALSE)</f>
        <v>#N/A</v>
      </c>
      <c r="H210" s="633" t="e">
        <f>VLOOKUP(41,C57:I146,7,FALSE)</f>
        <v>#N/A</v>
      </c>
      <c r="I210" s="633" t="e">
        <f t="shared" si="21"/>
        <v>#N/A</v>
      </c>
      <c r="J210" s="38">
        <f t="shared" si="20"/>
        <v>41</v>
      </c>
    </row>
    <row r="211" spans="4:10" ht="15" customHeight="1" thickTop="1" thickBot="1">
      <c r="D211" s="631"/>
      <c r="E211" s="631" t="e">
        <f>VLOOKUP(42,C58:I147,2,FALSE)</f>
        <v>#N/A</v>
      </c>
      <c r="F211" s="632" t="e">
        <f>VLOOKUP(42,C58:I147,3,FALSE)</f>
        <v>#N/A</v>
      </c>
      <c r="G211" s="632" t="e">
        <f>VLOOKUP(42,C53:I147,5,FALSE)</f>
        <v>#N/A</v>
      </c>
      <c r="H211" s="633" t="e">
        <f>VLOOKUP(42,C58:I147,7,FALSE)</f>
        <v>#N/A</v>
      </c>
      <c r="I211" s="633" t="e">
        <f t="shared" si="21"/>
        <v>#N/A</v>
      </c>
      <c r="J211" s="38">
        <f t="shared" si="20"/>
        <v>42</v>
      </c>
    </row>
    <row r="212" spans="4:10" ht="15" customHeight="1" thickTop="1" thickBot="1">
      <c r="D212" s="631"/>
      <c r="E212" s="631" t="e">
        <f>VLOOKUP(43,C59:I148,2,FALSE)</f>
        <v>#N/A</v>
      </c>
      <c r="F212" s="632" t="e">
        <f>VLOOKUP(43,C59:I148,3,FALSE)</f>
        <v>#N/A</v>
      </c>
      <c r="G212" s="632" t="e">
        <f>VLOOKUP(43,C54:I148,5,FALSE)</f>
        <v>#N/A</v>
      </c>
      <c r="H212" s="633" t="e">
        <f>VLOOKUP(43,C59:I148,7,FALSE)</f>
        <v>#N/A</v>
      </c>
      <c r="I212" s="633" t="e">
        <f t="shared" si="21"/>
        <v>#N/A</v>
      </c>
      <c r="J212" s="38">
        <f t="shared" si="20"/>
        <v>43</v>
      </c>
    </row>
    <row r="213" spans="4:10" ht="15" customHeight="1" thickTop="1" thickBot="1">
      <c r="D213" s="631"/>
      <c r="E213" s="631" t="e">
        <f>VLOOKUP(44,C60:I149,2,FALSE)</f>
        <v>#N/A</v>
      </c>
      <c r="F213" s="632" t="e">
        <f>VLOOKUP(44,C60:I149,3,FALSE)</f>
        <v>#N/A</v>
      </c>
      <c r="G213" s="632" t="e">
        <f>VLOOKUP(44,C55:I149,5,FALSE)</f>
        <v>#N/A</v>
      </c>
      <c r="H213" s="633" t="e">
        <f>VLOOKUP(44,C60:I149,7,FALSE)</f>
        <v>#N/A</v>
      </c>
      <c r="I213" s="633" t="e">
        <f t="shared" si="21"/>
        <v>#N/A</v>
      </c>
      <c r="J213" s="38">
        <f t="shared" si="20"/>
        <v>44</v>
      </c>
    </row>
    <row r="214" spans="4:10" ht="15" customHeight="1" thickTop="1" thickBot="1">
      <c r="D214" s="631"/>
      <c r="E214" s="631" t="e">
        <f>VLOOKUP(45,C61:I150,2,FALSE)</f>
        <v>#N/A</v>
      </c>
      <c r="F214" s="632" t="e">
        <f>VLOOKUP(45,C61:I150,3,FALSE)</f>
        <v>#N/A</v>
      </c>
      <c r="G214" s="632" t="e">
        <f>VLOOKUP(45,C56:I150,5,FALSE)</f>
        <v>#N/A</v>
      </c>
      <c r="H214" s="633" t="e">
        <f>VLOOKUP(45,C61:I150,7,FALSE)</f>
        <v>#N/A</v>
      </c>
      <c r="I214" s="633" t="e">
        <f t="shared" si="21"/>
        <v>#N/A</v>
      </c>
      <c r="J214" s="38">
        <f t="shared" si="20"/>
        <v>45</v>
      </c>
    </row>
    <row r="215" spans="4:10" ht="15" customHeight="1" thickTop="1" thickBot="1">
      <c r="D215" s="631"/>
      <c r="E215" s="631" t="e">
        <f>VLOOKUP(46,C62:I151,2,FALSE)</f>
        <v>#N/A</v>
      </c>
      <c r="F215" s="632" t="e">
        <f>VLOOKUP(46,C62:I151,3,FALSE)</f>
        <v>#N/A</v>
      </c>
      <c r="G215" s="632" t="e">
        <f>VLOOKUP(46,C57:I151,5,FALSE)</f>
        <v>#N/A</v>
      </c>
      <c r="H215" s="633" t="e">
        <f>VLOOKUP(46,C62:I151,7,FALSE)</f>
        <v>#N/A</v>
      </c>
      <c r="I215" s="633" t="e">
        <f t="shared" si="21"/>
        <v>#N/A</v>
      </c>
      <c r="J215" s="38">
        <f t="shared" si="20"/>
        <v>46</v>
      </c>
    </row>
    <row r="216" spans="4:10" ht="15" customHeight="1" thickTop="1" thickBot="1">
      <c r="D216" s="631"/>
      <c r="E216" s="631" t="e">
        <f>VLOOKUP(47,C63:I152,2,FALSE)</f>
        <v>#N/A</v>
      </c>
      <c r="F216" s="632" t="e">
        <f>VLOOKUP(47,C63:I152,3,FALSE)</f>
        <v>#N/A</v>
      </c>
      <c r="G216" s="632" t="e">
        <f>VLOOKUP(47,C58:I152,5,FALSE)</f>
        <v>#N/A</v>
      </c>
      <c r="H216" s="633" t="e">
        <f>VLOOKUP(47,C63:I152,7,FALSE)</f>
        <v>#N/A</v>
      </c>
      <c r="I216" s="633" t="e">
        <f t="shared" si="21"/>
        <v>#N/A</v>
      </c>
      <c r="J216" s="38">
        <f t="shared" si="20"/>
        <v>47</v>
      </c>
    </row>
    <row r="217" spans="4:10" ht="15" customHeight="1" thickTop="1" thickBot="1">
      <c r="D217" s="631"/>
      <c r="E217" s="631" t="e">
        <f>VLOOKUP(48,C64:I153,2,FALSE)</f>
        <v>#N/A</v>
      </c>
      <c r="F217" s="632" t="e">
        <f>VLOOKUP(48,C64:I153,3,FALSE)</f>
        <v>#N/A</v>
      </c>
      <c r="G217" s="632" t="e">
        <f>VLOOKUP(48,C59:I153,5,FALSE)</f>
        <v>#N/A</v>
      </c>
      <c r="H217" s="633" t="e">
        <f>VLOOKUP(48,C64:I153,7,FALSE)</f>
        <v>#N/A</v>
      </c>
      <c r="I217" s="633" t="e">
        <f t="shared" si="21"/>
        <v>#N/A</v>
      </c>
      <c r="J217" s="38">
        <f t="shared" si="20"/>
        <v>48</v>
      </c>
    </row>
    <row r="218" spans="4:10" ht="15" customHeight="1" thickTop="1" thickBot="1">
      <c r="D218" s="631"/>
      <c r="E218" s="631" t="e">
        <f>VLOOKUP(49,C65:I154,2,FALSE)</f>
        <v>#N/A</v>
      </c>
      <c r="F218" s="632" t="e">
        <f>VLOOKUP(49,C65:I154,3,FALSE)</f>
        <v>#N/A</v>
      </c>
      <c r="G218" s="632" t="e">
        <f>VLOOKUP(49,C60:I154,5,FALSE)</f>
        <v>#N/A</v>
      </c>
      <c r="H218" s="633" t="e">
        <f>VLOOKUP(49,C65:I154,7,FALSE)</f>
        <v>#N/A</v>
      </c>
      <c r="I218" s="633" t="e">
        <f t="shared" si="21"/>
        <v>#N/A</v>
      </c>
      <c r="J218" s="38">
        <f t="shared" si="20"/>
        <v>49</v>
      </c>
    </row>
    <row r="219" spans="4:10" ht="15" customHeight="1" thickTop="1" thickBot="1">
      <c r="D219" s="631"/>
      <c r="E219" s="631" t="e">
        <f>VLOOKUP(50,C66:I155,2,FALSE)</f>
        <v>#N/A</v>
      </c>
      <c r="F219" s="632" t="e">
        <f>VLOOKUP(50,C66:I155,3,FALSE)</f>
        <v>#N/A</v>
      </c>
      <c r="G219" s="632" t="e">
        <f>VLOOKUP(50,C61:I155,5,FALSE)</f>
        <v>#N/A</v>
      </c>
      <c r="H219" s="633" t="e">
        <f>VLOOKUP(50,C66:I155,7,FALSE)</f>
        <v>#N/A</v>
      </c>
      <c r="I219" s="633" t="e">
        <f t="shared" si="21"/>
        <v>#N/A</v>
      </c>
      <c r="J219" s="38">
        <f t="shared" si="20"/>
        <v>50</v>
      </c>
    </row>
    <row r="220" spans="4:10" ht="15" customHeight="1" thickTop="1" thickBot="1">
      <c r="D220" s="631"/>
      <c r="E220" s="631" t="e">
        <f>VLOOKUP(51,C67:I156,2,FALSE)</f>
        <v>#N/A</v>
      </c>
      <c r="F220" s="632" t="e">
        <f>VLOOKUP(51,C67:I156,3,FALSE)</f>
        <v>#N/A</v>
      </c>
      <c r="G220" s="632" t="e">
        <f>VLOOKUP(51,C62:I156,5,FALSE)</f>
        <v>#N/A</v>
      </c>
      <c r="H220" s="633" t="e">
        <f>VLOOKUP(51,C67:I156,7,FALSE)</f>
        <v>#N/A</v>
      </c>
      <c r="I220" s="633" t="e">
        <f t="shared" si="21"/>
        <v>#N/A</v>
      </c>
      <c r="J220" s="38">
        <f t="shared" si="20"/>
        <v>51</v>
      </c>
    </row>
    <row r="221" spans="4:10" ht="15" customHeight="1" thickTop="1" thickBot="1">
      <c r="D221" s="631"/>
      <c r="E221" s="631" t="e">
        <f>VLOOKUP(52,C68:I157,2,FALSE)</f>
        <v>#N/A</v>
      </c>
      <c r="F221" s="632" t="e">
        <f>VLOOKUP(52,C68:I157,3,FALSE)</f>
        <v>#N/A</v>
      </c>
      <c r="G221" s="632" t="e">
        <f>VLOOKUP(52,C63:I157,5,FALSE)</f>
        <v>#N/A</v>
      </c>
      <c r="H221" s="633" t="e">
        <f>VLOOKUP(52,C68:I157,7,FALSE)</f>
        <v>#N/A</v>
      </c>
      <c r="I221" s="633" t="e">
        <f t="shared" si="21"/>
        <v>#N/A</v>
      </c>
      <c r="J221" s="38">
        <f t="shared" si="20"/>
        <v>52</v>
      </c>
    </row>
    <row r="222" spans="4:10" ht="15" customHeight="1" thickTop="1" thickBot="1">
      <c r="D222" s="631"/>
      <c r="E222" s="631" t="e">
        <f>VLOOKUP(53,C69:I158,2,FALSE)</f>
        <v>#N/A</v>
      </c>
      <c r="F222" s="632" t="e">
        <f>VLOOKUP(53,C69:I158,3,FALSE)</f>
        <v>#N/A</v>
      </c>
      <c r="G222" s="632" t="e">
        <f>VLOOKUP(53,C64:I158,5,FALSE)</f>
        <v>#N/A</v>
      </c>
      <c r="H222" s="633" t="e">
        <f>VLOOKUP(53,C69:I158,7,FALSE)</f>
        <v>#N/A</v>
      </c>
      <c r="I222" s="633" t="e">
        <f t="shared" si="21"/>
        <v>#N/A</v>
      </c>
      <c r="J222" s="38">
        <f t="shared" si="20"/>
        <v>53</v>
      </c>
    </row>
    <row r="223" spans="4:10" ht="15" customHeight="1" thickTop="1" thickBot="1">
      <c r="D223" s="631"/>
      <c r="E223" s="631" t="e">
        <f>VLOOKUP(54,C70:I159,2,FALSE)</f>
        <v>#N/A</v>
      </c>
      <c r="F223" s="632" t="e">
        <f>VLOOKUP(54,C70:I159,3,FALSE)</f>
        <v>#N/A</v>
      </c>
      <c r="G223" s="632" t="e">
        <f>VLOOKUP(54,C65:I159,5,FALSE)</f>
        <v>#N/A</v>
      </c>
      <c r="H223" s="633" t="e">
        <f>VLOOKUP(54,C70:I159,7,FALSE)</f>
        <v>#N/A</v>
      </c>
      <c r="I223" s="633" t="e">
        <f t="shared" si="21"/>
        <v>#N/A</v>
      </c>
      <c r="J223" s="38">
        <f t="shared" si="20"/>
        <v>54</v>
      </c>
    </row>
    <row r="224" spans="4:10" ht="15" customHeight="1" thickTop="1" thickBot="1">
      <c r="D224" s="631"/>
      <c r="E224" s="631" t="e">
        <f>VLOOKUP(55,C71:I160,2,FALSE)</f>
        <v>#N/A</v>
      </c>
      <c r="F224" s="632" t="e">
        <f>VLOOKUP(55,C71:I160,3,FALSE)</f>
        <v>#N/A</v>
      </c>
      <c r="G224" s="632" t="e">
        <f>VLOOKUP(55,C66:I160,5,FALSE)</f>
        <v>#N/A</v>
      </c>
      <c r="H224" s="633" t="e">
        <f>VLOOKUP(55,C71:I160,7,FALSE)</f>
        <v>#N/A</v>
      </c>
      <c r="I224" s="633" t="e">
        <f t="shared" si="21"/>
        <v>#N/A</v>
      </c>
      <c r="J224" s="38">
        <f t="shared" si="20"/>
        <v>55</v>
      </c>
    </row>
    <row r="225" spans="4:10" ht="15" customHeight="1" thickTop="1" thickBot="1">
      <c r="D225" s="634"/>
      <c r="E225" s="634" t="e">
        <f>VLOOKUP(56,C73:I162,2,FALSE)</f>
        <v>#N/A</v>
      </c>
      <c r="F225" s="635" t="e">
        <f>VLOOKUP(56,C73:I162,3,FALSE)</f>
        <v>#N/A</v>
      </c>
      <c r="G225" s="632" t="e">
        <f>VLOOKUP(56,C67:I161,5,FALSE)</f>
        <v>#N/A</v>
      </c>
      <c r="H225" s="636" t="e">
        <f>VLOOKUP(56,C73:I161,7,FALSE)</f>
        <v>#N/A</v>
      </c>
      <c r="I225" s="633" t="e">
        <f>VLOOKUP(56,C73:J162,8,FALSE)</f>
        <v>#N/A</v>
      </c>
      <c r="J225" s="38">
        <f t="shared" si="20"/>
        <v>56</v>
      </c>
    </row>
    <row r="226" spans="4:10" ht="15" customHeight="1" thickTop="1" thickBot="1">
      <c r="D226" s="631"/>
      <c r="E226" s="631" t="e">
        <f>VLOOKUP(57,C73:I162,2,FALSE)</f>
        <v>#N/A</v>
      </c>
      <c r="F226" s="632" t="e">
        <f>VLOOKUP(57,C73:I162,3,FALSE)</f>
        <v>#N/A</v>
      </c>
      <c r="G226" s="632" t="e">
        <f>VLOOKUP(57,C68:I162,5,FALSE)</f>
        <v>#N/A</v>
      </c>
      <c r="H226" s="633" t="e">
        <f>VLOOKUP(57,C73:I162,7,FALSE)</f>
        <v>#N/A</v>
      </c>
      <c r="I226" s="633" t="e">
        <f>VLOOKUP(57,C73:J162,8,FALSE)</f>
        <v>#N/A</v>
      </c>
      <c r="J226" s="38">
        <f t="shared" si="20"/>
        <v>57</v>
      </c>
    </row>
    <row r="227" spans="4:10" ht="15" customHeight="1" thickTop="1" thickBot="1">
      <c r="D227" s="631"/>
      <c r="E227" s="631" t="e">
        <f>VLOOKUP(58,C74:I163,2,FALSE)</f>
        <v>#N/A</v>
      </c>
      <c r="F227" s="632" t="e">
        <f>VLOOKUP(58,C74:I163,3,FALSE)</f>
        <v>#N/A</v>
      </c>
      <c r="G227" s="632" t="e">
        <f>VLOOKUP(58,C69:I163,5,FALSE)</f>
        <v>#N/A</v>
      </c>
      <c r="H227" s="633" t="e">
        <f>VLOOKUP(58,C74:I163,7,FALSE)</f>
        <v>#N/A</v>
      </c>
      <c r="I227" s="633" t="e">
        <f>VLOOKUP(58,C74:J163,8,FALSE)</f>
        <v>#N/A</v>
      </c>
      <c r="J227" s="38">
        <f t="shared" si="20"/>
        <v>58</v>
      </c>
    </row>
    <row r="228" spans="4:10" ht="15" customHeight="1" thickTop="1" thickBot="1">
      <c r="D228" s="631"/>
      <c r="E228" s="631" t="e">
        <f>VLOOKUP(59,C75:I164,2,FALSE)</f>
        <v>#N/A</v>
      </c>
      <c r="F228" s="632" t="e">
        <f>VLOOKUP(59,C75:I164,3,FALSE)</f>
        <v>#N/A</v>
      </c>
      <c r="G228" s="632" t="e">
        <f>VLOOKUP(59,C70:I164,5,FALSE)</f>
        <v>#N/A</v>
      </c>
      <c r="H228" s="633" t="e">
        <f>VLOOKUP(59,C75:I164,7,FALSE)</f>
        <v>#N/A</v>
      </c>
      <c r="I228" s="633" t="e">
        <f>VLOOKUP(59,C75:J164,8,FALSE)</f>
        <v>#N/A</v>
      </c>
      <c r="J228" s="38">
        <f t="shared" si="20"/>
        <v>59</v>
      </c>
    </row>
    <row r="229" spans="4:10" ht="15" customHeight="1" thickTop="1" thickBot="1">
      <c r="D229" s="631"/>
      <c r="E229" s="631" t="str">
        <f>VLOOKUP(60,C76:I165,2,FALSE)</f>
        <v xml:space="preserve"> </v>
      </c>
      <c r="F229" s="632">
        <f>VLOOKUP(60,C76:I165,3,FALSE)</f>
        <v>0</v>
      </c>
      <c r="G229" s="632">
        <f>VLOOKUP(60,C71:I165,5,FALSE)</f>
        <v>0</v>
      </c>
      <c r="H229" s="633" t="e">
        <f>VLOOKUP(60,C76:I165,7,FALSE)</f>
        <v>#DIV/0!</v>
      </c>
      <c r="I229" s="633">
        <f>VLOOKUP(60,C76:J165,8,FALSE)</f>
        <v>0</v>
      </c>
      <c r="J229" s="38">
        <f t="shared" si="20"/>
        <v>60</v>
      </c>
    </row>
    <row r="230" spans="4:10" ht="15" customHeight="1" thickTop="1">
      <c r="J230" s="38">
        <f t="shared" si="20"/>
        <v>61</v>
      </c>
    </row>
    <row r="318" spans="28:28" ht="15" customHeight="1">
      <c r="AB318" s="1">
        <v>0</v>
      </c>
    </row>
  </sheetData>
  <sheetProtection password="EF73" sheet="1" objects="1" scenarios="1"/>
  <protectedRanges>
    <protectedRange sqref="AF20:AF21" name="Range14"/>
    <protectedRange sqref="AF23" name="Range13"/>
    <protectedRange sqref="AF23" name="Range6_1"/>
    <protectedRange sqref="AF20:AF21" name="Range5_2"/>
    <protectedRange sqref="P18:P30" name="Range7"/>
    <protectedRange sqref="Q18:Q75" name="Range5"/>
    <protectedRange sqref="P31 P33" name="Range4"/>
    <protectedRange sqref="X2" name="Range3"/>
    <protectedRange sqref="H3" name="Range1"/>
    <protectedRange sqref="P31:P34" name="Range10"/>
    <protectedRange sqref="P18:P30" name="Range11"/>
    <protectedRange sqref="P18:P30" name="Range12"/>
    <protectedRange sqref="Q18:Q75" name="Range9"/>
  </protectedRanges>
  <customSheetViews>
    <customSheetView guid="{D786A5C0-FBC0-4F24-9F75-D436CA99DC6C}" scale="80" showGridLines="0" zeroValues="0" fitToPage="1" hiddenRows="1" hiddenColumns="1" topLeftCell="K1">
      <selection activeCell="O21" sqref="O21"/>
      <pageMargins left="0.25" right="0.25" top="0.75" bottom="0.75" header="0.3" footer="0.3"/>
      <pageSetup scale="53" fitToHeight="0" orientation="landscape" r:id="rId1"/>
    </customSheetView>
  </customSheetViews>
  <mergeCells count="5">
    <mergeCell ref="R2:R3"/>
    <mergeCell ref="S2:T3"/>
    <mergeCell ref="V3:V4"/>
    <mergeCell ref="T78:U78"/>
    <mergeCell ref="AE2:AF3"/>
  </mergeCells>
  <dataValidations count="6">
    <dataValidation type="decimal" allowBlank="1" showInputMessage="1" showErrorMessage="1" errorTitle="الوصية" error="تجاوزت التركة الحد المسموح" promptTitle="ضع الوصية فى الخلية" prompt="عدد كسرى  1/4-1/5-1/6" sqref="P33 P31">
      <formula1>0</formula1>
      <formula2>99/100</formula2>
    </dataValidation>
    <dataValidation type="decimal" allowBlank="1" showErrorMessage="1" errorTitle="ضع عدد الورثـــــــــــة 1--  " error=" تجاوز الحد المسموح يؤدى الى عدم ظهور الرقم فى الخلايا" promptTitle="عدد الورثــــــــــــــــــــــة" prompt="تجاوز عدد الورثة الحد المسموح يؤدى الى عدم ضهور العدد فى الخلية" sqref="P21">
      <formula1>0</formula1>
      <formula2>1</formula2>
    </dataValidation>
    <dataValidation type="decimal" allowBlank="1" showErrorMessage="1" errorTitle="ضع عدد الورثـــــــــــة 1--12" error=" تجاوز الحد المسموح يؤدى الى عدم ظهور الرقم فى الخلايا" promptTitle="عدد الورثــــــــــــــــــــــة" prompt="تجاوز عدد الورثة الحد المسموح يؤدى الى عدم ضهور العدد فى الخلية" sqref="P18:P20 P23:P30">
      <formula1>0</formula1>
      <formula2>12</formula2>
    </dataValidation>
    <dataValidation type="decimal" allowBlank="1" showInputMessage="1" showErrorMessage="1" errorTitle="الوصيــــة النقدية" error="أدخل قيمة الوصية" sqref="AF20">
      <formula1>0</formula1>
      <formula2>10000000000000000</formula2>
    </dataValidation>
    <dataValidation type="decimal" allowBlank="1" showInputMessage="1" showErrorMessage="1" errorTitle="الديون" error="أدخل الديون المستحقة عن المتوفى" sqref="AF21">
      <formula1>0</formula1>
      <formula2>10000000000000000</formula2>
    </dataValidation>
    <dataValidation type="decimal" allowBlank="1" showInputMessage="1" showErrorMessage="1" errorTitle="التركة" error="أدخل قيمة التركة" sqref="AF23">
      <formula1>0</formula1>
      <formula2>1000000000000000</formula2>
    </dataValidation>
  </dataValidations>
  <pageMargins left="0.25" right="0.25" top="0.75" bottom="0.75" header="0.3" footer="0.3"/>
  <pageSetup scale="53" fitToHeight="0" orientation="landscape" r:id="rId2"/>
  <ignoredErrors>
    <ignoredError sqref="U18:U75" formula="1"/>
  </ignoredErrors>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7030A0"/>
  </sheetPr>
  <dimension ref="A1:DD374"/>
  <sheetViews>
    <sheetView showGridLines="0" showZeros="0" rightToLeft="1" topLeftCell="AT1" zoomScale="70" zoomScaleNormal="70" workbookViewId="0">
      <selection activeCell="AZ1" sqref="AZ1:BA1048576"/>
    </sheetView>
  </sheetViews>
  <sheetFormatPr defaultColWidth="9" defaultRowHeight="60.75" customHeight="1"/>
  <cols>
    <col min="1" max="12" width="26.875" hidden="1" customWidth="1"/>
    <col min="13" max="13" width="51.5" hidden="1" customWidth="1"/>
    <col min="14" max="15" width="26.875" hidden="1" customWidth="1"/>
    <col min="16" max="24" width="26.875" style="19" hidden="1" customWidth="1"/>
    <col min="25" max="39" width="26.875" hidden="1" customWidth="1"/>
    <col min="40" max="40" width="26.875" style="240" hidden="1" customWidth="1"/>
    <col min="41" max="45" width="26.875" hidden="1" customWidth="1"/>
    <col min="46" max="46" width="3.875" customWidth="1"/>
    <col min="47" max="47" width="16.125" customWidth="1"/>
    <col min="48" max="48" width="50.5" customWidth="1"/>
    <col min="49" max="49" width="46" customWidth="1"/>
    <col min="50" max="50" width="22.625" customWidth="1"/>
    <col min="51" max="51" width="2.5" customWidth="1"/>
    <col min="52" max="53" width="26.875" hidden="1" customWidth="1"/>
    <col min="54" max="54" width="24.25" customWidth="1"/>
    <col min="55" max="55" width="22.375" customWidth="1"/>
    <col min="56" max="59" width="26.875" customWidth="1"/>
  </cols>
  <sheetData>
    <row r="1" spans="2:108" ht="34.5" customHeight="1" thickBot="1"/>
    <row r="2" spans="2:108" ht="76.5" customHeight="1" thickTop="1" thickBot="1">
      <c r="AN2"/>
      <c r="AU2" s="984" t="str">
        <f>'أدخال البيانات'!E6</f>
        <v>ترد على</v>
      </c>
      <c r="AV2" s="983">
        <f>'أدخال البيانات'!L6</f>
        <v>0</v>
      </c>
      <c r="AW2" s="981" t="str">
        <f>'أدخال البيانات'!R6</f>
        <v>أدخل البيانات فى خانة عدد الورثة رجاءا</v>
      </c>
      <c r="AX2" s="1027">
        <f>'أدخال البيانات'!R8</f>
        <v>0</v>
      </c>
      <c r="AY2" s="1030"/>
      <c r="BB2" s="1243" t="str">
        <f>'أدخال البيانات'!$E$24</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BC2" s="1244"/>
      <c r="BD2" s="1245"/>
      <c r="BE2" s="1019"/>
      <c r="BF2" s="1020"/>
    </row>
    <row r="3" spans="2:108" ht="37.5" customHeight="1" thickTop="1" thickBot="1">
      <c r="AN3"/>
      <c r="AV3" s="982" t="s">
        <v>824</v>
      </c>
      <c r="AW3" s="968" t="s">
        <v>825</v>
      </c>
      <c r="AX3" s="1028" t="s">
        <v>823</v>
      </c>
      <c r="AY3" s="1031"/>
      <c r="AZ3">
        <f>'أدخال البيانات'!V6</f>
        <v>0</v>
      </c>
      <c r="BA3">
        <f>'أدخال البيانات'!K6</f>
        <v>0</v>
      </c>
      <c r="BC3">
        <f>'أدخال البيانات'!M6</f>
        <v>0</v>
      </c>
    </row>
    <row r="4" spans="2:108" ht="90" customHeight="1" thickTop="1" thickBot="1">
      <c r="M4" s="7">
        <v>0.5</v>
      </c>
      <c r="N4" s="7">
        <v>0.25</v>
      </c>
      <c r="O4" s="7">
        <v>0.125</v>
      </c>
      <c r="P4" s="18">
        <v>0.66666666666666663</v>
      </c>
      <c r="Q4" s="18"/>
      <c r="R4" s="18"/>
      <c r="S4" s="18"/>
      <c r="T4" s="18">
        <v>0.33333333333333331</v>
      </c>
      <c r="U4" s="18"/>
      <c r="V4" s="18"/>
      <c r="W4" s="18"/>
      <c r="X4" s="18"/>
      <c r="Y4" s="7">
        <v>0.16666666666666666</v>
      </c>
      <c r="Z4" s="11"/>
      <c r="AN4"/>
      <c r="AV4" s="969">
        <f t="shared" ref="AV4:AV18" si="0">IFERROR(VLOOKUP(K9, L9:AO141,2,FALSE),0)</f>
        <v>0</v>
      </c>
      <c r="AW4" s="970">
        <f t="shared" ref="AW4:AW18" si="1">IFERROR(VLOOKUP(K9, L9:AO141,3,FALSE),0)</f>
        <v>0</v>
      </c>
      <c r="AX4" s="1029">
        <f t="shared" ref="AX4:AX18" si="2">IFERROR(IF(BA9&lt;0,0,BA9),0)</f>
        <v>0</v>
      </c>
      <c r="AY4" s="1032"/>
      <c r="AZ4">
        <f>'أدخال البيانات'!V7</f>
        <v>0</v>
      </c>
      <c r="BB4" s="1240" t="str">
        <f>'أدخال البيانات'!$O$21</f>
        <v>ـــ عند مالك والشافعي ذوو الفروض يأخذون فروضهم والباقي لبيت المال المنتظم، وإذا لم يوجد بيت مال منتظم فترد على ذوي الفروض.</v>
      </c>
      <c r="BC4" s="1241"/>
      <c r="BD4" s="1242"/>
    </row>
    <row r="5" spans="2:108" ht="91.5" customHeight="1" thickTop="1" thickBot="1">
      <c r="D5" s="2" t="s">
        <v>69</v>
      </c>
      <c r="E5" s="3">
        <v>1</v>
      </c>
      <c r="AN5"/>
      <c r="AT5" s="976" t="s">
        <v>114</v>
      </c>
      <c r="AU5" s="977"/>
      <c r="AV5" s="969">
        <f t="shared" si="0"/>
        <v>0</v>
      </c>
      <c r="AW5" s="971">
        <f t="shared" si="1"/>
        <v>0</v>
      </c>
      <c r="AX5" s="1029">
        <f t="shared" si="2"/>
        <v>0</v>
      </c>
      <c r="AY5" s="1032"/>
      <c r="AZ5">
        <f>'أدخال البيانات'!V8</f>
        <v>0</v>
      </c>
      <c r="BB5" s="980"/>
      <c r="BC5" s="980"/>
    </row>
    <row r="6" spans="2:108" ht="69.75" customHeight="1" thickTop="1" thickBot="1">
      <c r="D6" s="3"/>
      <c r="E6" s="3"/>
      <c r="H6" s="264">
        <f>$T$130</f>
        <v>0</v>
      </c>
      <c r="I6" s="264"/>
      <c r="J6" s="264"/>
      <c r="K6" s="264"/>
      <c r="L6" s="264"/>
      <c r="M6" t="s">
        <v>69</v>
      </c>
      <c r="AA6" s="9" t="s">
        <v>113</v>
      </c>
      <c r="AN6"/>
      <c r="AT6" s="1253" t="s">
        <v>114</v>
      </c>
      <c r="AU6" s="1255"/>
      <c r="AV6" s="969">
        <f t="shared" si="0"/>
        <v>0</v>
      </c>
      <c r="AW6" s="971">
        <f t="shared" si="1"/>
        <v>0</v>
      </c>
      <c r="AX6" s="1029">
        <f t="shared" si="2"/>
        <v>0</v>
      </c>
      <c r="AY6" s="1032"/>
      <c r="BA6" t="b">
        <f>AND('أدخال البيانات'!M11=0,'أدخال البيانات'!F12&gt;0,'أدخال البيانات'!M17&gt;0)</f>
        <v>0</v>
      </c>
      <c r="BB6" s="1256" t="str">
        <f>IF(BA6=TRUE,"الحنابلة  لايرون أن ا لأب والجد يحجبون  الجدات المدليات بهما",BA8)</f>
        <v xml:space="preserve">  قول الله تعالى : ( للرجال نصيب مما تـرك الوالدان والأقربون وللنساء نصـيب مما تـرك الوالدان والأقربون مما قـل منه أو كثر نصيبا مفروضا وإذا حضر القسمة أولوا القربى واليتامى والمساكين فارزقوهم منه وقولوا لهم قولا معروفا ) سورة النساء آية : 7-8 .</v>
      </c>
      <c r="BC6" s="1257"/>
      <c r="CB6" s="198" t="b">
        <f>AND(R133*2+R134+R135*2+R136&lt;2)</f>
        <v>1</v>
      </c>
      <c r="CC6" s="167" t="b">
        <f>IF('أدخال البيانات'!AS10&gt;=0,TRUE,CB6)</f>
        <v>1</v>
      </c>
      <c r="CD6" s="167" t="b">
        <f>IF( 'أدخال البيانات'!F14*2+'أدخال البيانات'!F15*2+'أدخال البيانات'!M12+'أدخال البيانات'!M13&gt;3,TRUE,FALSE)</f>
        <v>0</v>
      </c>
      <c r="CE6" s="176"/>
      <c r="CF6" s="212" t="s">
        <v>114</v>
      </c>
      <c r="CG6" s="176" t="b">
        <f>AND(TRUE,'أدخال البيانات'!F14=0,'أدخال البيانات'!F13&gt;0,'أدخال البيانات'!F9+'أدخال البيانات'!F10+'أدخال البيانات'!F12+'أدخال البيانات'!M9+'أدخال البيانات'!M10=0)</f>
        <v>0</v>
      </c>
      <c r="CH6" s="176"/>
      <c r="CI6" s="176"/>
      <c r="CJ6" s="176"/>
      <c r="CK6" s="214">
        <f>(Sheet5!F162*((CH6+CI6)*(CG6)))</f>
        <v>0</v>
      </c>
      <c r="CL6" s="176"/>
      <c r="CM6" s="176"/>
      <c r="CN6" s="179" t="e">
        <f>(U135*(Sheet5!F41-Z138)/(U135+U136))*IF(CS6=FALSE,0,1)</f>
        <v>#DIV/0!</v>
      </c>
      <c r="CO6" s="179" t="e">
        <f>(U136*(Sheet5!F41-Z138)/(U135+U136))*IF(CS6=FALSE,0,1)</f>
        <v>#DIV/0!</v>
      </c>
      <c r="CP6" s="179"/>
      <c r="CQ6" s="179">
        <f>IF('أدخال البيانات'!F9+'أدخال البيانات'!F10+'أدخال البيانات'!F12+'أدخال البيانات'!M9+'أدخال البيانات'!M10+'أدخال البيانات'!F11+Q56=0,1,0)</f>
        <v>1</v>
      </c>
      <c r="CR6" s="179">
        <f>IF(AC129=TRUE,1,0)*CQ6</f>
        <v>0</v>
      </c>
      <c r="CS6" s="179" t="b">
        <f>AND(R133=0,Q134=1)</f>
        <v>0</v>
      </c>
      <c r="CT6" s="179"/>
      <c r="CU6" s="185" t="e">
        <f>#REF!+AF136</f>
        <v>#REF!</v>
      </c>
      <c r="CV6" s="179"/>
      <c r="CW6" s="179"/>
      <c r="CX6" s="179"/>
      <c r="CY6" s="179"/>
      <c r="CZ6" s="179"/>
      <c r="DA6" s="179"/>
      <c r="DB6" s="179"/>
      <c r="DC6" s="179"/>
      <c r="DD6" s="168" t="str">
        <f>IF(CD6=TRUE,"حقق الشرط","لايورث")</f>
        <v>لايورث</v>
      </c>
    </row>
    <row r="7" spans="2:108" ht="69.75" customHeight="1" thickTop="1" thickBot="1">
      <c r="C7" s="4" t="s">
        <v>17</v>
      </c>
      <c r="D7" s="4" t="s">
        <v>2</v>
      </c>
      <c r="E7" s="4" t="s">
        <v>3</v>
      </c>
      <c r="F7" s="257" t="s">
        <v>568</v>
      </c>
      <c r="G7" s="300"/>
      <c r="M7" s="30"/>
      <c r="O7" s="30"/>
      <c r="P7" s="263">
        <f>Sheet5!A38</f>
        <v>0.5</v>
      </c>
      <c r="Q7" s="20" t="s">
        <v>123</v>
      </c>
      <c r="V7" s="19">
        <f>IF(O43=TRUE,P43,0)</f>
        <v>0</v>
      </c>
      <c r="W7" s="19">
        <f>IF('أدخال البيانات'!AS9+Sheet5!M11&gt;=1,1/6,0)*IF(O129=TRUE,1,0)</f>
        <v>0</v>
      </c>
      <c r="AI7" s="238" t="s">
        <v>155</v>
      </c>
      <c r="AJ7" s="239"/>
      <c r="AK7" s="239"/>
      <c r="AM7" s="254"/>
      <c r="AN7" s="254"/>
      <c r="AO7" s="258"/>
      <c r="AP7" s="255"/>
      <c r="AQ7" s="37">
        <f>Sheet5!$K$17</f>
        <v>0</v>
      </c>
      <c r="AT7" s="976" t="s">
        <v>114</v>
      </c>
      <c r="AU7" s="977"/>
      <c r="AV7" s="969">
        <f t="shared" si="0"/>
        <v>0</v>
      </c>
      <c r="AW7" s="971">
        <f t="shared" si="1"/>
        <v>0</v>
      </c>
      <c r="AX7" s="1029">
        <f t="shared" si="2"/>
        <v>0</v>
      </c>
      <c r="AY7" s="1032"/>
      <c r="BA7" s="1081" t="str">
        <f>'أدخال البيانات'!$R$11</f>
        <v xml:space="preserve">  قول الله تعالى : ( للرجال نصيب مما تـرك الوالدان والأقربون وللنساء نصـيب مما تـرك الوالدان والأقربون مما قـل منه أو كثر نصيبا مفروضا وإذا حضر القسمة أولوا القربى واليتامى والمساكين فارزقوهم منه وقولوا لهم قولا معروفا ) سورة النساء آية : 7-8 .</v>
      </c>
      <c r="BB7" s="1258"/>
      <c r="BC7" s="1259"/>
    </row>
    <row r="8" spans="2:108" ht="67.5" customHeight="1" thickTop="1" thickBot="1">
      <c r="B8" s="1232" t="s">
        <v>18</v>
      </c>
      <c r="C8" s="5">
        <v>1</v>
      </c>
      <c r="D8" s="2" t="s">
        <v>188</v>
      </c>
      <c r="E8" s="12">
        <f>'أدخال البيانات'!F9</f>
        <v>0</v>
      </c>
      <c r="H8" s="159"/>
      <c r="I8" s="159"/>
      <c r="J8" s="159"/>
      <c r="K8" s="159"/>
      <c r="L8" s="159"/>
      <c r="M8" s="401" t="s">
        <v>542</v>
      </c>
      <c r="N8" s="402" t="s">
        <v>137</v>
      </c>
      <c r="O8" s="241"/>
      <c r="P8" s="241">
        <f>Sheet5!A37</f>
        <v>1</v>
      </c>
      <c r="Q8" s="241" t="s">
        <v>124</v>
      </c>
      <c r="R8" s="241"/>
      <c r="S8" s="241"/>
      <c r="T8" s="241"/>
      <c r="U8" s="241"/>
      <c r="V8" s="241"/>
      <c r="W8" s="241"/>
      <c r="X8" s="241" t="s">
        <v>540</v>
      </c>
      <c r="Y8" s="241"/>
      <c r="Z8" s="241"/>
      <c r="AA8" s="241"/>
      <c r="AB8" s="241"/>
      <c r="AC8" s="241"/>
      <c r="AD8" s="241"/>
      <c r="AE8" s="241"/>
      <c r="AF8" s="241"/>
      <c r="AG8" s="241" t="e">
        <f>#REF!</f>
        <v>#REF!</v>
      </c>
      <c r="AH8" s="241"/>
      <c r="AI8" s="241"/>
      <c r="AJ8" s="241"/>
      <c r="AK8" s="241"/>
      <c r="AL8" s="241"/>
      <c r="AN8" s="242" t="s">
        <v>2</v>
      </c>
      <c r="AO8" s="403" t="s">
        <v>543</v>
      </c>
      <c r="AQ8" s="253">
        <f>AC21</f>
        <v>0</v>
      </c>
      <c r="AT8" s="1253" t="s">
        <v>114</v>
      </c>
      <c r="AU8" s="1254"/>
      <c r="AV8" s="969">
        <f t="shared" si="0"/>
        <v>0</v>
      </c>
      <c r="AW8" s="971">
        <f t="shared" si="1"/>
        <v>0</v>
      </c>
      <c r="AX8" s="1029">
        <f t="shared" si="2"/>
        <v>0</v>
      </c>
      <c r="AY8" s="1032"/>
      <c r="BA8" s="1081" t="str">
        <f>IF(AV13="الأخوة لأم  فى مسألة المشتركة","الأحناف والحنابلة لا يشركون الأخوة الأشقاء فى ثلث أخوة الأم",BA7)</f>
        <v xml:space="preserve">  قول الله تعالى : ( للرجال نصيب مما تـرك الوالدان والأقربون وللنساء نصـيب مما تـرك الوالدان والأقربون مما قـل منه أو كثر نصيبا مفروضا وإذا حضر القسمة أولوا القربى واليتامى والمساكين فارزقوهم منه وقولوا لهم قولا معروفا ) سورة النساء آية : 7-8 .</v>
      </c>
      <c r="CE8">
        <f>'أدخال البيانات'!O6</f>
        <v>1</v>
      </c>
    </row>
    <row r="9" spans="2:108" ht="67.5" customHeight="1" thickTop="1" thickBot="1">
      <c r="B9" s="1233"/>
      <c r="C9" s="5">
        <v>2</v>
      </c>
      <c r="D9" s="2" t="s">
        <v>6</v>
      </c>
      <c r="E9" s="12">
        <f>'أدخال البيانات'!F10</f>
        <v>0</v>
      </c>
      <c r="H9" s="160"/>
      <c r="J9" s="310">
        <f>IF(AO9="حقق الشرط",1,0)</f>
        <v>0</v>
      </c>
      <c r="K9" s="310">
        <v>1</v>
      </c>
      <c r="L9" s="310">
        <f>SUM(J8:J9)</f>
        <v>0</v>
      </c>
      <c r="M9" s="173" t="s">
        <v>31</v>
      </c>
      <c r="N9" s="175"/>
      <c r="O9" s="175"/>
      <c r="P9" s="176"/>
      <c r="Q9" s="177"/>
      <c r="R9" s="176"/>
      <c r="S9" s="178">
        <f>IF(N10=TRUE,O10,0)</f>
        <v>0</v>
      </c>
      <c r="AC9" s="165"/>
      <c r="AD9" s="165"/>
      <c r="AE9" s="1248" t="s">
        <v>115</v>
      </c>
      <c r="AF9" s="1248"/>
      <c r="AG9" s="166">
        <f>AA18</f>
        <v>0</v>
      </c>
      <c r="AH9" s="179"/>
      <c r="AI9" s="179"/>
      <c r="AJ9" s="179"/>
      <c r="AK9" s="179"/>
      <c r="AL9" s="179"/>
      <c r="AM9" s="179"/>
      <c r="AN9" s="179"/>
      <c r="AO9" s="168" t="str">
        <f>IF(AP9=TRUE,"حقق الشرط","")</f>
        <v/>
      </c>
      <c r="AP9" t="b">
        <f>OR(O10,O11,O12,O13)</f>
        <v>0</v>
      </c>
      <c r="AT9" s="976"/>
      <c r="AU9" s="977"/>
      <c r="AV9" s="969">
        <f t="shared" si="0"/>
        <v>0</v>
      </c>
      <c r="AW9" s="971">
        <f t="shared" si="1"/>
        <v>0</v>
      </c>
      <c r="AX9" s="1029">
        <f t="shared" si="2"/>
        <v>0</v>
      </c>
      <c r="AY9" s="1032"/>
      <c r="AZ9" s="853" t="e">
        <f t="shared" ref="AZ9:AZ23" si="3">VLOOKUP(K9, L9:AO141,10,FALSE)</f>
        <v>#N/A</v>
      </c>
      <c r="BA9" s="849" t="e">
        <f t="shared" ref="BA9:BA26" si="4">VLOOKUP(K9, L9:AO141,5,FALSE)</f>
        <v>#N/A</v>
      </c>
      <c r="BB9" s="1249" t="str">
        <f>'أدخال البيانات'!$L$21</f>
        <v>الفرع الوارث الأبناء والبنات وأن سفلو والأصل الوارث الأب والجد وأن علو</v>
      </c>
      <c r="BC9" s="1250"/>
      <c r="CE9" t="b">
        <f>ISNUMBER(CE8)</f>
        <v>1</v>
      </c>
    </row>
    <row r="10" spans="2:108" ht="67.5" customHeight="1" thickTop="1" thickBot="1">
      <c r="B10" s="1233"/>
      <c r="C10" s="5">
        <v>3</v>
      </c>
      <c r="D10" s="2" t="s">
        <v>143</v>
      </c>
      <c r="E10" s="12">
        <f>'أدخال البيانات'!F12</f>
        <v>0</v>
      </c>
      <c r="H10" s="160">
        <v>1</v>
      </c>
      <c r="J10" s="310">
        <f t="shared" ref="J10:J73" si="5">IF(AO10="حقق الشرط",1,0)</f>
        <v>0</v>
      </c>
      <c r="K10" s="160">
        <f>K9+1</f>
        <v>2</v>
      </c>
      <c r="L10" s="310">
        <f>SUM(J8:J10)</f>
        <v>0</v>
      </c>
      <c r="M10" s="174" t="s">
        <v>32</v>
      </c>
      <c r="N10" s="175" t="s">
        <v>33</v>
      </c>
      <c r="O10" s="175" t="b">
        <f>AND('أدخال البيانات'!الأبناء__ذكور&gt;0,1=1,'شرح الحالة'!E21=0,'شرح الحالة'!E23=0,'شرح الحالة'!E25=0,'شرح الحالة'!E31=0,1=1,'شرح الحالة'!E10=0,'شرح الحالة'!E11=0,1=1,'أدخال البيانات'!AJ3=0)</f>
        <v>0</v>
      </c>
      <c r="P10" s="180">
        <v>1</v>
      </c>
      <c r="Q10" s="180">
        <f>IF(O10=TRUE,R10,0)</f>
        <v>0</v>
      </c>
      <c r="R10" s="181">
        <f>'شرح الحالة'!E8</f>
        <v>0</v>
      </c>
      <c r="S10" s="182">
        <f t="shared" ref="S10:S15" si="6">IF(O10=TRUE,P10,0)</f>
        <v>0</v>
      </c>
      <c r="T10" s="183">
        <v>0</v>
      </c>
      <c r="U10" s="183">
        <f>IF(R10*Q10=0,0,V10+W10)</f>
        <v>0</v>
      </c>
      <c r="V10" s="183">
        <f>(Sheet5!F41*((S10+T10)))</f>
        <v>0</v>
      </c>
      <c r="W10" s="184" t="e">
        <f>Sheet5!G41*((S10+T10)/(R10))</f>
        <v>#DIV/0!</v>
      </c>
      <c r="X10" s="1235">
        <f>MAX(U10:U13)</f>
        <v>0</v>
      </c>
      <c r="Y10" s="165">
        <v>0.25</v>
      </c>
      <c r="Z10" s="165">
        <f>IF(AA10&gt;0,AA10,1)</f>
        <v>1</v>
      </c>
      <c r="AA10" s="167">
        <f>COUNTIF(T10:T129,1/4)</f>
        <v>0</v>
      </c>
      <c r="AB10" s="165">
        <f>AA10*Y10</f>
        <v>0</v>
      </c>
      <c r="AC10" s="185">
        <f>IF(AA10=0,0,Y10)/Z10</f>
        <v>0</v>
      </c>
      <c r="AD10" s="171"/>
      <c r="AE10" s="186"/>
      <c r="AF10" s="186"/>
      <c r="AG10" s="179"/>
      <c r="AH10" s="179"/>
      <c r="AI10" s="179"/>
      <c r="AJ10" s="179"/>
      <c r="AK10" s="179"/>
      <c r="AL10" s="179"/>
      <c r="AM10" s="179"/>
      <c r="AN10" s="179" t="str">
        <f>IF(AO10="حقق الشرط",AP10,"")</f>
        <v/>
      </c>
      <c r="AO10" s="168" t="str">
        <f>IF(O10=TRUE,"حقق الشرط","لايورث")</f>
        <v>لايورث</v>
      </c>
      <c r="AP10" t="str">
        <f>$AP$13</f>
        <v>حالات الأبن</v>
      </c>
      <c r="AT10" s="976" t="s">
        <v>114</v>
      </c>
      <c r="AU10" s="977"/>
      <c r="AV10" s="969">
        <f t="shared" si="0"/>
        <v>0</v>
      </c>
      <c r="AW10" s="971">
        <f t="shared" si="1"/>
        <v>0</v>
      </c>
      <c r="AX10" s="1029">
        <f t="shared" si="2"/>
        <v>0</v>
      </c>
      <c r="AY10" s="1032"/>
      <c r="AZ10" s="854" t="e">
        <f t="shared" si="3"/>
        <v>#N/A</v>
      </c>
      <c r="BA10" s="850" t="e">
        <f t="shared" si="4"/>
        <v>#N/A</v>
      </c>
      <c r="CB10">
        <f t="shared" ref="CB10:CB41" si="7">IF(O10=TRUE,P10,0)</f>
        <v>0</v>
      </c>
      <c r="CF10">
        <f>MAX(CB10:CB13)</f>
        <v>0</v>
      </c>
    </row>
    <row r="11" spans="2:108" ht="67.5" customHeight="1" thickTop="1" thickBot="1">
      <c r="B11" s="1233"/>
      <c r="C11" s="5">
        <v>4</v>
      </c>
      <c r="D11" s="2" t="s">
        <v>7</v>
      </c>
      <c r="E11" s="12">
        <f>'أدخال البيانات'!F13</f>
        <v>0</v>
      </c>
      <c r="H11" s="161">
        <v>2</v>
      </c>
      <c r="J11" s="310">
        <f t="shared" si="5"/>
        <v>0</v>
      </c>
      <c r="K11" s="160">
        <f t="shared" ref="K11:K74" si="8">K10+1</f>
        <v>3</v>
      </c>
      <c r="L11" s="310">
        <f>SUM(J8:J11)</f>
        <v>0</v>
      </c>
      <c r="M11" s="174" t="s">
        <v>34</v>
      </c>
      <c r="N11" s="175" t="s">
        <v>35</v>
      </c>
      <c r="O11" s="175" t="b">
        <f>AND('شرح الحالة'!E8+'شرح الحالة'!E23&gt;1,'شرح الحالة'!E10=0,'شرح الحالة'!E11=0,'شرح الحالة'!E21=0,'شرح الحالة'!E21=0,'شرح الحالة'!E25=0,'شرح الحالة'!E31=0,'شرح الحالة'!E8&gt;0,'أدخال البيانات'!AJ3=0,O10=FALSE)</f>
        <v>0</v>
      </c>
      <c r="P11" s="180">
        <f>P8</f>
        <v>1</v>
      </c>
      <c r="Q11" s="180">
        <f t="shared" ref="Q11:Q72" si="9">IF(O11=TRUE,R11,0)</f>
        <v>0</v>
      </c>
      <c r="R11" s="181">
        <f>'شرح الحالة'!E8</f>
        <v>0</v>
      </c>
      <c r="S11" s="182">
        <f t="shared" si="6"/>
        <v>0</v>
      </c>
      <c r="T11" s="183">
        <v>0</v>
      </c>
      <c r="U11" s="183">
        <f t="shared" ref="U11:U74" si="10">IF(R11*Q11=0,0,V11+W11)</f>
        <v>0</v>
      </c>
      <c r="V11" s="183">
        <f>(Sheet5!F41*((S11+T11)*(R11)))</f>
        <v>0</v>
      </c>
      <c r="W11" s="184" t="e">
        <f>Sheet5!G42*((S11+T11)/(R11))</f>
        <v>#DIV/0!</v>
      </c>
      <c r="X11" s="1235"/>
      <c r="Y11" s="165">
        <v>0.5</v>
      </c>
      <c r="Z11" s="165">
        <f t="shared" ref="Z11:Z16" si="11">IF(AA11&gt;0,AA11,1)</f>
        <v>1</v>
      </c>
      <c r="AA11" s="167">
        <f>COUNTIF(T10:T129,1/2)</f>
        <v>0</v>
      </c>
      <c r="AB11" s="165">
        <f t="shared" ref="AB11:AB16" si="12">AA11*Y11</f>
        <v>0</v>
      </c>
      <c r="AC11" s="185">
        <f>IF(AA11=0,0,Y11)</f>
        <v>0</v>
      </c>
      <c r="AD11" s="171"/>
      <c r="AE11" s="186"/>
      <c r="AF11" s="186"/>
      <c r="AG11" s="179"/>
      <c r="AH11" s="179"/>
      <c r="AI11" s="179"/>
      <c r="AJ11" s="179"/>
      <c r="AK11" s="179"/>
      <c r="AL11" s="179"/>
      <c r="AM11" s="179"/>
      <c r="AN11" s="179" t="str">
        <f>IF(AO11="حقق الشرط",AP11,"")</f>
        <v/>
      </c>
      <c r="AO11" s="168" t="str">
        <f t="shared" ref="AO11:AO73" si="13">IF(O11=TRUE,"حقق الشرط","لايورث")</f>
        <v>لايورث</v>
      </c>
      <c r="AP11" t="str">
        <f>$AP$13</f>
        <v>حالات الأبن</v>
      </c>
      <c r="AT11" s="1253" t="s">
        <v>114</v>
      </c>
      <c r="AU11" s="1254"/>
      <c r="AV11" s="969">
        <f t="shared" si="0"/>
        <v>0</v>
      </c>
      <c r="AW11" s="971">
        <f t="shared" si="1"/>
        <v>0</v>
      </c>
      <c r="AX11" s="1029">
        <f t="shared" si="2"/>
        <v>0</v>
      </c>
      <c r="AY11" s="1032"/>
      <c r="AZ11" s="853" t="e">
        <f t="shared" si="3"/>
        <v>#N/A</v>
      </c>
      <c r="BA11" s="978" t="e">
        <f t="shared" si="4"/>
        <v>#N/A</v>
      </c>
      <c r="BB11" s="1251" t="str">
        <f>'أدخال البيانات'!$L$23</f>
        <v>فريضة ناقصة:الفريضة أقل من عدد الحصص فترد باقى الحصص على سهام الفريضة بأستتناء الزوج و الزوجة فلا يرد عليهم</v>
      </c>
      <c r="BC11" s="1252"/>
      <c r="CB11">
        <f t="shared" si="7"/>
        <v>0</v>
      </c>
    </row>
    <row r="12" spans="2:108" ht="67.5" customHeight="1" thickTop="1" thickBot="1">
      <c r="B12" s="1233"/>
      <c r="C12" s="5">
        <v>5</v>
      </c>
      <c r="D12" s="2" t="s">
        <v>196</v>
      </c>
      <c r="E12" s="12">
        <f>'أدخال البيانات'!F14</f>
        <v>0</v>
      </c>
      <c r="H12" s="160">
        <v>3</v>
      </c>
      <c r="J12" s="310">
        <f t="shared" si="5"/>
        <v>0</v>
      </c>
      <c r="K12" s="160">
        <f t="shared" si="8"/>
        <v>4</v>
      </c>
      <c r="L12" s="310">
        <f>SUM(J8:J12)</f>
        <v>0</v>
      </c>
      <c r="M12" s="174" t="s">
        <v>36</v>
      </c>
      <c r="N12" s="175" t="s">
        <v>37</v>
      </c>
      <c r="O12" s="175" t="b">
        <f>AND('أدخال البيانات'!M11+'أدخال البيانات'!F12+'أدخال البيانات'!F13+'أدخال البيانات'!F22+'أدخال البيانات'!M18+'أدخال البيانات'!F12+'أدخال البيانات'!M16+'أدخال البيانات'!M17&gt;0,'شرح الحالة'!E8=1,'شرح الحالة'!E23=0)</f>
        <v>0</v>
      </c>
      <c r="P12" s="180">
        <f>P8</f>
        <v>1</v>
      </c>
      <c r="Q12" s="180">
        <f t="shared" si="9"/>
        <v>0</v>
      </c>
      <c r="R12" s="187">
        <f>'شرح الحالة'!E8</f>
        <v>0</v>
      </c>
      <c r="S12" s="182">
        <f t="shared" si="6"/>
        <v>0</v>
      </c>
      <c r="T12" s="183">
        <v>0</v>
      </c>
      <c r="U12" s="183">
        <f t="shared" si="10"/>
        <v>0</v>
      </c>
      <c r="V12" s="183">
        <f>(Sheet5!F42*((S12+T12)*(R12)))</f>
        <v>0</v>
      </c>
      <c r="W12" s="184" t="e">
        <f>Sheet5!G43*((S12+T12)/(R12))</f>
        <v>#DIV/0!</v>
      </c>
      <c r="X12" s="1235"/>
      <c r="Y12" s="165">
        <v>0.33333333333333331</v>
      </c>
      <c r="Z12" s="165">
        <f t="shared" si="11"/>
        <v>1</v>
      </c>
      <c r="AA12" s="167">
        <f>COUNTIF(T10:T129,1/3)</f>
        <v>0</v>
      </c>
      <c r="AB12" s="165">
        <f>AA12*Y12</f>
        <v>0</v>
      </c>
      <c r="AC12" s="185">
        <f>IF(AA12=0,0,Y12)</f>
        <v>0</v>
      </c>
      <c r="AD12" s="171"/>
      <c r="AE12" s="186"/>
      <c r="AF12" s="186"/>
      <c r="AG12" s="179"/>
      <c r="AH12" s="179"/>
      <c r="AI12" s="179"/>
      <c r="AJ12" s="179"/>
      <c r="AK12" s="179"/>
      <c r="AL12" s="179"/>
      <c r="AM12" s="179"/>
      <c r="AN12" s="179" t="str">
        <f>IF(AO12="حقق الشرط",AP12,"")</f>
        <v/>
      </c>
      <c r="AO12" s="168" t="str">
        <f t="shared" si="13"/>
        <v>لايورث</v>
      </c>
      <c r="AP12" t="str">
        <f>$AP$13</f>
        <v>حالات الأبن</v>
      </c>
      <c r="AU12" s="445"/>
      <c r="AV12" s="969">
        <f t="shared" si="0"/>
        <v>0</v>
      </c>
      <c r="AW12" s="971">
        <f t="shared" si="1"/>
        <v>0</v>
      </c>
      <c r="AX12" s="1029">
        <f t="shared" si="2"/>
        <v>0</v>
      </c>
      <c r="AY12" s="1032"/>
      <c r="AZ12" s="855" t="e">
        <f t="shared" si="3"/>
        <v>#N/A</v>
      </c>
      <c r="BA12" s="850" t="e">
        <f t="shared" si="4"/>
        <v>#N/A</v>
      </c>
      <c r="BB12" s="1195"/>
      <c r="BC12" s="1197"/>
      <c r="CB12">
        <f t="shared" si="7"/>
        <v>0</v>
      </c>
    </row>
    <row r="13" spans="2:108" ht="67.5" customHeight="1" thickTop="1" thickBot="1">
      <c r="B13" s="1233"/>
      <c r="C13" s="5">
        <v>6</v>
      </c>
      <c r="D13" s="2" t="s">
        <v>197</v>
      </c>
      <c r="E13" s="12">
        <f>'أدخال البيانات'!F15</f>
        <v>0</v>
      </c>
      <c r="H13" s="160">
        <v>4</v>
      </c>
      <c r="J13" s="310">
        <f t="shared" si="5"/>
        <v>0</v>
      </c>
      <c r="K13" s="160">
        <f t="shared" si="8"/>
        <v>5</v>
      </c>
      <c r="L13" s="310">
        <f>SUM(J8:J13)</f>
        <v>0</v>
      </c>
      <c r="M13" s="174" t="s">
        <v>556</v>
      </c>
      <c r="N13" s="175" t="s">
        <v>555</v>
      </c>
      <c r="O13" s="175" t="b">
        <f>AND('شرح الحالة'!E8+'شرح الحالة'!E23&gt;1,'أدخال البيانات'!M9&gt;=0,'شرح الحالة'!E8&gt;0,O11=FALSE)</f>
        <v>0</v>
      </c>
      <c r="P13" s="180">
        <f>P8</f>
        <v>1</v>
      </c>
      <c r="Q13" s="180">
        <f t="shared" si="9"/>
        <v>0</v>
      </c>
      <c r="R13" s="187">
        <f>'شرح الحالة'!E8</f>
        <v>0</v>
      </c>
      <c r="S13" s="182">
        <f t="shared" si="6"/>
        <v>0</v>
      </c>
      <c r="T13" s="183">
        <v>0</v>
      </c>
      <c r="U13" s="183">
        <f t="shared" si="10"/>
        <v>0</v>
      </c>
      <c r="V13" s="183">
        <f>(Sheet5!F43*((S13+T13)*(R13)))</f>
        <v>0</v>
      </c>
      <c r="W13" s="184" t="e">
        <f>Sheet5!G44*((S13+T13)/(R13))</f>
        <v>#DIV/0!</v>
      </c>
      <c r="X13" s="1235"/>
      <c r="Y13" s="185">
        <v>0.66666666666666663</v>
      </c>
      <c r="Z13" s="165">
        <f t="shared" si="11"/>
        <v>1</v>
      </c>
      <c r="AA13" s="165">
        <f>COUNTIF(T10:T129,2/3)</f>
        <v>0</v>
      </c>
      <c r="AB13" s="165">
        <f>AA13*Y13</f>
        <v>0</v>
      </c>
      <c r="AC13" s="185">
        <f>IF(AA13=0,0,Y13)</f>
        <v>0</v>
      </c>
      <c r="AD13" s="171"/>
      <c r="AE13" s="186"/>
      <c r="AF13" s="186"/>
      <c r="AG13" s="179"/>
      <c r="AH13" s="179"/>
      <c r="AI13" s="179"/>
      <c r="AJ13" s="179"/>
      <c r="AK13" s="179"/>
      <c r="AL13" s="179"/>
      <c r="AM13" s="179"/>
      <c r="AN13" s="179" t="str">
        <f>IF(AO13="حقق الشرط",AP13,"")</f>
        <v/>
      </c>
      <c r="AO13" s="168" t="str">
        <f t="shared" si="13"/>
        <v>لايورث</v>
      </c>
      <c r="AP13" t="str">
        <f>M9</f>
        <v>حالات الأبن</v>
      </c>
      <c r="AU13" s="445"/>
      <c r="AV13" s="969">
        <f t="shared" si="0"/>
        <v>0</v>
      </c>
      <c r="AW13" s="971">
        <f t="shared" si="1"/>
        <v>0</v>
      </c>
      <c r="AX13" s="1029">
        <f t="shared" si="2"/>
        <v>0</v>
      </c>
      <c r="AY13" s="1032"/>
      <c r="AZ13" s="856" t="e">
        <f t="shared" si="3"/>
        <v>#N/A</v>
      </c>
      <c r="BA13" s="978" t="e">
        <f t="shared" si="4"/>
        <v>#N/A</v>
      </c>
      <c r="CB13">
        <f t="shared" si="7"/>
        <v>0</v>
      </c>
    </row>
    <row r="14" spans="2:108" ht="67.5" customHeight="1" thickTop="1" thickBot="1">
      <c r="B14" s="1233"/>
      <c r="C14" s="5">
        <v>7</v>
      </c>
      <c r="D14" s="2" t="s">
        <v>10</v>
      </c>
      <c r="E14" s="12">
        <f>'أدخال البيانات'!M15</f>
        <v>0</v>
      </c>
      <c r="H14" s="160"/>
      <c r="J14" s="310">
        <f t="shared" si="5"/>
        <v>0</v>
      </c>
      <c r="K14" s="160">
        <f t="shared" si="8"/>
        <v>6</v>
      </c>
      <c r="L14" s="310">
        <f>SUM(J8:J14)</f>
        <v>0</v>
      </c>
      <c r="M14" s="174"/>
      <c r="N14" s="175"/>
      <c r="O14" s="175"/>
      <c r="P14" s="180"/>
      <c r="Q14" s="180">
        <f t="shared" si="9"/>
        <v>0</v>
      </c>
      <c r="R14" s="187"/>
      <c r="S14" s="182">
        <f t="shared" si="6"/>
        <v>0</v>
      </c>
      <c r="T14" s="183">
        <v>0</v>
      </c>
      <c r="U14" s="183">
        <f t="shared" si="10"/>
        <v>0</v>
      </c>
      <c r="V14" s="183">
        <f>(Sheet5!F44*((S14+T14)*(R14)))</f>
        <v>0</v>
      </c>
      <c r="W14" s="184" t="e">
        <f>Sheet5!G45*((S14+T14)/(R14))</f>
        <v>#DIV/0!</v>
      </c>
      <c r="X14" s="188"/>
      <c r="Y14" s="165">
        <v>0.16666666666666666</v>
      </c>
      <c r="Z14" s="165">
        <f t="shared" si="11"/>
        <v>1</v>
      </c>
      <c r="AA14" s="167">
        <f>COUNTIF(T10:T129,1/6)</f>
        <v>0</v>
      </c>
      <c r="AB14" s="165">
        <f t="shared" si="12"/>
        <v>0</v>
      </c>
      <c r="AC14" s="185">
        <f>IF(AA14=0,0,Y14)</f>
        <v>0</v>
      </c>
      <c r="AD14" s="171"/>
      <c r="AE14" s="179"/>
      <c r="AF14" s="179"/>
      <c r="AG14" s="179"/>
      <c r="AH14" s="179"/>
      <c r="AI14" s="179"/>
      <c r="AJ14" s="179"/>
      <c r="AK14" s="179"/>
      <c r="AL14" s="179"/>
      <c r="AM14" s="179"/>
      <c r="AN14" s="179" t="str">
        <f t="shared" ref="AN14:AN77" si="14">IF(AO14="حقق الشرط",AP14,"")</f>
        <v/>
      </c>
      <c r="AO14" s="168" t="str">
        <f t="shared" si="13"/>
        <v>لايورث</v>
      </c>
      <c r="AP14" t="str">
        <f>M15</f>
        <v>حالات البنت</v>
      </c>
      <c r="AU14" s="445"/>
      <c r="AV14" s="969">
        <f t="shared" si="0"/>
        <v>0</v>
      </c>
      <c r="AW14" s="971">
        <f t="shared" si="1"/>
        <v>0</v>
      </c>
      <c r="AX14" s="1029">
        <f t="shared" si="2"/>
        <v>0</v>
      </c>
      <c r="AY14" s="1032"/>
      <c r="AZ14" s="857" t="e">
        <f t="shared" si="3"/>
        <v>#N/A</v>
      </c>
      <c r="BA14" s="979" t="e">
        <f t="shared" si="4"/>
        <v>#N/A</v>
      </c>
      <c r="CB14">
        <f t="shared" si="7"/>
        <v>0</v>
      </c>
    </row>
    <row r="15" spans="2:108" ht="67.5" customHeight="1" thickTop="1" thickBot="1">
      <c r="B15" s="1233"/>
      <c r="C15" s="5">
        <v>8</v>
      </c>
      <c r="D15" s="2" t="s">
        <v>187</v>
      </c>
      <c r="E15" s="12">
        <f>'أدخال البيانات'!F16</f>
        <v>0</v>
      </c>
      <c r="H15" s="160"/>
      <c r="J15" s="310">
        <f t="shared" si="5"/>
        <v>0</v>
      </c>
      <c r="K15" s="160">
        <f t="shared" si="8"/>
        <v>7</v>
      </c>
      <c r="L15" s="310">
        <f>SUM(J8:J15)</f>
        <v>0</v>
      </c>
      <c r="M15" s="189" t="s">
        <v>40</v>
      </c>
      <c r="N15" s="175"/>
      <c r="O15" s="175"/>
      <c r="P15" s="180"/>
      <c r="Q15" s="180">
        <f t="shared" si="9"/>
        <v>0</v>
      </c>
      <c r="R15" s="187"/>
      <c r="S15" s="182">
        <f t="shared" si="6"/>
        <v>0</v>
      </c>
      <c r="T15" s="183">
        <v>0</v>
      </c>
      <c r="U15" s="183">
        <f t="shared" si="10"/>
        <v>0</v>
      </c>
      <c r="V15" s="183">
        <f>(Sheet5!F45*((S15+T15)*(R15)))</f>
        <v>0</v>
      </c>
      <c r="W15" s="184" t="e">
        <f>Sheet5!G46*((S15+T15)/(R15))</f>
        <v>#DIV/0!</v>
      </c>
      <c r="X15" s="188"/>
      <c r="Y15" s="165">
        <v>8.3333333333333329E-2</v>
      </c>
      <c r="Z15" s="165">
        <f t="shared" si="11"/>
        <v>1</v>
      </c>
      <c r="AA15" s="167">
        <f>COUNTIF(T10:T129,1/12)</f>
        <v>0</v>
      </c>
      <c r="AB15" s="165">
        <f t="shared" si="12"/>
        <v>0</v>
      </c>
      <c r="AC15" s="185">
        <f>IF(AA15=0,0,Y15)</f>
        <v>0</v>
      </c>
      <c r="AD15" s="171"/>
      <c r="AE15" s="179"/>
      <c r="AF15" s="179"/>
      <c r="AG15" s="179"/>
      <c r="AH15" s="179"/>
      <c r="AI15" s="179"/>
      <c r="AJ15" s="179"/>
      <c r="AK15" s="179"/>
      <c r="AL15" s="179"/>
      <c r="AM15" s="179"/>
      <c r="AN15" s="179" t="s">
        <v>114</v>
      </c>
      <c r="AO15" s="168" t="str">
        <f>IF(AP15=TRUE,"حقق الشرط","")</f>
        <v/>
      </c>
      <c r="AP15" t="b">
        <f>OR(O16,O17,O18 )</f>
        <v>0</v>
      </c>
      <c r="AU15" s="445"/>
      <c r="AV15" s="969">
        <f t="shared" si="0"/>
        <v>0</v>
      </c>
      <c r="AW15" s="971">
        <f t="shared" si="1"/>
        <v>0</v>
      </c>
      <c r="AX15" s="1029">
        <f t="shared" si="2"/>
        <v>0</v>
      </c>
      <c r="AY15" s="1032"/>
      <c r="AZ15" s="856" t="e">
        <f t="shared" si="3"/>
        <v>#N/A</v>
      </c>
      <c r="BA15" s="851" t="e">
        <f t="shared" si="4"/>
        <v>#N/A</v>
      </c>
      <c r="CB15">
        <f t="shared" si="7"/>
        <v>0</v>
      </c>
    </row>
    <row r="16" spans="2:108" ht="67.5" customHeight="1" thickTop="1" thickBot="1">
      <c r="B16" s="1233"/>
      <c r="C16" s="5">
        <v>9</v>
      </c>
      <c r="D16" s="2" t="s">
        <v>189</v>
      </c>
      <c r="E16" s="12">
        <f>'أدخال البيانات'!F17</f>
        <v>0</v>
      </c>
      <c r="H16" s="160">
        <v>1</v>
      </c>
      <c r="J16" s="310">
        <f t="shared" si="5"/>
        <v>0</v>
      </c>
      <c r="K16" s="160">
        <f t="shared" si="8"/>
        <v>8</v>
      </c>
      <c r="L16" s="310">
        <f>SUM(J8:J16)</f>
        <v>0</v>
      </c>
      <c r="M16" s="174" t="s">
        <v>41</v>
      </c>
      <c r="N16" s="175" t="s">
        <v>44</v>
      </c>
      <c r="O16" s="175" t="b">
        <f>AND('شرح الحالة'!E8=0,'شرح الحالة'!E9&gt;=0,'شرح الحالة'!E23=1,'شرح الحالة'!E8=0)</f>
        <v>0</v>
      </c>
      <c r="P16" s="180">
        <f>0.5</f>
        <v>0.5</v>
      </c>
      <c r="Q16" s="180">
        <f t="shared" si="9"/>
        <v>0</v>
      </c>
      <c r="R16" s="187">
        <f>'شرح الحالة'!E23</f>
        <v>0</v>
      </c>
      <c r="S16" s="182">
        <v>0</v>
      </c>
      <c r="T16" s="183">
        <f>IF(O16=TRUE,P16,0)</f>
        <v>0</v>
      </c>
      <c r="U16" s="183">
        <f t="shared" si="10"/>
        <v>0</v>
      </c>
      <c r="V16" s="183">
        <f>(Sheet5!F46*((S16+T16)*(R16)))</f>
        <v>0</v>
      </c>
      <c r="W16" s="184" t="e">
        <f>Sheet5!G47*((S16+T16)/(R16))</f>
        <v>#DIV/0!</v>
      </c>
      <c r="X16" s="1235">
        <f>MAX(U16:U18)</f>
        <v>0</v>
      </c>
      <c r="Y16" s="165">
        <v>0.125</v>
      </c>
      <c r="Z16" s="165">
        <f t="shared" si="11"/>
        <v>1</v>
      </c>
      <c r="AA16" s="167">
        <f>COUNTIF(T10:T129,1/8)</f>
        <v>0</v>
      </c>
      <c r="AB16" s="165">
        <f t="shared" si="12"/>
        <v>0</v>
      </c>
      <c r="AC16" s="185">
        <f>IF(AA16=0,0,Y16)/Z16</f>
        <v>0</v>
      </c>
      <c r="AD16" s="171"/>
      <c r="AE16" s="179"/>
      <c r="AF16" s="179"/>
      <c r="AG16" s="179"/>
      <c r="AH16" s="179"/>
      <c r="AI16" s="179"/>
      <c r="AJ16" s="179"/>
      <c r="AK16" s="179"/>
      <c r="AL16" s="179"/>
      <c r="AM16" s="179"/>
      <c r="AN16" s="179" t="str">
        <f t="shared" si="14"/>
        <v/>
      </c>
      <c r="AO16" s="168" t="str">
        <f t="shared" si="13"/>
        <v>لايورث</v>
      </c>
      <c r="AP16" t="str">
        <f>$AP$14</f>
        <v>حالات البنت</v>
      </c>
      <c r="AU16" s="445"/>
      <c r="AV16" s="969">
        <f t="shared" si="0"/>
        <v>0</v>
      </c>
      <c r="AW16" s="971">
        <f t="shared" si="1"/>
        <v>0</v>
      </c>
      <c r="AX16" s="1029">
        <f t="shared" si="2"/>
        <v>0</v>
      </c>
      <c r="AY16" s="1032"/>
      <c r="AZ16" s="858" t="e">
        <f t="shared" si="3"/>
        <v>#N/A</v>
      </c>
      <c r="BA16" s="850" t="e">
        <f t="shared" si="4"/>
        <v>#N/A</v>
      </c>
      <c r="CB16">
        <f t="shared" si="7"/>
        <v>0</v>
      </c>
      <c r="CF16">
        <f>SUM(CB17+CB16)</f>
        <v>0</v>
      </c>
    </row>
    <row r="17" spans="1:85" ht="67.5" customHeight="1" thickTop="1" thickBot="1">
      <c r="A17" t="b">
        <f>OR(O21=TRUE,O22=TRUE,O25=TRUE,A18=TRUE)</f>
        <v>1</v>
      </c>
      <c r="B17" s="1233"/>
      <c r="C17" s="5">
        <v>10</v>
      </c>
      <c r="D17" s="2" t="s">
        <v>190</v>
      </c>
      <c r="E17" s="12">
        <f>'أدخال البيانات'!F18</f>
        <v>0</v>
      </c>
      <c r="H17" s="160">
        <v>2</v>
      </c>
      <c r="J17" s="310">
        <f t="shared" si="5"/>
        <v>0</v>
      </c>
      <c r="K17" s="160">
        <f t="shared" si="8"/>
        <v>9</v>
      </c>
      <c r="L17" s="310">
        <f>SUM(J8:J17)</f>
        <v>0</v>
      </c>
      <c r="M17" s="174" t="s">
        <v>42</v>
      </c>
      <c r="N17" s="175" t="s">
        <v>43</v>
      </c>
      <c r="O17" s="175" t="b">
        <f>AND('شرح الحالة'!E8=0,E9&gt;=0,'شرح الحالة'!E23&gt;1)</f>
        <v>0</v>
      </c>
      <c r="P17" s="180">
        <f>0.666666666666667</f>
        <v>0.66666666666666696</v>
      </c>
      <c r="Q17" s="180">
        <f t="shared" si="9"/>
        <v>0</v>
      </c>
      <c r="R17" s="190">
        <f>IF('أدخال البيانات'!M9&gt;=1,1,0)</f>
        <v>0</v>
      </c>
      <c r="S17" s="182">
        <v>0</v>
      </c>
      <c r="T17" s="183">
        <f>IF(O17=TRUE,P17,0)</f>
        <v>0</v>
      </c>
      <c r="U17" s="183">
        <f t="shared" si="10"/>
        <v>0</v>
      </c>
      <c r="V17" s="183">
        <f>(Sheet5!F47*((S17+T17)*(R17)))</f>
        <v>0</v>
      </c>
      <c r="W17" s="184" t="e">
        <f>Sheet5!G48*((S17+T17)/(R17))</f>
        <v>#DIV/0!</v>
      </c>
      <c r="X17" s="1235"/>
      <c r="Y17" s="179"/>
      <c r="Z17" s="179"/>
      <c r="AA17" s="179"/>
      <c r="AB17" s="179"/>
      <c r="AC17" s="185"/>
      <c r="AD17" s="171"/>
      <c r="AE17" s="179"/>
      <c r="AF17" s="179"/>
      <c r="AG17" s="179"/>
      <c r="AH17" s="179"/>
      <c r="AI17" s="179"/>
      <c r="AJ17" s="179"/>
      <c r="AK17" s="179"/>
      <c r="AL17" s="179"/>
      <c r="AM17" s="179"/>
      <c r="AN17" s="179" t="str">
        <f t="shared" si="14"/>
        <v/>
      </c>
      <c r="AO17" s="168" t="str">
        <f t="shared" si="13"/>
        <v>لايورث</v>
      </c>
      <c r="AP17" t="str">
        <f>$AP$14</f>
        <v>حالات البنت</v>
      </c>
      <c r="AU17" s="445"/>
      <c r="AV17" s="969">
        <f t="shared" si="0"/>
        <v>0</v>
      </c>
      <c r="AW17" s="971">
        <f t="shared" si="1"/>
        <v>0</v>
      </c>
      <c r="AX17" s="1029">
        <f t="shared" si="2"/>
        <v>0</v>
      </c>
      <c r="AY17" s="1032"/>
      <c r="AZ17" s="853" t="e">
        <f t="shared" si="3"/>
        <v>#N/A</v>
      </c>
      <c r="BA17" s="851" t="e">
        <f t="shared" si="4"/>
        <v>#N/A</v>
      </c>
      <c r="CB17">
        <f t="shared" si="7"/>
        <v>0</v>
      </c>
    </row>
    <row r="18" spans="1:85" ht="67.5" customHeight="1" thickTop="1" thickBot="1">
      <c r="A18" t="b">
        <f>OR('أدخال البيانات'!M9&gt;1,'أدخال البيانات'!M10&gt;0,'أدخال البيانات'!F9=0,'أدخال البيانات'!F10=0,'أدخال البيانات'!F11&gt;0)</f>
        <v>1</v>
      </c>
      <c r="B18" s="1233"/>
      <c r="C18" s="5">
        <v>11</v>
      </c>
      <c r="D18" s="2" t="s">
        <v>191</v>
      </c>
      <c r="E18" s="12">
        <f>'أدخال البيانات'!F19</f>
        <v>0</v>
      </c>
      <c r="H18" s="160">
        <v>3</v>
      </c>
      <c r="J18" s="310">
        <f t="shared" si="5"/>
        <v>0</v>
      </c>
      <c r="K18" s="160">
        <f t="shared" si="8"/>
        <v>10</v>
      </c>
      <c r="L18" s="310">
        <f>SUM(J8:J18)</f>
        <v>0</v>
      </c>
      <c r="M18" s="174" t="s">
        <v>549</v>
      </c>
      <c r="N18" s="175" t="s">
        <v>575</v>
      </c>
      <c r="O18" s="175" t="b">
        <f>AND('شرح الحالة'!E8&gt;0,'شرح الحالة'!E23&gt;0,'شرح الحالة'!E8&gt;=0)</f>
        <v>0</v>
      </c>
      <c r="P18" s="180">
        <f>P7</f>
        <v>0.5</v>
      </c>
      <c r="Q18" s="180">
        <f t="shared" si="9"/>
        <v>0</v>
      </c>
      <c r="R18" s="187">
        <f>'شرح الحالة'!E23</f>
        <v>0</v>
      </c>
      <c r="S18" s="182">
        <f>IF(O18=TRUE,P18,0)</f>
        <v>0</v>
      </c>
      <c r="T18" s="183">
        <v>0</v>
      </c>
      <c r="U18" s="183">
        <f t="shared" si="10"/>
        <v>0</v>
      </c>
      <c r="V18" s="183">
        <f>(Sheet5!F48*((S18+T18)*(R18)))</f>
        <v>0</v>
      </c>
      <c r="W18" s="184" t="e">
        <f>Sheet5!G49*((S18+T18)/(R18))</f>
        <v>#DIV/0!</v>
      </c>
      <c r="X18" s="1235"/>
      <c r="Y18" s="179"/>
      <c r="Z18" s="179"/>
      <c r="AA18" s="179"/>
      <c r="AB18" s="185"/>
      <c r="AC18" s="185"/>
      <c r="AD18" s="185"/>
      <c r="AE18" s="179"/>
      <c r="AF18" s="179"/>
      <c r="AG18" s="179"/>
      <c r="AH18" s="179"/>
      <c r="AI18" s="179"/>
      <c r="AJ18" s="179"/>
      <c r="AK18" s="179"/>
      <c r="AL18" s="179"/>
      <c r="AM18" s="179"/>
      <c r="AN18" s="179" t="str">
        <f t="shared" si="14"/>
        <v/>
      </c>
      <c r="AO18" s="168" t="str">
        <f t="shared" si="13"/>
        <v>لايورث</v>
      </c>
      <c r="AP18" t="str">
        <f>$AP$14</f>
        <v>حالات البنت</v>
      </c>
      <c r="AU18" s="445"/>
      <c r="AV18" s="969">
        <f t="shared" si="0"/>
        <v>0</v>
      </c>
      <c r="AW18" s="971">
        <f t="shared" si="1"/>
        <v>0</v>
      </c>
      <c r="AX18" s="1029">
        <f t="shared" si="2"/>
        <v>0</v>
      </c>
      <c r="AY18" s="1032"/>
      <c r="AZ18" s="858" t="e">
        <f t="shared" si="3"/>
        <v>#N/A</v>
      </c>
      <c r="BA18" s="850" t="e">
        <f t="shared" si="4"/>
        <v>#N/A</v>
      </c>
      <c r="CB18">
        <f t="shared" si="7"/>
        <v>0</v>
      </c>
    </row>
    <row r="19" spans="1:85" ht="79.5" customHeight="1" thickTop="1" thickBot="1">
      <c r="B19" s="1233"/>
      <c r="C19" s="5">
        <v>12</v>
      </c>
      <c r="D19" s="2" t="s">
        <v>195</v>
      </c>
      <c r="E19" s="12">
        <f>'أدخال البيانات'!F20</f>
        <v>0</v>
      </c>
      <c r="H19" s="160"/>
      <c r="J19" s="310">
        <f t="shared" si="5"/>
        <v>0</v>
      </c>
      <c r="K19" s="160">
        <f t="shared" si="8"/>
        <v>11</v>
      </c>
      <c r="L19" s="310">
        <f>SUM(J8:J19)</f>
        <v>0</v>
      </c>
      <c r="M19" s="174"/>
      <c r="N19" s="175"/>
      <c r="O19" s="175"/>
      <c r="P19" s="180"/>
      <c r="Q19" s="180"/>
      <c r="R19" s="187"/>
      <c r="S19" s="182"/>
      <c r="T19" s="183"/>
      <c r="U19" s="183">
        <f t="shared" si="10"/>
        <v>0</v>
      </c>
      <c r="V19" s="183">
        <f>(Sheet5!F49*((S19+T19)*(R19)))</f>
        <v>0</v>
      </c>
      <c r="W19" s="184" t="e">
        <f>Sheet5!G50*((S19+T19)/(R19))</f>
        <v>#DIV/0!</v>
      </c>
      <c r="X19" s="188">
        <f>Sheet5!$K$35</f>
        <v>1</v>
      </c>
      <c r="Y19" s="179"/>
      <c r="Z19" s="179"/>
      <c r="AA19" s="179"/>
      <c r="AB19" s="185"/>
      <c r="AC19" s="185"/>
      <c r="AD19" s="169"/>
      <c r="AE19" s="179"/>
      <c r="AF19" s="179"/>
      <c r="AG19" s="179"/>
      <c r="AH19" s="179"/>
      <c r="AI19" s="179"/>
      <c r="AJ19" s="179"/>
      <c r="AK19" s="179"/>
      <c r="AL19" s="179"/>
      <c r="AM19" s="179"/>
      <c r="AN19" s="179" t="str">
        <f t="shared" si="14"/>
        <v/>
      </c>
      <c r="AO19" s="168" t="str">
        <f t="shared" si="13"/>
        <v>لايورث</v>
      </c>
      <c r="AP19" t="str">
        <f>M20</f>
        <v>حالات بنت الأبن</v>
      </c>
      <c r="AU19" s="445"/>
      <c r="AZ19" s="858" t="e">
        <f t="shared" si="3"/>
        <v>#N/A</v>
      </c>
      <c r="BA19" s="850" t="e">
        <f t="shared" si="4"/>
        <v>#N/A</v>
      </c>
      <c r="CB19">
        <f t="shared" si="7"/>
        <v>0</v>
      </c>
    </row>
    <row r="20" spans="1:85" ht="71.25" hidden="1" customHeight="1" thickTop="1" thickBot="1">
      <c r="B20" s="1233"/>
      <c r="C20" s="5">
        <v>13</v>
      </c>
      <c r="D20" s="2" t="s">
        <v>192</v>
      </c>
      <c r="E20" s="12">
        <f>'أدخال البيانات'!F21</f>
        <v>0</v>
      </c>
      <c r="H20" s="160"/>
      <c r="J20" s="310">
        <f t="shared" si="5"/>
        <v>0</v>
      </c>
      <c r="K20" s="160">
        <f t="shared" si="8"/>
        <v>12</v>
      </c>
      <c r="L20" s="310">
        <f>SUM(J8:J20)</f>
        <v>0</v>
      </c>
      <c r="M20" s="189" t="s">
        <v>45</v>
      </c>
      <c r="N20" s="175"/>
      <c r="O20" s="175"/>
      <c r="P20" s="180"/>
      <c r="Q20" s="180"/>
      <c r="R20" s="187"/>
      <c r="S20" s="182"/>
      <c r="T20" s="183"/>
      <c r="U20" s="183">
        <f t="shared" si="10"/>
        <v>0</v>
      </c>
      <c r="V20" s="183">
        <f>(Sheet5!F50*((S20+T20)*(R20)))</f>
        <v>0</v>
      </c>
      <c r="W20" s="184" t="e">
        <f>Sheet5!G51*((S20+T20)/(R20))</f>
        <v>#DIV/0!</v>
      </c>
      <c r="X20" s="188"/>
      <c r="Y20" s="179"/>
      <c r="Z20" s="179"/>
      <c r="AA20" s="179"/>
      <c r="AB20" s="179"/>
      <c r="AC20" s="179"/>
      <c r="AD20" s="169"/>
      <c r="AE20" s="179"/>
      <c r="AF20" s="179"/>
      <c r="AG20" s="179"/>
      <c r="AH20" s="179"/>
      <c r="AI20" s="179"/>
      <c r="AJ20" s="179"/>
      <c r="AK20" s="179"/>
      <c r="AL20" s="179"/>
      <c r="AM20" s="179"/>
      <c r="AN20" s="179" t="s">
        <v>114</v>
      </c>
      <c r="AO20" s="168" t="str">
        <f>IF(AP20=TRUE,"حقق الشرط","")</f>
        <v/>
      </c>
      <c r="AP20" t="b">
        <f>OR(O21,O22,O23,O24,O25)</f>
        <v>0</v>
      </c>
      <c r="AU20" s="445"/>
      <c r="AZ20" s="858" t="e">
        <f t="shared" si="3"/>
        <v>#N/A</v>
      </c>
      <c r="BA20" s="850" t="e">
        <f t="shared" si="4"/>
        <v>#N/A</v>
      </c>
      <c r="CB20">
        <f t="shared" si="7"/>
        <v>0</v>
      </c>
    </row>
    <row r="21" spans="1:85" ht="69.75" hidden="1" customHeight="1" thickTop="1" thickBot="1">
      <c r="B21" s="1233"/>
      <c r="C21" s="5">
        <v>14</v>
      </c>
      <c r="D21" s="2" t="s">
        <v>193</v>
      </c>
      <c r="E21" s="12">
        <f>'أدخال البيانات'!F22</f>
        <v>0</v>
      </c>
      <c r="H21" s="160">
        <v>1</v>
      </c>
      <c r="J21" s="310">
        <f t="shared" si="5"/>
        <v>0</v>
      </c>
      <c r="K21" s="160">
        <f t="shared" si="8"/>
        <v>13</v>
      </c>
      <c r="L21" s="310">
        <f>SUM(J8:J21)</f>
        <v>0</v>
      </c>
      <c r="M21" s="174" t="s">
        <v>46</v>
      </c>
      <c r="N21" s="175" t="s">
        <v>44</v>
      </c>
      <c r="O21" s="175" t="b">
        <f>AND('شرح الحالة'!E9=0,E24=1,'شرح الحالة'!E8=0,'شرح الحالة'!E24=1,'شرح الحالة'!E9+'شرح الحالة'!E24=1,'شرح الحالة'!E8+'شرح الحالة'!E23=0,E8=0, 1=1,'أدخال البيانات'!M10=1)</f>
        <v>0</v>
      </c>
      <c r="P21" s="191">
        <f>0.5</f>
        <v>0.5</v>
      </c>
      <c r="Q21" s="180">
        <f t="shared" si="9"/>
        <v>0</v>
      </c>
      <c r="R21" s="187">
        <f>'شرح الحالة'!E24</f>
        <v>0</v>
      </c>
      <c r="S21" s="182">
        <v>0</v>
      </c>
      <c r="T21" s="183">
        <f>IF(O21=TRUE,P21,0)</f>
        <v>0</v>
      </c>
      <c r="U21" s="183">
        <f t="shared" si="10"/>
        <v>0</v>
      </c>
      <c r="V21" s="183">
        <f>(Sheet5!F51*((S21+T21)*(R21)))</f>
        <v>0</v>
      </c>
      <c r="W21" s="184" t="e">
        <f>Sheet5!G52*((S21+T21)/(R21))</f>
        <v>#DIV/0!</v>
      </c>
      <c r="X21" s="1235">
        <f>MAX(U21:U25)</f>
        <v>0</v>
      </c>
      <c r="Y21" s="179"/>
      <c r="Z21" s="179"/>
      <c r="AA21" s="179"/>
      <c r="AB21" s="179"/>
      <c r="AC21" s="192"/>
      <c r="AD21" s="169"/>
      <c r="AE21" s="179"/>
      <c r="AF21" s="179"/>
      <c r="AG21" s="179"/>
      <c r="AH21" s="179"/>
      <c r="AI21" s="179"/>
      <c r="AJ21" s="179"/>
      <c r="AK21" s="179"/>
      <c r="AL21" s="179"/>
      <c r="AM21" s="179"/>
      <c r="AN21" s="179" t="str">
        <f t="shared" si="14"/>
        <v/>
      </c>
      <c r="AO21" s="168" t="str">
        <f t="shared" si="13"/>
        <v>لايورث</v>
      </c>
      <c r="AP21" t="str">
        <f>$AP$19</f>
        <v>حالات بنت الأبن</v>
      </c>
      <c r="AU21" s="445"/>
      <c r="AZ21" s="858" t="e">
        <f t="shared" si="3"/>
        <v>#N/A</v>
      </c>
      <c r="BA21" s="850" t="e">
        <f t="shared" si="4"/>
        <v>#N/A</v>
      </c>
      <c r="CB21">
        <f t="shared" si="7"/>
        <v>0</v>
      </c>
      <c r="CF21">
        <f>SUM(CB25+CB22+CB21)</f>
        <v>0</v>
      </c>
    </row>
    <row r="22" spans="1:85" ht="71.25" hidden="1" customHeight="1" thickTop="1" thickBot="1">
      <c r="A22" t="b">
        <f>AND(E24&gt;0,E23&gt;0,E26=0,E12=0)</f>
        <v>0</v>
      </c>
      <c r="B22" s="1234"/>
      <c r="C22" s="5">
        <v>15</v>
      </c>
      <c r="D22" s="2" t="s">
        <v>194</v>
      </c>
      <c r="E22" s="12">
        <f>'أدخال البيانات'!F23</f>
        <v>0</v>
      </c>
      <c r="H22" s="160">
        <v>2</v>
      </c>
      <c r="J22" s="310">
        <f t="shared" si="5"/>
        <v>0</v>
      </c>
      <c r="K22" s="160">
        <f t="shared" si="8"/>
        <v>14</v>
      </c>
      <c r="L22" s="310">
        <f>SUM(J8:J22)</f>
        <v>0</v>
      </c>
      <c r="M22" s="174" t="s">
        <v>42</v>
      </c>
      <c r="N22" s="175" t="s">
        <v>47</v>
      </c>
      <c r="O22" s="175" t="b">
        <f>AND('شرح الحالة'!E9=0,E24&gt;1,'شرح الحالة'!E8=0,'شرح الحالة'!E24&gt;1,'شرح الحالة'!E8+'شرح الحالة'!E23=0)</f>
        <v>0</v>
      </c>
      <c r="P22" s="180">
        <f>0.666666666666667</f>
        <v>0.66666666666666696</v>
      </c>
      <c r="Q22" s="180">
        <f t="shared" si="9"/>
        <v>0</v>
      </c>
      <c r="R22" s="190">
        <f>IF('أدخال البيانات'!M10&gt;=1,1,0)</f>
        <v>0</v>
      </c>
      <c r="S22" s="182">
        <v>0</v>
      </c>
      <c r="T22" s="183">
        <f>IF(O22=TRUE,P22,0)</f>
        <v>0</v>
      </c>
      <c r="U22" s="183">
        <f t="shared" si="10"/>
        <v>0</v>
      </c>
      <c r="V22" s="183">
        <f>(Sheet5!F52*((S22+T22)*(R22)))</f>
        <v>0</v>
      </c>
      <c r="W22" s="184" t="e">
        <f>Sheet5!G53*((S22+T22)/(R22))</f>
        <v>#DIV/0!</v>
      </c>
      <c r="X22" s="1235"/>
      <c r="Y22" s="179"/>
      <c r="Z22" s="179"/>
      <c r="AA22" s="179"/>
      <c r="AB22" s="185"/>
      <c r="AC22" s="179"/>
      <c r="AD22" s="169"/>
      <c r="AE22" s="179"/>
      <c r="AF22" s="179"/>
      <c r="AG22" s="179"/>
      <c r="AH22" s="179"/>
      <c r="AI22" s="179"/>
      <c r="AJ22" s="179"/>
      <c r="AK22" s="179"/>
      <c r="AL22" s="179"/>
      <c r="AM22" s="179"/>
      <c r="AN22" s="179" t="str">
        <f t="shared" si="14"/>
        <v/>
      </c>
      <c r="AO22" s="168" t="str">
        <f t="shared" si="13"/>
        <v>لايورث</v>
      </c>
      <c r="AP22" t="str">
        <f>$AP$19</f>
        <v>حالات بنت الأبن</v>
      </c>
      <c r="AU22" s="445"/>
      <c r="AZ22" s="924" t="e">
        <f t="shared" si="3"/>
        <v>#N/A</v>
      </c>
      <c r="BA22" s="850" t="e">
        <f t="shared" si="4"/>
        <v>#N/A</v>
      </c>
      <c r="CB22">
        <f t="shared" si="7"/>
        <v>0</v>
      </c>
    </row>
    <row r="23" spans="1:85" ht="71.25" hidden="1" customHeight="1" thickTop="1" thickBot="1">
      <c r="B23" s="1232" t="s">
        <v>25</v>
      </c>
      <c r="C23" s="6">
        <v>1</v>
      </c>
      <c r="D23" s="2" t="s">
        <v>20</v>
      </c>
      <c r="E23" s="12">
        <f>'أدخال البيانات'!F55</f>
        <v>0</v>
      </c>
      <c r="H23" s="160">
        <v>3</v>
      </c>
      <c r="J23" s="310">
        <f t="shared" si="5"/>
        <v>0</v>
      </c>
      <c r="K23" s="160">
        <f t="shared" si="8"/>
        <v>15</v>
      </c>
      <c r="L23" s="310">
        <f>SUM(J8:J23)</f>
        <v>0</v>
      </c>
      <c r="M23" s="174" t="s">
        <v>48</v>
      </c>
      <c r="N23" s="175" t="s">
        <v>49</v>
      </c>
      <c r="O23" s="175" t="b">
        <f>AND('شرح الحالة'!E9+'أدخال البيانات'!F11&gt;0,'شرح الحالة'!E24&gt;0,E8=0,'أدخال البيانات'!F9=0,'أدخال البيانات'!M10&gt;0,'شرح الحالة'!Y25=TRUE,O21=FALSE,O25=FALSE,O22=FALSE,'أدخال البيانات'!F11+'أدخال البيانات'!F10&gt;0,'أدخال البيانات'!F10&gt;0)</f>
        <v>0</v>
      </c>
      <c r="P23" s="180">
        <f>P7</f>
        <v>0.5</v>
      </c>
      <c r="Q23" s="180">
        <f t="shared" si="9"/>
        <v>0</v>
      </c>
      <c r="R23" s="187">
        <f>'شرح الحالة'!E24</f>
        <v>0</v>
      </c>
      <c r="S23" s="182">
        <f>IF(O23=TRUE,P23,0)</f>
        <v>0</v>
      </c>
      <c r="T23" s="183">
        <v>0</v>
      </c>
      <c r="U23" s="183">
        <f t="shared" si="10"/>
        <v>0</v>
      </c>
      <c r="V23" s="183">
        <f>(Sheet5!F53*((S23+T23)*(R23)))</f>
        <v>0</v>
      </c>
      <c r="W23" s="184" t="e">
        <f>Sheet5!G54*((S23+T23)/(R23))</f>
        <v>#DIV/0!</v>
      </c>
      <c r="X23" s="1235"/>
      <c r="Y23" s="179"/>
      <c r="Z23" s="179"/>
      <c r="AA23" s="179"/>
      <c r="AB23" s="170"/>
      <c r="AF23" s="179"/>
      <c r="AG23" s="179"/>
      <c r="AH23" s="179"/>
      <c r="AI23" s="179"/>
      <c r="AJ23" s="179"/>
      <c r="AK23" s="179"/>
      <c r="AL23" s="179"/>
      <c r="AM23" s="179"/>
      <c r="AN23" s="179" t="str">
        <f t="shared" si="14"/>
        <v/>
      </c>
      <c r="AO23" s="168" t="str">
        <f t="shared" si="13"/>
        <v>لايورث</v>
      </c>
      <c r="AP23" t="str">
        <f>$AP$19</f>
        <v>حالات بنت الأبن</v>
      </c>
      <c r="AU23" s="445"/>
      <c r="AZ23" s="925" t="e">
        <f t="shared" si="3"/>
        <v>#N/A</v>
      </c>
      <c r="BA23" s="852" t="e">
        <f t="shared" si="4"/>
        <v>#N/A</v>
      </c>
      <c r="CB23">
        <f t="shared" si="7"/>
        <v>0</v>
      </c>
    </row>
    <row r="24" spans="1:85" ht="71.25" hidden="1" customHeight="1" thickTop="1" thickBot="1">
      <c r="A24" t="b">
        <f>OR(A22=TRUE,E24&gt;0,E23&gt;0)</f>
        <v>0</v>
      </c>
      <c r="B24" s="1233"/>
      <c r="C24" s="6">
        <v>2</v>
      </c>
      <c r="D24" s="2" t="s">
        <v>21</v>
      </c>
      <c r="E24" s="12">
        <f>'أدخال البيانات'!F56</f>
        <v>0</v>
      </c>
      <c r="F24" t="s">
        <v>114</v>
      </c>
      <c r="H24" s="160">
        <v>4</v>
      </c>
      <c r="J24" s="310">
        <f t="shared" si="5"/>
        <v>0</v>
      </c>
      <c r="K24" s="160">
        <f t="shared" si="8"/>
        <v>16</v>
      </c>
      <c r="L24" s="310">
        <f>SUM(J8:J24)</f>
        <v>0</v>
      </c>
      <c r="M24" s="174" t="s">
        <v>559</v>
      </c>
      <c r="N24" s="175" t="s">
        <v>49</v>
      </c>
      <c r="O24" s="193" t="b">
        <f>AND('شرح الحالة'!E32&gt;0,O22=FALSE,E24&gt;0,'أدخال البيانات'!F9=0,'أدخال البيانات'!M9+'أدخال البيانات'!F11&gt;1,O21=FALSE,E32&gt;0,O25=FALSE,O22=FALSE,'أدخال البيانات'!F10+'أدخال البيانات'!F11&gt;0, O21=FALSE,O22=FALSE,O23=FALSE)</f>
        <v>0</v>
      </c>
      <c r="P24" s="180">
        <f>P7</f>
        <v>0.5</v>
      </c>
      <c r="Q24" s="180">
        <f t="shared" si="9"/>
        <v>0</v>
      </c>
      <c r="R24" s="187">
        <f>'شرح الحالة'!E24</f>
        <v>0</v>
      </c>
      <c r="S24" s="182">
        <f>IF(O24=TRUE,P24,0)</f>
        <v>0</v>
      </c>
      <c r="T24" s="183">
        <v>0</v>
      </c>
      <c r="U24" s="183">
        <f t="shared" si="10"/>
        <v>0</v>
      </c>
      <c r="V24" s="183">
        <f>(Sheet5!F54*((S24+T24)*(R24)))</f>
        <v>0</v>
      </c>
      <c r="W24" s="184" t="e">
        <f>Sheet5!G55*((S24+T24)/(R24))</f>
        <v>#DIV/0!</v>
      </c>
      <c r="X24" s="1235"/>
      <c r="Y24" s="179"/>
      <c r="Z24" s="179"/>
      <c r="AA24" s="179"/>
      <c r="AB24" s="179"/>
      <c r="AF24" s="179"/>
      <c r="AG24" s="179"/>
      <c r="AH24" s="179"/>
      <c r="AI24" s="179"/>
      <c r="AJ24" s="179"/>
      <c r="AK24" s="179"/>
      <c r="AL24" s="179"/>
      <c r="AM24" s="179"/>
      <c r="AN24" s="179" t="str">
        <f t="shared" si="14"/>
        <v/>
      </c>
      <c r="AO24" s="168" t="str">
        <f t="shared" si="13"/>
        <v>لايورث</v>
      </c>
      <c r="AP24" t="str">
        <f>$AP$19</f>
        <v>حالات بنت الأبن</v>
      </c>
      <c r="AV24" s="928" t="e">
        <f t="shared" ref="AV24:AV73" si="15">VLOOKUP(K24, L24:AO156,2,FALSE)</f>
        <v>#N/A</v>
      </c>
      <c r="AW24" s="929" t="e">
        <f t="shared" ref="AW24:AW73" si="16">VLOOKUP(K24, L24:AO156,3,FALSE)</f>
        <v>#N/A</v>
      </c>
      <c r="AX24" s="930" t="e">
        <f t="shared" ref="AX24:AX26" si="17">IF(BA24&lt;0,0,BA24)</f>
        <v>#N/A</v>
      </c>
      <c r="AY24" s="1025"/>
      <c r="AZ24" s="926" t="e">
        <f t="shared" ref="AZ24:AZ55" si="18">VLOOKUP(K24, L24:AO156,6,FALSE)</f>
        <v>#N/A</v>
      </c>
      <c r="BA24" s="439" t="e">
        <f t="shared" si="4"/>
        <v>#N/A</v>
      </c>
      <c r="CB24">
        <f t="shared" si="7"/>
        <v>0</v>
      </c>
    </row>
    <row r="25" spans="1:85" ht="71.25" hidden="1" customHeight="1" thickTop="1" thickBot="1">
      <c r="B25" s="1233"/>
      <c r="C25" s="6">
        <v>3</v>
      </c>
      <c r="D25" s="2" t="s">
        <v>22</v>
      </c>
      <c r="E25" s="12">
        <f>'أدخال البيانات'!F57</f>
        <v>0</v>
      </c>
      <c r="H25" s="160">
        <v>5</v>
      </c>
      <c r="J25" s="310">
        <f t="shared" si="5"/>
        <v>0</v>
      </c>
      <c r="K25" s="160">
        <f t="shared" si="8"/>
        <v>17</v>
      </c>
      <c r="L25" s="310">
        <f>SUM(J8:J25)</f>
        <v>0</v>
      </c>
      <c r="M25" s="174" t="s">
        <v>50</v>
      </c>
      <c r="N25" s="175" t="s">
        <v>5</v>
      </c>
      <c r="O25" s="420" t="b">
        <f>AND('شرح الحالة'!E24&gt;0,'شرح الحالة'!E23=1,'شرح الحالة'!E8+'شرح الحالة'!E9=0)</f>
        <v>0</v>
      </c>
      <c r="P25" s="191">
        <f>0.166666666666667</f>
        <v>0.16666666666666699</v>
      </c>
      <c r="Q25" s="180">
        <f t="shared" si="9"/>
        <v>0</v>
      </c>
      <c r="R25" s="187">
        <f>IF('أدخال البيانات'!M10&gt;=1,1,0)</f>
        <v>0</v>
      </c>
      <c r="S25" s="182">
        <v>0</v>
      </c>
      <c r="T25" s="183">
        <f>IF(O25=TRUE,P25,0)</f>
        <v>0</v>
      </c>
      <c r="U25" s="183">
        <f t="shared" si="10"/>
        <v>0</v>
      </c>
      <c r="V25" s="183">
        <f>(Sheet5!F55*((S25+T25)*(R25)))</f>
        <v>0</v>
      </c>
      <c r="W25" s="184" t="e">
        <f>Sheet5!G56*((S25+T25)/(R25))</f>
        <v>#DIV/0!</v>
      </c>
      <c r="X25" s="1235"/>
      <c r="Y25" s="179" t="b">
        <f>OR('أدخال البيانات'!F10&gt;0,'أدخال البيانات'!F11&gt;0)</f>
        <v>0</v>
      </c>
      <c r="Z25" s="179"/>
      <c r="AA25" s="179"/>
      <c r="AB25" s="179"/>
      <c r="AF25" s="179"/>
      <c r="AG25" s="179"/>
      <c r="AH25" s="179"/>
      <c r="AI25" s="179"/>
      <c r="AJ25" s="179"/>
      <c r="AK25" s="179"/>
      <c r="AL25" s="179"/>
      <c r="AM25" s="179"/>
      <c r="AN25" s="179" t="str">
        <f t="shared" si="14"/>
        <v/>
      </c>
      <c r="AO25" s="168" t="str">
        <f t="shared" si="13"/>
        <v>لايورث</v>
      </c>
      <c r="AP25" t="str">
        <f>$AP$19</f>
        <v>حالات بنت الأبن</v>
      </c>
      <c r="AV25" s="931" t="e">
        <f t="shared" si="15"/>
        <v>#N/A</v>
      </c>
      <c r="AW25" s="932" t="e">
        <f t="shared" si="16"/>
        <v>#N/A</v>
      </c>
      <c r="AX25" s="930" t="e">
        <f t="shared" si="17"/>
        <v>#N/A</v>
      </c>
      <c r="AY25" s="1025"/>
      <c r="AZ25" s="854" t="e">
        <f t="shared" si="18"/>
        <v>#N/A</v>
      </c>
      <c r="BA25" s="439" t="e">
        <f t="shared" si="4"/>
        <v>#N/A</v>
      </c>
      <c r="CB25">
        <f t="shared" si="7"/>
        <v>0</v>
      </c>
    </row>
    <row r="26" spans="1:85" ht="71.25" hidden="1" customHeight="1" thickTop="1" thickBot="1">
      <c r="B26" s="1233"/>
      <c r="C26" s="6">
        <v>4</v>
      </c>
      <c r="D26" s="2" t="s">
        <v>23</v>
      </c>
      <c r="E26" s="12">
        <f>'أدخال البيانات'!F58</f>
        <v>0</v>
      </c>
      <c r="H26" s="160"/>
      <c r="J26" s="310">
        <f t="shared" si="5"/>
        <v>0</v>
      </c>
      <c r="K26" s="160">
        <f t="shared" si="8"/>
        <v>18</v>
      </c>
      <c r="L26" s="310">
        <f>SUM(J8:J26)</f>
        <v>0</v>
      </c>
      <c r="M26" s="174"/>
      <c r="N26" s="175"/>
      <c r="O26" s="175"/>
      <c r="P26" s="180"/>
      <c r="Q26" s="180"/>
      <c r="R26" s="187"/>
      <c r="S26" s="182"/>
      <c r="T26" s="183"/>
      <c r="U26" s="183">
        <f t="shared" si="10"/>
        <v>0</v>
      </c>
      <c r="V26" s="183">
        <f>(Sheet5!F56*((S26+T26)*(R26)))</f>
        <v>0</v>
      </c>
      <c r="W26" s="184" t="e">
        <f>Sheet5!G57*((S26+T26)/(R26))</f>
        <v>#DIV/0!</v>
      </c>
      <c r="X26" s="188">
        <f>Sheet5!$K$35</f>
        <v>1</v>
      </c>
      <c r="Y26" s="179"/>
      <c r="Z26" s="179"/>
      <c r="AA26" s="179"/>
      <c r="AB26" s="179"/>
      <c r="AF26" s="179"/>
      <c r="AG26" s="179"/>
      <c r="AH26" s="179"/>
      <c r="AI26" s="179"/>
      <c r="AJ26" s="179"/>
      <c r="AK26" s="179"/>
      <c r="AL26" s="179"/>
      <c r="AM26" s="179"/>
      <c r="AN26" s="179" t="str">
        <f t="shared" si="14"/>
        <v/>
      </c>
      <c r="AO26" s="168" t="str">
        <f t="shared" si="13"/>
        <v>لايورث</v>
      </c>
      <c r="AV26" s="933" t="e">
        <f t="shared" si="15"/>
        <v>#N/A</v>
      </c>
      <c r="AW26" s="929" t="e">
        <f t="shared" si="16"/>
        <v>#N/A</v>
      </c>
      <c r="AX26" s="930" t="e">
        <f t="shared" si="17"/>
        <v>#N/A</v>
      </c>
      <c r="AY26" s="1025"/>
      <c r="AZ26" s="927" t="e">
        <f t="shared" si="18"/>
        <v>#N/A</v>
      </c>
      <c r="BA26" s="439" t="e">
        <f t="shared" si="4"/>
        <v>#N/A</v>
      </c>
      <c r="CB26">
        <f t="shared" si="7"/>
        <v>0</v>
      </c>
    </row>
    <row r="27" spans="1:85" ht="71.25" hidden="1" customHeight="1" thickTop="1" thickBot="1">
      <c r="B27" s="1233"/>
      <c r="C27" s="6">
        <v>5</v>
      </c>
      <c r="D27" s="2" t="s">
        <v>79</v>
      </c>
      <c r="E27" s="12">
        <f>'أدخال البيانات'!F59</f>
        <v>0</v>
      </c>
      <c r="H27" s="160"/>
      <c r="J27" s="310">
        <f t="shared" si="5"/>
        <v>0</v>
      </c>
      <c r="K27" s="160">
        <f t="shared" si="8"/>
        <v>19</v>
      </c>
      <c r="L27" s="310">
        <f>SUM(J8:J27)</f>
        <v>0</v>
      </c>
      <c r="M27" s="189" t="s">
        <v>550</v>
      </c>
      <c r="N27" s="175"/>
      <c r="O27" s="175"/>
      <c r="P27" s="194"/>
      <c r="Q27" s="180"/>
      <c r="R27" s="187"/>
      <c r="S27" s="182"/>
      <c r="T27" s="183"/>
      <c r="U27" s="183">
        <f t="shared" si="10"/>
        <v>0</v>
      </c>
      <c r="V27" s="183">
        <f>(Sheet5!F57*((S27+T27)*(R27)))</f>
        <v>0</v>
      </c>
      <c r="W27" s="184" t="e">
        <f>Sheet5!G58*((S27+T27)/(R27))</f>
        <v>#DIV/0!</v>
      </c>
      <c r="X27" s="188">
        <f>MAX(U28)</f>
        <v>0</v>
      </c>
      <c r="Y27" s="179"/>
      <c r="Z27" s="179"/>
      <c r="AA27" s="179"/>
      <c r="AB27" s="179"/>
      <c r="AF27" s="179"/>
      <c r="AG27" s="179"/>
      <c r="AH27" s="179"/>
      <c r="AI27" s="179"/>
      <c r="AJ27" s="179"/>
      <c r="AK27" s="179"/>
      <c r="AL27" s="179"/>
      <c r="AM27" s="179"/>
      <c r="AN27" s="179" t="str">
        <f t="shared" si="14"/>
        <v/>
      </c>
      <c r="AO27" s="168" t="str">
        <f>IF(AP27=TRUE,"حقق الشرط","")</f>
        <v/>
      </c>
      <c r="AP27" t="b">
        <f>OR(O28,O29,O30,O31,O32)</f>
        <v>0</v>
      </c>
      <c r="AV27" s="934" t="e">
        <f t="shared" si="15"/>
        <v>#N/A</v>
      </c>
      <c r="AW27" s="932" t="e">
        <f t="shared" si="16"/>
        <v>#N/A</v>
      </c>
      <c r="AX27" s="930" t="e">
        <f t="shared" ref="AX27:AX73" si="19">VLOOKUP(K27, L27:AO159,5,FALSE)</f>
        <v>#N/A</v>
      </c>
      <c r="AY27" s="1025"/>
      <c r="AZ27" s="855" t="e">
        <f t="shared" si="18"/>
        <v>#N/A</v>
      </c>
      <c r="CB27">
        <f t="shared" si="7"/>
        <v>0</v>
      </c>
      <c r="CF27">
        <f>SUM(CB30+CB29+CC31+CB32)</f>
        <v>0</v>
      </c>
    </row>
    <row r="28" spans="1:85" ht="71.25" hidden="1" customHeight="1" thickTop="1" thickBot="1">
      <c r="B28" s="1233"/>
      <c r="C28" s="6">
        <v>6</v>
      </c>
      <c r="D28" s="2" t="s">
        <v>24</v>
      </c>
      <c r="E28" s="12">
        <f>'أدخال البيانات'!F60</f>
        <v>0</v>
      </c>
      <c r="H28" s="160">
        <v>1</v>
      </c>
      <c r="J28" s="310">
        <f t="shared" si="5"/>
        <v>0</v>
      </c>
      <c r="K28" s="160">
        <f t="shared" si="8"/>
        <v>20</v>
      </c>
      <c r="L28" s="310">
        <f>SUM(J8:J28)</f>
        <v>0</v>
      </c>
      <c r="M28" s="174" t="s">
        <v>724</v>
      </c>
      <c r="N28" s="175" t="s">
        <v>51</v>
      </c>
      <c r="O28" s="175" t="b">
        <f>AND('أدخال البيانات'!F9+'أدخال البيانات'!F10+'أدخال البيانات'!F11=0,'شرح الحالة'!E10=1,'أدخال البيانات'!M9+'أدخال البيانات'!M10=0,O32=FALSE,'أدخال البيانات'!M11=0,'أدخال البيانات'!F22+'أدخال البيانات'!M16=0,'أدخال البيانات'!F22+'أدخال البيانات'!M18=0)</f>
        <v>0</v>
      </c>
      <c r="P28" s="180">
        <f>P8</f>
        <v>1</v>
      </c>
      <c r="Q28" s="180">
        <f t="shared" si="9"/>
        <v>0</v>
      </c>
      <c r="R28" s="187">
        <f>'أدخال البيانات'!$F$12</f>
        <v>0</v>
      </c>
      <c r="S28" s="182">
        <f>IF(O28=TRUE,P28,0)</f>
        <v>0</v>
      </c>
      <c r="T28" s="183">
        <v>0</v>
      </c>
      <c r="U28" s="183">
        <f t="shared" si="10"/>
        <v>0</v>
      </c>
      <c r="V28" s="183">
        <f>(Sheet5!F58*((S28+T28)*(R28)))</f>
        <v>0</v>
      </c>
      <c r="W28" s="184" t="e">
        <f>Sheet5!G59*((S28+T28)/(R28))</f>
        <v>#DIV/0!</v>
      </c>
      <c r="X28" s="188">
        <f>MAX(U28,U31,U32,U28)</f>
        <v>0</v>
      </c>
      <c r="Y28" s="185">
        <f>X28+X29</f>
        <v>0</v>
      </c>
      <c r="Z28" s="179"/>
      <c r="AA28" s="179"/>
      <c r="AB28" s="179"/>
      <c r="AC28" s="179"/>
      <c r="AD28" s="186"/>
      <c r="AE28" s="179"/>
      <c r="AF28" s="179"/>
      <c r="AG28" s="179"/>
      <c r="AH28" s="179"/>
      <c r="AI28" s="179"/>
      <c r="AJ28" s="179"/>
      <c r="AK28" s="179"/>
      <c r="AL28" s="179"/>
      <c r="AM28" s="179"/>
      <c r="AN28" s="179" t="str">
        <f t="shared" si="14"/>
        <v/>
      </c>
      <c r="AO28" s="168" t="str">
        <f t="shared" si="13"/>
        <v>لايورث</v>
      </c>
      <c r="AP28" t="b">
        <f>$AP$27</f>
        <v>0</v>
      </c>
      <c r="AV28" s="934" t="e">
        <f t="shared" si="15"/>
        <v>#N/A</v>
      </c>
      <c r="AW28" s="929" t="e">
        <f t="shared" si="16"/>
        <v>#N/A</v>
      </c>
      <c r="AX28" s="930" t="e">
        <f t="shared" si="19"/>
        <v>#N/A</v>
      </c>
      <c r="AY28" s="1025"/>
      <c r="AZ28" s="855" t="e">
        <f t="shared" si="18"/>
        <v>#N/A</v>
      </c>
      <c r="CB28">
        <f t="shared" si="7"/>
        <v>0</v>
      </c>
    </row>
    <row r="29" spans="1:85" ht="71.25" hidden="1" customHeight="1" thickTop="1" thickBot="1">
      <c r="B29" s="1233"/>
      <c r="C29" s="6">
        <v>7</v>
      </c>
      <c r="D29" s="2" t="s">
        <v>0</v>
      </c>
      <c r="E29" s="12">
        <f>'أدخال البيانات'!F61</f>
        <v>0</v>
      </c>
      <c r="H29" s="160">
        <v>2</v>
      </c>
      <c r="J29" s="310">
        <f t="shared" si="5"/>
        <v>0</v>
      </c>
      <c r="K29" s="160">
        <f t="shared" si="8"/>
        <v>21</v>
      </c>
      <c r="L29" s="310">
        <f>SUM(J8:J29)</f>
        <v>0</v>
      </c>
      <c r="M29" s="174" t="s">
        <v>52</v>
      </c>
      <c r="N29" s="175" t="s">
        <v>5</v>
      </c>
      <c r="O29" s="175" t="b">
        <f>AND('شرح الحالة'!E8+'شرح الحالة'!E9+'أدخال البيانات'!F11&gt;0,'شرح الحالة'!E10=1)</f>
        <v>0</v>
      </c>
      <c r="P29" s="195">
        <f>0.166666666666667</f>
        <v>0.16666666666666699</v>
      </c>
      <c r="Q29" s="180">
        <f t="shared" si="9"/>
        <v>0</v>
      </c>
      <c r="R29" s="196">
        <f>'شرح الحالة'!E10</f>
        <v>0</v>
      </c>
      <c r="S29" s="182">
        <v>0</v>
      </c>
      <c r="T29" s="183">
        <f>IF(O29=TRUE,P29,0)</f>
        <v>0</v>
      </c>
      <c r="U29" s="183">
        <f t="shared" si="10"/>
        <v>0</v>
      </c>
      <c r="V29" s="183">
        <f>(Sheet5!F59*((S29+T29)*(R29)))</f>
        <v>0</v>
      </c>
      <c r="W29" s="184" t="e">
        <f>Sheet5!G60*((S29+T29)/(R29))</f>
        <v>#DIV/0!</v>
      </c>
      <c r="X29" s="188">
        <f>MAX(U30+U29)</f>
        <v>0</v>
      </c>
      <c r="Y29" s="197">
        <f>IF(Y30=TRUE,Sheet5!H33,0)</f>
        <v>0</v>
      </c>
      <c r="Z29" s="179"/>
      <c r="AA29" s="179"/>
      <c r="AB29" s="179"/>
      <c r="AC29" s="179"/>
      <c r="AD29" s="186"/>
      <c r="AE29" s="179"/>
      <c r="AF29" s="179"/>
      <c r="AG29" s="179"/>
      <c r="AH29" s="179"/>
      <c r="AI29" s="179"/>
      <c r="AJ29" s="179"/>
      <c r="AK29" s="179"/>
      <c r="AL29" s="179"/>
      <c r="AM29" s="179"/>
      <c r="AN29" s="179" t="str">
        <f t="shared" si="14"/>
        <v/>
      </c>
      <c r="AO29" s="168" t="str">
        <f t="shared" si="13"/>
        <v>لايورث</v>
      </c>
      <c r="AP29" t="b">
        <f>$AP$27</f>
        <v>0</v>
      </c>
      <c r="AV29" s="935" t="e">
        <f t="shared" si="15"/>
        <v>#N/A</v>
      </c>
      <c r="AW29" s="932" t="e">
        <f t="shared" si="16"/>
        <v>#N/A</v>
      </c>
      <c r="AX29" s="930" t="e">
        <f t="shared" si="19"/>
        <v>#N/A</v>
      </c>
      <c r="AY29" s="1025"/>
      <c r="AZ29" s="857" t="e">
        <f t="shared" si="18"/>
        <v>#N/A</v>
      </c>
      <c r="CB29">
        <f t="shared" si="7"/>
        <v>0</v>
      </c>
      <c r="CG29" s="82" t="b">
        <f>AND( 'أدخال البيانات'!M16+'أدخال البيانات'!M17+'أدخال البيانات'!M11&gt;0, 'أدخال البيانات'!F22&gt;0, 'أدخال البيانات'!M14+'أدخال البيانات'!M15&gt;1, SUM('أدخال البيانات'!F9:F13)=0,'أدخال البيانات'!M9+'أدخال البيانات'!M10+'أدخال البيانات'!M18=0,'أدخال البيانات'!F14&gt;0)</f>
        <v>0</v>
      </c>
    </row>
    <row r="30" spans="1:85" ht="71.25" hidden="1" customHeight="1" thickTop="1" thickBot="1">
      <c r="B30" s="1233"/>
      <c r="C30" s="6">
        <v>8</v>
      </c>
      <c r="D30" s="2" t="s">
        <v>1</v>
      </c>
      <c r="E30" s="12">
        <f>'أدخال البيانات'!$M$17</f>
        <v>0</v>
      </c>
      <c r="F30" t="s">
        <v>134</v>
      </c>
      <c r="H30" s="160">
        <v>3</v>
      </c>
      <c r="J30" s="310">
        <f t="shared" si="5"/>
        <v>0</v>
      </c>
      <c r="K30" s="160">
        <f t="shared" si="8"/>
        <v>22</v>
      </c>
      <c r="L30" s="310">
        <f>SUM(J8:J30)</f>
        <v>0</v>
      </c>
      <c r="M30" s="174" t="s">
        <v>53</v>
      </c>
      <c r="N30" s="175" t="s">
        <v>551</v>
      </c>
      <c r="O30" s="175" t="b">
        <f>AND('شرح الحالة'!E8+'شرح الحالة'!E9+'أدخال البيانات'!F11=0,'شرح الحالة'!E23+'شرح الحالة'!E24&gt;0,'شرح الحالة'!E10=1)</f>
        <v>0</v>
      </c>
      <c r="P30" s="195">
        <f>0.166666666666667</f>
        <v>0.16666666666666699</v>
      </c>
      <c r="Q30" s="180">
        <f t="shared" si="9"/>
        <v>0</v>
      </c>
      <c r="R30" s="196">
        <f>'شرح الحالة'!E10</f>
        <v>0</v>
      </c>
      <c r="S30" s="182">
        <v>0</v>
      </c>
      <c r="T30" s="183">
        <f>IF(O30=TRUE,P30,0)</f>
        <v>0</v>
      </c>
      <c r="U30" s="183">
        <f t="shared" si="10"/>
        <v>0</v>
      </c>
      <c r="V30" s="183">
        <f>(Sheet5!F60*((S30+T30)*(R30)))</f>
        <v>0</v>
      </c>
      <c r="W30" s="184" t="e">
        <f>Sheet5!G61*((S30+T30)/(R30))</f>
        <v>#DIV/0!</v>
      </c>
      <c r="X30" s="188"/>
      <c r="Y30" s="179" t="s">
        <v>114</v>
      </c>
      <c r="Z30" s="179"/>
      <c r="AA30" s="179"/>
      <c r="AB30" s="179"/>
      <c r="AC30" s="179"/>
      <c r="AD30" s="186"/>
      <c r="AE30" s="179"/>
      <c r="AF30" s="179"/>
      <c r="AG30" s="179"/>
      <c r="AH30" s="179"/>
      <c r="AI30" s="179"/>
      <c r="AJ30" s="179"/>
      <c r="AK30" s="179"/>
      <c r="AL30" s="179"/>
      <c r="AM30" s="179"/>
      <c r="AN30" s="179" t="str">
        <f t="shared" si="14"/>
        <v/>
      </c>
      <c r="AO30" s="168" t="str">
        <f t="shared" si="13"/>
        <v>لايورث</v>
      </c>
      <c r="AP30" t="b">
        <f>$AP$27</f>
        <v>0</v>
      </c>
      <c r="AV30" s="935" t="e">
        <f t="shared" si="15"/>
        <v>#N/A</v>
      </c>
      <c r="AW30" s="929" t="e">
        <f t="shared" si="16"/>
        <v>#N/A</v>
      </c>
      <c r="AX30" s="930" t="e">
        <f t="shared" si="19"/>
        <v>#N/A</v>
      </c>
      <c r="AY30" s="1025"/>
      <c r="AZ30" s="857" t="e">
        <f t="shared" si="18"/>
        <v>#N/A</v>
      </c>
      <c r="CB30">
        <f t="shared" si="7"/>
        <v>0</v>
      </c>
    </row>
    <row r="31" spans="1:85" ht="71.25" hidden="1" customHeight="1" thickTop="1" thickBot="1">
      <c r="B31" s="1233"/>
      <c r="C31" s="6">
        <v>9</v>
      </c>
      <c r="D31" s="2" t="s">
        <v>26</v>
      </c>
      <c r="E31" s="12">
        <f>'أدخال البيانات'!F63</f>
        <v>0</v>
      </c>
      <c r="F31" t="s">
        <v>135</v>
      </c>
      <c r="H31" s="160">
        <v>4</v>
      </c>
      <c r="J31" s="310">
        <f t="shared" si="5"/>
        <v>0</v>
      </c>
      <c r="K31" s="160">
        <f t="shared" si="8"/>
        <v>23</v>
      </c>
      <c r="L31" s="310">
        <f>SUM(J8:J31)</f>
        <v>0</v>
      </c>
      <c r="M31" s="174" t="s">
        <v>125</v>
      </c>
      <c r="N31" s="175" t="s">
        <v>126</v>
      </c>
      <c r="O31" s="175" t="b">
        <f>AND( 'شرح الحالة'!E8+'شرح الحالة'!E9=0,'أدخال البيانات'!M11&gt;=0,'شرح الحالة'!E10=1,O28=FALSE+O29=FALSE+O30=FALSE,'أدخال البيانات'!F12=1,O32=FALSE,'أدخال البيانات'!F11=0,O28=FALSE)</f>
        <v>0</v>
      </c>
      <c r="P31" s="180">
        <f>P8</f>
        <v>1</v>
      </c>
      <c r="Q31" s="180">
        <f t="shared" si="9"/>
        <v>0</v>
      </c>
      <c r="R31" s="187">
        <f>'شرح الحالة'!E10</f>
        <v>0</v>
      </c>
      <c r="S31" s="182">
        <f>IF(O31=TRUE,P31,0)</f>
        <v>0</v>
      </c>
      <c r="T31" s="183">
        <v>0</v>
      </c>
      <c r="U31" s="183">
        <f t="shared" si="10"/>
        <v>0</v>
      </c>
      <c r="V31" s="183">
        <f>(Sheet5!F61*((S31+T31)))</f>
        <v>0</v>
      </c>
      <c r="W31" s="184" t="e">
        <f>Sheet5!G62*((S31+T31)/(R31))</f>
        <v>#DIV/0!</v>
      </c>
      <c r="X31" s="188"/>
      <c r="Y31" s="179"/>
      <c r="Z31" s="179"/>
      <c r="AA31" s="179"/>
      <c r="AB31" s="179"/>
      <c r="AC31" s="179"/>
      <c r="AD31" s="186"/>
      <c r="AE31" s="179"/>
      <c r="AF31" s="179"/>
      <c r="AG31" s="179"/>
      <c r="AH31" s="179"/>
      <c r="AI31" s="179"/>
      <c r="AJ31" s="179"/>
      <c r="AK31" s="179"/>
      <c r="AL31" s="179"/>
      <c r="AM31" s="179"/>
      <c r="AN31" s="179" t="str">
        <f t="shared" si="14"/>
        <v/>
      </c>
      <c r="AO31" s="168" t="str">
        <f t="shared" si="13"/>
        <v>لايورث</v>
      </c>
      <c r="AP31" t="b">
        <f>$AP$27</f>
        <v>0</v>
      </c>
      <c r="AV31" s="936" t="e">
        <f t="shared" si="15"/>
        <v>#N/A</v>
      </c>
      <c r="AW31" s="932" t="e">
        <f t="shared" si="16"/>
        <v>#N/A</v>
      </c>
      <c r="AX31" s="930" t="e">
        <f t="shared" si="19"/>
        <v>#N/A</v>
      </c>
      <c r="AY31" s="1025"/>
      <c r="AZ31" s="858" t="e">
        <f t="shared" si="18"/>
        <v>#N/A</v>
      </c>
      <c r="CB31">
        <f t="shared" si="7"/>
        <v>0</v>
      </c>
      <c r="CC31">
        <f>IF(CB31&gt;0,CB31,0)</f>
        <v>0</v>
      </c>
    </row>
    <row r="32" spans="1:85" ht="71.25" hidden="1" customHeight="1" thickTop="1" thickBot="1">
      <c r="B32" s="1233"/>
      <c r="C32" s="6">
        <v>10</v>
      </c>
      <c r="D32" s="2" t="s">
        <v>70</v>
      </c>
      <c r="E32" s="12">
        <f>'أدخال البيانات'!F64</f>
        <v>0</v>
      </c>
      <c r="H32" s="160" t="s">
        <v>88</v>
      </c>
      <c r="J32" s="310">
        <f t="shared" si="5"/>
        <v>0</v>
      </c>
      <c r="K32" s="160">
        <f t="shared" si="8"/>
        <v>24</v>
      </c>
      <c r="L32" s="310">
        <f>SUM(J8:J32)</f>
        <v>0</v>
      </c>
      <c r="M32" s="174" t="s">
        <v>725</v>
      </c>
      <c r="N32" s="175" t="s">
        <v>726</v>
      </c>
      <c r="O32" s="175" t="b">
        <f>AND(E8+E9+E23+E24+E32=0,E10+E25&gt;1,'شرح الحالة'!E31+'شرح الحالة'!E21&gt;0,'شرح الحالة'!E10+'شرح الحالة'!E25=2,'أدخال البيانات'!M13+'أدخال البيانات'!M14+'أدخال البيانات'!F14+'أدخال البيانات'!F15+'أدخال البيانات'!M15&lt;2,'أدخال البيانات'!M12+'أدخال البيانات'!M13+'أدخال البيانات'!M14+'أدخال البيانات'!M15+'أدخال البيانات'!F14+'أدخال البيانات'!F15&lt;2)</f>
        <v>0</v>
      </c>
      <c r="P32" s="180">
        <f>P8</f>
        <v>1</v>
      </c>
      <c r="Q32" s="180">
        <f t="shared" si="9"/>
        <v>0</v>
      </c>
      <c r="R32" s="187">
        <f>'شرح الحالة'!E10</f>
        <v>0</v>
      </c>
      <c r="S32" s="182">
        <f>IF(O32=TRUE,P32,0)</f>
        <v>0</v>
      </c>
      <c r="T32" s="183">
        <v>0</v>
      </c>
      <c r="U32" s="183">
        <f t="shared" si="10"/>
        <v>0</v>
      </c>
      <c r="V32" s="183">
        <f>(Sheet5!F62*((S32+T32)*(R32)))</f>
        <v>0</v>
      </c>
      <c r="W32" s="184" t="e">
        <f>Sheet5!G63*((S32+T32)/(R32))</f>
        <v>#DIV/0!</v>
      </c>
      <c r="X32" s="188"/>
      <c r="Y32" s="179"/>
      <c r="Z32" s="179"/>
      <c r="AA32" s="179"/>
      <c r="AB32" s="179"/>
      <c r="AC32" s="179"/>
      <c r="AD32" s="186"/>
      <c r="AE32" s="179"/>
      <c r="AF32" s="179"/>
      <c r="AG32" s="179"/>
      <c r="AH32" s="179"/>
      <c r="AI32" s="179"/>
      <c r="AJ32" s="179"/>
      <c r="AK32" s="179"/>
      <c r="AL32" s="179"/>
      <c r="AM32" s="179"/>
      <c r="AN32" s="179" t="str">
        <f t="shared" si="14"/>
        <v/>
      </c>
      <c r="AO32" s="168" t="str">
        <f t="shared" si="13"/>
        <v>لايورث</v>
      </c>
      <c r="AP32" t="b">
        <f>$AP$27</f>
        <v>0</v>
      </c>
      <c r="AV32" s="936" t="e">
        <f t="shared" si="15"/>
        <v>#N/A</v>
      </c>
      <c r="AW32" s="929" t="e">
        <f t="shared" si="16"/>
        <v>#N/A</v>
      </c>
      <c r="AX32" s="930" t="e">
        <f t="shared" si="19"/>
        <v>#N/A</v>
      </c>
      <c r="AY32" s="1025"/>
      <c r="AZ32" s="858" t="e">
        <f t="shared" si="18"/>
        <v>#N/A</v>
      </c>
      <c r="CB32">
        <f t="shared" si="7"/>
        <v>0</v>
      </c>
    </row>
    <row r="33" spans="2:89" ht="71.25" hidden="1" customHeight="1" thickTop="1" thickBot="1">
      <c r="B33" s="1234"/>
      <c r="C33" s="6">
        <v>10</v>
      </c>
      <c r="D33" s="2" t="s">
        <v>19</v>
      </c>
      <c r="E33" s="12">
        <f>'أدخال البيانات'!F65</f>
        <v>0</v>
      </c>
      <c r="H33" s="160"/>
      <c r="J33" s="310">
        <f t="shared" si="5"/>
        <v>0</v>
      </c>
      <c r="K33" s="160">
        <f t="shared" si="8"/>
        <v>25</v>
      </c>
      <c r="L33" s="310">
        <f>SUM(J8:J33)</f>
        <v>0</v>
      </c>
      <c r="M33" s="189" t="s">
        <v>54</v>
      </c>
      <c r="N33" s="175"/>
      <c r="O33" s="175"/>
      <c r="P33" s="180"/>
      <c r="Q33" s="180"/>
      <c r="R33" s="187"/>
      <c r="S33" s="182"/>
      <c r="T33" s="183"/>
      <c r="U33" s="183">
        <f t="shared" si="10"/>
        <v>0</v>
      </c>
      <c r="V33" s="183">
        <f>(Sheet5!F63*((S33+T33)*(R33)))</f>
        <v>0</v>
      </c>
      <c r="W33" s="184" t="e">
        <f>Sheet5!G64*((S33+T33)/(R33))</f>
        <v>#DIV/0!</v>
      </c>
      <c r="X33" s="188">
        <f>Sheet5!$K$35</f>
        <v>1</v>
      </c>
      <c r="Y33" s="179"/>
      <c r="Z33" s="179"/>
      <c r="AA33" s="179"/>
      <c r="AB33" s="179"/>
      <c r="AC33" s="179"/>
      <c r="AD33" s="186"/>
      <c r="AE33" s="179"/>
      <c r="AF33" s="179"/>
      <c r="AG33" s="179"/>
      <c r="AH33" s="179"/>
      <c r="AI33" s="179"/>
      <c r="AJ33" s="179"/>
      <c r="AK33" s="179"/>
      <c r="AL33" s="179"/>
      <c r="AM33" s="179"/>
      <c r="AN33" s="179" t="str">
        <f t="shared" si="14"/>
        <v/>
      </c>
      <c r="AO33" s="168" t="str">
        <f>IF(AP33=TRUE,"حقق الشرط","")</f>
        <v/>
      </c>
      <c r="AP33" t="b">
        <f>OR(O34,O35,O36,O37,O38)</f>
        <v>0</v>
      </c>
      <c r="AV33" s="936" t="e">
        <f t="shared" si="15"/>
        <v>#N/A</v>
      </c>
      <c r="AW33" s="932" t="e">
        <f t="shared" si="16"/>
        <v>#N/A</v>
      </c>
      <c r="AX33" s="930" t="e">
        <f t="shared" si="19"/>
        <v>#N/A</v>
      </c>
      <c r="AY33" s="1025"/>
      <c r="AZ33" s="858" t="e">
        <f t="shared" si="18"/>
        <v>#N/A</v>
      </c>
      <c r="CB33">
        <f t="shared" si="7"/>
        <v>0</v>
      </c>
    </row>
    <row r="34" spans="2:89" ht="71.25" hidden="1" customHeight="1" thickTop="1" thickBot="1">
      <c r="H34" s="160">
        <v>1</v>
      </c>
      <c r="J34" s="310">
        <f t="shared" si="5"/>
        <v>0</v>
      </c>
      <c r="K34" s="160">
        <f t="shared" si="8"/>
        <v>26</v>
      </c>
      <c r="L34" s="310">
        <f>SUM(J8:J34)</f>
        <v>0</v>
      </c>
      <c r="M34" s="174" t="s">
        <v>55</v>
      </c>
      <c r="N34" s="175" t="s">
        <v>5</v>
      </c>
      <c r="O34" s="175" t="b">
        <f>AND('شرح الحالة'!E8+'شرح الحالة'!E9+'شرح الحالة'!E23+'شرح الحالة'!E24+'أدخال البيانات'!F11&gt;0,'شرح الحالة'!E25=1)</f>
        <v>0</v>
      </c>
      <c r="P34" s="195">
        <f>1/6</f>
        <v>0.16666666666666666</v>
      </c>
      <c r="Q34" s="180">
        <f t="shared" si="9"/>
        <v>0</v>
      </c>
      <c r="R34" s="196">
        <f>'شرح الحالة'!E25</f>
        <v>0</v>
      </c>
      <c r="S34" s="182">
        <v>0</v>
      </c>
      <c r="T34" s="183">
        <f>IF(O34=TRUE,P34,0)</f>
        <v>0</v>
      </c>
      <c r="U34" s="183">
        <f t="shared" si="10"/>
        <v>0</v>
      </c>
      <c r="V34" s="183">
        <f>(Sheet5!F64*((S34+T34)*(R34)))</f>
        <v>0</v>
      </c>
      <c r="W34" s="184" t="e">
        <f>Sheet5!G65*((S34+T34)/(R34))</f>
        <v>#DIV/0!</v>
      </c>
      <c r="X34" s="1235">
        <f>MAX(U34:U37)</f>
        <v>0</v>
      </c>
      <c r="Y34" s="179" t="b">
        <f>AND( 'شرح الحالة'!E12+'شرح الحالة'!E13+'شرح الحالة'!E14+'شرح الحالة'!E26+'شرح الحالة'!E27+'شرح الحالة'!E28&gt;=2, 'شرح الحالة'!E8+'شرح الحالة'!E9+'شرح الحالة'!E23+'شرح الحالة'!E24=0,'شرح الحالة'!E25=1,O32=FALSE)</f>
        <v>0</v>
      </c>
      <c r="Z34" s="179"/>
      <c r="AA34" s="179"/>
      <c r="AB34" s="179"/>
      <c r="AC34" s="179"/>
      <c r="AD34" s="186"/>
      <c r="AE34" s="179"/>
      <c r="AF34" s="179"/>
      <c r="AG34" s="179"/>
      <c r="AH34" s="179"/>
      <c r="AI34" s="179"/>
      <c r="AJ34" s="179"/>
      <c r="AK34" s="179"/>
      <c r="AL34" s="179"/>
      <c r="AM34" s="179"/>
      <c r="AN34" s="179" t="str">
        <f t="shared" si="14"/>
        <v/>
      </c>
      <c r="AO34" s="168" t="str">
        <f t="shared" si="13"/>
        <v>لايورث</v>
      </c>
      <c r="AP34" t="b">
        <f>$AP$33</f>
        <v>0</v>
      </c>
      <c r="AV34" s="936" t="e">
        <f t="shared" si="15"/>
        <v>#N/A</v>
      </c>
      <c r="AW34" s="929" t="e">
        <f t="shared" si="16"/>
        <v>#N/A</v>
      </c>
      <c r="AX34" s="930" t="e">
        <f t="shared" si="19"/>
        <v>#N/A</v>
      </c>
      <c r="AY34" s="1025"/>
      <c r="AZ34" s="858" t="e">
        <f t="shared" si="18"/>
        <v>#N/A</v>
      </c>
      <c r="CB34">
        <f t="shared" si="7"/>
        <v>0</v>
      </c>
      <c r="CF34">
        <f>SUM( CB34+CB35+CB36+CB37)</f>
        <v>0</v>
      </c>
    </row>
    <row r="35" spans="2:89" ht="71.25" hidden="1" customHeight="1" thickTop="1" thickBot="1">
      <c r="E35" s="8">
        <f>SUM('شرح الحالة'!E23:E33)</f>
        <v>0</v>
      </c>
      <c r="H35" s="160">
        <v>2</v>
      </c>
      <c r="J35" s="310">
        <f t="shared" si="5"/>
        <v>0</v>
      </c>
      <c r="K35" s="160">
        <f t="shared" si="8"/>
        <v>27</v>
      </c>
      <c r="L35" s="310">
        <f>SUM(J8:J35)</f>
        <v>0</v>
      </c>
      <c r="M35" s="174" t="s">
        <v>139</v>
      </c>
      <c r="N35" s="175" t="s">
        <v>5</v>
      </c>
      <c r="O35" s="175" t="b">
        <f>AND('شرح الحالة'!E8+'شرح الحالة'!E9+'شرح الحالة'!E23+'شرح الحالة'!E24=0,'شرح الحالة'!E13+'شرح الحالة'!E12+'شرح الحالة'!E14+'شرح الحالة'!E26+'شرح الحالة'!E27+'شرح الحالة'!E28&gt;=2,'شرح الحالة'!E25=1,O37=FALSE,O37=FALSE,O34=FALSE)</f>
        <v>0</v>
      </c>
      <c r="P35" s="195">
        <f>0.166666666666667</f>
        <v>0.16666666666666699</v>
      </c>
      <c r="Q35" s="180">
        <f t="shared" si="9"/>
        <v>0</v>
      </c>
      <c r="R35" s="196">
        <f>'شرح الحالة'!E25</f>
        <v>0</v>
      </c>
      <c r="S35" s="182">
        <v>0</v>
      </c>
      <c r="T35" s="183">
        <f>IF(O35=TRUE,P35,0)</f>
        <v>0</v>
      </c>
      <c r="U35" s="183">
        <f>IF(R35*Q35=0,0,V35+W35)</f>
        <v>0</v>
      </c>
      <c r="V35" s="183">
        <f>(Sheet5!F65*((S35+T35)*(R35)))</f>
        <v>0</v>
      </c>
      <c r="W35" s="184" t="e">
        <f>Sheet5!G66*((S35+T35)/(R35))</f>
        <v>#DIV/0!</v>
      </c>
      <c r="X35" s="1235"/>
      <c r="Y35" s="179">
        <f>IF(Q34+Q35+Q36=0,0,Y36)</f>
        <v>0</v>
      </c>
      <c r="Z35" s="179"/>
      <c r="AA35" s="179"/>
      <c r="AB35" s="179"/>
      <c r="AC35" s="179"/>
      <c r="AD35" s="186"/>
      <c r="AE35" s="179"/>
      <c r="AF35" s="179"/>
      <c r="AG35" s="179"/>
      <c r="AH35" s="179"/>
      <c r="AI35" s="179"/>
      <c r="AJ35" s="179"/>
      <c r="AK35" s="179"/>
      <c r="AL35" s="179"/>
      <c r="AM35" s="179"/>
      <c r="AN35" s="179" t="str">
        <f t="shared" si="14"/>
        <v/>
      </c>
      <c r="AO35" s="168" t="str">
        <f t="shared" si="13"/>
        <v>لايورث</v>
      </c>
      <c r="AP35" t="b">
        <f>$AP$33</f>
        <v>0</v>
      </c>
      <c r="AV35" s="936" t="e">
        <f t="shared" si="15"/>
        <v>#N/A</v>
      </c>
      <c r="AW35" s="932" t="e">
        <f t="shared" si="16"/>
        <v>#N/A</v>
      </c>
      <c r="AX35" s="930" t="e">
        <f t="shared" si="19"/>
        <v>#N/A</v>
      </c>
      <c r="AY35" s="1025"/>
      <c r="AZ35" s="858" t="e">
        <f t="shared" si="18"/>
        <v>#N/A</v>
      </c>
      <c r="CB35">
        <f t="shared" si="7"/>
        <v>0</v>
      </c>
      <c r="CG35" s="293" t="s">
        <v>114</v>
      </c>
      <c r="CH35" s="293"/>
      <c r="CI35" s="293"/>
      <c r="CK35" s="297"/>
    </row>
    <row r="36" spans="2:89" ht="71.25" hidden="1" customHeight="1" thickTop="1" thickBot="1">
      <c r="H36" s="160">
        <v>3</v>
      </c>
      <c r="J36" s="310">
        <f t="shared" si="5"/>
        <v>0</v>
      </c>
      <c r="K36" s="160">
        <f t="shared" si="8"/>
        <v>28</v>
      </c>
      <c r="L36" s="310">
        <f>SUM(J8:J36)</f>
        <v>0</v>
      </c>
      <c r="M36" s="174" t="s">
        <v>56</v>
      </c>
      <c r="N36" s="175" t="s">
        <v>29</v>
      </c>
      <c r="O36" s="175" t="b">
        <f>AND('أدخال البيانات'!M13+'أدخال البيانات'!M12+'أدخال البيانات'!F15+'أدخال البيانات'!F14+'أدخال البيانات'!M15+'أدخال البيانات'!M14&lt;2, 'شرح الحالة'!E8+'شرح الحالة'!E9+'شرح الحالة'!E23+'شرح الحالة'!E24=0,'شرح الحالة'!E25=1,O32=FALSE,O35=FALSE,'أدخال البيانات'!F11=0)</f>
        <v>0</v>
      </c>
      <c r="P36" s="195">
        <f>IF(AQ55=TRUE,2/9,1/3)</f>
        <v>0.33333333333333331</v>
      </c>
      <c r="Q36" s="180">
        <f t="shared" si="9"/>
        <v>0</v>
      </c>
      <c r="R36" s="196">
        <f>'شرح الحالة'!E25</f>
        <v>0</v>
      </c>
      <c r="S36" s="182">
        <v>0</v>
      </c>
      <c r="T36" s="183">
        <f>IF(O36=TRUE,P36,0)</f>
        <v>0</v>
      </c>
      <c r="U36" s="183">
        <f t="shared" si="10"/>
        <v>0</v>
      </c>
      <c r="V36" s="183">
        <f>(Sheet5!F66*((S36+T36)*(R36)))</f>
        <v>0</v>
      </c>
      <c r="W36" s="184" t="e">
        <f>Sheet5!G67*((S36+T36)/(R36))</f>
        <v>#DIV/0!</v>
      </c>
      <c r="X36" s="1235"/>
      <c r="Y36" s="179" t="e">
        <f>MAX(W34:W37)</f>
        <v>#DIV/0!</v>
      </c>
      <c r="Z36" s="179"/>
      <c r="AA36" s="179"/>
      <c r="AB36" s="179"/>
      <c r="AC36" s="179"/>
      <c r="AD36" s="186"/>
      <c r="AE36" s="179"/>
      <c r="AF36" s="179"/>
      <c r="AG36" s="179"/>
      <c r="AH36" s="179"/>
      <c r="AI36" s="179"/>
      <c r="AJ36" s="179"/>
      <c r="AK36" s="179"/>
      <c r="AL36" s="179"/>
      <c r="AM36" s="179"/>
      <c r="AN36" s="179" t="str">
        <f t="shared" si="14"/>
        <v/>
      </c>
      <c r="AO36" s="168" t="str">
        <f t="shared" si="13"/>
        <v>لايورث</v>
      </c>
      <c r="AP36" t="b">
        <f>$AP$33</f>
        <v>0</v>
      </c>
      <c r="AV36" s="936" t="e">
        <f t="shared" si="15"/>
        <v>#N/A</v>
      </c>
      <c r="AW36" s="929" t="e">
        <f t="shared" si="16"/>
        <v>#N/A</v>
      </c>
      <c r="AX36" s="930" t="e">
        <f t="shared" si="19"/>
        <v>#N/A</v>
      </c>
      <c r="AY36" s="1025"/>
      <c r="AZ36" s="858" t="e">
        <f t="shared" si="18"/>
        <v>#N/A</v>
      </c>
      <c r="CB36">
        <f t="shared" si="7"/>
        <v>0</v>
      </c>
      <c r="CG36" s="293"/>
      <c r="CH36" s="293"/>
      <c r="CI36" s="293"/>
      <c r="CK36" s="297"/>
    </row>
    <row r="37" spans="2:89" ht="71.25" hidden="1" customHeight="1" thickTop="1" thickBot="1">
      <c r="H37" s="160" t="s">
        <v>88</v>
      </c>
      <c r="J37" s="310">
        <f t="shared" si="5"/>
        <v>0</v>
      </c>
      <c r="K37" s="160">
        <f t="shared" si="8"/>
        <v>29</v>
      </c>
      <c r="L37" s="310">
        <f>SUM(J8:J37)</f>
        <v>0</v>
      </c>
      <c r="M37" s="174" t="s">
        <v>727</v>
      </c>
      <c r="N37" s="175" t="s">
        <v>728</v>
      </c>
      <c r="O37" s="175" t="b">
        <f>AND(O32=TRUE,O32=TRUE,'شرح الحالة'!E31+'شرح الحالة'!E21&gt;0,'شرح الحالة'!E10+'شرح الحالة'!E25=2,O32=TRUE,'أدخال البيانات'!F14+'أدخال البيانات'!F15+'أدخال البيانات'!M12+'أدخال البيانات'!M13+'أدخال البيانات'!M14+'أدخال البيانات'!M15&lt;=1)</f>
        <v>0</v>
      </c>
      <c r="P37" s="180">
        <f>P7</f>
        <v>0.5</v>
      </c>
      <c r="Q37" s="180">
        <f t="shared" si="9"/>
        <v>0</v>
      </c>
      <c r="R37" s="187">
        <f>'شرح الحالة'!E25</f>
        <v>0</v>
      </c>
      <c r="S37" s="182">
        <f>IF(O37=TRUE,P37,0)</f>
        <v>0</v>
      </c>
      <c r="T37" s="183">
        <v>0</v>
      </c>
      <c r="U37" s="183">
        <f t="shared" si="10"/>
        <v>0</v>
      </c>
      <c r="V37" s="183">
        <f>(Sheet5!F67*((S37+T37)*(R37)))</f>
        <v>0</v>
      </c>
      <c r="W37" s="184" t="e">
        <f>Sheet5!G68*((S37+T37)/(R37))</f>
        <v>#DIV/0!</v>
      </c>
      <c r="X37" s="1235"/>
      <c r="Y37" s="179"/>
      <c r="Z37" s="179"/>
      <c r="AA37" s="179"/>
      <c r="AB37" s="179"/>
      <c r="AC37" s="179"/>
      <c r="AD37" s="186"/>
      <c r="AE37" s="179"/>
      <c r="AF37" s="179"/>
      <c r="AG37" s="179"/>
      <c r="AH37" s="179"/>
      <c r="AI37" s="179"/>
      <c r="AJ37" s="179"/>
      <c r="AK37" s="179"/>
      <c r="AL37" s="179"/>
      <c r="AM37" s="179"/>
      <c r="AN37" s="179" t="str">
        <f t="shared" si="14"/>
        <v/>
      </c>
      <c r="AO37" s="168" t="str">
        <f t="shared" si="13"/>
        <v>لايورث</v>
      </c>
      <c r="AP37" t="b">
        <f>$AP$33</f>
        <v>0</v>
      </c>
      <c r="AV37" s="937" t="e">
        <f t="shared" si="15"/>
        <v>#N/A</v>
      </c>
      <c r="AW37" s="932" t="e">
        <f t="shared" si="16"/>
        <v>#N/A</v>
      </c>
      <c r="AX37" s="930" t="e">
        <f t="shared" si="19"/>
        <v>#N/A</v>
      </c>
      <c r="AY37" s="1025"/>
      <c r="AZ37" s="924" t="e">
        <f t="shared" si="18"/>
        <v>#N/A</v>
      </c>
      <c r="CB37">
        <f t="shared" si="7"/>
        <v>0</v>
      </c>
      <c r="CG37" s="293"/>
      <c r="CH37" s="293"/>
      <c r="CI37" s="293"/>
      <c r="CK37" s="297"/>
    </row>
    <row r="38" spans="2:89" ht="71.25" hidden="1" customHeight="1" thickTop="1" thickBot="1">
      <c r="H38" s="160"/>
      <c r="J38" s="310">
        <f t="shared" si="5"/>
        <v>0</v>
      </c>
      <c r="K38" s="160">
        <f t="shared" si="8"/>
        <v>30</v>
      </c>
      <c r="L38" s="310">
        <f>SUM(J8:J38)</f>
        <v>0</v>
      </c>
      <c r="M38" s="189" t="s">
        <v>58</v>
      </c>
      <c r="N38" s="175" t="s">
        <v>57</v>
      </c>
      <c r="O38" s="175"/>
      <c r="P38" s="180"/>
      <c r="Q38" s="180"/>
      <c r="R38" s="187"/>
      <c r="S38" s="182"/>
      <c r="T38" s="183"/>
      <c r="U38" s="183">
        <f t="shared" si="10"/>
        <v>0</v>
      </c>
      <c r="V38" s="183">
        <f>(Sheet5!F68*((S38+T38)*(R38)))</f>
        <v>0</v>
      </c>
      <c r="W38" s="184" t="e">
        <f>Sheet5!G69*((S38+T38)/(R38))</f>
        <v>#DIV/0!</v>
      </c>
      <c r="X38" s="188">
        <f>Sheet5!$K$35</f>
        <v>1</v>
      </c>
      <c r="Y38" s="179"/>
      <c r="Z38" s="179"/>
      <c r="AA38" s="179"/>
      <c r="AB38" s="179"/>
      <c r="AC38" s="179"/>
      <c r="AD38" s="186"/>
      <c r="AE38" s="179"/>
      <c r="AF38" s="179"/>
      <c r="AG38" s="179"/>
      <c r="AH38" s="179"/>
      <c r="AI38" s="179"/>
      <c r="AJ38" s="179"/>
      <c r="AK38" s="179"/>
      <c r="AL38" s="179"/>
      <c r="AM38" s="179"/>
      <c r="AN38" s="179" t="str">
        <f t="shared" si="14"/>
        <v/>
      </c>
      <c r="AO38" s="168" t="str">
        <f t="shared" si="13"/>
        <v>لايورث</v>
      </c>
      <c r="AP38" t="b">
        <f>$AP$33</f>
        <v>0</v>
      </c>
      <c r="AV38" s="938" t="e">
        <f t="shared" si="15"/>
        <v>#N/A</v>
      </c>
      <c r="AW38" s="929" t="e">
        <f t="shared" si="16"/>
        <v>#N/A</v>
      </c>
      <c r="AX38" s="930" t="e">
        <f t="shared" si="19"/>
        <v>#N/A</v>
      </c>
      <c r="AY38" s="1026"/>
      <c r="AZ38" s="925" t="e">
        <f t="shared" si="18"/>
        <v>#N/A</v>
      </c>
      <c r="CB38">
        <f t="shared" si="7"/>
        <v>0</v>
      </c>
      <c r="CG38" s="293"/>
      <c r="CH38" s="293"/>
      <c r="CI38" s="293"/>
      <c r="CK38" s="297"/>
    </row>
    <row r="39" spans="2:89" ht="71.25" hidden="1" customHeight="1" thickTop="1" thickBot="1">
      <c r="H39" s="162"/>
      <c r="J39" s="310">
        <f t="shared" si="5"/>
        <v>0</v>
      </c>
      <c r="K39" s="160">
        <f t="shared" si="8"/>
        <v>31</v>
      </c>
      <c r="L39" s="310">
        <f>SUM(J8:J39)</f>
        <v>0</v>
      </c>
      <c r="M39" s="198"/>
      <c r="N39" s="167"/>
      <c r="O39" s="167"/>
      <c r="P39" s="180"/>
      <c r="Q39" s="180"/>
      <c r="R39" s="187"/>
      <c r="S39" s="182"/>
      <c r="T39" s="183"/>
      <c r="U39" s="183">
        <f t="shared" si="10"/>
        <v>0</v>
      </c>
      <c r="V39" s="183">
        <f>(Sheet5!F69*((S39+T39)*(R39)))</f>
        <v>0</v>
      </c>
      <c r="W39" s="184" t="e">
        <f>Sheet5!G70*((S39+T39)/(R39))</f>
        <v>#DIV/0!</v>
      </c>
      <c r="X39" s="188"/>
      <c r="Y39" s="179"/>
      <c r="Z39" s="179"/>
      <c r="AA39" s="179"/>
      <c r="AB39" s="179"/>
      <c r="AC39" s="179"/>
      <c r="AD39" s="186"/>
      <c r="AE39" s="179"/>
      <c r="AF39" s="179"/>
      <c r="AG39" s="179"/>
      <c r="AH39" s="179"/>
      <c r="AI39" s="179"/>
      <c r="AJ39" s="179"/>
      <c r="AK39" s="179"/>
      <c r="AL39" s="179"/>
      <c r="AM39" s="179"/>
      <c r="AN39" s="179" t="str">
        <f t="shared" si="14"/>
        <v/>
      </c>
      <c r="AO39" s="168" t="str">
        <f t="shared" si="13"/>
        <v>لايورث</v>
      </c>
      <c r="AV39" s="928" t="e">
        <f t="shared" si="15"/>
        <v>#N/A</v>
      </c>
      <c r="AW39" s="929" t="e">
        <f t="shared" si="16"/>
        <v>#N/A</v>
      </c>
      <c r="AX39" s="930" t="e">
        <f t="shared" si="19"/>
        <v>#N/A</v>
      </c>
      <c r="AY39" s="1025"/>
      <c r="AZ39" s="926" t="e">
        <f t="shared" si="18"/>
        <v>#N/A</v>
      </c>
      <c r="CB39">
        <f t="shared" si="7"/>
        <v>0</v>
      </c>
      <c r="CG39" s="293"/>
      <c r="CH39" s="293"/>
      <c r="CI39" s="293"/>
      <c r="CK39" s="297"/>
    </row>
    <row r="40" spans="2:89" ht="71.25" hidden="1" customHeight="1" thickTop="1" thickBot="1">
      <c r="H40" s="162"/>
      <c r="J40" s="310">
        <f t="shared" si="5"/>
        <v>0</v>
      </c>
      <c r="K40" s="160">
        <f t="shared" si="8"/>
        <v>32</v>
      </c>
      <c r="L40" s="310">
        <f>SUM(J8:J40)</f>
        <v>0</v>
      </c>
      <c r="M40" s="198"/>
      <c r="N40" s="167"/>
      <c r="O40" s="167"/>
      <c r="P40" s="180"/>
      <c r="Q40" s="180"/>
      <c r="R40" s="187"/>
      <c r="S40" s="182"/>
      <c r="T40" s="183"/>
      <c r="U40" s="183">
        <f t="shared" si="10"/>
        <v>0</v>
      </c>
      <c r="V40" s="183">
        <f>(Sheet5!F70*((S40+T40)*(R40)))</f>
        <v>0</v>
      </c>
      <c r="W40" s="184" t="e">
        <f>Sheet5!G71*((S40+T40)/(R40))</f>
        <v>#DIV/0!</v>
      </c>
      <c r="X40" s="188"/>
      <c r="Y40" s="179"/>
      <c r="Z40" s="179"/>
      <c r="AA40" s="179"/>
      <c r="AB40" s="179"/>
      <c r="AC40" s="179"/>
      <c r="AD40" s="186"/>
      <c r="AE40" s="179"/>
      <c r="AF40" s="179"/>
      <c r="AG40" s="179"/>
      <c r="AH40" s="179"/>
      <c r="AI40" s="179"/>
      <c r="AJ40" s="179"/>
      <c r="AK40" s="179"/>
      <c r="AL40" s="179"/>
      <c r="AM40" s="179"/>
      <c r="AN40" s="179" t="str">
        <f t="shared" si="14"/>
        <v/>
      </c>
      <c r="AO40" s="168" t="str">
        <f t="shared" si="13"/>
        <v>لايورث</v>
      </c>
      <c r="AV40" s="931" t="e">
        <f t="shared" si="15"/>
        <v>#N/A</v>
      </c>
      <c r="AW40" s="932" t="e">
        <f t="shared" si="16"/>
        <v>#N/A</v>
      </c>
      <c r="AX40" s="930" t="e">
        <f t="shared" si="19"/>
        <v>#N/A</v>
      </c>
      <c r="AY40" s="1025"/>
      <c r="AZ40" s="854" t="e">
        <f t="shared" si="18"/>
        <v>#N/A</v>
      </c>
      <c r="CB40">
        <f t="shared" si="7"/>
        <v>0</v>
      </c>
      <c r="CG40" s="293"/>
      <c r="CH40" s="293"/>
      <c r="CI40" s="293"/>
      <c r="CK40" s="297"/>
    </row>
    <row r="41" spans="2:89" ht="71.25" hidden="1" customHeight="1" thickTop="1" thickBot="1">
      <c r="H41" s="160"/>
      <c r="J41" s="310">
        <f t="shared" si="5"/>
        <v>0</v>
      </c>
      <c r="K41" s="160">
        <f t="shared" si="8"/>
        <v>33</v>
      </c>
      <c r="L41" s="310">
        <f>SUM(J8:J41)</f>
        <v>0</v>
      </c>
      <c r="M41" s="174"/>
      <c r="N41" s="175"/>
      <c r="O41" s="175"/>
      <c r="P41" s="180"/>
      <c r="Q41" s="180"/>
      <c r="R41" s="187"/>
      <c r="S41" s="182"/>
      <c r="T41" s="183"/>
      <c r="U41" s="183">
        <f t="shared" si="10"/>
        <v>0</v>
      </c>
      <c r="V41" s="183">
        <f>(Sheet5!F71*((S41+T41)*(R41)))</f>
        <v>0</v>
      </c>
      <c r="W41" s="184" t="e">
        <f>Sheet5!G72*((S41+T41)/(R41))</f>
        <v>#DIV/0!</v>
      </c>
      <c r="X41" s="188"/>
      <c r="Y41" s="179"/>
      <c r="Z41" s="179"/>
      <c r="AA41" s="179"/>
      <c r="AB41" s="179"/>
      <c r="AC41" s="179"/>
      <c r="AD41" s="186"/>
      <c r="AE41" s="179"/>
      <c r="AF41" s="179"/>
      <c r="AG41" s="179"/>
      <c r="AH41" s="179"/>
      <c r="AI41" s="179"/>
      <c r="AJ41" s="179"/>
      <c r="AK41" s="179"/>
      <c r="AL41" s="179"/>
      <c r="AM41" s="179"/>
      <c r="AN41" s="179" t="str">
        <f t="shared" si="14"/>
        <v/>
      </c>
      <c r="AO41" s="168" t="str">
        <f t="shared" si="13"/>
        <v>لايورث</v>
      </c>
      <c r="AV41" s="933" t="e">
        <f t="shared" si="15"/>
        <v>#N/A</v>
      </c>
      <c r="AW41" s="929" t="e">
        <f t="shared" si="16"/>
        <v>#N/A</v>
      </c>
      <c r="AX41" s="930" t="e">
        <f t="shared" si="19"/>
        <v>#N/A</v>
      </c>
      <c r="AY41" s="1025"/>
      <c r="AZ41" s="927" t="e">
        <f t="shared" si="18"/>
        <v>#N/A</v>
      </c>
      <c r="CB41">
        <f t="shared" si="7"/>
        <v>0</v>
      </c>
      <c r="CG41" s="293"/>
      <c r="CH41" s="293"/>
      <c r="CI41" s="293"/>
      <c r="CK41" s="297"/>
    </row>
    <row r="42" spans="2:89" ht="71.25" hidden="1" customHeight="1" thickTop="1" thickBot="1">
      <c r="H42" s="160"/>
      <c r="J42" s="310">
        <f t="shared" si="5"/>
        <v>0</v>
      </c>
      <c r="K42" s="160">
        <f t="shared" si="8"/>
        <v>34</v>
      </c>
      <c r="L42" s="310">
        <f>SUM(J8:J42)</f>
        <v>0</v>
      </c>
      <c r="M42" s="189" t="s">
        <v>146</v>
      </c>
      <c r="N42" s="175"/>
      <c r="O42" s="175"/>
      <c r="P42" s="180"/>
      <c r="Q42" s="180"/>
      <c r="R42" s="187"/>
      <c r="S42" s="182"/>
      <c r="T42" s="183"/>
      <c r="U42" s="183">
        <f t="shared" si="10"/>
        <v>0</v>
      </c>
      <c r="V42" s="183">
        <f>(Sheet5!F72*((S42+T42)*(R42)))</f>
        <v>0</v>
      </c>
      <c r="W42" s="184" t="e">
        <f>Sheet5!G73*((S42+T42)/(R42))</f>
        <v>#DIV/0!</v>
      </c>
      <c r="X42" s="188"/>
      <c r="Y42" s="179"/>
      <c r="Z42" s="179"/>
      <c r="AA42" s="179"/>
      <c r="AB42" s="179"/>
      <c r="AC42" s="179"/>
      <c r="AD42" s="186"/>
      <c r="AE42" s="179"/>
      <c r="AF42" s="179"/>
      <c r="AG42" s="179"/>
      <c r="AH42" s="179"/>
      <c r="AI42" s="179"/>
      <c r="AJ42" s="179"/>
      <c r="AK42" s="179"/>
      <c r="AL42" s="179"/>
      <c r="AM42" s="179"/>
      <c r="AN42" s="179" t="str">
        <f t="shared" si="14"/>
        <v/>
      </c>
      <c r="AO42" s="168" t="str">
        <f>IF(AP42=TRUE,"حقق الشرط","")</f>
        <v/>
      </c>
      <c r="AP42" t="b">
        <f>OR(O43,O44,O45 )</f>
        <v>0</v>
      </c>
      <c r="AV42" s="934" t="e">
        <f t="shared" si="15"/>
        <v>#N/A</v>
      </c>
      <c r="AW42" s="932" t="e">
        <f t="shared" si="16"/>
        <v>#N/A</v>
      </c>
      <c r="AX42" s="930" t="e">
        <f t="shared" si="19"/>
        <v>#N/A</v>
      </c>
      <c r="AY42" s="1025"/>
      <c r="AZ42" s="855" t="e">
        <f t="shared" si="18"/>
        <v>#N/A</v>
      </c>
      <c r="CB42">
        <f t="shared" ref="CB42:CB74" si="20">IF(O42=TRUE,P42,0)</f>
        <v>0</v>
      </c>
      <c r="CG42" s="293"/>
      <c r="CH42" s="293"/>
      <c r="CI42" s="293"/>
      <c r="CK42" s="297"/>
    </row>
    <row r="43" spans="2:89" ht="71.25" hidden="1" customHeight="1" thickTop="1" thickBot="1">
      <c r="H43" s="160">
        <v>1</v>
      </c>
      <c r="J43" s="310">
        <f t="shared" si="5"/>
        <v>0</v>
      </c>
      <c r="K43" s="160">
        <f t="shared" si="8"/>
        <v>35</v>
      </c>
      <c r="L43" s="310">
        <f>SUM(J8:J43)</f>
        <v>0</v>
      </c>
      <c r="M43" s="174" t="s">
        <v>539</v>
      </c>
      <c r="N43" s="175" t="s">
        <v>30</v>
      </c>
      <c r="O43" s="175" t="b">
        <f>AND('شرح الحالة'!E8+'شرح الحالة'!E9+'شرح الحالة'!E23+'شرح الحالة'!E24+E32=0,'شرح الحالة'!E21&gt;=1)</f>
        <v>0</v>
      </c>
      <c r="P43" s="195">
        <f>IF(AQ55=TRUE,3/9,1/2)</f>
        <v>0.5</v>
      </c>
      <c r="Q43" s="180">
        <f t="shared" si="9"/>
        <v>0</v>
      </c>
      <c r="R43" s="196">
        <f>'شرح الحالة'!E21</f>
        <v>0</v>
      </c>
      <c r="S43" s="182">
        <v>0</v>
      </c>
      <c r="T43" s="183">
        <f>IF(O43=TRUE,P43,0)</f>
        <v>0</v>
      </c>
      <c r="U43" s="183">
        <f>IF(R43*Q43=0,0,V43)</f>
        <v>0</v>
      </c>
      <c r="V43" s="183">
        <f>(Sheet5!F73*((S43+T43)*(R43)))</f>
        <v>0</v>
      </c>
      <c r="W43" s="184">
        <v>0</v>
      </c>
      <c r="X43" s="1235">
        <f>MAX(U43:U44)</f>
        <v>0</v>
      </c>
      <c r="Y43" s="179">
        <f>Sheet5!$I$30</f>
        <v>1</v>
      </c>
      <c r="Z43" s="185">
        <f>MAX(T43:T44)</f>
        <v>0</v>
      </c>
      <c r="AA43" s="179"/>
      <c r="AB43" s="179"/>
      <c r="AC43" s="179"/>
      <c r="AD43" s="186"/>
      <c r="AE43" s="179"/>
      <c r="AF43" s="179"/>
      <c r="AG43" s="179"/>
      <c r="AH43" s="179"/>
      <c r="AI43" s="179"/>
      <c r="AJ43" s="179"/>
      <c r="AK43" s="179"/>
      <c r="AL43" s="179"/>
      <c r="AM43" s="179"/>
      <c r="AN43" s="179" t="str">
        <f t="shared" si="14"/>
        <v/>
      </c>
      <c r="AO43" s="168" t="str">
        <f t="shared" si="13"/>
        <v>لايورث</v>
      </c>
      <c r="AP43" t="str">
        <f>M42</f>
        <v>الزوج</v>
      </c>
      <c r="AV43" s="934" t="e">
        <f t="shared" si="15"/>
        <v>#N/A</v>
      </c>
      <c r="AW43" s="929" t="e">
        <f t="shared" si="16"/>
        <v>#N/A</v>
      </c>
      <c r="AX43" s="930" t="e">
        <f t="shared" si="19"/>
        <v>#N/A</v>
      </c>
      <c r="AY43" s="1025"/>
      <c r="AZ43" s="855" t="e">
        <f t="shared" si="18"/>
        <v>#N/A</v>
      </c>
      <c r="CB43">
        <f t="shared" si="20"/>
        <v>0</v>
      </c>
      <c r="CF43">
        <f>SUM(CB43:CB45)</f>
        <v>0</v>
      </c>
      <c r="CG43" s="293"/>
      <c r="CH43" s="293"/>
      <c r="CI43" s="293"/>
      <c r="CK43" s="297"/>
    </row>
    <row r="44" spans="2:89" ht="71.25" hidden="1" customHeight="1" thickTop="1" thickBot="1">
      <c r="H44" s="160">
        <v>2</v>
      </c>
      <c r="J44" s="310">
        <f t="shared" si="5"/>
        <v>0</v>
      </c>
      <c r="K44" s="160">
        <f t="shared" si="8"/>
        <v>36</v>
      </c>
      <c r="L44" s="310">
        <f>SUM(J8:J44)</f>
        <v>0</v>
      </c>
      <c r="M44" s="174" t="s">
        <v>60</v>
      </c>
      <c r="N44" s="175" t="s">
        <v>27</v>
      </c>
      <c r="O44" s="175" t="b">
        <f>AND('شرح الحالة'!E8+'شرح الحالة'!E9+'شرح الحالة'!E23+'شرح الحالة'!E24+E32&gt;0,'أدخال البيانات'!F22&gt;0)</f>
        <v>0</v>
      </c>
      <c r="P44" s="195">
        <f>0.25</f>
        <v>0.25</v>
      </c>
      <c r="Q44" s="180">
        <f t="shared" si="9"/>
        <v>0</v>
      </c>
      <c r="R44" s="196">
        <f>'شرح الحالة'!E21</f>
        <v>0</v>
      </c>
      <c r="S44" s="182">
        <v>0</v>
      </c>
      <c r="T44" s="183">
        <f>IF(O44=TRUE,P44,0)</f>
        <v>0</v>
      </c>
      <c r="U44" s="183">
        <f>IF(R44*Q44=0,0,V44)</f>
        <v>0</v>
      </c>
      <c r="V44" s="183">
        <f>(Y44*((S44+T44)*(R44)))</f>
        <v>0</v>
      </c>
      <c r="W44" s="184">
        <v>0</v>
      </c>
      <c r="X44" s="1235"/>
      <c r="Y44" s="179">
        <f>IF('أدخال البيانات'!E6="تعول على",Y43,Sheet5!F41)</f>
        <v>1</v>
      </c>
      <c r="Z44" s="179"/>
      <c r="AA44" s="179"/>
      <c r="AB44" s="179"/>
      <c r="AC44" s="179"/>
      <c r="AD44" s="186"/>
      <c r="AE44" s="179"/>
      <c r="AF44" s="179"/>
      <c r="AG44" s="179"/>
      <c r="AH44" s="179"/>
      <c r="AI44" s="179"/>
      <c r="AJ44" s="179"/>
      <c r="AK44" s="179"/>
      <c r="AL44" s="179"/>
      <c r="AM44" s="179"/>
      <c r="AN44" s="179" t="str">
        <f t="shared" si="14"/>
        <v/>
      </c>
      <c r="AO44" s="168" t="str">
        <f t="shared" si="13"/>
        <v>لايورث</v>
      </c>
      <c r="AP44" t="b">
        <f>$AP$42</f>
        <v>0</v>
      </c>
      <c r="AV44" s="935" t="e">
        <f t="shared" si="15"/>
        <v>#N/A</v>
      </c>
      <c r="AW44" s="932" t="e">
        <f t="shared" si="16"/>
        <v>#N/A</v>
      </c>
      <c r="AX44" s="930" t="e">
        <f t="shared" si="19"/>
        <v>#N/A</v>
      </c>
      <c r="AY44" s="1025"/>
      <c r="AZ44" s="857" t="e">
        <f t="shared" si="18"/>
        <v>#N/A</v>
      </c>
      <c r="CB44">
        <f t="shared" si="20"/>
        <v>0</v>
      </c>
      <c r="CG44" s="293"/>
      <c r="CH44" s="293"/>
      <c r="CI44" s="293"/>
      <c r="CK44" s="297"/>
    </row>
    <row r="45" spans="2:89" ht="71.25" hidden="1" customHeight="1" thickTop="1" thickBot="1">
      <c r="H45" s="160"/>
      <c r="J45" s="310">
        <f t="shared" si="5"/>
        <v>0</v>
      </c>
      <c r="K45" s="160">
        <f t="shared" si="8"/>
        <v>37</v>
      </c>
      <c r="L45" s="310">
        <f>SUM(J8:J45)</f>
        <v>0</v>
      </c>
      <c r="M45" s="174"/>
      <c r="N45" s="175"/>
      <c r="O45" s="175"/>
      <c r="P45" s="180"/>
      <c r="Q45" s="180"/>
      <c r="R45" s="187"/>
      <c r="S45" s="182"/>
      <c r="T45" s="183"/>
      <c r="U45" s="183">
        <f t="shared" si="10"/>
        <v>0</v>
      </c>
      <c r="V45" s="183">
        <f>(Sheet5!F75*((S45+T45)*(R45)))</f>
        <v>0</v>
      </c>
      <c r="W45" s="184" t="e">
        <f>Sheet5!G76*((S45+T45)/(R45))</f>
        <v>#DIV/0!</v>
      </c>
      <c r="X45" s="188"/>
      <c r="Y45" s="179"/>
      <c r="Z45" s="179"/>
      <c r="AA45" s="179"/>
      <c r="AB45" s="179"/>
      <c r="AC45" s="179"/>
      <c r="AD45" s="186"/>
      <c r="AE45" s="179"/>
      <c r="AF45" s="179"/>
      <c r="AG45" s="179"/>
      <c r="AH45" s="179"/>
      <c r="AI45" s="179"/>
      <c r="AJ45" s="179"/>
      <c r="AK45" s="179"/>
      <c r="AL45" s="179"/>
      <c r="AM45" s="179"/>
      <c r="AN45" s="179" t="str">
        <f t="shared" si="14"/>
        <v/>
      </c>
      <c r="AO45" s="168" t="str">
        <f t="shared" si="13"/>
        <v>لايورث</v>
      </c>
      <c r="AV45" s="935" t="e">
        <f t="shared" si="15"/>
        <v>#N/A</v>
      </c>
      <c r="AW45" s="929" t="e">
        <f t="shared" si="16"/>
        <v>#N/A</v>
      </c>
      <c r="AX45" s="930" t="e">
        <f t="shared" si="19"/>
        <v>#N/A</v>
      </c>
      <c r="AY45" s="1025"/>
      <c r="AZ45" s="857" t="e">
        <f t="shared" si="18"/>
        <v>#N/A</v>
      </c>
      <c r="CB45">
        <f t="shared" si="20"/>
        <v>0</v>
      </c>
      <c r="CG45" s="293"/>
      <c r="CH45" s="293"/>
      <c r="CI45" s="293"/>
      <c r="CK45" s="297"/>
    </row>
    <row r="46" spans="2:89" ht="71.25" hidden="1" customHeight="1" thickTop="1" thickBot="1">
      <c r="H46" s="160"/>
      <c r="J46" s="310">
        <f t="shared" si="5"/>
        <v>0</v>
      </c>
      <c r="K46" s="160">
        <f t="shared" si="8"/>
        <v>38</v>
      </c>
      <c r="L46" s="310">
        <f>SUM(J8:J46)</f>
        <v>0</v>
      </c>
      <c r="M46" s="189" t="s">
        <v>59</v>
      </c>
      <c r="N46" s="175"/>
      <c r="O46" s="175"/>
      <c r="P46" s="180"/>
      <c r="Q46" s="180"/>
      <c r="R46" s="187"/>
      <c r="S46" s="182"/>
      <c r="T46" s="183"/>
      <c r="U46" s="183">
        <f t="shared" si="10"/>
        <v>0</v>
      </c>
      <c r="V46" s="183">
        <f>(Sheet5!F76*((S46+T46)*(R46)))</f>
        <v>0</v>
      </c>
      <c r="W46" s="184" t="e">
        <f>Sheet5!G77*((S46+T46)/(R46))</f>
        <v>#DIV/0!</v>
      </c>
      <c r="X46" s="188"/>
      <c r="Y46" s="179"/>
      <c r="Z46" s="179"/>
      <c r="AA46" s="179"/>
      <c r="AB46" s="179"/>
      <c r="AC46" s="179"/>
      <c r="AD46" s="186"/>
      <c r="AE46" s="179"/>
      <c r="AF46" s="179"/>
      <c r="AG46" s="179"/>
      <c r="AH46" s="179"/>
      <c r="AI46" s="179"/>
      <c r="AJ46" s="179"/>
      <c r="AK46" s="179"/>
      <c r="AL46" s="179"/>
      <c r="AM46" s="179"/>
      <c r="AN46" s="179" t="str">
        <f t="shared" si="14"/>
        <v/>
      </c>
      <c r="AO46" s="168" t="str">
        <f>IF(AP46=TRUE,"حقق الشرط","")</f>
        <v/>
      </c>
      <c r="AP46" t="b">
        <f>OR(O47,O48 )</f>
        <v>0</v>
      </c>
      <c r="AV46" s="936" t="e">
        <f t="shared" si="15"/>
        <v>#N/A</v>
      </c>
      <c r="AW46" s="932" t="e">
        <f t="shared" si="16"/>
        <v>#N/A</v>
      </c>
      <c r="AX46" s="930" t="e">
        <f t="shared" si="19"/>
        <v>#N/A</v>
      </c>
      <c r="AY46" s="1025"/>
      <c r="AZ46" s="858" t="e">
        <f t="shared" si="18"/>
        <v>#N/A</v>
      </c>
      <c r="CB46">
        <f t="shared" si="20"/>
        <v>0</v>
      </c>
      <c r="CG46" s="293"/>
      <c r="CH46" s="293"/>
      <c r="CI46" s="293"/>
      <c r="CK46" s="297"/>
    </row>
    <row r="47" spans="2:89" ht="71.25" hidden="1" customHeight="1" thickTop="1" thickBot="1">
      <c r="H47" s="160">
        <v>1</v>
      </c>
      <c r="J47" s="310">
        <f t="shared" si="5"/>
        <v>0</v>
      </c>
      <c r="K47" s="160">
        <f t="shared" si="8"/>
        <v>39</v>
      </c>
      <c r="L47" s="310">
        <f>SUM(J8:J47)</f>
        <v>0</v>
      </c>
      <c r="M47" s="174" t="s">
        <v>545</v>
      </c>
      <c r="N47" s="175" t="s">
        <v>27</v>
      </c>
      <c r="O47" s="175" t="b">
        <f>AND('شرح الحالة'!E8+'شرح الحالة'!E9+'شرح الحالة'!E23+'شرح الحالة'!E24+E32=0,'شرح الحالة'!E31&gt;=1)</f>
        <v>0</v>
      </c>
      <c r="P47" s="199">
        <f>0.25</f>
        <v>0.25</v>
      </c>
      <c r="Q47" s="180">
        <f t="shared" si="9"/>
        <v>0</v>
      </c>
      <c r="R47" s="196">
        <f>IF('أدخال البيانات'!M18&lt;=4,1,0)</f>
        <v>1</v>
      </c>
      <c r="S47" s="182">
        <v>0</v>
      </c>
      <c r="T47" s="183">
        <f>IF(O47=TRUE,P47,0)</f>
        <v>0</v>
      </c>
      <c r="U47" s="183">
        <f>IF(R47*Q47=0,0,V47)</f>
        <v>0</v>
      </c>
      <c r="V47" s="183">
        <f>(Y44*((S47+T47)*(R47)))</f>
        <v>0</v>
      </c>
      <c r="W47" s="184">
        <v>0</v>
      </c>
      <c r="X47" s="1235">
        <f>MAX(U47:U48)</f>
        <v>0</v>
      </c>
      <c r="Y47" s="179"/>
      <c r="Z47" s="185">
        <f>MAX(T47:T48)</f>
        <v>0</v>
      </c>
      <c r="AA47" s="179"/>
      <c r="AB47" s="179"/>
      <c r="AC47" s="179"/>
      <c r="AD47" s="186"/>
      <c r="AE47" s="179"/>
      <c r="AF47" s="179"/>
      <c r="AG47" s="179"/>
      <c r="AH47" s="179"/>
      <c r="AI47" s="179"/>
      <c r="AJ47" s="179"/>
      <c r="AK47" s="179"/>
      <c r="AL47" s="179"/>
      <c r="AM47" s="179"/>
      <c r="AN47" s="179" t="str">
        <f t="shared" si="14"/>
        <v/>
      </c>
      <c r="AO47" s="168" t="str">
        <f t="shared" si="13"/>
        <v>لايورث</v>
      </c>
      <c r="AP47" t="b">
        <f>$AP$46</f>
        <v>0</v>
      </c>
      <c r="AQ47" t="s">
        <v>546</v>
      </c>
      <c r="AV47" s="936" t="e">
        <f t="shared" si="15"/>
        <v>#N/A</v>
      </c>
      <c r="AW47" s="929" t="e">
        <f t="shared" si="16"/>
        <v>#N/A</v>
      </c>
      <c r="AX47" s="930" t="e">
        <f t="shared" si="19"/>
        <v>#N/A</v>
      </c>
      <c r="AY47" s="1025"/>
      <c r="AZ47" s="858" t="e">
        <f t="shared" si="18"/>
        <v>#N/A</v>
      </c>
      <c r="CB47">
        <f t="shared" si="20"/>
        <v>0</v>
      </c>
      <c r="CF47">
        <f>SUM(CB47:CB49)</f>
        <v>0</v>
      </c>
      <c r="CG47" s="293"/>
      <c r="CH47" s="293"/>
      <c r="CI47" s="293"/>
      <c r="CK47" s="297"/>
    </row>
    <row r="48" spans="2:89" ht="71.25" hidden="1" customHeight="1" thickTop="1" thickBot="1">
      <c r="H48" s="160">
        <v>2</v>
      </c>
      <c r="J48" s="310">
        <f t="shared" si="5"/>
        <v>0</v>
      </c>
      <c r="K48" s="160">
        <f t="shared" si="8"/>
        <v>40</v>
      </c>
      <c r="L48" s="310">
        <f>SUM(J8:J48)</f>
        <v>0</v>
      </c>
      <c r="M48" s="175" t="s">
        <v>541</v>
      </c>
      <c r="N48" s="175" t="s">
        <v>28</v>
      </c>
      <c r="O48" s="175" t="b">
        <f>AND('شرح الحالة'!E8+'شرح الحالة'!E9+'شرح الحالة'!E23+'شرح الحالة'!E24+E32&gt;0,'شرح الحالة'!E31&gt;=1)</f>
        <v>0</v>
      </c>
      <c r="P48" s="260">
        <f>0.125</f>
        <v>0.125</v>
      </c>
      <c r="Q48" s="180">
        <f>IF(O48=TRUE,R48,0)</f>
        <v>0</v>
      </c>
      <c r="R48" s="196">
        <f>IF('أدخال البيانات'!M18&gt;=1,1,0)</f>
        <v>0</v>
      </c>
      <c r="S48" s="182">
        <v>0</v>
      </c>
      <c r="T48" s="183">
        <f>IF(O48=TRUE,P48,0)</f>
        <v>0</v>
      </c>
      <c r="U48" s="183">
        <f>IF(R48*Q48=0,0,V48)</f>
        <v>0</v>
      </c>
      <c r="V48" s="183">
        <f>(Y44*((S48+T48)*(R48)))</f>
        <v>0</v>
      </c>
      <c r="W48" s="184">
        <v>0</v>
      </c>
      <c r="X48" s="1235"/>
      <c r="Y48" s="185">
        <f>MAX(T47:T48)</f>
        <v>0</v>
      </c>
      <c r="Z48" s="179"/>
      <c r="AA48" s="179"/>
      <c r="AB48" s="179"/>
      <c r="AC48" s="179"/>
      <c r="AD48" s="179"/>
      <c r="AE48" s="179"/>
      <c r="AF48" s="179"/>
      <c r="AG48" s="179"/>
      <c r="AH48" s="179"/>
      <c r="AI48" s="179"/>
      <c r="AJ48" s="179"/>
      <c r="AK48" s="179"/>
      <c r="AL48" s="179"/>
      <c r="AM48" s="179"/>
      <c r="AN48" s="259" t="str">
        <f t="shared" si="14"/>
        <v/>
      </c>
      <c r="AO48" s="261" t="str">
        <f t="shared" si="13"/>
        <v>لايورث</v>
      </c>
      <c r="AP48" t="b">
        <f>$AP$46</f>
        <v>0</v>
      </c>
      <c r="AQ48" t="s">
        <v>547</v>
      </c>
      <c r="AV48" s="936" t="e">
        <f t="shared" si="15"/>
        <v>#N/A</v>
      </c>
      <c r="AW48" s="932" t="e">
        <f t="shared" si="16"/>
        <v>#N/A</v>
      </c>
      <c r="AX48" s="930" t="e">
        <f t="shared" si="19"/>
        <v>#N/A</v>
      </c>
      <c r="AY48" s="1025"/>
      <c r="AZ48" s="858" t="e">
        <f t="shared" si="18"/>
        <v>#N/A</v>
      </c>
      <c r="CB48">
        <f t="shared" si="20"/>
        <v>0</v>
      </c>
      <c r="CG48" s="293"/>
      <c r="CH48" s="293"/>
      <c r="CI48" s="293"/>
      <c r="CK48" s="297"/>
    </row>
    <row r="49" spans="4:87" ht="71.25" hidden="1" customHeight="1" thickTop="1" thickBot="1">
      <c r="H49" s="162"/>
      <c r="J49" s="310">
        <f t="shared" si="5"/>
        <v>0</v>
      </c>
      <c r="K49" s="160">
        <f t="shared" si="8"/>
        <v>41</v>
      </c>
      <c r="L49" s="310">
        <f>SUM(J8:J49)</f>
        <v>0</v>
      </c>
      <c r="M49" s="198"/>
      <c r="N49" s="167"/>
      <c r="O49" s="167"/>
      <c r="P49" s="180"/>
      <c r="Q49" s="180"/>
      <c r="R49" s="187"/>
      <c r="S49" s="182"/>
      <c r="T49" s="183"/>
      <c r="U49" s="183">
        <f t="shared" si="10"/>
        <v>0</v>
      </c>
      <c r="V49" s="183">
        <f>(Sheet5!F79*((S49+T49)*(R49)))</f>
        <v>0</v>
      </c>
      <c r="W49" s="184" t="e">
        <f>Sheet5!G80*((S49+T49)/(R49))</f>
        <v>#DIV/0!</v>
      </c>
      <c r="X49" s="188"/>
      <c r="Y49" s="179"/>
      <c r="Z49" s="179"/>
      <c r="AA49" s="179"/>
      <c r="AB49" s="179"/>
      <c r="AC49" s="179"/>
      <c r="AD49" s="179"/>
      <c r="AE49" s="179"/>
      <c r="AF49" s="179"/>
      <c r="AG49" s="179"/>
      <c r="AH49" s="179"/>
      <c r="AI49" s="179"/>
      <c r="AJ49" s="179"/>
      <c r="AK49" s="179"/>
      <c r="AL49" s="179"/>
      <c r="AM49" s="179"/>
      <c r="AN49" s="179" t="str">
        <f t="shared" si="14"/>
        <v/>
      </c>
      <c r="AO49" s="168" t="str">
        <f t="shared" si="13"/>
        <v>لايورث</v>
      </c>
      <c r="AQ49">
        <f>Sheet5!H33</f>
        <v>1</v>
      </c>
      <c r="AV49" s="936" t="e">
        <f t="shared" si="15"/>
        <v>#N/A</v>
      </c>
      <c r="AW49" s="929" t="e">
        <f t="shared" si="16"/>
        <v>#N/A</v>
      </c>
      <c r="AX49" s="930" t="e">
        <f t="shared" si="19"/>
        <v>#N/A</v>
      </c>
      <c r="AY49" s="1025"/>
      <c r="AZ49" s="858" t="e">
        <f t="shared" si="18"/>
        <v>#N/A</v>
      </c>
      <c r="CB49">
        <f t="shared" si="20"/>
        <v>0</v>
      </c>
      <c r="CG49" s="293"/>
      <c r="CH49" s="293"/>
      <c r="CI49" s="293"/>
    </row>
    <row r="50" spans="4:87" ht="71.25" hidden="1" customHeight="1" thickTop="1" thickBot="1">
      <c r="H50" s="162"/>
      <c r="J50" s="310">
        <f t="shared" si="5"/>
        <v>0</v>
      </c>
      <c r="K50" s="160">
        <f t="shared" si="8"/>
        <v>42</v>
      </c>
      <c r="L50" s="310">
        <f>SUM(J8:J50)</f>
        <v>0</v>
      </c>
      <c r="M50" s="200" t="s">
        <v>61</v>
      </c>
      <c r="N50" s="167"/>
      <c r="O50" s="167"/>
      <c r="P50" s="180"/>
      <c r="Q50" s="180"/>
      <c r="R50" s="187"/>
      <c r="S50" s="182"/>
      <c r="T50" s="183"/>
      <c r="U50" s="183">
        <f t="shared" si="10"/>
        <v>0</v>
      </c>
      <c r="V50" s="183">
        <f>(Sheet5!F80*((S50+T50)*(R50)))</f>
        <v>0</v>
      </c>
      <c r="W50" s="184" t="e">
        <f>Sheet5!G81*((S50+T50)/(R50))</f>
        <v>#DIV/0!</v>
      </c>
      <c r="X50" s="188"/>
      <c r="Y50" s="179"/>
      <c r="Z50" s="179"/>
      <c r="AA50" s="179"/>
      <c r="AB50" s="179"/>
      <c r="AC50" s="179"/>
      <c r="AD50" s="179"/>
      <c r="AE50" s="179"/>
      <c r="AF50" s="179"/>
      <c r="AG50" s="179"/>
      <c r="AH50" s="179"/>
      <c r="AI50" s="179"/>
      <c r="AJ50" s="179"/>
      <c r="AK50" s="179"/>
      <c r="AL50" s="179"/>
      <c r="AM50" s="179"/>
      <c r="AN50" s="179" t="str">
        <f>IF(AO51="حقق الشرط",AP51,"")</f>
        <v/>
      </c>
      <c r="AO50" s="168" t="str">
        <f>IF(AP50=TRUE,"حقق الشرط","لايورث")</f>
        <v>لايورث</v>
      </c>
      <c r="AP50" t="b">
        <f>OR(O51,O52,O53 )</f>
        <v>0</v>
      </c>
      <c r="AQ50" s="1">
        <f>P7</f>
        <v>0.5</v>
      </c>
      <c r="AR50">
        <f>P8</f>
        <v>1</v>
      </c>
      <c r="AV50" s="936" t="e">
        <f t="shared" si="15"/>
        <v>#N/A</v>
      </c>
      <c r="AW50" s="932" t="e">
        <f t="shared" si="16"/>
        <v>#N/A</v>
      </c>
      <c r="AX50" s="930" t="e">
        <f t="shared" si="19"/>
        <v>#N/A</v>
      </c>
      <c r="AY50" s="1025"/>
      <c r="AZ50" s="858" t="e">
        <f t="shared" si="18"/>
        <v>#N/A</v>
      </c>
      <c r="CB50">
        <f t="shared" si="20"/>
        <v>0</v>
      </c>
      <c r="CG50" s="293"/>
      <c r="CH50" s="293"/>
      <c r="CI50" s="293"/>
    </row>
    <row r="51" spans="4:87" ht="71.25" hidden="1" customHeight="1" thickTop="1" thickBot="1">
      <c r="H51" s="160">
        <v>1</v>
      </c>
      <c r="J51" s="310">
        <f t="shared" si="5"/>
        <v>0</v>
      </c>
      <c r="K51" s="160">
        <f t="shared" si="8"/>
        <v>43</v>
      </c>
      <c r="L51" s="310">
        <f>SUM(J8:J51)</f>
        <v>0</v>
      </c>
      <c r="M51" s="174" t="s">
        <v>62</v>
      </c>
      <c r="N51" s="175" t="s">
        <v>51</v>
      </c>
      <c r="O51" s="167" t="b">
        <f>AND(E8+'أدخال البيانات'!M12=0,'شرح الحالة'!E12=1,'شرح الحالة'!E10+'شرح الحالة'!E9+'شرح الحالة'!E8+'شرح الحالة'!E32=0,'أدخال البيانات'!AJ3=0,Sheet5!E8+Sheet5!G7=0,'أدخال البيانات'!AS11=0,'أدخال البيانات'!M9+'أدخال البيانات'!M10=0,'أدخال البيانات'!M14+'أدخال البيانات'!M15=0,O52=FALSE,'أدخال البيانات'!F22+'أدخال البيانات'!M18+'أدخال البيانات'!M11+'أدخال البيانات'!M10+'أدخال البيانات'!M9=0)</f>
        <v>0</v>
      </c>
      <c r="P51" s="180">
        <v>1</v>
      </c>
      <c r="Q51" s="180">
        <f t="shared" si="9"/>
        <v>0</v>
      </c>
      <c r="R51" s="187">
        <f>'شرح الحالة'!E12</f>
        <v>0</v>
      </c>
      <c r="S51" s="182">
        <f>IF(O51=TRUE,P51,0)</f>
        <v>0</v>
      </c>
      <c r="T51" s="183">
        <v>0</v>
      </c>
      <c r="U51" s="183">
        <f t="shared" si="10"/>
        <v>0</v>
      </c>
      <c r="V51" s="183">
        <f>(Sheet5!F81*((S51+T51)*(R51)))</f>
        <v>0</v>
      </c>
      <c r="W51" s="184" t="e">
        <f>Sheet5!G82*((S51+T51)/(R51))</f>
        <v>#DIV/0!</v>
      </c>
      <c r="Y51" s="179"/>
      <c r="Z51" s="179"/>
      <c r="AA51" s="179" t="b">
        <f>CG29</f>
        <v>0</v>
      </c>
      <c r="AB51" s="179"/>
      <c r="AC51" s="844">
        <f>MAX(U51:U53)</f>
        <v>0</v>
      </c>
      <c r="AD51" s="179"/>
      <c r="AE51" s="179"/>
      <c r="AF51" s="179"/>
      <c r="AG51" s="179"/>
      <c r="AH51" s="179"/>
      <c r="AI51" s="179"/>
      <c r="AJ51" s="179"/>
      <c r="AK51" s="179"/>
      <c r="AL51" s="179"/>
      <c r="AM51" s="179"/>
      <c r="AO51" s="168" t="str">
        <f>IF(O51=TRUE,"حقق الشرط","")</f>
        <v/>
      </c>
      <c r="AP51" t="b">
        <f>IF(O51=TRUE,TRUE,FALSE)</f>
        <v>0</v>
      </c>
      <c r="AQ51" t="s">
        <v>68</v>
      </c>
      <c r="AS51" t="s">
        <v>795</v>
      </c>
      <c r="AV51" s="936" t="e">
        <f t="shared" si="15"/>
        <v>#N/A</v>
      </c>
      <c r="AW51" s="929" t="e">
        <f t="shared" si="16"/>
        <v>#N/A</v>
      </c>
      <c r="AX51" s="930" t="e">
        <f t="shared" si="19"/>
        <v>#N/A</v>
      </c>
      <c r="AY51" s="1025"/>
      <c r="AZ51" s="858" t="e">
        <f t="shared" si="18"/>
        <v>#N/A</v>
      </c>
      <c r="CB51">
        <f t="shared" si="20"/>
        <v>0</v>
      </c>
      <c r="CG51" s="293"/>
      <c r="CH51" s="293"/>
      <c r="CI51" s="293"/>
    </row>
    <row r="52" spans="4:87" ht="71.25" hidden="1" customHeight="1" thickTop="1" thickBot="1">
      <c r="H52" s="160">
        <v>2</v>
      </c>
      <c r="J52" s="310">
        <f t="shared" si="5"/>
        <v>0</v>
      </c>
      <c r="K52" s="160">
        <f t="shared" si="8"/>
        <v>44</v>
      </c>
      <c r="L52" s="310">
        <f>SUM(J8:J52)</f>
        <v>0</v>
      </c>
      <c r="M52" s="174" t="s">
        <v>558</v>
      </c>
      <c r="N52" s="175" t="s">
        <v>63</v>
      </c>
      <c r="O52" s="167" t="b">
        <f>AND(E8=0,'شرح الحالة'!E12+'أدخال البيانات'!M12&gt;0,'شرح الحالة'!E10+'شرح الحالة'!E9+'شرح الحالة'!E8+'شرح الحالة'!E32=0,E11+E14+E21+E23+E24+E25=0,E12&gt;0,'أدخال البيانات'!M12=0,1=1,AA103=TRUE,'أدخال البيانات'!M10+'أدخال البيانات'!F11=0,Sheet5!E8+Sheet5!G7=0,'أدخال البيانات'!AS11=0)</f>
        <v>0</v>
      </c>
      <c r="P52" s="180">
        <f>P8</f>
        <v>1</v>
      </c>
      <c r="Q52" s="180">
        <f t="shared" si="9"/>
        <v>0</v>
      </c>
      <c r="R52" s="187">
        <f>'شرح الحالة'!E12</f>
        <v>0</v>
      </c>
      <c r="S52" s="182">
        <f>IF(O52=TRUE,P52,0)</f>
        <v>0</v>
      </c>
      <c r="T52" s="183">
        <v>0</v>
      </c>
      <c r="U52" s="183">
        <f t="shared" si="10"/>
        <v>0</v>
      </c>
      <c r="V52" s="183">
        <f>(Sheet5!F82*((S52+T52)*(R52)))</f>
        <v>0</v>
      </c>
      <c r="W52" s="184" t="e">
        <f>Sheet5!G83*((S52+T52)/(R52))</f>
        <v>#DIV/0!</v>
      </c>
      <c r="X52" s="1236">
        <f>IF(AA51=TRUE,X75,AC53)</f>
        <v>0</v>
      </c>
      <c r="Y52" s="185">
        <f>IF(AA51=TRUE,AB52,AA52)</f>
        <v>0</v>
      </c>
      <c r="Z52" s="185">
        <f>IF(X52=0,0,Y52)</f>
        <v>0</v>
      </c>
      <c r="AA52" s="179">
        <v>0</v>
      </c>
      <c r="AB52" s="185" t="e">
        <f>X52*(('أدخال البيانات'!F14/('أدخال البيانات'!M15+'أدخال البيانات'!F14+'أدخال البيانات'!M14+'أدخال البيانات'!M12 )))</f>
        <v>#DIV/0!</v>
      </c>
      <c r="AC52" s="845"/>
      <c r="AD52" s="179"/>
      <c r="AE52" s="179"/>
      <c r="AF52" s="179"/>
      <c r="AG52" s="179"/>
      <c r="AH52" s="179"/>
      <c r="AI52" s="179"/>
      <c r="AJ52" s="179"/>
      <c r="AK52" s="179"/>
      <c r="AL52" s="179"/>
      <c r="AM52" s="179"/>
      <c r="AN52" s="179" t="str">
        <f t="shared" si="14"/>
        <v/>
      </c>
      <c r="AO52" s="168" t="str">
        <f t="shared" si="13"/>
        <v>لايورث</v>
      </c>
      <c r="AP52" t="b">
        <f>$AP$50</f>
        <v>0</v>
      </c>
      <c r="AQ52" t="s">
        <v>796</v>
      </c>
      <c r="AV52" s="937" t="e">
        <f t="shared" si="15"/>
        <v>#N/A</v>
      </c>
      <c r="AW52" s="932" t="e">
        <f t="shared" si="16"/>
        <v>#N/A</v>
      </c>
      <c r="AX52" s="930" t="e">
        <f t="shared" si="19"/>
        <v>#N/A</v>
      </c>
      <c r="AY52" s="1025"/>
      <c r="AZ52" s="924" t="e">
        <f t="shared" si="18"/>
        <v>#N/A</v>
      </c>
      <c r="CB52">
        <f t="shared" si="20"/>
        <v>0</v>
      </c>
      <c r="CG52" s="293"/>
      <c r="CH52" s="293"/>
      <c r="CI52" s="293"/>
    </row>
    <row r="53" spans="4:87" ht="71.25" hidden="1" customHeight="1" thickTop="1" thickBot="1">
      <c r="H53" s="160">
        <v>3</v>
      </c>
      <c r="J53" s="310">
        <f t="shared" si="5"/>
        <v>0</v>
      </c>
      <c r="K53" s="160">
        <f t="shared" si="8"/>
        <v>45</v>
      </c>
      <c r="L53" s="310">
        <f>SUM(J8:J53)</f>
        <v>0</v>
      </c>
      <c r="M53" s="174" t="str">
        <f>IF(AA51=TRUE,AQ52,AQ47)</f>
        <v xml:space="preserve">أذا  معه أو معهم صاحب فرض  وأذا وجدوا كلهم فالترتيب بينهم من ناحية الحهة والقرب والقوة </v>
      </c>
      <c r="N53" s="175" t="str">
        <f>IF(AA51=TRUE,AS51,AQ48)</f>
        <v xml:space="preserve"> أخذ أو أخذوا ما بقى أن يبقى شىء للذكر مثل حظ الأنثيين</v>
      </c>
      <c r="O53" s="167" t="b">
        <f>AND(E12&gt;0,'شرح الحالة'!E12&gt;=1,'شرح الحالة'!E10+'شرح الحالة'!E9+'شرح الحالة'!E8+'شرح الحالة'!E32=0,O133=FALSE,AA103=TRUE,'أدخال البيانات'!F10+'أدخال البيانات'!F11=0,O133=FALSE,'أدخال البيانات'!AS11&gt;=0,O51=FALSE,O52=FALSE,N54=FALSE)</f>
        <v>0</v>
      </c>
      <c r="P53" s="180">
        <f>IF(AA51=TRUE,AB52,AR50)</f>
        <v>1</v>
      </c>
      <c r="Q53" s="180">
        <f t="shared" si="9"/>
        <v>0</v>
      </c>
      <c r="R53" s="187">
        <f>'شرح الحالة'!E12</f>
        <v>0</v>
      </c>
      <c r="S53" s="182">
        <f>IF(O53=TRUE,P53,0)</f>
        <v>0</v>
      </c>
      <c r="T53" s="183">
        <v>0</v>
      </c>
      <c r="U53" s="183">
        <f>IF(AA51=TRUE,AB52,AC53)</f>
        <v>0</v>
      </c>
      <c r="V53" s="183">
        <f>(Sheet5!F83*((S53+T53)*(R53)))</f>
        <v>0</v>
      </c>
      <c r="W53" s="184" t="e">
        <f>Sheet5!G84*((S53+T53)/(R53))</f>
        <v>#DIV/0!</v>
      </c>
      <c r="X53" s="1237"/>
      <c r="Y53" s="185">
        <f>IF(AA51=TRUE,AB53,AA53)</f>
        <v>0</v>
      </c>
      <c r="Z53" s="179">
        <f>IF(AC52=0,0,Y53)</f>
        <v>0</v>
      </c>
      <c r="AA53" s="179">
        <v>0</v>
      </c>
      <c r="AB53" s="185" t="e">
        <f>(X52*('أدخال البيانات'!M12))/('أدخال البيانات'!M14+'أدخال البيانات'!M15+'أدخال البيانات'!F14+'أدخال البيانات'!M12)</f>
        <v>#DIV/0!</v>
      </c>
      <c r="AC53" s="846">
        <f>IF(R53*Q53=0,0,V53+W53)</f>
        <v>0</v>
      </c>
      <c r="AD53" s="179" t="s">
        <v>114</v>
      </c>
      <c r="AE53" s="179"/>
      <c r="AF53" s="179"/>
      <c r="AG53" s="179"/>
      <c r="AH53" s="179"/>
      <c r="AI53" s="179"/>
      <c r="AJ53" s="179"/>
      <c r="AK53" s="179"/>
      <c r="AL53" s="179"/>
      <c r="AM53" s="179"/>
      <c r="AN53" s="179" t="str">
        <f t="shared" si="14"/>
        <v/>
      </c>
      <c r="AO53" s="168" t="str">
        <f t="shared" si="13"/>
        <v>لايورث</v>
      </c>
      <c r="AP53" t="b">
        <f>$AP$50</f>
        <v>0</v>
      </c>
      <c r="AQ53" t="s">
        <v>794</v>
      </c>
      <c r="AV53" s="938" t="e">
        <f t="shared" si="15"/>
        <v>#N/A</v>
      </c>
      <c r="AW53" s="929" t="e">
        <f t="shared" si="16"/>
        <v>#N/A</v>
      </c>
      <c r="AX53" s="930" t="e">
        <f t="shared" si="19"/>
        <v>#N/A</v>
      </c>
      <c r="AY53" s="1026"/>
      <c r="AZ53" s="925" t="e">
        <f t="shared" si="18"/>
        <v>#N/A</v>
      </c>
      <c r="CB53">
        <f t="shared" si="20"/>
        <v>0</v>
      </c>
      <c r="CG53" s="293"/>
      <c r="CH53" s="293"/>
      <c r="CI53" s="293"/>
    </row>
    <row r="54" spans="4:87" ht="71.25" hidden="1" customHeight="1" thickTop="1" thickBot="1">
      <c r="H54" s="162"/>
      <c r="J54" s="310">
        <f t="shared" si="5"/>
        <v>0</v>
      </c>
      <c r="K54" s="160">
        <f t="shared" si="8"/>
        <v>46</v>
      </c>
      <c r="L54" s="310">
        <f>SUM(J8:J54)</f>
        <v>0</v>
      </c>
      <c r="M54" s="198"/>
      <c r="N54" s="167" t="b">
        <f>AND('أدخال  البيانات'!AD13&gt;0,'أدخال  البيانات'!AD9+'أدخال  البيانات'!AD11&gt;0,'أدخال  البيانات'!AD12+'أدخال  البيانات'!AD10&gt;0, 'شرح الحالة'!P137=FALSE)</f>
        <v>0</v>
      </c>
      <c r="O54" s="167"/>
      <c r="P54" s="180"/>
      <c r="Q54" s="180"/>
      <c r="R54" s="187"/>
      <c r="S54" s="182"/>
      <c r="T54" s="183"/>
      <c r="U54" s="183">
        <f t="shared" si="10"/>
        <v>0</v>
      </c>
      <c r="V54" s="183">
        <f>(Sheet5!F84*((S54+T54)*(R54)))</f>
        <v>0</v>
      </c>
      <c r="W54" s="184" t="e">
        <f>Sheet5!G85*((S54+T54)/(R54))</f>
        <v>#DIV/0!</v>
      </c>
      <c r="X54" s="188"/>
      <c r="Y54" s="179"/>
      <c r="Z54" s="179"/>
      <c r="AA54" s="179"/>
      <c r="AB54" s="179"/>
      <c r="AC54" s="179"/>
      <c r="AD54" s="179"/>
      <c r="AE54" s="179"/>
      <c r="AF54" s="179"/>
      <c r="AG54" s="179"/>
      <c r="AH54" s="179"/>
      <c r="AI54" s="179"/>
      <c r="AJ54" s="179"/>
      <c r="AK54" s="179"/>
      <c r="AL54" s="179"/>
      <c r="AM54" s="179"/>
      <c r="AN54" s="179" t="str">
        <f t="shared" si="14"/>
        <v/>
      </c>
      <c r="AO54" s="168" t="str">
        <f t="shared" si="13"/>
        <v>لايورث</v>
      </c>
      <c r="AV54" s="928" t="e">
        <f t="shared" si="15"/>
        <v>#N/A</v>
      </c>
      <c r="AW54" s="929" t="e">
        <f t="shared" si="16"/>
        <v>#N/A</v>
      </c>
      <c r="AX54" s="930" t="e">
        <f t="shared" si="19"/>
        <v>#N/A</v>
      </c>
      <c r="AY54" s="1025"/>
      <c r="AZ54" s="926" t="e">
        <f t="shared" si="18"/>
        <v>#N/A</v>
      </c>
      <c r="CB54">
        <f t="shared" si="20"/>
        <v>0</v>
      </c>
      <c r="CG54" s="293"/>
      <c r="CH54" s="293"/>
      <c r="CI54" s="293"/>
    </row>
    <row r="55" spans="4:87" ht="71.25" hidden="1" customHeight="1" thickTop="1" thickBot="1">
      <c r="D55" t="b">
        <f>OR(D59=FALSE,D60=FALSE)</f>
        <v>1</v>
      </c>
      <c r="E55">
        <f>IF(O56=TRUE,1/2,0)</f>
        <v>0</v>
      </c>
      <c r="H55" s="162"/>
      <c r="J55" s="310">
        <f t="shared" si="5"/>
        <v>0</v>
      </c>
      <c r="K55" s="160">
        <f t="shared" si="8"/>
        <v>47</v>
      </c>
      <c r="L55" s="310">
        <f>SUM(J8:J55)</f>
        <v>0</v>
      </c>
      <c r="M55" s="200" t="s">
        <v>64</v>
      </c>
      <c r="N55" s="167"/>
      <c r="O55" s="167"/>
      <c r="P55" s="180"/>
      <c r="Q55" s="180"/>
      <c r="R55" s="187"/>
      <c r="S55" s="182"/>
      <c r="T55" s="183"/>
      <c r="U55" s="183">
        <f t="shared" si="10"/>
        <v>0</v>
      </c>
      <c r="V55" s="183">
        <f>(Sheet5!F85*((S55+T55)*(R55)))</f>
        <v>0</v>
      </c>
      <c r="W55" s="184" t="e">
        <f>Sheet5!G86*((S55+T55)/(R55))</f>
        <v>#DIV/0!</v>
      </c>
      <c r="X55" s="188"/>
      <c r="Y55" s="179"/>
      <c r="Z55" s="179"/>
      <c r="AA55" s="179"/>
      <c r="AB55" s="179"/>
      <c r="AC55" s="179"/>
      <c r="AD55" s="179"/>
      <c r="AE55" s="179"/>
      <c r="AF55" s="179"/>
      <c r="AG55" s="179"/>
      <c r="AH55" s="179"/>
      <c r="AI55" s="179"/>
      <c r="AJ55" s="179"/>
      <c r="AK55" s="179"/>
      <c r="AL55" s="179"/>
      <c r="AM55" s="179"/>
      <c r="AN55" s="179" t="str">
        <f t="shared" si="14"/>
        <v/>
      </c>
      <c r="AO55" s="168" t="str">
        <f>IF(AP55=TRUE,"حقق الشرط","")</f>
        <v/>
      </c>
      <c r="AP55" t="b">
        <f>OR(O56,O57,O58,O59,O60,O61,O62 )</f>
        <v>0</v>
      </c>
      <c r="AQ55" s="847" t="b">
        <f>AND('أدخال البيانات'!F13=1,'أدخال البيانات'!F22=1,'أدخال البيانات'!M11+'أدخال البيانات'!M16+'أدخال البيانات'!M17&gt;=1,AR55=TRUE,'أدخال البيانات'!F9=0,'أدخال البيانات'!M9+'أدخال البيانات'!M10=0,  'أدخال البيانات'!M14+'أدخال البيانات'!M15+'أدخال البيانات'!M18+'أدخال البيانات'!F15+'أدخال البيانات'!F14=0,'أدخال البيانات'!F12=0,'أدخال البيانات'!M11&gt;0,AR55=TRUE)</f>
        <v>0</v>
      </c>
      <c r="AR55" t="b">
        <f>IF('أدخال البيانات'!M12+'أدخال البيانات'!M13=1,AR56,FALSE)</f>
        <v>0</v>
      </c>
      <c r="AV55" s="931" t="e">
        <f t="shared" si="15"/>
        <v>#N/A</v>
      </c>
      <c r="AW55" s="932" t="e">
        <f t="shared" si="16"/>
        <v>#N/A</v>
      </c>
      <c r="AX55" s="930" t="e">
        <f t="shared" si="19"/>
        <v>#N/A</v>
      </c>
      <c r="AY55" s="1025"/>
      <c r="AZ55" s="854" t="e">
        <f t="shared" si="18"/>
        <v>#N/A</v>
      </c>
      <c r="CB55">
        <f t="shared" si="20"/>
        <v>0</v>
      </c>
      <c r="CF55">
        <f>SUM(CB55:CB57)</f>
        <v>0</v>
      </c>
      <c r="CG55" s="293"/>
      <c r="CH55" s="293"/>
      <c r="CI55" s="293"/>
    </row>
    <row r="56" spans="4:87" ht="71.25" hidden="1" customHeight="1" thickTop="1" thickBot="1">
      <c r="E56">
        <f>IF(O57=TRUE,2/3,0)</f>
        <v>0</v>
      </c>
      <c r="H56" s="160">
        <v>1</v>
      </c>
      <c r="J56" s="310">
        <f t="shared" si="5"/>
        <v>0</v>
      </c>
      <c r="K56" s="160">
        <f t="shared" si="8"/>
        <v>48</v>
      </c>
      <c r="L56" s="310">
        <f>SUM(J8:J56)</f>
        <v>0</v>
      </c>
      <c r="M56" s="174" t="s">
        <v>66</v>
      </c>
      <c r="N56" s="175" t="s">
        <v>30</v>
      </c>
      <c r="O56" s="175" t="b">
        <f>AND('شرح الحالة'!E8+'شرح الحالة'!E9+'شرح الحالة'!E10+'شرح الحالة'!E23+'شرح الحالة'!E24+'شرح الحالة'!E32+'شرح الحالة'!E12=0,'شرح الحالة'!E27&gt;=0,E26&gt;0,'أدخال البيانات'!M12&gt;=0,'أدخال البيانات'!AS10=0,E24=0,'أدخال البيانات'!AS10&gt;=0,D55=TRUE,CC6=TRUE,'أدخال البيانات'!M12=1,'أدخال البيانات'!AS11=0,AQ55=FALSE)</f>
        <v>0</v>
      </c>
      <c r="P56" s="180">
        <f>0.5</f>
        <v>0.5</v>
      </c>
      <c r="Q56" s="180">
        <f t="shared" si="9"/>
        <v>0</v>
      </c>
      <c r="R56" s="190">
        <f>IF('أدخال البيانات'!M12&gt;=1,1,0)</f>
        <v>0</v>
      </c>
      <c r="S56" s="182">
        <v>0</v>
      </c>
      <c r="T56" s="183">
        <f>IF(O56=TRUE,P56,0)</f>
        <v>0</v>
      </c>
      <c r="U56" s="183">
        <f t="shared" si="10"/>
        <v>0</v>
      </c>
      <c r="V56" s="183">
        <f>(Sheet5!F86*((S56+T56)*(R56)))</f>
        <v>0</v>
      </c>
      <c r="W56" s="184" t="e">
        <f>Sheet5!G87*((S56+T56)/(R56))</f>
        <v>#DIV/0!</v>
      </c>
      <c r="X56" s="1235">
        <f>MAX(U56:U62)</f>
        <v>0</v>
      </c>
      <c r="Y56" s="179"/>
      <c r="Z56" s="179"/>
      <c r="AA56" s="179"/>
      <c r="AB56" s="179"/>
      <c r="AC56" s="179"/>
      <c r="AD56" s="179"/>
      <c r="AE56" s="179"/>
      <c r="AF56" s="179"/>
      <c r="AG56" s="179"/>
      <c r="AH56" s="179"/>
      <c r="AI56" s="179"/>
      <c r="AJ56" s="179"/>
      <c r="AK56" s="179"/>
      <c r="AL56" s="179"/>
      <c r="AM56" s="179"/>
      <c r="AN56" s="179" t="str">
        <f t="shared" si="14"/>
        <v/>
      </c>
      <c r="AO56" s="168" t="str">
        <f t="shared" si="13"/>
        <v>لايورث</v>
      </c>
      <c r="AP56" t="b">
        <f t="shared" ref="AP56:AP62" si="21">$AP$55</f>
        <v>0</v>
      </c>
      <c r="AR56" t="b">
        <f>OR('أدخال البيانات'!M12=1,'أدخال البيانات'!M13=1)</f>
        <v>0</v>
      </c>
      <c r="AV56" s="933" t="e">
        <f t="shared" si="15"/>
        <v>#N/A</v>
      </c>
      <c r="AW56" s="929" t="e">
        <f t="shared" si="16"/>
        <v>#N/A</v>
      </c>
      <c r="AX56" s="930" t="e">
        <f t="shared" si="19"/>
        <v>#N/A</v>
      </c>
      <c r="AY56" s="1025"/>
      <c r="AZ56" s="927" t="e">
        <f t="shared" ref="AZ56:AZ73" si="22">VLOOKUP(K56, L56:AO188,6,FALSE)</f>
        <v>#N/A</v>
      </c>
      <c r="CB56">
        <f t="shared" si="20"/>
        <v>0</v>
      </c>
      <c r="CG56" s="293"/>
      <c r="CH56" s="293"/>
      <c r="CI56" s="293"/>
    </row>
    <row r="57" spans="4:87" ht="71.25" hidden="1" customHeight="1" thickTop="1" thickBot="1">
      <c r="D57" t="s">
        <v>114</v>
      </c>
      <c r="E57">
        <f>IF(O64=TRUE,P64,0)</f>
        <v>0</v>
      </c>
      <c r="H57" s="160">
        <v>2</v>
      </c>
      <c r="J57" s="310">
        <f t="shared" si="5"/>
        <v>0</v>
      </c>
      <c r="K57" s="160">
        <f t="shared" si="8"/>
        <v>49</v>
      </c>
      <c r="L57" s="310">
        <f>SUM(J8:J57)</f>
        <v>0</v>
      </c>
      <c r="M57" s="174" t="s">
        <v>65</v>
      </c>
      <c r="N57" s="175" t="s">
        <v>67</v>
      </c>
      <c r="O57" s="175" t="b">
        <f>AND('شرح الحالة'!E8+'شرح الحالة'!E9+'شرح الحالة'!E10+'شرح الحالة'!E23+'شرح الحالة'!E24+'شرح الحالة'!E32=0,'شرح الحالة'!E12=0,'شرح الحالة'!E26&gt;1,'أدخال البيانات'!F13&gt;=0,'أدخال البيانات'!F9+'أدخال البيانات'!F10+'أدخال البيانات'!F11+'أدخال البيانات'!F12=0,CC6=TRUE,'أدخال البيانات'!AS10+'أدخال البيانات'!F13&gt;=0,'أدخال البيانات'!AS11=0,'أدخال البيانات'!F13&gt;=0,D55=TRUE,'أدخال البيانات'!AS10=0,'أدخال البيانات'!M12&gt;=2,'أدخال البيانات'!F13=0)</f>
        <v>0</v>
      </c>
      <c r="P57" s="180">
        <f>0.666666666666667</f>
        <v>0.66666666666666696</v>
      </c>
      <c r="Q57" s="180">
        <f t="shared" si="9"/>
        <v>0</v>
      </c>
      <c r="R57" s="190">
        <f>IF('أدخال البيانات'!M12&gt;=1,1,0)</f>
        <v>0</v>
      </c>
      <c r="S57" s="182">
        <v>0</v>
      </c>
      <c r="T57" s="183">
        <f>IF(O57=TRUE,P57,0)</f>
        <v>0</v>
      </c>
      <c r="U57" s="183">
        <f t="shared" si="10"/>
        <v>0</v>
      </c>
      <c r="V57" s="183">
        <f>(Sheet5!F87*((S57+T57)*(R57)))</f>
        <v>0</v>
      </c>
      <c r="W57" s="184" t="e">
        <f>Sheet5!G88*((S57+T57)/(R57))</f>
        <v>#DIV/0!</v>
      </c>
      <c r="X57" s="1235"/>
      <c r="Y57" s="179"/>
      <c r="Z57" s="179"/>
      <c r="AA57" s="179"/>
      <c r="AB57" s="179"/>
      <c r="AC57" s="179"/>
      <c r="AD57" s="179"/>
      <c r="AE57" s="179"/>
      <c r="AF57" s="179"/>
      <c r="AG57" s="179"/>
      <c r="AH57" s="179"/>
      <c r="AI57" s="179"/>
      <c r="AJ57" s="179"/>
      <c r="AK57" s="179"/>
      <c r="AL57" s="179"/>
      <c r="AM57" s="179"/>
      <c r="AN57" s="179" t="str">
        <f t="shared" si="14"/>
        <v/>
      </c>
      <c r="AO57" s="168" t="str">
        <f t="shared" si="13"/>
        <v>لايورث</v>
      </c>
      <c r="AP57" t="b">
        <f t="shared" si="21"/>
        <v>0</v>
      </c>
      <c r="AV57" s="934" t="e">
        <f t="shared" si="15"/>
        <v>#N/A</v>
      </c>
      <c r="AW57" s="932" t="e">
        <f t="shared" si="16"/>
        <v>#N/A</v>
      </c>
      <c r="AX57" s="930" t="e">
        <f t="shared" si="19"/>
        <v>#N/A</v>
      </c>
      <c r="AY57" s="1025"/>
      <c r="AZ57" s="855" t="e">
        <f t="shared" si="22"/>
        <v>#N/A</v>
      </c>
      <c r="CB57">
        <f t="shared" si="20"/>
        <v>0</v>
      </c>
      <c r="CG57" s="293"/>
      <c r="CH57" s="293"/>
      <c r="CI57" s="293"/>
    </row>
    <row r="58" spans="4:87" ht="71.25" hidden="1" customHeight="1" thickTop="1" thickBot="1">
      <c r="D58">
        <v>1</v>
      </c>
      <c r="E58">
        <f>IF(O65=TRUE,P65,0)</f>
        <v>0</v>
      </c>
      <c r="H58" s="160">
        <v>3</v>
      </c>
      <c r="J58" s="310">
        <f t="shared" si="5"/>
        <v>0</v>
      </c>
      <c r="K58" s="160">
        <f t="shared" si="8"/>
        <v>50</v>
      </c>
      <c r="L58" s="310">
        <f>SUM(J8:J58)</f>
        <v>0</v>
      </c>
      <c r="M58" s="174" t="s">
        <v>538</v>
      </c>
      <c r="N58" s="175" t="s">
        <v>71</v>
      </c>
      <c r="O58" s="175" t="b">
        <f>AND(AA103=TRUE,O57=FALSE,O56=FALSE,'شرح الحالة'!E12+E9=0,'شرح الحالة'!E23+'شرح الحالة'!E24&gt;=0,'شرح الحالة'!E26&gt;0,'شرح الحالة'!E10+'شرح الحالة'!E8+'شرح الحالة'!E32=0,O56=FALSE,O57=FALSE,O53=FALSE,'أدخال البيانات'!F13&gt;=0,'أدخال البيانات'!F14=0,CC6=TRUE,Y60=TRUE,'أدخال البيانات'!F14=0,E125=TRUE,'أدخال البيانات'!AS11=0,'أدخال البيانات'!AS10&gt;=0,'أدخال  البيانات'!E12=0,'أدخال البيانات'!M9+'أدخال البيانات'!M10&gt;0)</f>
        <v>0</v>
      </c>
      <c r="P58" s="180">
        <f>Sheet5!H33</f>
        <v>1</v>
      </c>
      <c r="Q58" s="180">
        <f t="shared" si="9"/>
        <v>0</v>
      </c>
      <c r="R58" s="187">
        <f>'شرح الحالة'!E26</f>
        <v>0</v>
      </c>
      <c r="S58" s="182">
        <f>IF(O58=TRUE,P58,0)</f>
        <v>0</v>
      </c>
      <c r="T58" s="183">
        <v>0</v>
      </c>
      <c r="U58" s="183">
        <f t="shared" si="10"/>
        <v>0</v>
      </c>
      <c r="V58" s="183">
        <f>(Sheet5!F88*((S58+T58)))</f>
        <v>0</v>
      </c>
      <c r="W58" s="184" t="e">
        <f>Sheet5!G89*((S58+T58)/(R58))</f>
        <v>#DIV/0!</v>
      </c>
      <c r="X58" s="1235"/>
      <c r="Y58" s="179" t="b">
        <f>IF(O58=TRUE,1/2)</f>
        <v>0</v>
      </c>
      <c r="Z58" s="179"/>
      <c r="AA58" s="179"/>
      <c r="AB58" s="179"/>
      <c r="AC58" s="179"/>
      <c r="AD58" s="179"/>
      <c r="AE58" s="179"/>
      <c r="AF58" s="179"/>
      <c r="AG58" s="179"/>
      <c r="AH58" s="179"/>
      <c r="AI58" s="179"/>
      <c r="AJ58" s="179"/>
      <c r="AK58" s="179"/>
      <c r="AL58" s="179"/>
      <c r="AM58" s="179"/>
      <c r="AN58" s="179" t="str">
        <f t="shared" si="14"/>
        <v/>
      </c>
      <c r="AO58" s="168" t="str">
        <f t="shared" si="13"/>
        <v>لايورث</v>
      </c>
      <c r="AP58" t="b">
        <f t="shared" si="21"/>
        <v>0</v>
      </c>
      <c r="AV58" s="934" t="e">
        <f t="shared" si="15"/>
        <v>#N/A</v>
      </c>
      <c r="AW58" s="929" t="e">
        <f t="shared" si="16"/>
        <v>#N/A</v>
      </c>
      <c r="AX58" s="930" t="e">
        <f t="shared" si="19"/>
        <v>#N/A</v>
      </c>
      <c r="AY58" s="1025"/>
      <c r="AZ58" s="855" t="e">
        <f t="shared" si="22"/>
        <v>#N/A</v>
      </c>
      <c r="CB58">
        <f t="shared" si="20"/>
        <v>0</v>
      </c>
      <c r="CG58" s="293"/>
      <c r="CH58" s="293"/>
      <c r="CI58" s="293"/>
    </row>
    <row r="59" spans="4:87" ht="71.25" hidden="1" customHeight="1" thickTop="1" thickBot="1">
      <c r="D59" t="b">
        <f>AND('أدخال البيانات'!AS10=1)</f>
        <v>0</v>
      </c>
      <c r="E59">
        <f>SUM(E55:E58)</f>
        <v>0</v>
      </c>
      <c r="H59" s="160">
        <v>4</v>
      </c>
      <c r="J59" s="310">
        <f t="shared" si="5"/>
        <v>0</v>
      </c>
      <c r="K59" s="160">
        <f t="shared" si="8"/>
        <v>51</v>
      </c>
      <c r="L59" s="310">
        <f>SUM(J8:J59)</f>
        <v>0</v>
      </c>
      <c r="M59" s="174" t="str">
        <f>IF(AA51=TRUE,AQ52,AQ53)</f>
        <v>أذاكانت مع البنت أو البنات أو بنت الأبن أو بنات الأبن فأنها تصير عاصبة  @أن كان معها أخ شقيق تقتسم المال معه</v>
      </c>
      <c r="N59" s="175" t="str">
        <f>IF(AA51=TRUE,AS51,AQ51)</f>
        <v>تأخذ ما بقى مع الشقيق للذكر مثل حظ الأنثيين</v>
      </c>
      <c r="O59" s="175" t="b">
        <f>AND('أدخال البيانات'!M12&gt;0,'أدخال البيانات'!M12&gt;0,'شرح الحالة'!E11&gt;=0,'شرح الحالة'!E26&gt;0,'شرح الحالة'!E8+'شرح الحالة'!E10+'شرح الحالة'!E32=0,'أدخال البيانات'!F14&gt;=1,AA103=TRUE,CC6=TRUE,'أدخال البيانات'!AS11=0,'أدخال البيانات'!AS10=0,'أدخال البيانات'!M9+'أدخال البيانات'!M10=0,N54=FALSE)</f>
        <v>0</v>
      </c>
      <c r="P59" s="180">
        <f>IF(AA51=TRUE,AB53,AQ50)</f>
        <v>0.5</v>
      </c>
      <c r="Q59" s="180">
        <f t="shared" si="9"/>
        <v>0</v>
      </c>
      <c r="R59" s="187">
        <f>'شرح الحالة'!E26</f>
        <v>0</v>
      </c>
      <c r="S59" s="182">
        <f>IF(O59=TRUE,P59,0)</f>
        <v>0</v>
      </c>
      <c r="T59" s="183">
        <v>0</v>
      </c>
      <c r="U59" s="183">
        <f>IF(AA51=TRUE, Y53,Z59)</f>
        <v>0</v>
      </c>
      <c r="V59" s="183">
        <f>(Sheet5!F89*((S59+T59)*(R59)))</f>
        <v>0</v>
      </c>
      <c r="W59" s="184" t="e">
        <f>Sheet5!G90*((S59+T59)/(R59))</f>
        <v>#DIV/0!</v>
      </c>
      <c r="X59" s="1235"/>
      <c r="Y59" s="179" t="b">
        <f>IF(X56=0,Y58,0)</f>
        <v>0</v>
      </c>
      <c r="Z59" s="179">
        <f>IF(R59*Q59=0,0,V59+W59)</f>
        <v>0</v>
      </c>
      <c r="AA59" s="179"/>
      <c r="AB59" s="179"/>
      <c r="AC59" s="179"/>
      <c r="AD59" s="179"/>
      <c r="AE59" s="179"/>
      <c r="AF59" s="179"/>
      <c r="AG59" s="179"/>
      <c r="AH59" s="179"/>
      <c r="AI59" s="179"/>
      <c r="AJ59" s="179"/>
      <c r="AK59" s="179"/>
      <c r="AL59" s="179"/>
      <c r="AM59" s="179"/>
      <c r="AN59" s="179" t="str">
        <f t="shared" si="14"/>
        <v/>
      </c>
      <c r="AO59" s="168" t="str">
        <f t="shared" si="13"/>
        <v>لايورث</v>
      </c>
      <c r="AP59" t="b">
        <f t="shared" si="21"/>
        <v>0</v>
      </c>
      <c r="AV59" s="935" t="e">
        <f t="shared" si="15"/>
        <v>#N/A</v>
      </c>
      <c r="AW59" s="932" t="e">
        <f t="shared" si="16"/>
        <v>#N/A</v>
      </c>
      <c r="AX59" s="930" t="e">
        <f t="shared" si="19"/>
        <v>#N/A</v>
      </c>
      <c r="AY59" s="1025"/>
      <c r="AZ59" s="857" t="e">
        <f t="shared" si="22"/>
        <v>#N/A</v>
      </c>
      <c r="CB59">
        <f t="shared" si="20"/>
        <v>0</v>
      </c>
      <c r="CG59" s="293"/>
      <c r="CH59" s="293"/>
      <c r="CI59" s="293"/>
    </row>
    <row r="60" spans="4:87" ht="71.25" hidden="1" customHeight="1" thickTop="1" thickBot="1">
      <c r="D60" t="b">
        <f>ISNUMBER(Sheet5!A9)</f>
        <v>0</v>
      </c>
      <c r="E60">
        <f>IF('أدخال البيانات'!AS11=1,1,0)</f>
        <v>0</v>
      </c>
      <c r="H60" s="160">
        <v>5</v>
      </c>
      <c r="J60" s="310">
        <f t="shared" si="5"/>
        <v>0</v>
      </c>
      <c r="K60" s="160">
        <f t="shared" si="8"/>
        <v>52</v>
      </c>
      <c r="L60" s="310">
        <f>SUM(J8:J60)</f>
        <v>0</v>
      </c>
      <c r="M60" s="174" t="s">
        <v>72</v>
      </c>
      <c r="N60" s="175" t="s">
        <v>73</v>
      </c>
      <c r="O60" s="175" t="b">
        <f>AND('شرح الحالة'!E8+'شرح الحالة'!E9+'شرح الحالة'!E10+'شرح الحالة'!E11+'شرح الحالة'!E15+'شرح الحالة'!E23+'شرح الحالة'!E24+'شرح الحالة'!E25+'شرح الحالة'!E29+'شرح الحالة'!E30+'شرح الحالة'!E31+'شرح الحالة'!E32=0,'شرح الحالة'!E12&gt;0,'شرح الحالة'!E26&gt;0,O59=FALSE,2=2,AA103=TRUE,CC6=TRUE,'أدخال البيانات'!AS11=0)</f>
        <v>0</v>
      </c>
      <c r="P60" s="201">
        <f>P7</f>
        <v>0.5</v>
      </c>
      <c r="Q60" s="180">
        <f t="shared" si="9"/>
        <v>0</v>
      </c>
      <c r="R60" s="187">
        <f>'شرح الحالة'!E26</f>
        <v>0</v>
      </c>
      <c r="S60" s="182">
        <f>IF(O60=TRUE,P60,0)</f>
        <v>0</v>
      </c>
      <c r="T60" s="183">
        <v>0</v>
      </c>
      <c r="U60" s="183">
        <f t="shared" si="10"/>
        <v>0</v>
      </c>
      <c r="V60" s="183">
        <f>(Sheet5!F90*((S60+T60)*(R60)))</f>
        <v>0</v>
      </c>
      <c r="W60" s="184" t="e">
        <f>Sheet5!G91*((S60+T60)/(R60))</f>
        <v>#DIV/0!</v>
      </c>
      <c r="X60" s="1235"/>
      <c r="Y60" s="179" t="b">
        <f>OR('أدخال البيانات'!M9&gt;0,'أدخال البيانات'!M10&gt;0)</f>
        <v>0</v>
      </c>
      <c r="Z60" s="179"/>
      <c r="AA60" s="179"/>
      <c r="AB60" s="179"/>
      <c r="AC60" s="179"/>
      <c r="AD60" s="179"/>
      <c r="AE60" s="179"/>
      <c r="AF60" s="179"/>
      <c r="AG60" s="179"/>
      <c r="AH60" s="179"/>
      <c r="AI60" s="179"/>
      <c r="AJ60" s="179"/>
      <c r="AK60" s="179"/>
      <c r="AL60" s="179"/>
      <c r="AM60" s="179"/>
      <c r="AN60" s="179" t="str">
        <f t="shared" si="14"/>
        <v/>
      </c>
      <c r="AO60" s="168" t="str">
        <f t="shared" si="13"/>
        <v>لايورث</v>
      </c>
      <c r="AP60" t="b">
        <f t="shared" si="21"/>
        <v>0</v>
      </c>
      <c r="AV60" s="935" t="e">
        <f t="shared" si="15"/>
        <v>#N/A</v>
      </c>
      <c r="AW60" s="929" t="e">
        <f t="shared" si="16"/>
        <v>#N/A</v>
      </c>
      <c r="AX60" s="930" t="e">
        <f t="shared" si="19"/>
        <v>#N/A</v>
      </c>
      <c r="AY60" s="1025"/>
      <c r="AZ60" s="857" t="e">
        <f t="shared" si="22"/>
        <v>#N/A</v>
      </c>
      <c r="CB60">
        <f t="shared" si="20"/>
        <v>0</v>
      </c>
      <c r="CG60" s="293"/>
      <c r="CH60" s="293"/>
      <c r="CI60" s="293"/>
    </row>
    <row r="61" spans="4:87" ht="71.25" hidden="1" customHeight="1" thickTop="1" thickBot="1">
      <c r="E61">
        <f>E59*E60</f>
        <v>0</v>
      </c>
      <c r="H61" s="160">
        <v>6</v>
      </c>
      <c r="J61" s="310">
        <f t="shared" si="5"/>
        <v>0</v>
      </c>
      <c r="K61" s="160">
        <f t="shared" si="8"/>
        <v>53</v>
      </c>
      <c r="L61" s="310">
        <f>SUM(J8:J61)</f>
        <v>0</v>
      </c>
      <c r="M61" s="174" t="s">
        <v>74</v>
      </c>
      <c r="N61" s="175" t="s">
        <v>75</v>
      </c>
      <c r="O61" s="167" t="b">
        <f>AND( O57=FALSE,O56=FALSE,'شرح الحالة'!E26&gt;0,'شرح الحالة'!E8+'شرح الحالة'!E9+'شرح الحالة'!E10+'شرح الحالة'!E32=0,'شرح الحالة'!E11+'شرح الحالة'!E21+'شرح الحالة'!E23+'شرح الحالة'!E24+'شرح الحالة'!E25+'شرح الحالة'!E29+'شرح الحالة'!E30+'شرح الحالة'!E31+'أدخال البيانات'!M14+'أدخال البيانات'!M15&gt;0,O58=FALSE,'أدخال البيانات'!F14&gt;=0,AA102=FALSE,AA103=TRUE,'أدخال البيانات'!F13=0,'أدخال البيانات'!F14&gt;0,'أدخال البيانات'!M9+'أدخال البيانات'!M10&gt;0,O59=FALSE)</f>
        <v>0</v>
      </c>
      <c r="P61" s="180">
        <f>P7</f>
        <v>0.5</v>
      </c>
      <c r="Q61" s="180">
        <f t="shared" si="9"/>
        <v>0</v>
      </c>
      <c r="R61" s="187">
        <f>'شرح الحالة'!E26</f>
        <v>0</v>
      </c>
      <c r="S61" s="182">
        <f>IF(O61=TRUE,P61,0)</f>
        <v>0</v>
      </c>
      <c r="T61" s="183">
        <v>0</v>
      </c>
      <c r="U61" s="183">
        <f t="shared" si="10"/>
        <v>0</v>
      </c>
      <c r="V61" s="183">
        <f>(Sheet5!F91*((S61+T61)*(R61)))</f>
        <v>0</v>
      </c>
      <c r="W61" s="184" t="e">
        <f>Sheet5!G92*((S61+T61)/(R61))</f>
        <v>#DIV/0!</v>
      </c>
      <c r="X61" s="1235"/>
      <c r="Y61" s="179"/>
      <c r="Z61" s="179"/>
      <c r="AA61" s="179"/>
      <c r="AB61" s="179"/>
      <c r="AC61" s="179"/>
      <c r="AD61" s="179"/>
      <c r="AE61" s="179"/>
      <c r="AF61" s="179"/>
      <c r="AG61" s="179"/>
      <c r="AH61" s="179"/>
      <c r="AI61" s="179"/>
      <c r="AJ61" s="179"/>
      <c r="AK61" s="179"/>
      <c r="AL61" s="179"/>
      <c r="AM61" s="179"/>
      <c r="AN61" s="179" t="str">
        <f t="shared" si="14"/>
        <v/>
      </c>
      <c r="AO61" s="168" t="str">
        <f t="shared" si="13"/>
        <v>لايورث</v>
      </c>
      <c r="AP61" t="b">
        <f t="shared" si="21"/>
        <v>0</v>
      </c>
      <c r="AQ61" s="1">
        <f>IF(O62=TRUE,P62,0)</f>
        <v>0</v>
      </c>
      <c r="AV61" s="936" t="e">
        <f t="shared" si="15"/>
        <v>#N/A</v>
      </c>
      <c r="AW61" s="932" t="e">
        <f t="shared" si="16"/>
        <v>#N/A</v>
      </c>
      <c r="AX61" s="930" t="e">
        <f t="shared" si="19"/>
        <v>#N/A</v>
      </c>
      <c r="AY61" s="1025"/>
      <c r="AZ61" s="858" t="e">
        <f t="shared" si="22"/>
        <v>#N/A</v>
      </c>
      <c r="CB61">
        <f t="shared" si="20"/>
        <v>0</v>
      </c>
      <c r="CG61" s="293"/>
      <c r="CH61" s="293"/>
      <c r="CI61" s="293"/>
    </row>
    <row r="62" spans="4:87" ht="71.25" hidden="1" customHeight="1" thickTop="1" thickBot="1">
      <c r="H62" s="160">
        <v>7</v>
      </c>
      <c r="J62" s="310">
        <f t="shared" si="5"/>
        <v>0</v>
      </c>
      <c r="K62" s="160">
        <f t="shared" si="8"/>
        <v>54</v>
      </c>
      <c r="L62" s="310">
        <f>SUM(J8:J62)</f>
        <v>0</v>
      </c>
      <c r="M62" s="174" t="s">
        <v>127</v>
      </c>
      <c r="N62" s="175" t="s">
        <v>833</v>
      </c>
      <c r="O62" s="167" t="b">
        <f>IF(AQ55=TRUE,TRUE,AQ62)</f>
        <v>0</v>
      </c>
      <c r="P62" s="180">
        <f>IF(AQ55=TRUE,4/27,P7)</f>
        <v>0.5</v>
      </c>
      <c r="Q62" s="180">
        <f>IF(O62=TRUE,R62,0)</f>
        <v>0</v>
      </c>
      <c r="R62" s="187">
        <f>'شرح الحالة'!E26</f>
        <v>0</v>
      </c>
      <c r="S62" s="182">
        <f>IF(AQ55=TRUE,4/27,AQ61)</f>
        <v>0</v>
      </c>
      <c r="T62" s="183">
        <v>0</v>
      </c>
      <c r="U62" s="183">
        <f t="shared" si="10"/>
        <v>0</v>
      </c>
      <c r="V62" s="183">
        <f>(Sheet5!F92*((S62+T62)*(R62)))</f>
        <v>0</v>
      </c>
      <c r="W62" s="184" t="e">
        <f>Sheet5!G93*((S62+T62)/(R62))</f>
        <v>#DIV/0!</v>
      </c>
      <c r="X62" s="188"/>
      <c r="Y62" s="179" t="b">
        <f>AND('أدخال البيانات'!M9+'أدخال البيانات'!M10&gt;0,'أدخال البيانات'!M12&gt;0)</f>
        <v>0</v>
      </c>
      <c r="Z62" s="179"/>
      <c r="AA62" s="179"/>
      <c r="AB62" s="179"/>
      <c r="AC62" s="179"/>
      <c r="AD62" s="179"/>
      <c r="AE62" s="179"/>
      <c r="AF62" s="179"/>
      <c r="AG62" s="179"/>
      <c r="AH62" s="179"/>
      <c r="AI62" s="179"/>
      <c r="AJ62" s="179"/>
      <c r="AK62" s="179"/>
      <c r="AL62" s="179"/>
      <c r="AM62" s="179"/>
      <c r="AN62" s="179" t="str">
        <f t="shared" si="14"/>
        <v/>
      </c>
      <c r="AO62" s="168" t="str">
        <f t="shared" si="13"/>
        <v>لايورث</v>
      </c>
      <c r="AP62" t="b">
        <f t="shared" si="21"/>
        <v>0</v>
      </c>
      <c r="AQ62" t="b">
        <f>AND('أدخال البيانات'!F13=1,'أدخال البيانات'!M11&gt;=0,AA103=TRUE,'أدخال البيانات'!F13=1,AA103=TRUE,O56=FALSE,O57=FALSE,O59=FALSE,O134=FALSE,'أدخال البيانات'!M12&gt;0)</f>
        <v>0</v>
      </c>
      <c r="AV62" s="936" t="e">
        <f t="shared" si="15"/>
        <v>#N/A</v>
      </c>
      <c r="AW62" s="929" t="e">
        <f t="shared" si="16"/>
        <v>#N/A</v>
      </c>
      <c r="AX62" s="930" t="e">
        <f t="shared" si="19"/>
        <v>#N/A</v>
      </c>
      <c r="AY62" s="1025"/>
      <c r="AZ62" s="858" t="e">
        <f t="shared" si="22"/>
        <v>#N/A</v>
      </c>
      <c r="CB62">
        <f t="shared" si="20"/>
        <v>0</v>
      </c>
      <c r="CG62" s="293"/>
      <c r="CH62" s="293"/>
      <c r="CI62" s="293"/>
    </row>
    <row r="63" spans="4:87" ht="71.25" hidden="1" customHeight="1" thickTop="1" thickBot="1">
      <c r="H63" s="162"/>
      <c r="J63" s="310">
        <f t="shared" si="5"/>
        <v>0</v>
      </c>
      <c r="K63" s="160">
        <f t="shared" si="8"/>
        <v>55</v>
      </c>
      <c r="L63" s="310">
        <f>SUM(J8:J63)</f>
        <v>0</v>
      </c>
      <c r="M63" s="200" t="s">
        <v>76</v>
      </c>
      <c r="N63" s="167"/>
      <c r="O63" s="167"/>
      <c r="P63" s="180"/>
      <c r="Q63" s="180"/>
      <c r="R63" s="187"/>
      <c r="S63" s="182"/>
      <c r="T63" s="183"/>
      <c r="U63" s="183">
        <f t="shared" si="10"/>
        <v>0</v>
      </c>
      <c r="V63" s="183">
        <f>(Sheet5!F93*((S63+T63)*(R63)))</f>
        <v>0</v>
      </c>
      <c r="W63" s="184">
        <v>0</v>
      </c>
      <c r="X63" s="188">
        <f>Sheet5!$K$35</f>
        <v>1</v>
      </c>
      <c r="Y63" s="179"/>
      <c r="Z63" s="179"/>
      <c r="AA63" s="179"/>
      <c r="AB63" s="179"/>
      <c r="AC63" s="179"/>
      <c r="AD63" s="179"/>
      <c r="AE63" s="179"/>
      <c r="AF63" s="179"/>
      <c r="AG63" s="179"/>
      <c r="AH63" s="179"/>
      <c r="AI63" s="179"/>
      <c r="AJ63" s="179"/>
      <c r="AK63" s="179"/>
      <c r="AL63" s="179"/>
      <c r="AM63" s="179"/>
      <c r="AN63" s="179" t="str">
        <f t="shared" si="14"/>
        <v/>
      </c>
      <c r="AO63" s="168" t="str">
        <f>IF(AP63=TRUE,"حقق الشرط","")</f>
        <v/>
      </c>
      <c r="AP63" t="b">
        <f>OR(O64,O65,O66,O67,O68,O69,O70,O71,O72 )</f>
        <v>0</v>
      </c>
      <c r="AV63" s="936" t="e">
        <f t="shared" si="15"/>
        <v>#N/A</v>
      </c>
      <c r="AW63" s="932" t="e">
        <f t="shared" si="16"/>
        <v>#N/A</v>
      </c>
      <c r="AX63" s="930" t="e">
        <f t="shared" si="19"/>
        <v>#N/A</v>
      </c>
      <c r="AY63" s="1025"/>
      <c r="AZ63" s="858" t="e">
        <f t="shared" si="22"/>
        <v>#N/A</v>
      </c>
      <c r="CB63">
        <f t="shared" si="20"/>
        <v>0</v>
      </c>
      <c r="CF63">
        <f>SUM(CB70+CB64+CB65)</f>
        <v>0</v>
      </c>
      <c r="CG63" s="293"/>
      <c r="CH63" s="293"/>
      <c r="CI63" s="293"/>
    </row>
    <row r="64" spans="4:87" ht="71.25" hidden="1" customHeight="1" thickTop="1" thickBot="1">
      <c r="H64" s="160">
        <v>1</v>
      </c>
      <c r="J64" s="310">
        <f t="shared" si="5"/>
        <v>0</v>
      </c>
      <c r="K64" s="160">
        <f t="shared" si="8"/>
        <v>56</v>
      </c>
      <c r="L64" s="310">
        <f>SUM(J8:J64)</f>
        <v>0</v>
      </c>
      <c r="M64" s="174" t="s">
        <v>66</v>
      </c>
      <c r="N64" s="175" t="s">
        <v>30</v>
      </c>
      <c r="O64" s="175" t="b">
        <f>AND('شرح الحالة'!E8+'شرح الحالة'!E9+'شرح الحالة'!E10+'شرح الحالة'!E13+'شرح الحالة'!E23+'شرح الحالة'!E24+E26+'شرح الحالة'!E32=0,'شرح الحالة'!E26=0,'شرح الحالة'!E27=1,E10=0,'أدخال البيانات'!F14+'أدخال البيانات'!M12&lt;2,'أدخال البيانات'!M12+'أدخال البيانات'!M10+'أدخال البيانات'!M9&lt;2,'أدخال البيانات'!M12&lt;2,'أدخال البيانات'!F14=0,CC6=TRUE,D55=TRUE,'أدخال البيانات'!AS11=0,'أدخال البيانات'!AS10=0,O69=FALSE)</f>
        <v>0</v>
      </c>
      <c r="P64" s="180">
        <f>0.5</f>
        <v>0.5</v>
      </c>
      <c r="Q64" s="180">
        <f t="shared" si="9"/>
        <v>0</v>
      </c>
      <c r="R64" s="190">
        <f>'شرح الحالة'!E27</f>
        <v>0</v>
      </c>
      <c r="S64" s="182">
        <v>0</v>
      </c>
      <c r="T64" s="183">
        <f>IF(O64=TRUE,P64,0)</f>
        <v>0</v>
      </c>
      <c r="U64" s="183">
        <f t="shared" si="10"/>
        <v>0</v>
      </c>
      <c r="V64" s="183">
        <f>(Sheet5!F94*((S64+T64)*(R64)))</f>
        <v>0</v>
      </c>
      <c r="W64" s="184" t="e">
        <f>Sheet5!G95*((S64+T64)/(R64))</f>
        <v>#DIV/0!</v>
      </c>
      <c r="X64" s="1235">
        <f>MAX(U64:U72)</f>
        <v>0</v>
      </c>
      <c r="Y64" s="179"/>
      <c r="Z64" s="179"/>
      <c r="AA64" s="179"/>
      <c r="AB64" s="179"/>
      <c r="AC64" s="179"/>
      <c r="AD64" s="179"/>
      <c r="AE64" s="179"/>
      <c r="AF64" s="179"/>
      <c r="AG64" s="179"/>
      <c r="AH64" s="179"/>
      <c r="AI64" s="179"/>
      <c r="AJ64" s="179"/>
      <c r="AK64" s="179"/>
      <c r="AL64" s="179"/>
      <c r="AM64" s="179"/>
      <c r="AN64" s="179" t="str">
        <f t="shared" si="14"/>
        <v/>
      </c>
      <c r="AO64" s="168" t="str">
        <f t="shared" si="13"/>
        <v>لايورث</v>
      </c>
      <c r="AP64" t="b">
        <f t="shared" ref="AP64:AP72" si="23">$AP$63</f>
        <v>0</v>
      </c>
      <c r="AV64" s="936" t="e">
        <f t="shared" si="15"/>
        <v>#N/A</v>
      </c>
      <c r="AW64" s="929" t="e">
        <f t="shared" si="16"/>
        <v>#N/A</v>
      </c>
      <c r="AX64" s="930" t="e">
        <f t="shared" si="19"/>
        <v>#N/A</v>
      </c>
      <c r="AY64" s="1025"/>
      <c r="AZ64" s="858" t="e">
        <f t="shared" si="22"/>
        <v>#N/A</v>
      </c>
      <c r="CB64">
        <f t="shared" si="20"/>
        <v>0</v>
      </c>
      <c r="CG64" s="293"/>
      <c r="CH64" s="293"/>
      <c r="CI64" s="293"/>
    </row>
    <row r="65" spans="5:87" ht="71.25" hidden="1" customHeight="1" thickTop="1" thickBot="1">
      <c r="H65" s="160">
        <v>2</v>
      </c>
      <c r="J65" s="310">
        <f t="shared" si="5"/>
        <v>0</v>
      </c>
      <c r="K65" s="160">
        <f t="shared" si="8"/>
        <v>57</v>
      </c>
      <c r="L65" s="310">
        <f>SUM(J8:J65)</f>
        <v>0</v>
      </c>
      <c r="M65" s="174" t="s">
        <v>65</v>
      </c>
      <c r="N65" s="175" t="s">
        <v>67</v>
      </c>
      <c r="O65" s="175" t="b">
        <f>AND('شرح الحالة'!E8+'شرح الحالة'!E9+'شرح الحالة'!E10+'شرح الحالة'!E12+'شرح الحالة'!E13+'شرح الحالة'!E23+'شرح الحالة'!E24=0,'شرح الحالة'!E12=0,'شرح الحالة'!E26=0,'شرح الحالة'!E27&gt;1,'أدخال البيانات'!AS11=0,CC6=TRUE,D55=TRUE,'أدخال البيانات'!AS10=0,'أدخال البيانات'!F13=0)</f>
        <v>0</v>
      </c>
      <c r="P65" s="180">
        <f>0.666666666666667</f>
        <v>0.66666666666666696</v>
      </c>
      <c r="Q65" s="180">
        <f t="shared" si="9"/>
        <v>0</v>
      </c>
      <c r="R65" s="190">
        <f>IF('أدخال البيانات'!M13&gt;=1,1,0)</f>
        <v>0</v>
      </c>
      <c r="S65" s="182">
        <v>0</v>
      </c>
      <c r="T65" s="183">
        <f>IF(O65=TRUE,P65,0)</f>
        <v>0</v>
      </c>
      <c r="U65" s="183">
        <f t="shared" si="10"/>
        <v>0</v>
      </c>
      <c r="V65" s="183">
        <f>(Sheet5!F95*((S65+T65)*(R65)))</f>
        <v>0</v>
      </c>
      <c r="W65" s="184" t="e">
        <f>Sheet5!G96*((S65+T65)/(R65))</f>
        <v>#DIV/0!</v>
      </c>
      <c r="X65" s="1235"/>
      <c r="Y65" s="179"/>
      <c r="Z65" s="179"/>
      <c r="AA65" s="179"/>
      <c r="AB65" s="179"/>
      <c r="AC65" s="179"/>
      <c r="AD65" s="179"/>
      <c r="AE65" s="179"/>
      <c r="AF65" s="179"/>
      <c r="AG65" s="179"/>
      <c r="AH65" s="179"/>
      <c r="AI65" s="179"/>
      <c r="AJ65" s="179"/>
      <c r="AK65" s="179"/>
      <c r="AL65" s="179"/>
      <c r="AM65" s="179"/>
      <c r="AN65" s="179" t="str">
        <f t="shared" si="14"/>
        <v/>
      </c>
      <c r="AO65" s="168" t="str">
        <f t="shared" si="13"/>
        <v>لايورث</v>
      </c>
      <c r="AP65" t="b">
        <f t="shared" si="23"/>
        <v>0</v>
      </c>
      <c r="AV65" s="936" t="e">
        <f t="shared" si="15"/>
        <v>#N/A</v>
      </c>
      <c r="AW65" s="932" t="e">
        <f t="shared" si="16"/>
        <v>#N/A</v>
      </c>
      <c r="AX65" s="930" t="e">
        <f t="shared" si="19"/>
        <v>#N/A</v>
      </c>
      <c r="AY65" s="1025"/>
      <c r="AZ65" s="858" t="e">
        <f t="shared" si="22"/>
        <v>#N/A</v>
      </c>
      <c r="CB65">
        <f t="shared" si="20"/>
        <v>0</v>
      </c>
      <c r="CG65" s="293"/>
      <c r="CH65" s="293"/>
      <c r="CI65" s="293"/>
    </row>
    <row r="66" spans="5:87" ht="71.25" hidden="1" customHeight="1" thickTop="1" thickBot="1">
      <c r="H66" s="160">
        <v>3</v>
      </c>
      <c r="J66" s="310">
        <f t="shared" si="5"/>
        <v>0</v>
      </c>
      <c r="K66" s="160">
        <f t="shared" si="8"/>
        <v>58</v>
      </c>
      <c r="L66" s="310">
        <f>SUM(J8:J66)</f>
        <v>0</v>
      </c>
      <c r="M66" s="174" t="s">
        <v>784</v>
      </c>
      <c r="N66" s="175" t="s">
        <v>71</v>
      </c>
      <c r="O66" s="175" t="b">
        <f>AND('أدخال البيانات'!M9+'أدخال البيانات'!M10&gt;0,O21=FALSE+O22=FALSE,'شرح الحالة'!E12=0,'أدخال البيانات'!M12=0,'شرح الحالة'!E26&gt;=0,'شرح الحالة'!E27&gt;0,E10+E32+E9+E12=0,E26+E23&gt;=0,A24=TRUE,'أدخال البيانات'!F15=0,E13=0,E26=0,'أدخال البيانات'!F14=0,CC6=TRUE,O69=FALSE,E125=TRUE,'أدخال البيانات'!F15+'أدخال البيانات'!F12+'أدخال البيانات'!F10+'أدخال البيانات'!F9+'أدخال البيانات'!M12+'أدخال البيانات'!F14+'أدخال البيانات'!F11=0,'أدخال البيانات'!AS11=0,'أدخال البيانات'!F13=0)</f>
        <v>0</v>
      </c>
      <c r="P66" s="180">
        <f>Sheet5!H33</f>
        <v>1</v>
      </c>
      <c r="Q66" s="180">
        <f t="shared" si="9"/>
        <v>0</v>
      </c>
      <c r="R66" s="190">
        <f>'شرح الحالة'!E27</f>
        <v>0</v>
      </c>
      <c r="S66" s="182">
        <f>IF(O66=TRUE,P66,0)</f>
        <v>0</v>
      </c>
      <c r="T66" s="183">
        <v>0</v>
      </c>
      <c r="U66" s="183">
        <f t="shared" si="10"/>
        <v>0</v>
      </c>
      <c r="V66" s="183">
        <f>(Sheet5!F96*((S66+T66)))</f>
        <v>0</v>
      </c>
      <c r="W66" s="184" t="e">
        <f>Sheet5!G97*((S66+T66)/(R66))</f>
        <v>#DIV/0!</v>
      </c>
      <c r="X66" s="1235"/>
      <c r="Y66" s="179"/>
      <c r="Z66" s="179"/>
      <c r="AA66" s="179"/>
      <c r="AB66" s="179"/>
      <c r="AC66" s="179"/>
      <c r="AD66" s="179"/>
      <c r="AE66" s="179"/>
      <c r="AF66" s="179"/>
      <c r="AG66" s="179"/>
      <c r="AH66" s="179"/>
      <c r="AI66" s="179"/>
      <c r="AJ66" s="179"/>
      <c r="AK66" s="179"/>
      <c r="AL66" s="179"/>
      <c r="AM66" s="179"/>
      <c r="AN66" s="179" t="str">
        <f t="shared" si="14"/>
        <v/>
      </c>
      <c r="AO66" s="168" t="str">
        <f t="shared" si="13"/>
        <v>لايورث</v>
      </c>
      <c r="AP66" t="b">
        <f t="shared" si="23"/>
        <v>0</v>
      </c>
      <c r="AV66" s="936" t="e">
        <f t="shared" si="15"/>
        <v>#N/A</v>
      </c>
      <c r="AW66" s="929" t="e">
        <f t="shared" si="16"/>
        <v>#N/A</v>
      </c>
      <c r="AX66" s="930" t="e">
        <f t="shared" si="19"/>
        <v>#N/A</v>
      </c>
      <c r="AY66" s="1025"/>
      <c r="AZ66" s="858" t="e">
        <f t="shared" si="22"/>
        <v>#N/A</v>
      </c>
      <c r="CB66">
        <f t="shared" si="20"/>
        <v>0</v>
      </c>
      <c r="CG66" s="293"/>
      <c r="CH66" s="293"/>
      <c r="CI66" s="293"/>
    </row>
    <row r="67" spans="5:87" ht="71.25" hidden="1" customHeight="1" thickTop="1" thickBot="1">
      <c r="E67" t="b">
        <f>AND('أدخال البيانات'!M10+'أدخال البيانات'!M9&gt;0,'أدخال البيانات'!M12&gt;0)</f>
        <v>0</v>
      </c>
      <c r="H67" s="160">
        <v>4</v>
      </c>
      <c r="J67" s="310">
        <f t="shared" si="5"/>
        <v>0</v>
      </c>
      <c r="K67" s="160">
        <f t="shared" si="8"/>
        <v>59</v>
      </c>
      <c r="L67" s="310">
        <f>SUM(J8:J67)</f>
        <v>0</v>
      </c>
      <c r="M67" s="174" t="s">
        <v>832</v>
      </c>
      <c r="N67" s="175" t="s">
        <v>831</v>
      </c>
      <c r="O67" s="175" t="b">
        <f>AND('أدخال البيانات'!M13&gt;0,O136=FALSE,'شرح الحالة'!E12&gt;=0,O64=FALSE,'شرح الحالة'!E27&gt;0,AA103=TRUE,CC6=TRUE,'أدخال البيانات'!M12+'أدخال البيانات'!F15&gt;=0, E13=0,O71=FALSE,O72=FALSE,'أدخال البيانات'!AS11=0,E67=FALSE,'أدخال البيانات'!F14=0,O69=FALSE,O68=FALSE,O65=FALSE,O70=FALSE,'أدخال  البيانات'!C13&lt;2)</f>
        <v>0</v>
      </c>
      <c r="P67" s="180">
        <f>P7</f>
        <v>0.5</v>
      </c>
      <c r="Q67" s="180">
        <f t="shared" si="9"/>
        <v>0</v>
      </c>
      <c r="R67" s="190">
        <f>'شرح الحالة'!E27</f>
        <v>0</v>
      </c>
      <c r="S67" s="182">
        <f>IF(O67=TRUE,P67,0)</f>
        <v>0</v>
      </c>
      <c r="T67" s="183">
        <v>0</v>
      </c>
      <c r="U67" s="183">
        <f t="shared" si="10"/>
        <v>0</v>
      </c>
      <c r="V67" s="183">
        <f>(Sheet5!F97*((S67+T67)*(R67)))</f>
        <v>0</v>
      </c>
      <c r="W67" s="184" t="e">
        <f>Sheet5!G98*((S67+T67)/(R67))</f>
        <v>#DIV/0!</v>
      </c>
      <c r="X67" s="1235"/>
      <c r="Y67" s="179"/>
      <c r="Z67" s="185">
        <f>MAX(U64:U72)</f>
        <v>0</v>
      </c>
      <c r="AA67" s="179"/>
      <c r="AB67" s="179"/>
      <c r="AC67" s="179"/>
      <c r="AD67" s="179"/>
      <c r="AE67" s="179"/>
      <c r="AF67" s="179"/>
      <c r="AG67" s="179"/>
      <c r="AH67" s="179"/>
      <c r="AI67" s="179"/>
      <c r="AJ67" s="179"/>
      <c r="AK67" s="179"/>
      <c r="AL67" s="179"/>
      <c r="AM67" s="179"/>
      <c r="AN67" s="179" t="str">
        <f t="shared" si="14"/>
        <v/>
      </c>
      <c r="AO67" s="168" t="str">
        <f t="shared" si="13"/>
        <v>لايورث</v>
      </c>
      <c r="AP67" t="b">
        <f t="shared" si="23"/>
        <v>0</v>
      </c>
      <c r="AV67" s="937" t="e">
        <f t="shared" si="15"/>
        <v>#N/A</v>
      </c>
      <c r="AW67" s="932" t="e">
        <f t="shared" si="16"/>
        <v>#N/A</v>
      </c>
      <c r="AX67" s="930" t="e">
        <f t="shared" si="19"/>
        <v>#N/A</v>
      </c>
      <c r="AY67" s="1025"/>
      <c r="AZ67" s="924" t="e">
        <f t="shared" si="22"/>
        <v>#N/A</v>
      </c>
      <c r="CB67">
        <f t="shared" si="20"/>
        <v>0</v>
      </c>
      <c r="CG67" s="293"/>
      <c r="CH67" s="293"/>
      <c r="CI67" s="293"/>
    </row>
    <row r="68" spans="5:87" ht="71.25" hidden="1" customHeight="1" thickTop="1" thickBot="1">
      <c r="H68" s="160">
        <v>5</v>
      </c>
      <c r="J68" s="310">
        <f t="shared" si="5"/>
        <v>0</v>
      </c>
      <c r="K68" s="160">
        <f t="shared" si="8"/>
        <v>60</v>
      </c>
      <c r="L68" s="310">
        <f>SUM(J8:J68)</f>
        <v>0</v>
      </c>
      <c r="M68" s="174" t="s">
        <v>719</v>
      </c>
      <c r="N68" s="175" t="s">
        <v>811</v>
      </c>
      <c r="O68" s="175" t="b">
        <f>AND('أدخال البيانات'!الأبناء__ذكور+'أدخال البيانات'!F10+'أدخال البيانات'!F12+'أدخال البيانات'!F11+'أدخال البيانات'!F14=0,'شرح الحالة'!E12=0, 1=1,'شرح الحالة'!E27&gt;0,O58=FALSE,AC106=FALSE,AA103=TRUE,CC6=TRUE,'أدخال  البيانات'!AD10&gt;0,O57=FALSE,O136=FALSE,O135=FALSE,O136=FALSE,O62=FALSE)</f>
        <v>0</v>
      </c>
      <c r="P68" s="180">
        <f>P7</f>
        <v>0.5</v>
      </c>
      <c r="Q68" s="180">
        <f t="shared" si="9"/>
        <v>0</v>
      </c>
      <c r="R68" s="190">
        <f>'شرح الحالة'!E27</f>
        <v>0</v>
      </c>
      <c r="S68" s="182">
        <f>IF(O68=TRUE,P68,0)</f>
        <v>0</v>
      </c>
      <c r="T68" s="183">
        <v>0</v>
      </c>
      <c r="U68" s="183">
        <f t="shared" si="10"/>
        <v>0</v>
      </c>
      <c r="V68" s="183">
        <f>(Sheet5!F98*((S68+T68)*(R68)))</f>
        <v>0</v>
      </c>
      <c r="W68" s="184" t="e">
        <f>Sheet5!G99*((S68+T68)/(R68))</f>
        <v>#DIV/0!</v>
      </c>
      <c r="X68" s="1235"/>
      <c r="Y68" s="179"/>
      <c r="Z68" s="179"/>
      <c r="AA68" s="179"/>
      <c r="AB68" s="179"/>
      <c r="AC68" s="179"/>
      <c r="AD68" s="179"/>
      <c r="AE68" s="179"/>
      <c r="AF68" s="179"/>
      <c r="AG68" s="179"/>
      <c r="AH68" s="179"/>
      <c r="AI68" s="179"/>
      <c r="AJ68" s="179"/>
      <c r="AK68" s="179"/>
      <c r="AL68" s="179"/>
      <c r="AM68" s="179"/>
      <c r="AN68" s="179" t="str">
        <f t="shared" si="14"/>
        <v/>
      </c>
      <c r="AO68" s="168" t="str">
        <f t="shared" si="13"/>
        <v>لايورث</v>
      </c>
      <c r="AP68" t="b">
        <f t="shared" si="23"/>
        <v>0</v>
      </c>
      <c r="AV68" s="938" t="e">
        <f t="shared" si="15"/>
        <v>#N/A</v>
      </c>
      <c r="AW68" s="929" t="e">
        <f t="shared" si="16"/>
        <v>#N/A</v>
      </c>
      <c r="AX68" s="930" t="e">
        <f t="shared" si="19"/>
        <v>#N/A</v>
      </c>
      <c r="AY68" s="1026"/>
      <c r="AZ68" s="925" t="e">
        <f t="shared" si="22"/>
        <v>#N/A</v>
      </c>
      <c r="CB68">
        <f t="shared" si="20"/>
        <v>0</v>
      </c>
      <c r="CG68" s="293"/>
      <c r="CH68" s="293"/>
      <c r="CI68" s="293"/>
    </row>
    <row r="69" spans="5:87" ht="71.25" hidden="1" customHeight="1" thickTop="1" thickBot="1">
      <c r="H69" s="160">
        <v>6</v>
      </c>
      <c r="J69" s="310">
        <f t="shared" si="5"/>
        <v>0</v>
      </c>
      <c r="K69" s="160">
        <f t="shared" si="8"/>
        <v>61</v>
      </c>
      <c r="L69" s="310">
        <f>SUM(J8:J69)</f>
        <v>0</v>
      </c>
      <c r="M69" s="174" t="s">
        <v>74</v>
      </c>
      <c r="N69" s="175" t="s">
        <v>729</v>
      </c>
      <c r="O69" s="167" t="b">
        <f>AND('أدخال البيانات'!F14=0,'أدخال البيانات'!F15&gt;=0,'شرح الحالة'!E26&gt;=0,'شرح الحالة'!E8+'شرح الحالة'!E9+'شرح الحالة'!E10+E32=0,'شرح الحالة'!E21+'شرح الحالة'!E23+'شرح الحالة'!E24+'شرح الحالة'!E25+'شرح الحالة'!E29+'شرح الحالة'!E30+'شرح الحالة'!E31+'أدخال البيانات'!M15+'أدخال البيانات'!M14&gt;0,E11+E12+E13+E26&gt;0,'شرح الحالة'!E27&gt;0,AC106=FALSE,AA103=TRUE,CC6=TRUE,'أدخال البيانات'!M12&lt;2,'أدخال البيانات'!AS10=0,O70=FALSE,O58=FALSE,Y62=FALSE,'أدخال البيانات'!AS11=0,'أدخال البيانات'!F15&gt;=0,O68=FALSE,1=1)</f>
        <v>0</v>
      </c>
      <c r="P69" s="180">
        <f>IF(AQ55=TRUE,4/27,P7)</f>
        <v>0.5</v>
      </c>
      <c r="Q69" s="180">
        <f t="shared" si="9"/>
        <v>0</v>
      </c>
      <c r="R69" s="190">
        <f>'شرح الحالة'!E27</f>
        <v>0</v>
      </c>
      <c r="S69" s="182">
        <f>IF(O69=TRUE,P69,0)</f>
        <v>0</v>
      </c>
      <c r="T69" s="183">
        <v>0</v>
      </c>
      <c r="U69" s="183">
        <f t="shared" si="10"/>
        <v>0</v>
      </c>
      <c r="V69" s="183">
        <f>(Sheet5!F99*((S69+T69)*(R69)))</f>
        <v>0</v>
      </c>
      <c r="W69" s="184" t="e">
        <f>Sheet5!G100*((S69+T69)/(R69))</f>
        <v>#DIV/0!</v>
      </c>
      <c r="X69" s="1235"/>
      <c r="Y69" s="179"/>
      <c r="Z69" s="179"/>
      <c r="AA69" s="179"/>
      <c r="AB69" s="179"/>
      <c r="AC69" s="179"/>
      <c r="AD69" s="179"/>
      <c r="AE69" s="179"/>
      <c r="AF69" s="179"/>
      <c r="AG69" s="179"/>
      <c r="AH69" s="179"/>
      <c r="AI69" s="179"/>
      <c r="AJ69" s="179"/>
      <c r="AK69" s="179"/>
      <c r="AL69" s="179"/>
      <c r="AM69" s="179"/>
      <c r="AN69" s="179" t="str">
        <f t="shared" si="14"/>
        <v/>
      </c>
      <c r="AO69" s="168" t="str">
        <f t="shared" si="13"/>
        <v>لايورث</v>
      </c>
      <c r="AP69" t="b">
        <f t="shared" si="23"/>
        <v>0</v>
      </c>
      <c r="AV69" s="928" t="e">
        <f t="shared" si="15"/>
        <v>#N/A</v>
      </c>
      <c r="AW69" s="929" t="e">
        <f t="shared" si="16"/>
        <v>#N/A</v>
      </c>
      <c r="AX69" s="930" t="e">
        <f t="shared" si="19"/>
        <v>#N/A</v>
      </c>
      <c r="AY69" s="1025"/>
      <c r="AZ69" s="926" t="e">
        <f t="shared" si="22"/>
        <v>#N/A</v>
      </c>
      <c r="CB69">
        <f t="shared" si="20"/>
        <v>0</v>
      </c>
      <c r="CG69" s="293"/>
      <c r="CH69" s="293"/>
      <c r="CI69" s="293"/>
    </row>
    <row r="70" spans="5:87" ht="71.25" hidden="1" customHeight="1" thickTop="1" thickBot="1">
      <c r="H70" s="160">
        <v>7</v>
      </c>
      <c r="J70" s="310">
        <f t="shared" si="5"/>
        <v>0</v>
      </c>
      <c r="K70" s="160">
        <f t="shared" si="8"/>
        <v>62</v>
      </c>
      <c r="L70" s="310">
        <f>SUM(J8:J70)</f>
        <v>0</v>
      </c>
      <c r="M70" s="174" t="s">
        <v>77</v>
      </c>
      <c r="N70" s="175" t="s">
        <v>78</v>
      </c>
      <c r="O70" s="175" t="b">
        <f>AND('أدخال البيانات'!F9=0,'شرح الحالة'!E27&gt;0,'شرح الحالة'!E12=0,E27&gt;0,'أدخال البيانات'!F10=0,'أدخال البيانات'!F10=0,O65=FALSE,'أدخال البيانات'!F15=0,D55=TRUE,O56=TRUE, CC6=TRUE,'أدخال البيانات'!AS10-D58&lt;=0,'أدخال البيانات'!AS11=0,'أدخال البيانات'!AS10=0)</f>
        <v>0</v>
      </c>
      <c r="P70" s="180">
        <f>0.166666666666667</f>
        <v>0.16666666666666699</v>
      </c>
      <c r="Q70" s="180">
        <f t="shared" si="9"/>
        <v>0</v>
      </c>
      <c r="R70" s="190">
        <f>IF('أدخال البيانات'!M13&gt;=1,1,0)</f>
        <v>0</v>
      </c>
      <c r="S70" s="182">
        <v>0</v>
      </c>
      <c r="T70" s="183">
        <f>IF(O70=TRUE,P70,0)</f>
        <v>0</v>
      </c>
      <c r="U70" s="183">
        <f t="shared" si="10"/>
        <v>0</v>
      </c>
      <c r="V70" s="183">
        <f>(Sheet5!F100*((S70+T70)*(R70)))</f>
        <v>0</v>
      </c>
      <c r="W70" s="184" t="e">
        <f>Sheet5!G101*((S70+T70)/(R70))</f>
        <v>#DIV/0!</v>
      </c>
      <c r="X70" s="1235"/>
      <c r="Y70" s="179"/>
      <c r="Z70" s="179"/>
      <c r="AA70" s="179"/>
      <c r="AB70" s="179"/>
      <c r="AC70" s="179"/>
      <c r="AD70" s="179"/>
      <c r="AE70" s="179"/>
      <c r="AF70" s="179"/>
      <c r="AG70" s="179"/>
      <c r="AH70" s="179"/>
      <c r="AI70" s="179"/>
      <c r="AJ70" s="179"/>
      <c r="AK70" s="179"/>
      <c r="AL70" s="179"/>
      <c r="AM70" s="179"/>
      <c r="AN70" s="179" t="str">
        <f t="shared" si="14"/>
        <v/>
      </c>
      <c r="AO70" s="168" t="str">
        <f t="shared" si="13"/>
        <v>لايورث</v>
      </c>
      <c r="AP70" t="b">
        <f t="shared" si="23"/>
        <v>0</v>
      </c>
      <c r="AV70" s="931" t="e">
        <f t="shared" si="15"/>
        <v>#N/A</v>
      </c>
      <c r="AW70" s="932" t="e">
        <f t="shared" si="16"/>
        <v>#N/A</v>
      </c>
      <c r="AX70" s="930" t="e">
        <f t="shared" si="19"/>
        <v>#N/A</v>
      </c>
      <c r="AY70" s="1025"/>
      <c r="AZ70" s="854" t="e">
        <f t="shared" si="22"/>
        <v>#N/A</v>
      </c>
      <c r="CB70">
        <f t="shared" si="20"/>
        <v>0</v>
      </c>
      <c r="CG70" s="293"/>
      <c r="CH70" s="293"/>
      <c r="CI70" s="293"/>
    </row>
    <row r="71" spans="5:87" ht="71.25" hidden="1" customHeight="1" thickTop="1" thickBot="1">
      <c r="H71" s="160">
        <v>8</v>
      </c>
      <c r="J71" s="310">
        <f t="shared" si="5"/>
        <v>0</v>
      </c>
      <c r="K71" s="160">
        <f t="shared" si="8"/>
        <v>63</v>
      </c>
      <c r="L71" s="310">
        <f>SUM(J8:J71)</f>
        <v>0</v>
      </c>
      <c r="M71" s="174" t="s">
        <v>817</v>
      </c>
      <c r="N71" s="175" t="s">
        <v>80</v>
      </c>
      <c r="O71" s="175" t="b">
        <f>AND(O57=TRUE,O94=TRUE,Sheet5!K17&lt;1,'أدخال البيانات'!M13&gt;0)</f>
        <v>0</v>
      </c>
      <c r="P71" s="180">
        <f>P7</f>
        <v>0.5</v>
      </c>
      <c r="Q71" s="180">
        <f t="shared" si="9"/>
        <v>0</v>
      </c>
      <c r="R71" s="190">
        <f>'شرح الحالة'!E27</f>
        <v>0</v>
      </c>
      <c r="S71" s="182">
        <f>IF(O71=TRUE,P71,0)</f>
        <v>0</v>
      </c>
      <c r="T71" s="183">
        <v>0</v>
      </c>
      <c r="U71" s="183">
        <f t="shared" si="10"/>
        <v>0</v>
      </c>
      <c r="V71" s="183">
        <f>(Sheet5!F101*((S71+T71)*(R71)))</f>
        <v>0</v>
      </c>
      <c r="W71" s="184" t="e">
        <f>Sheet5!G102*((S71+T71)/(R71))</f>
        <v>#DIV/0!</v>
      </c>
      <c r="X71" s="1235"/>
      <c r="Y71" s="179"/>
      <c r="Z71" s="179"/>
      <c r="AA71" s="179"/>
      <c r="AB71" s="179"/>
      <c r="AC71" s="179"/>
      <c r="AD71" s="179"/>
      <c r="AE71" s="179"/>
      <c r="AF71" s="179"/>
      <c r="AG71" s="179"/>
      <c r="AH71" s="179"/>
      <c r="AI71" s="179"/>
      <c r="AJ71" s="179"/>
      <c r="AK71" s="179"/>
      <c r="AL71" s="179"/>
      <c r="AM71" s="179"/>
      <c r="AN71" s="179" t="str">
        <f t="shared" si="14"/>
        <v/>
      </c>
      <c r="AO71" s="168" t="str">
        <f t="shared" si="13"/>
        <v>لايورث</v>
      </c>
      <c r="AP71" t="b">
        <f t="shared" si="23"/>
        <v>0</v>
      </c>
      <c r="AV71" s="933" t="e">
        <f t="shared" si="15"/>
        <v>#N/A</v>
      </c>
      <c r="AW71" s="929" t="e">
        <f t="shared" si="16"/>
        <v>#N/A</v>
      </c>
      <c r="AX71" s="930" t="e">
        <f t="shared" si="19"/>
        <v>#N/A</v>
      </c>
      <c r="AY71" s="1025"/>
      <c r="AZ71" s="927" t="e">
        <f t="shared" si="22"/>
        <v>#N/A</v>
      </c>
      <c r="CB71">
        <f t="shared" si="20"/>
        <v>0</v>
      </c>
      <c r="CG71" s="293"/>
      <c r="CH71" s="293"/>
      <c r="CI71" s="293"/>
    </row>
    <row r="72" spans="5:87" ht="71.25" hidden="1" customHeight="1" thickTop="1" thickBot="1">
      <c r="H72" s="160">
        <v>9</v>
      </c>
      <c r="J72" s="310">
        <f t="shared" si="5"/>
        <v>0</v>
      </c>
      <c r="K72" s="160">
        <f t="shared" si="8"/>
        <v>64</v>
      </c>
      <c r="L72" s="310">
        <f>SUM(J8:J72)</f>
        <v>0</v>
      </c>
      <c r="M72" s="174" t="s">
        <v>818</v>
      </c>
      <c r="N72" s="175" t="s">
        <v>730</v>
      </c>
      <c r="O72" s="175" t="b">
        <f>AND(O69=TRUE,O94=TRUE,Sheet5!K17&gt;1)</f>
        <v>0</v>
      </c>
      <c r="P72" s="180">
        <f>IF(Q73&lt;0,0,Q73)</f>
        <v>0.5</v>
      </c>
      <c r="Q72" s="180">
        <f t="shared" si="9"/>
        <v>0</v>
      </c>
      <c r="R72" s="190">
        <f>'شرح الحالة'!E27</f>
        <v>0</v>
      </c>
      <c r="S72" s="182">
        <f>IF(O72=TRUE,P72,0)</f>
        <v>0</v>
      </c>
      <c r="T72" s="183">
        <v>0</v>
      </c>
      <c r="U72" s="183">
        <f t="shared" si="10"/>
        <v>0</v>
      </c>
      <c r="V72" s="183">
        <f>(Sheet5!F102*((S72+T72)*(R72)))</f>
        <v>0</v>
      </c>
      <c r="W72" s="184" t="e">
        <f>Sheet5!G103*((S72+T72)/(R72))</f>
        <v>#DIV/0!</v>
      </c>
      <c r="X72" s="1235"/>
      <c r="Y72" s="180">
        <v>0.33333333333333331</v>
      </c>
      <c r="Z72" s="179" t="s">
        <v>83</v>
      </c>
      <c r="AA72" s="179"/>
      <c r="AB72" s="179"/>
      <c r="AC72" s="179"/>
      <c r="AD72" s="179"/>
      <c r="AE72" s="179"/>
      <c r="AF72" s="179"/>
      <c r="AG72" s="179"/>
      <c r="AH72" s="179"/>
      <c r="AI72" s="179"/>
      <c r="AJ72" s="179"/>
      <c r="AK72" s="179"/>
      <c r="AL72" s="179"/>
      <c r="AM72" s="179"/>
      <c r="AN72" s="179" t="str">
        <f t="shared" si="14"/>
        <v/>
      </c>
      <c r="AO72" s="168" t="str">
        <f t="shared" si="13"/>
        <v>لايورث</v>
      </c>
      <c r="AP72" t="b">
        <f t="shared" si="23"/>
        <v>0</v>
      </c>
      <c r="AV72" s="934" t="e">
        <f t="shared" si="15"/>
        <v>#N/A</v>
      </c>
      <c r="AW72" s="932" t="e">
        <f t="shared" si="16"/>
        <v>#N/A</v>
      </c>
      <c r="AX72" s="930" t="e">
        <f t="shared" si="19"/>
        <v>#N/A</v>
      </c>
      <c r="AY72" s="1025"/>
      <c r="AZ72" s="855" t="e">
        <f t="shared" si="22"/>
        <v>#N/A</v>
      </c>
      <c r="CB72">
        <f t="shared" si="20"/>
        <v>0</v>
      </c>
      <c r="CG72" s="293"/>
      <c r="CH72" s="293"/>
      <c r="CI72" s="293"/>
    </row>
    <row r="73" spans="5:87" ht="71.25" hidden="1" customHeight="1" thickTop="1" thickBot="1">
      <c r="H73" s="162"/>
      <c r="J73" s="310">
        <f t="shared" si="5"/>
        <v>0</v>
      </c>
      <c r="K73" s="160">
        <f t="shared" si="8"/>
        <v>65</v>
      </c>
      <c r="L73" s="310">
        <f>SUM(J8:J73)</f>
        <v>0</v>
      </c>
      <c r="M73" s="198"/>
      <c r="N73" s="167"/>
      <c r="O73" s="167"/>
      <c r="P73" s="180"/>
      <c r="Q73" s="180">
        <f>P7</f>
        <v>0.5</v>
      </c>
      <c r="R73" s="187"/>
      <c r="S73" s="182"/>
      <c r="T73" s="183"/>
      <c r="U73" s="183">
        <f t="shared" si="10"/>
        <v>0</v>
      </c>
      <c r="V73" s="183">
        <f>(Sheet5!F103*((S73+T73)*(R73)))</f>
        <v>0</v>
      </c>
      <c r="W73" s="184">
        <v>0</v>
      </c>
      <c r="X73" s="188">
        <f>Sheet5!$K$35</f>
        <v>1</v>
      </c>
      <c r="Y73" s="179"/>
      <c r="Z73" s="179"/>
      <c r="AA73" s="179"/>
      <c r="AB73" s="179"/>
      <c r="AC73" s="179"/>
      <c r="AD73" s="179"/>
      <c r="AE73" s="179"/>
      <c r="AF73" s="179"/>
      <c r="AG73" s="179"/>
      <c r="AH73" s="179"/>
      <c r="AI73" s="179"/>
      <c r="AJ73" s="179"/>
      <c r="AK73" s="179"/>
      <c r="AL73" s="179"/>
      <c r="AM73" s="179"/>
      <c r="AN73" s="179" t="str">
        <f t="shared" si="14"/>
        <v/>
      </c>
      <c r="AO73" s="168" t="str">
        <f t="shared" si="13"/>
        <v>لايورث</v>
      </c>
      <c r="AV73" s="934" t="e">
        <f t="shared" si="15"/>
        <v>#N/A</v>
      </c>
      <c r="AW73" s="929" t="e">
        <f t="shared" si="16"/>
        <v>#N/A</v>
      </c>
      <c r="AX73" s="930" t="e">
        <f t="shared" si="19"/>
        <v>#N/A</v>
      </c>
      <c r="AY73" s="1025"/>
      <c r="AZ73" s="855" t="e">
        <f t="shared" si="22"/>
        <v>#N/A</v>
      </c>
      <c r="CB73">
        <f t="shared" si="20"/>
        <v>0</v>
      </c>
      <c r="CG73" s="293"/>
      <c r="CH73" s="293"/>
      <c r="CI73" s="293"/>
    </row>
    <row r="74" spans="5:87" ht="71.25" hidden="1" customHeight="1" thickTop="1" thickBot="1">
      <c r="H74" s="162"/>
      <c r="J74" s="310">
        <f t="shared" ref="J74:J137" si="24">IF(AO74="حقق الشرط",1,0)</f>
        <v>0</v>
      </c>
      <c r="K74" s="160">
        <f t="shared" si="8"/>
        <v>66</v>
      </c>
      <c r="L74" s="310">
        <f>SUM(J8:J74)</f>
        <v>0</v>
      </c>
      <c r="M74" s="200" t="s">
        <v>81</v>
      </c>
      <c r="N74" s="167"/>
      <c r="O74" s="167"/>
      <c r="P74" s="180"/>
      <c r="Q74" s="180"/>
      <c r="R74" s="187"/>
      <c r="S74" s="182"/>
      <c r="T74" s="183"/>
      <c r="U74" s="183">
        <f t="shared" si="10"/>
        <v>0</v>
      </c>
      <c r="V74" s="183">
        <f>(Sheet5!F104*((S74+T74)*(R74)))</f>
        <v>0</v>
      </c>
      <c r="W74" s="184">
        <v>0</v>
      </c>
      <c r="X74" s="188"/>
      <c r="Y74" s="179"/>
      <c r="Z74" s="179"/>
      <c r="AA74" s="179" t="b">
        <f>CG29</f>
        <v>0</v>
      </c>
      <c r="AB74" s="179"/>
      <c r="AC74" s="179"/>
      <c r="AD74" s="179"/>
      <c r="AE74" s="179"/>
      <c r="AF74" s="179"/>
      <c r="AG74" s="179"/>
      <c r="AH74" s="179"/>
      <c r="AI74" s="179"/>
      <c r="AJ74" s="179"/>
      <c r="AK74" s="179"/>
      <c r="AL74" s="179"/>
      <c r="AM74" s="179"/>
      <c r="AN74" s="179" t="str">
        <f t="shared" si="14"/>
        <v/>
      </c>
      <c r="AO74" s="168" t="str">
        <f>IF(AP74=TRUE,"حقق الشرط","")</f>
        <v/>
      </c>
      <c r="AP74" t="b">
        <f>OR(O75,O76  )</f>
        <v>0</v>
      </c>
      <c r="AV74" s="935" t="e">
        <f t="shared" ref="AV74:AV137" si="25">VLOOKUP(K74, L74:AO206,2,FALSE)</f>
        <v>#N/A</v>
      </c>
      <c r="AW74" s="932" t="e">
        <f t="shared" ref="AW74:AW137" si="26">VLOOKUP(K74, L74:AO206,3,FALSE)</f>
        <v>#N/A</v>
      </c>
      <c r="AX74" s="930" t="e">
        <f t="shared" ref="AX74:AX137" si="27">VLOOKUP(K74, L74:AO206,5,FALSE)</f>
        <v>#N/A</v>
      </c>
      <c r="AY74" s="1025"/>
      <c r="AZ74" s="857" t="e">
        <f t="shared" ref="AZ74:AZ137" si="28">VLOOKUP(K74, L74:AO206,6,FALSE)</f>
        <v>#N/A</v>
      </c>
      <c r="CB74">
        <f t="shared" si="20"/>
        <v>0</v>
      </c>
      <c r="CF74">
        <f>SUM(CB74:CB76)</f>
        <v>0</v>
      </c>
      <c r="CG74" s="293"/>
      <c r="CH74" s="293"/>
      <c r="CI74" s="293"/>
    </row>
    <row r="75" spans="5:87" ht="71.25" hidden="1" customHeight="1" thickTop="1" thickBot="1">
      <c r="H75" s="160">
        <v>1</v>
      </c>
      <c r="J75" s="310">
        <f t="shared" si="24"/>
        <v>0</v>
      </c>
      <c r="K75" s="160">
        <f t="shared" ref="K75:K138" si="29">K74+1</f>
        <v>67</v>
      </c>
      <c r="L75" s="310">
        <f>SUM(J8:J75)</f>
        <v>0</v>
      </c>
      <c r="M75" s="174" t="s">
        <v>82</v>
      </c>
      <c r="N75" s="175" t="s">
        <v>5</v>
      </c>
      <c r="O75" s="175" t="b">
        <f>AND('أدخال البيانات'!F9+'أدخال البيانات'!F10+'أدخال البيانات'!F12+'أدخال البيانات'!M9+'أدخال البيانات'!M10+'أدخال البيانات'!F13+'أدخال البيانات'!F11=0,'شرح الحالة'!E14+'شرح الحالة'!E28=1)</f>
        <v>0</v>
      </c>
      <c r="P75" s="180">
        <v>0.16666666666666666</v>
      </c>
      <c r="Q75" s="180">
        <f t="shared" ref="Q75:Q128" si="30">IF(O75=TRUE,R75,0)</f>
        <v>0</v>
      </c>
      <c r="R75" s="187">
        <f>IF('أدخال البيانات'!M14+'أدخال البيانات'!M15&gt;=1,1,0)</f>
        <v>0</v>
      </c>
      <c r="S75" s="182">
        <v>0</v>
      </c>
      <c r="T75" s="183">
        <f>IF(O75=TRUE,P75,0)</f>
        <v>0</v>
      </c>
      <c r="U75" s="183">
        <f t="shared" ref="U75:U129" si="31">IF(R75*Q75=0,0,V75+W75)</f>
        <v>0</v>
      </c>
      <c r="V75" s="183">
        <f>(Sheet5!F105*((S75+T75)*(R75)))</f>
        <v>0</v>
      </c>
      <c r="W75" s="184" t="e">
        <f>Sheet5!G106*((S75+T75)/(R75))</f>
        <v>#DIV/0!</v>
      </c>
      <c r="X75" s="1235">
        <f>MAX(U75:U76)</f>
        <v>0</v>
      </c>
      <c r="Y75" s="185" t="e">
        <f>IF(AA74=TRUE,AB75,AA75)</f>
        <v>#DIV/0!</v>
      </c>
      <c r="Z75" s="185">
        <f>IF(X75=0,0,Y75)</f>
        <v>0</v>
      </c>
      <c r="AA75" s="185" t="e">
        <f>X75*(('أدخال البيانات'!M15/('أدخال البيانات'!M15+'أدخال البيانات'!M14 )))</f>
        <v>#DIV/0!</v>
      </c>
      <c r="AB75" s="185" t="e">
        <f>X75*(('أدخال البيانات'!M15/('أدخال البيانات'!M15+'أدخال البيانات'!M14+'أدخال البيانات'!F14+'أدخال البيانات'!M12)))</f>
        <v>#DIV/0!</v>
      </c>
      <c r="AC75" s="179"/>
      <c r="AD75" s="179"/>
      <c r="AE75" s="179"/>
      <c r="AF75" s="179"/>
      <c r="AG75" s="179"/>
      <c r="AH75" s="179"/>
      <c r="AI75" s="179"/>
      <c r="AJ75" s="179"/>
      <c r="AK75" s="179"/>
      <c r="AL75" s="179"/>
      <c r="AM75" s="179"/>
      <c r="AN75" s="179" t="str">
        <f t="shared" si="14"/>
        <v/>
      </c>
      <c r="AO75" s="168" t="str">
        <f t="shared" ref="AO75:AO138" si="32">IF(O75=TRUE,"حقق الشرط","لايورث")</f>
        <v>لايورث</v>
      </c>
      <c r="AP75" t="b">
        <f>$AP$74</f>
        <v>0</v>
      </c>
      <c r="AV75" s="935" t="e">
        <f t="shared" si="25"/>
        <v>#N/A</v>
      </c>
      <c r="AW75" s="929" t="e">
        <f t="shared" si="26"/>
        <v>#N/A</v>
      </c>
      <c r="AX75" s="930" t="e">
        <f t="shared" si="27"/>
        <v>#N/A</v>
      </c>
      <c r="AY75" s="1025"/>
      <c r="AZ75" s="857" t="e">
        <f t="shared" si="28"/>
        <v>#N/A</v>
      </c>
      <c r="CB75">
        <f t="shared" ref="CB75:CB138" si="33">IF(O75=TRUE,P75,0)</f>
        <v>0</v>
      </c>
      <c r="CG75" s="293"/>
      <c r="CH75" s="293"/>
      <c r="CI75" s="293"/>
    </row>
    <row r="76" spans="5:87" ht="71.25" hidden="1" customHeight="1" thickTop="1" thickBot="1">
      <c r="E76">
        <f>IF(O76=TRUE,'أدخال البيانات'!M15+'أدخال البيانات'!M14,Q75)</f>
        <v>0</v>
      </c>
      <c r="H76" s="160">
        <v>2</v>
      </c>
      <c r="J76" s="310">
        <f t="shared" si="24"/>
        <v>0</v>
      </c>
      <c r="K76" s="160">
        <f t="shared" si="29"/>
        <v>68</v>
      </c>
      <c r="L76" s="310">
        <f>SUM(J8:J76)</f>
        <v>0</v>
      </c>
      <c r="M76" s="174" t="str">
        <f>IF(AA51=TRUE,M77,"الأخوة لأم   أن كانو متعددين")</f>
        <v>الأخوة لأم   أن كانو متعددين</v>
      </c>
      <c r="N76" s="175" t="str">
        <f>IF(AA74=TRUE," يشتركون مع الأخوة الأشقاء فى الثلث","الثلث")</f>
        <v>الثلث</v>
      </c>
      <c r="O76" s="175" t="b">
        <f>AND('أدخال البيانات'!F9+'أدخال البيانات'!F10+'أدخال البيانات'!F12+'أدخال البيانات'!M9+'أدخال البيانات'!M10+'أدخال البيانات'!F13+'أدخال البيانات'!F11=0,'شرح الحالة'!E14+'شرح الحالة'!E28&gt;1)</f>
        <v>0</v>
      </c>
      <c r="P76" s="180">
        <f>IF(AA74=TRUE,AB76+AB75,Y72)</f>
        <v>0.33333333333333331</v>
      </c>
      <c r="Q76" s="180">
        <f t="shared" si="30"/>
        <v>0</v>
      </c>
      <c r="R76" s="187">
        <f>IF('أدخال البيانات'!M14+'أدخال البيانات'!M15&gt;=1,1,0)</f>
        <v>0</v>
      </c>
      <c r="S76" s="182">
        <v>0</v>
      </c>
      <c r="T76" s="183">
        <f>IF(O76=TRUE,Y72,0)</f>
        <v>0</v>
      </c>
      <c r="U76" s="183">
        <f>IF(AA74=TRUE,AC76,AD76)</f>
        <v>0</v>
      </c>
      <c r="V76" s="183">
        <f>(Sheet5!F106*((S76+T76)*(R76)))</f>
        <v>0</v>
      </c>
      <c r="W76" s="184" t="e">
        <f>Sheet5!G107*((S76+T76)/(R76))</f>
        <v>#DIV/0!</v>
      </c>
      <c r="X76" s="1235"/>
      <c r="Y76" s="185" t="e">
        <f>IF(AA74=TRUE,AB76,AA76)</f>
        <v>#DIV/0!</v>
      </c>
      <c r="Z76" s="185">
        <f>IF(X75=0,0,Y76)</f>
        <v>0</v>
      </c>
      <c r="AA76" s="185" t="e">
        <f>X75*('أدخال البيانات'!M14/('أدخال البيانات'!M14+'أدخال البيانات'!M15 ))</f>
        <v>#DIV/0!</v>
      </c>
      <c r="AB76" s="185" t="e">
        <f>X75*('أدخال البيانات'!M14/('أدخال البيانات'!M14+'أدخال البيانات'!M15+'أدخال البيانات'!F14+'أدخال البيانات'!M12))</f>
        <v>#DIV/0!</v>
      </c>
      <c r="AC76" s="179">
        <f>IF(R76*Q76=0,0,V76+W76 )</f>
        <v>0</v>
      </c>
      <c r="AD76" s="179">
        <f>IF(R76*Q76=0,0,V76+W76 )</f>
        <v>0</v>
      </c>
      <c r="AE76" s="179"/>
      <c r="AF76" s="179"/>
      <c r="AG76" s="179"/>
      <c r="AH76" s="179"/>
      <c r="AI76" s="179"/>
      <c r="AJ76" s="179"/>
      <c r="AK76" s="179"/>
      <c r="AL76" s="179"/>
      <c r="AM76" s="179"/>
      <c r="AN76" s="179" t="str">
        <f t="shared" si="14"/>
        <v/>
      </c>
      <c r="AO76" s="168" t="str">
        <f t="shared" si="32"/>
        <v>لايورث</v>
      </c>
      <c r="AP76" t="b">
        <f>$AP$74</f>
        <v>0</v>
      </c>
      <c r="AV76" s="936" t="e">
        <f t="shared" si="25"/>
        <v>#N/A</v>
      </c>
      <c r="AW76" s="932" t="e">
        <f t="shared" si="26"/>
        <v>#N/A</v>
      </c>
      <c r="AX76" s="930" t="e">
        <f t="shared" si="27"/>
        <v>#N/A</v>
      </c>
      <c r="AY76" s="1025"/>
      <c r="AZ76" s="858" t="e">
        <f t="shared" si="28"/>
        <v>#N/A</v>
      </c>
      <c r="CB76">
        <f>IF(O76=TRUE,Y72,0)</f>
        <v>0</v>
      </c>
      <c r="CG76" s="293"/>
      <c r="CH76" s="293"/>
      <c r="CI76" s="293"/>
    </row>
    <row r="77" spans="5:87" ht="71.25" hidden="1" customHeight="1" thickTop="1" thickBot="1">
      <c r="H77" s="162"/>
      <c r="J77" s="310">
        <f t="shared" si="24"/>
        <v>0</v>
      </c>
      <c r="K77" s="160">
        <f t="shared" si="29"/>
        <v>69</v>
      </c>
      <c r="L77" s="310">
        <f>SUM(J8:J77)</f>
        <v>0</v>
      </c>
      <c r="M77" s="198" t="s">
        <v>816</v>
      </c>
      <c r="N77" s="167"/>
      <c r="O77" s="167"/>
      <c r="P77" s="180"/>
      <c r="Q77" s="180"/>
      <c r="R77" s="187"/>
      <c r="S77" s="182"/>
      <c r="T77" s="183"/>
      <c r="U77" s="183">
        <f t="shared" si="31"/>
        <v>0</v>
      </c>
      <c r="V77" s="183">
        <f>(Sheet5!F107*((S77+T77)*(R77)))</f>
        <v>0</v>
      </c>
      <c r="W77" s="184" t="e">
        <f>Sheet5!G108*((S77+T77)/(R77))</f>
        <v>#DIV/0!</v>
      </c>
      <c r="X77" s="188"/>
      <c r="Y77" s="179"/>
      <c r="Z77" s="179"/>
      <c r="AA77" s="179"/>
      <c r="AB77" s="179"/>
      <c r="AC77" s="179"/>
      <c r="AD77" s="179"/>
      <c r="AE77" s="179"/>
      <c r="AF77" s="179"/>
      <c r="AG77" s="179"/>
      <c r="AH77" s="179"/>
      <c r="AI77" s="179"/>
      <c r="AJ77" s="179"/>
      <c r="AK77" s="179"/>
      <c r="AL77" s="179"/>
      <c r="AM77" s="179"/>
      <c r="AN77" s="179" t="str">
        <f t="shared" si="14"/>
        <v/>
      </c>
      <c r="AO77" s="168" t="str">
        <f t="shared" si="32"/>
        <v>لايورث</v>
      </c>
      <c r="AV77" s="936" t="e">
        <f t="shared" si="25"/>
        <v>#N/A</v>
      </c>
      <c r="AW77" s="929" t="e">
        <f t="shared" si="26"/>
        <v>#N/A</v>
      </c>
      <c r="AX77" s="930" t="e">
        <f t="shared" si="27"/>
        <v>#N/A</v>
      </c>
      <c r="AY77" s="1025"/>
      <c r="AZ77" s="858" t="e">
        <f t="shared" si="28"/>
        <v>#N/A</v>
      </c>
      <c r="CB77">
        <f t="shared" si="33"/>
        <v>0</v>
      </c>
      <c r="CG77" s="293"/>
      <c r="CH77" s="293"/>
      <c r="CI77" s="293"/>
    </row>
    <row r="78" spans="5:87" ht="71.25" hidden="1" customHeight="1" thickTop="1" thickBot="1">
      <c r="H78" s="162"/>
      <c r="J78" s="310">
        <f t="shared" si="24"/>
        <v>0</v>
      </c>
      <c r="K78" s="160">
        <f t="shared" si="29"/>
        <v>70</v>
      </c>
      <c r="L78" s="310">
        <f>SUM(J8:J78)</f>
        <v>0</v>
      </c>
      <c r="M78" s="200" t="s">
        <v>178</v>
      </c>
      <c r="N78" s="167"/>
      <c r="O78" s="167"/>
      <c r="P78" s="180"/>
      <c r="Q78" s="180"/>
      <c r="R78" s="187"/>
      <c r="S78" s="182"/>
      <c r="T78" s="183"/>
      <c r="U78" s="183">
        <f t="shared" si="31"/>
        <v>0</v>
      </c>
      <c r="V78" s="183">
        <f>(Sheet5!F108*((S78+T78)*(R78)))</f>
        <v>0</v>
      </c>
      <c r="W78" s="184" t="e">
        <f>Sheet5!G109*((S78+T78)/(R78))</f>
        <v>#DIV/0!</v>
      </c>
      <c r="X78" s="188"/>
      <c r="Y78" s="179"/>
      <c r="Z78" s="179"/>
      <c r="AA78" s="179"/>
      <c r="AB78" s="179"/>
      <c r="AC78" s="179"/>
      <c r="AD78" s="179"/>
      <c r="AE78" s="179"/>
      <c r="AF78" s="179"/>
      <c r="AG78" s="179"/>
      <c r="AH78" s="179"/>
      <c r="AI78" s="179"/>
      <c r="AJ78" s="179"/>
      <c r="AK78" s="179"/>
      <c r="AL78" s="179"/>
      <c r="AM78" s="179"/>
      <c r="AN78" s="179" t="str">
        <f t="shared" ref="AN78:AN90" si="34">IF(AO78="حقق الشرط",AP78,"")</f>
        <v/>
      </c>
      <c r="AO78" s="168" t="str">
        <f>IF(AP78=TRUE,"حقق الشرط","")</f>
        <v/>
      </c>
      <c r="AP78" t="b">
        <f>OR(O79,O80,O81,O82  )</f>
        <v>0</v>
      </c>
      <c r="AV78" s="936" t="e">
        <f t="shared" si="25"/>
        <v>#N/A</v>
      </c>
      <c r="AW78" s="932" t="e">
        <f t="shared" si="26"/>
        <v>#N/A</v>
      </c>
      <c r="AX78" s="930" t="e">
        <f t="shared" si="27"/>
        <v>#N/A</v>
      </c>
      <c r="AY78" s="1025"/>
      <c r="AZ78" s="858" t="e">
        <f t="shared" si="28"/>
        <v>#N/A</v>
      </c>
      <c r="CB78">
        <f t="shared" si="33"/>
        <v>0</v>
      </c>
      <c r="CG78" s="293"/>
      <c r="CH78" s="293"/>
      <c r="CI78" s="293"/>
    </row>
    <row r="79" spans="5:87" ht="71.25" hidden="1" customHeight="1" thickTop="1" thickBot="1">
      <c r="H79" s="160">
        <v>1</v>
      </c>
      <c r="J79" s="310">
        <f t="shared" si="24"/>
        <v>0</v>
      </c>
      <c r="K79" s="160">
        <f t="shared" si="29"/>
        <v>71</v>
      </c>
      <c r="L79" s="310">
        <f>SUM(J8:J79)</f>
        <v>0</v>
      </c>
      <c r="M79" s="174" t="s">
        <v>32</v>
      </c>
      <c r="N79" s="175" t="s">
        <v>33</v>
      </c>
      <c r="O79" s="175" t="b">
        <f>AND('شرح الحالة'!E8=0,1=1,'شرح الحالة'!E21=0,'شرح الحالة'!E23=0,'شرح الحالة'!E25=0,'شرح الحالة'!E31=0,'شرح الحالة'!E9+E32=1,'شرح الحالة'!E10=0,'شرح الحالة'!E11=0,'شرح الحالة'!E8=0,'شرح الحالة'!E24=0,'أدخال البيانات'!F10&gt;0)</f>
        <v>0</v>
      </c>
      <c r="P79" s="180">
        <v>1</v>
      </c>
      <c r="Q79" s="180">
        <f>IF(O79=TRUE,R79,0)</f>
        <v>0</v>
      </c>
      <c r="R79" s="187">
        <f>'أدخال البيانات'!F10</f>
        <v>0</v>
      </c>
      <c r="S79" s="182">
        <f>IF(O79=TRUE,P79,0)</f>
        <v>0</v>
      </c>
      <c r="T79" s="183">
        <v>0</v>
      </c>
      <c r="U79" s="183">
        <f t="shared" si="31"/>
        <v>0</v>
      </c>
      <c r="V79" s="183">
        <f>(Sheet5!F109*((S79+T79)*(R79)))</f>
        <v>0</v>
      </c>
      <c r="W79" s="184" t="e">
        <f>Sheet5!G110*((S79+T79)/(R79))</f>
        <v>#DIV/0!</v>
      </c>
      <c r="X79" s="1235">
        <f>MAX(U79:U82)</f>
        <v>0</v>
      </c>
      <c r="Y79" s="179"/>
      <c r="Z79" s="179"/>
      <c r="AA79" s="179"/>
      <c r="AB79" s="179"/>
      <c r="AC79" s="179"/>
      <c r="AD79" s="179"/>
      <c r="AE79" s="179"/>
      <c r="AF79" s="179"/>
      <c r="AG79" s="179"/>
      <c r="AH79" s="179"/>
      <c r="AI79" s="179"/>
      <c r="AJ79" s="179"/>
      <c r="AK79" s="179"/>
      <c r="AL79" s="179"/>
      <c r="AM79" s="179"/>
      <c r="AN79" s="179" t="str">
        <f t="shared" si="34"/>
        <v/>
      </c>
      <c r="AO79" s="168" t="str">
        <f t="shared" si="32"/>
        <v>لايورث</v>
      </c>
      <c r="AP79" t="b">
        <f>$AP$78</f>
        <v>0</v>
      </c>
      <c r="AV79" s="936" t="e">
        <f t="shared" si="25"/>
        <v>#N/A</v>
      </c>
      <c r="AW79" s="929" t="e">
        <f t="shared" si="26"/>
        <v>#N/A</v>
      </c>
      <c r="AX79" s="930" t="e">
        <f t="shared" si="27"/>
        <v>#N/A</v>
      </c>
      <c r="AY79" s="1025"/>
      <c r="AZ79" s="858" t="e">
        <f t="shared" si="28"/>
        <v>#N/A</v>
      </c>
      <c r="CB79">
        <f t="shared" si="33"/>
        <v>0</v>
      </c>
      <c r="CG79" s="293"/>
      <c r="CH79" s="293"/>
      <c r="CI79" s="293"/>
    </row>
    <row r="80" spans="5:87" ht="71.25" hidden="1" customHeight="1" thickTop="1" thickBot="1">
      <c r="H80" s="161">
        <v>2</v>
      </c>
      <c r="J80" s="310">
        <f t="shared" si="24"/>
        <v>0</v>
      </c>
      <c r="K80" s="160">
        <f t="shared" si="29"/>
        <v>72</v>
      </c>
      <c r="L80" s="310">
        <f>SUM(J8:J80)</f>
        <v>0</v>
      </c>
      <c r="M80" s="174" t="s">
        <v>34</v>
      </c>
      <c r="N80" s="175" t="s">
        <v>579</v>
      </c>
      <c r="O80" s="175" t="b">
        <f>AND('شرح الحالة'!E9+'شرح الحالة'!E24&gt;1,'شرح الحالة'!E10&gt;=0,'شرح الحالة'!E11&gt;=0,'أدخال البيانات'!M9&gt;=0,'شرح الحالة'!E8=0,'شرح الحالة'!E25&gt;=0,'شرح الحالة'!E31&gt;=0,'شرح الحالة'!E9+E32&gt;0,'شرح الحالة'!E9+'شرح الحالة'!E24&gt;1,E23+E24&gt;0,'أدخال البيانات'!F10&gt;=1)</f>
        <v>0</v>
      </c>
      <c r="P80" s="180">
        <f>P8</f>
        <v>1</v>
      </c>
      <c r="Q80" s="180">
        <f>IF(O80=TRUE,R80,0)</f>
        <v>0</v>
      </c>
      <c r="R80" s="187">
        <f>'أدخال البيانات'!F10</f>
        <v>0</v>
      </c>
      <c r="S80" s="182">
        <f>IF(O80=TRUE,P80,0)</f>
        <v>0</v>
      </c>
      <c r="T80" s="183">
        <v>0</v>
      </c>
      <c r="U80" s="183">
        <f t="shared" si="31"/>
        <v>0</v>
      </c>
      <c r="V80" s="183">
        <f>(Sheet5!F110*((S80+T80)*(R80)))</f>
        <v>0</v>
      </c>
      <c r="W80" s="184" t="e">
        <f>Sheet5!G111*((S80+T80)/(R80))</f>
        <v>#DIV/0!</v>
      </c>
      <c r="X80" s="1235"/>
      <c r="Y80" s="179"/>
      <c r="Z80" s="179"/>
      <c r="AA80" s="179"/>
      <c r="AB80" s="179"/>
      <c r="AC80" s="179"/>
      <c r="AD80" s="179"/>
      <c r="AE80" s="179"/>
      <c r="AF80" s="179"/>
      <c r="AG80" s="179"/>
      <c r="AH80" s="179"/>
      <c r="AI80" s="179"/>
      <c r="AJ80" s="179"/>
      <c r="AK80" s="179"/>
      <c r="AL80" s="179"/>
      <c r="AM80" s="179"/>
      <c r="AN80" s="179" t="str">
        <f t="shared" si="34"/>
        <v/>
      </c>
      <c r="AO80" s="168" t="str">
        <f t="shared" si="32"/>
        <v>لايورث</v>
      </c>
      <c r="AP80" t="b">
        <f>$AP$78</f>
        <v>0</v>
      </c>
      <c r="AV80" s="936" t="e">
        <f t="shared" si="25"/>
        <v>#N/A</v>
      </c>
      <c r="AW80" s="932" t="e">
        <f t="shared" si="26"/>
        <v>#N/A</v>
      </c>
      <c r="AX80" s="930" t="e">
        <f t="shared" si="27"/>
        <v>#N/A</v>
      </c>
      <c r="AY80" s="1025"/>
      <c r="AZ80" s="858" t="e">
        <f t="shared" si="28"/>
        <v>#N/A</v>
      </c>
      <c r="CB80">
        <f t="shared" si="33"/>
        <v>0</v>
      </c>
      <c r="CG80" s="293"/>
      <c r="CH80" s="293"/>
      <c r="CI80" s="293"/>
    </row>
    <row r="81" spans="5:87" ht="71.25" hidden="1" customHeight="1" thickTop="1" thickBot="1">
      <c r="H81" s="160">
        <v>3</v>
      </c>
      <c r="J81" s="310">
        <f t="shared" si="24"/>
        <v>0</v>
      </c>
      <c r="K81" s="160">
        <f t="shared" si="29"/>
        <v>73</v>
      </c>
      <c r="L81" s="310">
        <f>SUM(J8:J81)</f>
        <v>0</v>
      </c>
      <c r="M81" s="174" t="s">
        <v>36</v>
      </c>
      <c r="N81" s="175" t="s">
        <v>37</v>
      </c>
      <c r="O81" s="175" t="b">
        <f>AND('أدخال البيانات'!F9+'أدخال البيانات'!M10=0,'شرح الحالة'!E8=0,'شرح الحالة'!E9&gt;=1,O79=FALSE)</f>
        <v>0</v>
      </c>
      <c r="P81" s="180">
        <f>Sheet5!K18</f>
        <v>1</v>
      </c>
      <c r="Q81" s="180">
        <f>IF(O81=TRUE,R81,0)</f>
        <v>0</v>
      </c>
      <c r="R81" s="187">
        <f>'أدخال البيانات'!F10</f>
        <v>0</v>
      </c>
      <c r="S81" s="182">
        <f>IF(O81=TRUE,P81,0)</f>
        <v>0</v>
      </c>
      <c r="T81" s="183">
        <v>0</v>
      </c>
      <c r="U81" s="183">
        <f t="shared" si="31"/>
        <v>0</v>
      </c>
      <c r="V81" s="183">
        <f>(Sheet5!F111*((S81+T81)))</f>
        <v>0</v>
      </c>
      <c r="W81" s="184" t="e">
        <f>Sheet5!G112*((S81+T81)/(R81))</f>
        <v>#DIV/0!</v>
      </c>
      <c r="X81" s="1235"/>
      <c r="Y81" s="179"/>
      <c r="Z81" s="179"/>
      <c r="AA81" s="179"/>
      <c r="AB81" s="179"/>
      <c r="AC81" s="179"/>
      <c r="AD81" s="179"/>
      <c r="AE81" s="179"/>
      <c r="AF81" s="179"/>
      <c r="AG81" s="179"/>
      <c r="AH81" s="179"/>
      <c r="AI81" s="179"/>
      <c r="AJ81" s="179"/>
      <c r="AK81" s="179"/>
      <c r="AL81" s="179"/>
      <c r="AM81" s="179"/>
      <c r="AN81" s="179" t="str">
        <f t="shared" si="34"/>
        <v/>
      </c>
      <c r="AO81" s="168" t="str">
        <f t="shared" si="32"/>
        <v>لايورث</v>
      </c>
      <c r="AP81" t="b">
        <f>$AP$78</f>
        <v>0</v>
      </c>
      <c r="AV81" s="936" t="e">
        <f t="shared" si="25"/>
        <v>#N/A</v>
      </c>
      <c r="AW81" s="929" t="e">
        <f t="shared" si="26"/>
        <v>#N/A</v>
      </c>
      <c r="AX81" s="930" t="e">
        <f t="shared" si="27"/>
        <v>#N/A</v>
      </c>
      <c r="AY81" s="1025"/>
      <c r="AZ81" s="858" t="e">
        <f t="shared" si="28"/>
        <v>#N/A</v>
      </c>
      <c r="CB81">
        <f t="shared" si="33"/>
        <v>0</v>
      </c>
      <c r="CG81" s="293"/>
      <c r="CH81" s="293"/>
      <c r="CI81" s="293"/>
    </row>
    <row r="82" spans="5:87" ht="71.25" hidden="1" customHeight="1" thickTop="1" thickBot="1">
      <c r="H82" s="160">
        <v>4</v>
      </c>
      <c r="J82" s="310">
        <f t="shared" si="24"/>
        <v>0</v>
      </c>
      <c r="K82" s="160">
        <f t="shared" si="29"/>
        <v>74</v>
      </c>
      <c r="L82" s="310">
        <f>SUM(J8:J82)</f>
        <v>0</v>
      </c>
      <c r="M82" s="174" t="s">
        <v>38</v>
      </c>
      <c r="N82" s="175" t="s">
        <v>39</v>
      </c>
      <c r="O82" s="175" t="b">
        <f>AND('شرح الحالة'!E9+E32&gt;0,'أدخال البيانات'!F10&gt;1,'شرح الحالة'!E8=0,'شرح الحالة'!E23&gt;=0,'أدخال البيانات'!F10+E32&gt;0,E9&gt;0,'أدخال البيانات'!M9+'أدخال البيانات'!M10+'أدخال البيانات'!M11+'أدخال البيانات'!M12+'أدخال البيانات'!M13+'أدخال البيانات'!M14+'أدخال البيانات'!M16+'أدخال البيانات'!M17+'أدخال البيانات'!M18+'أدخال البيانات'!F22+'أدخال البيانات'!M15&gt;0,'أدخال البيانات'!M10&gt;0,O80=FALSE)</f>
        <v>0</v>
      </c>
      <c r="P82" s="180">
        <f>P8</f>
        <v>1</v>
      </c>
      <c r="Q82" s="180">
        <f>IF(O82=TRUE,R82,0)</f>
        <v>0</v>
      </c>
      <c r="R82" s="187">
        <f>'أدخال البيانات'!F10</f>
        <v>0</v>
      </c>
      <c r="S82" s="182">
        <f>IF(O82=TRUE,P82,0)</f>
        <v>0</v>
      </c>
      <c r="T82" s="183">
        <v>0</v>
      </c>
      <c r="U82" s="183">
        <f t="shared" si="31"/>
        <v>0</v>
      </c>
      <c r="V82" s="183">
        <f>(Sheet5!F112*((S82+T82)*(R82)))</f>
        <v>0</v>
      </c>
      <c r="W82" s="184" t="e">
        <f>Sheet5!G113*((S82+T82)/(R82))</f>
        <v>#DIV/0!</v>
      </c>
      <c r="X82" s="1235"/>
      <c r="Y82" s="179"/>
      <c r="Z82" s="179"/>
      <c r="AA82" s="179"/>
      <c r="AB82" s="179"/>
      <c r="AC82" s="179"/>
      <c r="AD82" s="179"/>
      <c r="AE82" s="179"/>
      <c r="AF82" s="179"/>
      <c r="AG82" s="179"/>
      <c r="AH82" s="179"/>
      <c r="AI82" s="179"/>
      <c r="AJ82" s="179"/>
      <c r="AK82" s="179"/>
      <c r="AL82" s="179"/>
      <c r="AM82" s="179"/>
      <c r="AN82" s="179" t="str">
        <f t="shared" si="34"/>
        <v/>
      </c>
      <c r="AO82" s="168" t="str">
        <f t="shared" si="32"/>
        <v>لايورث</v>
      </c>
      <c r="AP82" t="b">
        <f>$AP$78</f>
        <v>0</v>
      </c>
      <c r="AV82" s="937" t="e">
        <f t="shared" si="25"/>
        <v>#N/A</v>
      </c>
      <c r="AW82" s="932" t="e">
        <f t="shared" si="26"/>
        <v>#N/A</v>
      </c>
      <c r="AX82" s="930" t="e">
        <f t="shared" si="27"/>
        <v>#N/A</v>
      </c>
      <c r="AY82" s="1025"/>
      <c r="AZ82" s="924" t="e">
        <f t="shared" si="28"/>
        <v>#N/A</v>
      </c>
      <c r="CB82">
        <f t="shared" si="33"/>
        <v>0</v>
      </c>
      <c r="CG82" s="293"/>
      <c r="CH82" s="293"/>
      <c r="CI82" s="293"/>
    </row>
    <row r="83" spans="5:87" ht="71.25" hidden="1" customHeight="1" thickTop="1" thickBot="1">
      <c r="H83" s="162"/>
      <c r="J83" s="310">
        <f t="shared" si="24"/>
        <v>0</v>
      </c>
      <c r="K83" s="160">
        <f t="shared" si="29"/>
        <v>75</v>
      </c>
      <c r="L83" s="310">
        <f>SUM(J8:J83)</f>
        <v>0</v>
      </c>
      <c r="M83" s="198"/>
      <c r="N83" s="167"/>
      <c r="O83" s="167"/>
      <c r="P83" s="180"/>
      <c r="Q83" s="180"/>
      <c r="R83" s="187"/>
      <c r="S83" s="182"/>
      <c r="T83" s="183"/>
      <c r="U83" s="183">
        <f t="shared" si="31"/>
        <v>0</v>
      </c>
      <c r="V83" s="183">
        <f>(Sheet5!F113*((S83+T83)*(R83)))</f>
        <v>0</v>
      </c>
      <c r="W83" s="184" t="e">
        <f>Sheet5!G114*((S83+T83)/(R83))</f>
        <v>#DIV/0!</v>
      </c>
      <c r="X83" s="188"/>
      <c r="Y83" s="179" t="s">
        <v>114</v>
      </c>
      <c r="Z83" s="179"/>
      <c r="AA83" s="179"/>
      <c r="AB83" s="179"/>
      <c r="AC83" s="179"/>
      <c r="AD83" s="179"/>
      <c r="AE83" s="179"/>
      <c r="AF83" s="179"/>
      <c r="AG83" s="179"/>
      <c r="AH83" s="179"/>
      <c r="AI83" s="179"/>
      <c r="AJ83" s="179"/>
      <c r="AK83" s="179"/>
      <c r="AL83" s="179"/>
      <c r="AM83" s="179"/>
      <c r="AN83" s="179" t="str">
        <f t="shared" si="34"/>
        <v/>
      </c>
      <c r="AO83" s="168" t="str">
        <f t="shared" si="32"/>
        <v>لايورث</v>
      </c>
      <c r="AV83" s="938" t="e">
        <f t="shared" si="25"/>
        <v>#N/A</v>
      </c>
      <c r="AW83" s="929" t="e">
        <f t="shared" si="26"/>
        <v>#N/A</v>
      </c>
      <c r="AX83" s="930" t="e">
        <f t="shared" si="27"/>
        <v>#N/A</v>
      </c>
      <c r="AY83" s="1026"/>
      <c r="AZ83" s="925" t="e">
        <f t="shared" si="28"/>
        <v>#N/A</v>
      </c>
      <c r="CB83">
        <f t="shared" si="33"/>
        <v>0</v>
      </c>
      <c r="CG83" s="293"/>
      <c r="CH83" s="293"/>
      <c r="CI83" s="293"/>
    </row>
    <row r="84" spans="5:87" ht="71.25" hidden="1" customHeight="1" thickTop="1" thickBot="1">
      <c r="H84" s="162"/>
      <c r="J84" s="310">
        <f t="shared" si="24"/>
        <v>0</v>
      </c>
      <c r="K84" s="160">
        <f t="shared" si="29"/>
        <v>76</v>
      </c>
      <c r="L84" s="310">
        <f>SUM(J8:J84)</f>
        <v>0</v>
      </c>
      <c r="M84" s="200" t="s">
        <v>84</v>
      </c>
      <c r="N84" s="167"/>
      <c r="O84" s="167"/>
      <c r="P84" s="180"/>
      <c r="Q84" s="180"/>
      <c r="R84" s="187"/>
      <c r="S84" s="182"/>
      <c r="T84" s="183"/>
      <c r="U84" s="183">
        <f t="shared" si="31"/>
        <v>0</v>
      </c>
      <c r="V84" s="183">
        <f>(Sheet5!F114*((S84+T84)*(R84)))</f>
        <v>0</v>
      </c>
      <c r="W84" s="184" t="e">
        <f>Sheet5!G115*((S84+T84)/(R84))</f>
        <v>#DIV/0!</v>
      </c>
      <c r="X84" s="188"/>
      <c r="Y84" s="179"/>
      <c r="Z84" s="179" t="s">
        <v>114</v>
      </c>
      <c r="AA84" s="179"/>
      <c r="AB84" s="179"/>
      <c r="AC84" s="179"/>
      <c r="AD84" s="179"/>
      <c r="AE84" s="179"/>
      <c r="AF84" s="179"/>
      <c r="AG84" s="179"/>
      <c r="AH84" s="179"/>
      <c r="AI84" s="179"/>
      <c r="AJ84" s="179"/>
      <c r="AK84" s="179"/>
      <c r="AL84" s="179"/>
      <c r="AM84" s="179"/>
      <c r="AN84" s="179" t="str">
        <f t="shared" si="34"/>
        <v/>
      </c>
      <c r="AO84" s="168" t="str">
        <f>IF(AP84=TRUE,"حقق الشرط","")</f>
        <v/>
      </c>
      <c r="AP84" t="b">
        <f>OR(O85,O86,O87,O88,O89  )</f>
        <v>0</v>
      </c>
      <c r="AV84" s="928" t="e">
        <f t="shared" si="25"/>
        <v>#N/A</v>
      </c>
      <c r="AW84" s="929" t="e">
        <f t="shared" si="26"/>
        <v>#N/A</v>
      </c>
      <c r="AX84" s="930" t="e">
        <f t="shared" si="27"/>
        <v>#N/A</v>
      </c>
      <c r="AY84" s="1025"/>
      <c r="AZ84" s="926" t="e">
        <f t="shared" si="28"/>
        <v>#N/A</v>
      </c>
      <c r="CB84">
        <f t="shared" si="33"/>
        <v>0</v>
      </c>
      <c r="CF84">
        <f>SUM(CB85+CB86+CB88+CB89)</f>
        <v>0</v>
      </c>
      <c r="CG84" s="293"/>
      <c r="CH84" s="293"/>
      <c r="CI84" s="293"/>
    </row>
    <row r="85" spans="5:87" ht="71.25" hidden="1" customHeight="1" thickTop="1" thickBot="1">
      <c r="E85" t="b">
        <f>AND(R85=1,'أدخال البيانات'!M11=0,'شرح الحالة'!O88=FALSE)</f>
        <v>0</v>
      </c>
      <c r="H85" s="160">
        <v>1</v>
      </c>
      <c r="J85" s="310">
        <f t="shared" si="24"/>
        <v>0</v>
      </c>
      <c r="K85" s="160">
        <f t="shared" si="29"/>
        <v>77</v>
      </c>
      <c r="L85" s="310">
        <f>SUM(J8:J85)</f>
        <v>0</v>
      </c>
      <c r="M85" s="174" t="s">
        <v>32</v>
      </c>
      <c r="N85" s="175" t="s">
        <v>5</v>
      </c>
      <c r="O85" s="175" t="b">
        <f>AND(E85=TRUE,E88=FALSE)</f>
        <v>0</v>
      </c>
      <c r="P85" s="195">
        <f>0.166666666666667</f>
        <v>0.16666666666666699</v>
      </c>
      <c r="Q85" s="180">
        <f t="shared" si="30"/>
        <v>0</v>
      </c>
      <c r="R85" s="196">
        <f>'شرح الحالة'!E29</f>
        <v>0</v>
      </c>
      <c r="S85" s="182">
        <v>0</v>
      </c>
      <c r="T85" s="183">
        <f>IF(O85=TRUE,P85,0)</f>
        <v>0</v>
      </c>
      <c r="U85" s="183">
        <f t="shared" si="31"/>
        <v>0</v>
      </c>
      <c r="V85" s="183">
        <f>(Sheet5!F115*((S85+T85)*(R85)))</f>
        <v>0</v>
      </c>
      <c r="W85" s="184" t="e">
        <f>Sheet5!G116*((S85+T85)/(R85))</f>
        <v>#DIV/0!</v>
      </c>
      <c r="X85" s="1235">
        <f>MAX(U85:U86)</f>
        <v>0</v>
      </c>
      <c r="Y85" s="185" t="s">
        <v>114</v>
      </c>
      <c r="Z85" s="179" t="s">
        <v>114</v>
      </c>
      <c r="AA85" s="179"/>
      <c r="AB85" s="179"/>
      <c r="AC85" s="179"/>
      <c r="AD85" s="179"/>
      <c r="AE85" s="179"/>
      <c r="AF85" s="179"/>
      <c r="AG85" s="179"/>
      <c r="AH85" s="179"/>
      <c r="AI85" s="179"/>
      <c r="AJ85" s="179"/>
      <c r="AK85" s="179"/>
      <c r="AL85" s="179"/>
      <c r="AM85" s="179"/>
      <c r="AN85" s="179" t="str">
        <f t="shared" si="34"/>
        <v/>
      </c>
      <c r="AO85" s="168" t="str">
        <f t="shared" si="32"/>
        <v>لايورث</v>
      </c>
      <c r="AP85" t="b">
        <f>$AP$84</f>
        <v>0</v>
      </c>
      <c r="AV85" s="931" t="e">
        <f t="shared" si="25"/>
        <v>#N/A</v>
      </c>
      <c r="AW85" s="932" t="e">
        <f t="shared" si="26"/>
        <v>#N/A</v>
      </c>
      <c r="AX85" s="930" t="e">
        <f t="shared" si="27"/>
        <v>#N/A</v>
      </c>
      <c r="AY85" s="1025"/>
      <c r="AZ85" s="854" t="e">
        <f t="shared" si="28"/>
        <v>#N/A</v>
      </c>
      <c r="CB85">
        <f t="shared" si="33"/>
        <v>0</v>
      </c>
      <c r="CG85" s="293"/>
      <c r="CH85" s="293"/>
      <c r="CI85" s="293"/>
    </row>
    <row r="86" spans="5:87" ht="71.25" hidden="1" customHeight="1" thickTop="1" thickBot="1">
      <c r="E86" t="s">
        <v>114</v>
      </c>
      <c r="H86" s="160">
        <v>1</v>
      </c>
      <c r="J86" s="310">
        <f t="shared" si="24"/>
        <v>0</v>
      </c>
      <c r="K86" s="160">
        <f t="shared" si="29"/>
        <v>78</v>
      </c>
      <c r="L86" s="310">
        <f>SUM(J8:J86)</f>
        <v>0</v>
      </c>
      <c r="M86" s="174" t="s">
        <v>580</v>
      </c>
      <c r="N86" s="175" t="s">
        <v>86</v>
      </c>
      <c r="O86" s="175" t="b">
        <f>AND(E85=TRUE,E88=TRUE)</f>
        <v>0</v>
      </c>
      <c r="P86" s="195">
        <f>0.0833333333333333</f>
        <v>8.3333333333333301E-2</v>
      </c>
      <c r="Q86" s="180">
        <f t="shared" si="30"/>
        <v>0</v>
      </c>
      <c r="R86" s="196">
        <f>'شرح الحالة'!E29</f>
        <v>0</v>
      </c>
      <c r="S86" s="182">
        <v>0</v>
      </c>
      <c r="T86" s="183">
        <f>IF(O86=TRUE,P86,0)</f>
        <v>0</v>
      </c>
      <c r="U86" s="183">
        <f t="shared" si="31"/>
        <v>0</v>
      </c>
      <c r="V86" s="183">
        <f>(Sheet5!F116*((S86+T86)*(R86)))</f>
        <v>0</v>
      </c>
      <c r="W86" s="184" t="e">
        <f>Sheet5!G117*((S86+T86)/(R86))</f>
        <v>#DIV/0!</v>
      </c>
      <c r="X86" s="1235"/>
      <c r="Y86" s="179"/>
      <c r="Z86" s="179" t="s">
        <v>114</v>
      </c>
      <c r="AA86" s="179"/>
      <c r="AB86" s="179"/>
      <c r="AC86" s="179"/>
      <c r="AD86" s="179"/>
      <c r="AE86" s="179"/>
      <c r="AF86" s="179"/>
      <c r="AG86" s="179"/>
      <c r="AH86" s="179"/>
      <c r="AI86" s="179"/>
      <c r="AJ86" s="179"/>
      <c r="AK86" s="179"/>
      <c r="AL86" s="179"/>
      <c r="AM86" s="179"/>
      <c r="AN86" s="179" t="str">
        <f t="shared" si="34"/>
        <v/>
      </c>
      <c r="AO86" s="168" t="str">
        <f t="shared" si="32"/>
        <v>لايورث</v>
      </c>
      <c r="AP86" t="b">
        <f>$AP$84</f>
        <v>0</v>
      </c>
      <c r="AV86" s="933" t="e">
        <f t="shared" si="25"/>
        <v>#N/A</v>
      </c>
      <c r="AW86" s="929" t="e">
        <f t="shared" si="26"/>
        <v>#N/A</v>
      </c>
      <c r="AX86" s="930" t="e">
        <f t="shared" si="27"/>
        <v>#N/A</v>
      </c>
      <c r="AY86" s="1025"/>
      <c r="AZ86" s="927" t="e">
        <f t="shared" si="28"/>
        <v>#N/A</v>
      </c>
      <c r="CB86">
        <f t="shared" si="33"/>
        <v>0</v>
      </c>
      <c r="CG86" s="293"/>
      <c r="CH86" s="293"/>
      <c r="CI86" s="293"/>
    </row>
    <row r="87" spans="5:87" ht="71.25" hidden="1" customHeight="1" thickTop="1" thickBot="1">
      <c r="E87" t="s">
        <v>114</v>
      </c>
      <c r="H87" s="162"/>
      <c r="J87" s="310">
        <f t="shared" si="24"/>
        <v>0</v>
      </c>
      <c r="K87" s="160">
        <f t="shared" si="29"/>
        <v>79</v>
      </c>
      <c r="L87" s="310">
        <f>SUM(J8:J87)</f>
        <v>0</v>
      </c>
      <c r="M87" s="200" t="s">
        <v>85</v>
      </c>
      <c r="N87" s="167"/>
      <c r="O87" s="167"/>
      <c r="P87" s="180"/>
      <c r="Q87" s="180"/>
      <c r="R87" s="187"/>
      <c r="S87" s="182"/>
      <c r="T87" s="183"/>
      <c r="U87" s="183">
        <f t="shared" si="31"/>
        <v>0</v>
      </c>
      <c r="V87" s="183">
        <f>(Sheet5!F117*((S87+T87)*(R87)))</f>
        <v>0</v>
      </c>
      <c r="W87" s="184" t="e">
        <f>Sheet5!G118*((S87+T87)/(R87))</f>
        <v>#DIV/0!</v>
      </c>
      <c r="X87" s="188">
        <f>Sheet5!$K$35</f>
        <v>1</v>
      </c>
      <c r="Y87" s="179"/>
      <c r="Z87" s="179"/>
      <c r="AA87" s="179" t="s">
        <v>114</v>
      </c>
      <c r="AB87" s="179"/>
      <c r="AC87" s="179"/>
      <c r="AD87" s="179"/>
      <c r="AE87" s="179"/>
      <c r="AF87" s="179"/>
      <c r="AG87" s="179"/>
      <c r="AH87" s="179"/>
      <c r="AI87" s="179"/>
      <c r="AJ87" s="179"/>
      <c r="AK87" s="179"/>
      <c r="AL87" s="179"/>
      <c r="AM87" s="179"/>
      <c r="AN87" s="179" t="str">
        <f t="shared" si="34"/>
        <v/>
      </c>
      <c r="AO87" s="168" t="str">
        <f t="shared" si="32"/>
        <v>لايورث</v>
      </c>
      <c r="AP87" t="b">
        <f>$AP$84</f>
        <v>0</v>
      </c>
      <c r="AV87" s="934" t="e">
        <f t="shared" si="25"/>
        <v>#N/A</v>
      </c>
      <c r="AW87" s="932" t="e">
        <f t="shared" si="26"/>
        <v>#N/A</v>
      </c>
      <c r="AX87" s="930" t="e">
        <f t="shared" si="27"/>
        <v>#N/A</v>
      </c>
      <c r="AY87" s="1025"/>
      <c r="AZ87" s="855" t="e">
        <f t="shared" si="28"/>
        <v>#N/A</v>
      </c>
      <c r="CB87">
        <f t="shared" si="33"/>
        <v>0</v>
      </c>
      <c r="CF87">
        <f>SUM(CB87:CB89)</f>
        <v>0</v>
      </c>
      <c r="CG87" s="293"/>
      <c r="CH87" s="293"/>
      <c r="CI87" s="293"/>
    </row>
    <row r="88" spans="5:87" ht="71.25" hidden="1" customHeight="1" thickTop="1" thickBot="1">
      <c r="E88" t="b">
        <f>AND(R88=1,E85=TRUE,'أدخال البيانات'!M11+'أدخال البيانات'!F12=0)</f>
        <v>0</v>
      </c>
      <c r="H88" s="160">
        <v>1</v>
      </c>
      <c r="J88" s="310">
        <f t="shared" si="24"/>
        <v>0</v>
      </c>
      <c r="K88" s="160">
        <f t="shared" si="29"/>
        <v>80</v>
      </c>
      <c r="L88" s="310">
        <f>SUM(J8:J88)</f>
        <v>0</v>
      </c>
      <c r="M88" s="174" t="s">
        <v>32</v>
      </c>
      <c r="N88" s="175" t="s">
        <v>5</v>
      </c>
      <c r="O88" s="175" t="b">
        <f>AND(R88=1,R85=0,'أدخال البيانات'!F12=0,'أدخال البيانات'!M11=0)</f>
        <v>0</v>
      </c>
      <c r="P88" s="195">
        <f>0.166666666666667</f>
        <v>0.16666666666666699</v>
      </c>
      <c r="Q88" s="180">
        <f t="shared" si="30"/>
        <v>0</v>
      </c>
      <c r="R88" s="196">
        <f>'شرح الحالة'!E30</f>
        <v>0</v>
      </c>
      <c r="S88" s="182">
        <v>0</v>
      </c>
      <c r="T88" s="183">
        <f>IF(O88=TRUE,P88,0)</f>
        <v>0</v>
      </c>
      <c r="U88" s="183">
        <f t="shared" si="31"/>
        <v>0</v>
      </c>
      <c r="V88" s="183">
        <f>(Sheet5!F118*((S88+T88)*(R88)))</f>
        <v>0</v>
      </c>
      <c r="W88" s="184" t="e">
        <f>Sheet5!G119*((S88+T88)/(R88))</f>
        <v>#DIV/0!</v>
      </c>
      <c r="X88" s="1235">
        <f>MAX(U88:U89)</f>
        <v>0</v>
      </c>
      <c r="Y88" s="185" t="s">
        <v>114</v>
      </c>
      <c r="Z88" s="179" t="s">
        <v>165</v>
      </c>
      <c r="AA88" s="179"/>
      <c r="AB88" s="179"/>
      <c r="AC88" s="179"/>
      <c r="AD88" s="179"/>
      <c r="AE88" s="179"/>
      <c r="AF88" s="179"/>
      <c r="AG88" s="179"/>
      <c r="AH88" s="179"/>
      <c r="AI88" s="179"/>
      <c r="AJ88" s="179"/>
      <c r="AK88" s="179"/>
      <c r="AL88" s="179"/>
      <c r="AM88" s="179"/>
      <c r="AN88" s="179" t="str">
        <f t="shared" si="34"/>
        <v/>
      </c>
      <c r="AO88" s="168" t="str">
        <f t="shared" si="32"/>
        <v>لايورث</v>
      </c>
      <c r="AP88" t="b">
        <f>$AP$84</f>
        <v>0</v>
      </c>
      <c r="AV88" s="934" t="e">
        <f t="shared" si="25"/>
        <v>#N/A</v>
      </c>
      <c r="AW88" s="929" t="e">
        <f t="shared" si="26"/>
        <v>#N/A</v>
      </c>
      <c r="AX88" s="930" t="e">
        <f t="shared" si="27"/>
        <v>#N/A</v>
      </c>
      <c r="AY88" s="1025"/>
      <c r="AZ88" s="855" t="e">
        <f t="shared" si="28"/>
        <v>#N/A</v>
      </c>
      <c r="CB88">
        <f t="shared" si="33"/>
        <v>0</v>
      </c>
      <c r="CG88" s="293"/>
      <c r="CH88" s="293"/>
      <c r="CI88" s="293"/>
    </row>
    <row r="89" spans="5:87" ht="71.25" hidden="1" customHeight="1" thickTop="1" thickBot="1">
      <c r="H89" s="160">
        <v>1</v>
      </c>
      <c r="J89" s="310">
        <f t="shared" si="24"/>
        <v>0</v>
      </c>
      <c r="K89" s="160">
        <f t="shared" si="29"/>
        <v>81</v>
      </c>
      <c r="L89" s="310">
        <f>SUM(J8:J89)</f>
        <v>0</v>
      </c>
      <c r="M89" s="174" t="s">
        <v>581</v>
      </c>
      <c r="N89" s="175" t="s">
        <v>86</v>
      </c>
      <c r="O89" s="175" t="b">
        <f>AND(E85=TRUE,E88=TRUE)</f>
        <v>0</v>
      </c>
      <c r="P89" s="195">
        <f>0.0833333333333333</f>
        <v>8.3333333333333301E-2</v>
      </c>
      <c r="Q89" s="180">
        <f t="shared" si="30"/>
        <v>0</v>
      </c>
      <c r="R89" s="196">
        <f>'شرح الحالة'!E30</f>
        <v>0</v>
      </c>
      <c r="S89" s="182">
        <v>0</v>
      </c>
      <c r="T89" s="183">
        <f>IF(O89=TRUE,P89,0)</f>
        <v>0</v>
      </c>
      <c r="U89" s="183">
        <f t="shared" si="31"/>
        <v>0</v>
      </c>
      <c r="V89" s="183">
        <f>(Sheet5!F119*((S89+T89)*(R89)))</f>
        <v>0</v>
      </c>
      <c r="W89" s="184" t="e">
        <f>Sheet5!G120*((S89+T89)/(R89))</f>
        <v>#DIV/0!</v>
      </c>
      <c r="X89" s="1235"/>
      <c r="Y89" s="179" t="s">
        <v>114</v>
      </c>
      <c r="Z89" s="179"/>
      <c r="AA89" s="179"/>
      <c r="AB89" s="179"/>
      <c r="AC89" s="179"/>
      <c r="AD89" s="179"/>
      <c r="AE89" s="179"/>
      <c r="AF89" s="179"/>
      <c r="AG89" s="179"/>
      <c r="AH89" s="179"/>
      <c r="AI89" s="179"/>
      <c r="AJ89" s="179"/>
      <c r="AK89" s="179"/>
      <c r="AL89" s="179"/>
      <c r="AM89" s="179"/>
      <c r="AN89" s="179" t="str">
        <f t="shared" si="34"/>
        <v/>
      </c>
      <c r="AO89" s="168" t="str">
        <f t="shared" si="32"/>
        <v>لايورث</v>
      </c>
      <c r="AP89" t="b">
        <f>$AP$84</f>
        <v>0</v>
      </c>
      <c r="AV89" s="935" t="e">
        <f t="shared" si="25"/>
        <v>#N/A</v>
      </c>
      <c r="AW89" s="932" t="e">
        <f t="shared" si="26"/>
        <v>#N/A</v>
      </c>
      <c r="AX89" s="930" t="e">
        <f t="shared" si="27"/>
        <v>#N/A</v>
      </c>
      <c r="AY89" s="1025"/>
      <c r="AZ89" s="857" t="e">
        <f t="shared" si="28"/>
        <v>#N/A</v>
      </c>
      <c r="CB89">
        <f t="shared" si="33"/>
        <v>0</v>
      </c>
      <c r="CG89" s="293"/>
      <c r="CH89" s="293"/>
      <c r="CI89" s="293"/>
    </row>
    <row r="90" spans="5:87" ht="71.25" hidden="1" customHeight="1" thickTop="1" thickBot="1">
      <c r="H90" s="162"/>
      <c r="J90" s="310">
        <f t="shared" si="24"/>
        <v>0</v>
      </c>
      <c r="K90" s="160">
        <f t="shared" si="29"/>
        <v>82</v>
      </c>
      <c r="L90" s="310">
        <f>SUM(J8:J90)</f>
        <v>0</v>
      </c>
      <c r="M90" s="457" t="s">
        <v>105</v>
      </c>
      <c r="N90" s="167"/>
      <c r="O90" s="167"/>
      <c r="P90" s="180"/>
      <c r="Q90" s="180"/>
      <c r="R90" s="187"/>
      <c r="S90" s="182"/>
      <c r="T90" s="183"/>
      <c r="U90" s="183">
        <f t="shared" si="31"/>
        <v>0</v>
      </c>
      <c r="V90" s="183">
        <f>(Sheet5!F120*((S90+T90)*(R90)))</f>
        <v>0</v>
      </c>
      <c r="W90" s="184" t="e">
        <f>Sheet5!G121*((S90+T90)/(R90))</f>
        <v>#DIV/0!</v>
      </c>
      <c r="X90" s="188">
        <f>Sheet5!$K$35</f>
        <v>1</v>
      </c>
      <c r="Y90" s="179"/>
      <c r="Z90" s="179"/>
      <c r="AA90" s="179" t="b">
        <f>OR('أدخال البيانات'!M9&gt;0,'أدخال البيانات'!M10&gt;0)</f>
        <v>0</v>
      </c>
      <c r="AB90" s="179"/>
      <c r="AC90" s="179"/>
      <c r="AD90" s="179"/>
      <c r="AE90" s="179"/>
      <c r="AF90" s="179"/>
      <c r="AG90" s="179"/>
      <c r="AH90" s="179"/>
      <c r="AI90" s="179"/>
      <c r="AJ90" s="179"/>
      <c r="AK90" s="179"/>
      <c r="AL90" s="179"/>
      <c r="AM90" s="179"/>
      <c r="AN90" s="179" t="str">
        <f t="shared" si="34"/>
        <v/>
      </c>
      <c r="AO90" s="168" t="str">
        <f t="shared" si="32"/>
        <v>لايورث</v>
      </c>
      <c r="AV90" s="935" t="e">
        <f t="shared" si="25"/>
        <v>#N/A</v>
      </c>
      <c r="AW90" s="929" t="e">
        <f t="shared" si="26"/>
        <v>#N/A</v>
      </c>
      <c r="AX90" s="930" t="e">
        <f t="shared" si="27"/>
        <v>#N/A</v>
      </c>
      <c r="AY90" s="1025"/>
      <c r="AZ90" s="857" t="e">
        <f t="shared" si="28"/>
        <v>#N/A</v>
      </c>
      <c r="CB90">
        <f t="shared" si="33"/>
        <v>0</v>
      </c>
      <c r="CG90" s="293"/>
      <c r="CH90" s="293"/>
      <c r="CI90" s="293"/>
    </row>
    <row r="91" spans="5:87" ht="71.25" hidden="1" customHeight="1" thickTop="1" thickBot="1">
      <c r="H91" s="162"/>
      <c r="J91" s="310">
        <f t="shared" si="24"/>
        <v>0</v>
      </c>
      <c r="K91" s="160">
        <f t="shared" si="29"/>
        <v>83</v>
      </c>
      <c r="L91" s="310">
        <f>SUM(J8:J91)</f>
        <v>0</v>
      </c>
      <c r="M91" s="243" t="s">
        <v>89</v>
      </c>
      <c r="N91" s="167"/>
      <c r="O91" s="167"/>
      <c r="P91" s="180"/>
      <c r="Q91" s="180"/>
      <c r="R91" s="187"/>
      <c r="S91" s="182"/>
      <c r="T91" s="183"/>
      <c r="U91" s="183">
        <f t="shared" si="31"/>
        <v>0</v>
      </c>
      <c r="V91" s="183">
        <f>(Sheet5!F121*((S91+T91)*(R91)))</f>
        <v>0</v>
      </c>
      <c r="W91" s="184" t="e">
        <f>Sheet5!G122*((S91+T91)/(R91))</f>
        <v>#DIV/0!</v>
      </c>
      <c r="X91" s="188"/>
      <c r="Y91" s="179"/>
      <c r="Z91" s="179"/>
      <c r="AA91" s="179" t="b">
        <f>AND('أدخال البيانات'!M12&gt;0,AA90=TRUE)</f>
        <v>0</v>
      </c>
      <c r="AB91" s="179"/>
      <c r="AC91" s="179"/>
      <c r="AD91" s="179"/>
      <c r="AE91" s="179"/>
      <c r="AF91" s="179"/>
      <c r="AG91" s="179"/>
      <c r="AH91" s="179"/>
      <c r="AI91" s="179"/>
      <c r="AJ91" s="179"/>
      <c r="AK91" s="179"/>
      <c r="AL91" s="179"/>
      <c r="AM91" s="179"/>
      <c r="AN91" s="179" t="str">
        <f>IF(AO91="حقق الشرط",F91,"")</f>
        <v/>
      </c>
      <c r="AO91" s="168" t="str">
        <f>IF(AP91=TRUE,"حقق الشرط","")</f>
        <v/>
      </c>
      <c r="AP91" t="b">
        <f>OR(O92,O93,O94  )</f>
        <v>0</v>
      </c>
      <c r="AV91" s="936" t="e">
        <f t="shared" si="25"/>
        <v>#N/A</v>
      </c>
      <c r="AW91" s="932" t="e">
        <f t="shared" si="26"/>
        <v>#N/A</v>
      </c>
      <c r="AX91" s="930" t="e">
        <f t="shared" si="27"/>
        <v>#N/A</v>
      </c>
      <c r="AY91" s="1025"/>
      <c r="AZ91" s="858" t="e">
        <f t="shared" si="28"/>
        <v>#N/A</v>
      </c>
      <c r="CB91">
        <f t="shared" si="33"/>
        <v>0</v>
      </c>
      <c r="CG91" s="293"/>
      <c r="CH91" s="293"/>
      <c r="CI91" s="293"/>
    </row>
    <row r="92" spans="5:87" ht="71.25" hidden="1" customHeight="1" thickTop="1" thickBot="1">
      <c r="H92" s="160">
        <f t="shared" ref="H92:N94" si="35">H51</f>
        <v>1</v>
      </c>
      <c r="J92" s="310">
        <f t="shared" si="24"/>
        <v>0</v>
      </c>
      <c r="K92" s="160">
        <f t="shared" si="29"/>
        <v>84</v>
      </c>
      <c r="L92" s="310">
        <f>SUM(J8:J92)</f>
        <v>0</v>
      </c>
      <c r="M92" s="174" t="str">
        <f t="shared" si="35"/>
        <v xml:space="preserve">الأنفراد  </v>
      </c>
      <c r="N92" s="175" t="str">
        <f t="shared" si="35"/>
        <v>المال كله</v>
      </c>
      <c r="O92" s="175" t="b">
        <f>AND(AC105=FALSE,O51=FALSE,'شرح الحالة'!E13=1,'شرح الحالة'!E23+'شرح الحالة'!E24=0,AC106=TRUE,AA102=TRUE,AA103=TRUE,CC6=TRUE,'أدخال البيانات'!AS11=0,O52=FALSE,'أدخال البيانات'!F13+'أدخال البيانات'!F14+'أدخال البيانات'!M13=0)</f>
        <v>0</v>
      </c>
      <c r="P92" s="180">
        <v>1</v>
      </c>
      <c r="Q92" s="180">
        <f t="shared" si="30"/>
        <v>0</v>
      </c>
      <c r="R92" s="187">
        <f>'شرح الحالة'!E13</f>
        <v>0</v>
      </c>
      <c r="S92" s="182">
        <f t="shared" ref="S92:S123" si="36">IF(O92=TRUE,P92,0)</f>
        <v>0</v>
      </c>
      <c r="T92" s="183">
        <v>0</v>
      </c>
      <c r="U92" s="183">
        <f t="shared" si="31"/>
        <v>0</v>
      </c>
      <c r="V92" s="183">
        <f>(Sheet5!F122*((S92+T92)*(R92)))</f>
        <v>0</v>
      </c>
      <c r="W92" s="184" t="e">
        <f>Sheet5!G123*((S92+T92)/(R92))</f>
        <v>#DIV/0!</v>
      </c>
      <c r="X92" s="1235">
        <f>MAX(U92:U94)</f>
        <v>0</v>
      </c>
      <c r="Y92" s="179" t="b">
        <f>OR('أدخال البيانات'!M9=1,'أدخال البيانات'!M10=1)</f>
        <v>0</v>
      </c>
      <c r="Z92" s="179"/>
      <c r="AA92" s="202" t="b">
        <f>IF(AA91=TRUE,FALSE,TRUE)</f>
        <v>1</v>
      </c>
      <c r="AB92" s="179"/>
      <c r="AC92" s="179"/>
      <c r="AD92" s="179"/>
      <c r="AE92" s="179"/>
      <c r="AF92" s="179"/>
      <c r="AG92" s="179"/>
      <c r="AH92" s="179"/>
      <c r="AI92" s="179"/>
      <c r="AJ92" s="179"/>
      <c r="AK92" s="179"/>
      <c r="AL92" s="179"/>
      <c r="AM92" s="179"/>
      <c r="AN92" s="179" t="str">
        <f>IF(AO92="حقق الشرط",M91,"")</f>
        <v/>
      </c>
      <c r="AO92" s="168" t="str">
        <f>IF(O92=TRUE,"حقق الشرط","لايورث")</f>
        <v>لايورث</v>
      </c>
      <c r="AV92" s="936" t="e">
        <f t="shared" si="25"/>
        <v>#N/A</v>
      </c>
      <c r="AW92" s="929" t="e">
        <f t="shared" si="26"/>
        <v>#N/A</v>
      </c>
      <c r="AX92" s="930" t="e">
        <f t="shared" si="27"/>
        <v>#N/A</v>
      </c>
      <c r="AY92" s="1025"/>
      <c r="AZ92" s="858" t="e">
        <f t="shared" si="28"/>
        <v>#N/A</v>
      </c>
      <c r="CB92">
        <f t="shared" si="33"/>
        <v>0</v>
      </c>
      <c r="CG92" s="293"/>
      <c r="CH92" s="293"/>
      <c r="CI92" s="293"/>
    </row>
    <row r="93" spans="5:87" ht="71.25" hidden="1" customHeight="1" thickTop="1" thickBot="1">
      <c r="F93" t="str">
        <f>$M$91</f>
        <v>الأخ لأب</v>
      </c>
      <c r="H93" s="160">
        <f t="shared" si="35"/>
        <v>2</v>
      </c>
      <c r="J93" s="310">
        <f t="shared" si="24"/>
        <v>0</v>
      </c>
      <c r="K93" s="160">
        <f t="shared" si="29"/>
        <v>85</v>
      </c>
      <c r="L93" s="310">
        <f>SUM(J8:J93)</f>
        <v>0</v>
      </c>
      <c r="M93" s="174" t="str">
        <f t="shared" si="35"/>
        <v xml:space="preserve">أذا أنفرد أو معه مثله جهة وقربا وقوة  </v>
      </c>
      <c r="N93" s="175" t="str">
        <f t="shared" si="35"/>
        <v xml:space="preserve"> أقتسمو المال على الرؤوس</v>
      </c>
      <c r="O93" s="175" t="b">
        <f>AND(E8+E9+E32=0,E8=0,'أدخال البيانات'!M10+'أدخال البيانات'!M9&gt;=0,'أدخال البيانات'!M13&gt;=0,'أدخال البيانات'!F14&gt;=0,'أدخال البيانات'!M10+'أدخال البيانات'!M9+'أدخال البيانات'!M12&gt;=0,'أدخال البيانات'!F13&gt;=0,AA103=TRUE,'أدخال البيانات'!F15=1,'أدخال البيانات'!F15&gt;0,'أدخال البيانات'!M13&gt;0,CC6=TRUE,'أدخال البيانات'!F14=0,O94=FALSE,'أدخال البيانات'!AS10=0,'أدخال البيانات'!M12&lt;2,AA92=TRUE,'أدخال البيانات'!AS11=0,O92=FALSE)</f>
        <v>0</v>
      </c>
      <c r="P93" s="180">
        <f>P8</f>
        <v>1</v>
      </c>
      <c r="Q93" s="180">
        <f t="shared" si="30"/>
        <v>0</v>
      </c>
      <c r="R93" s="187">
        <f>'شرح الحالة'!E13</f>
        <v>0</v>
      </c>
      <c r="S93" s="182">
        <f t="shared" si="36"/>
        <v>0</v>
      </c>
      <c r="T93" s="183">
        <v>0</v>
      </c>
      <c r="U93" s="183">
        <f t="shared" si="31"/>
        <v>0</v>
      </c>
      <c r="V93" s="183">
        <f>(Sheet5!F123*((S93+T93)*(R93)))</f>
        <v>0</v>
      </c>
      <c r="W93" s="184" t="e">
        <f>Sheet5!G124*((S93+T93)/(R93))</f>
        <v>#DIV/0!</v>
      </c>
      <c r="X93" s="1235"/>
      <c r="Y93" s="179">
        <f>IF('أدخال البيانات'!M12&gt;0,1,0)</f>
        <v>0</v>
      </c>
      <c r="Z93" s="179"/>
      <c r="AA93" s="179"/>
      <c r="AB93" s="179"/>
      <c r="AC93" s="179"/>
      <c r="AD93" s="179"/>
      <c r="AE93" s="179"/>
      <c r="AF93" s="179"/>
      <c r="AG93" s="179"/>
      <c r="AH93" s="179"/>
      <c r="AI93" s="179"/>
      <c r="AJ93" s="179"/>
      <c r="AK93" s="179"/>
      <c r="AL93" s="179"/>
      <c r="AM93" s="179"/>
      <c r="AN93" s="179" t="str">
        <f t="shared" ref="AN93:AN118" si="37">IF(AO93="حقق الشرط",F93,"")</f>
        <v/>
      </c>
      <c r="AO93" s="168" t="str">
        <f>IF(O93=TRUE,"حقق الشرط","لايورث")</f>
        <v>لايورث</v>
      </c>
      <c r="AV93" s="936" t="e">
        <f t="shared" si="25"/>
        <v>#N/A</v>
      </c>
      <c r="AW93" s="932" t="e">
        <f t="shared" si="26"/>
        <v>#N/A</v>
      </c>
      <c r="AX93" s="930" t="e">
        <f t="shared" si="27"/>
        <v>#N/A</v>
      </c>
      <c r="AY93" s="1025"/>
      <c r="AZ93" s="858" t="e">
        <f t="shared" si="28"/>
        <v>#N/A</v>
      </c>
      <c r="CB93">
        <f t="shared" si="33"/>
        <v>0</v>
      </c>
      <c r="CG93" s="293"/>
      <c r="CH93" s="293"/>
      <c r="CI93" s="293"/>
    </row>
    <row r="94" spans="5:87" ht="71.25" hidden="1" customHeight="1" thickTop="1" thickBot="1">
      <c r="F94" t="str">
        <f>$M$91</f>
        <v>الأخ لأب</v>
      </c>
      <c r="H94" s="160">
        <f t="shared" si="35"/>
        <v>3</v>
      </c>
      <c r="J94" s="310">
        <f t="shared" si="24"/>
        <v>0</v>
      </c>
      <c r="K94" s="160">
        <f t="shared" si="29"/>
        <v>86</v>
      </c>
      <c r="L94" s="310">
        <f>SUM(J8:J94)</f>
        <v>0</v>
      </c>
      <c r="M94" s="174" t="str">
        <f t="shared" si="35"/>
        <v xml:space="preserve">أذا  معه أو معهم صاحب فرض  وأذا وجدوا كلهم فالترتيب بينهم من ناحية الحهة والقرب والقوة </v>
      </c>
      <c r="N94" s="175" t="str">
        <f t="shared" si="35"/>
        <v xml:space="preserve"> أخذ أو أخذوا ما بقى أن يبقى شىء للذكر مثل حظ الأنثيين</v>
      </c>
      <c r="O94" s="175" t="b">
        <f>AND(E8+E9+E32=0,E8=0,'أدخال البيانات'!M10+'أدخال البيانات'!M9&gt;=0,'أدخال البيانات'!M13&gt;=0,'أدخال البيانات'!F14=0,'أدخال البيانات'!M10+'أدخال البيانات'!M9+'أدخال البيانات'!M12&gt;=0,'أدخال البيانات'!F13&gt;=0,AA103=TRUE,'أدخال البيانات'!F15&gt;0,O135=FALSE,'أدخال البيانات'!F15&gt;0,'أدخال البيانات'!AS10&gt;=0,'شرح الحالة'!AA92=TRUE,1=1,O92=FALSE,O135=FALSE)</f>
        <v>0</v>
      </c>
      <c r="P94" s="180">
        <f>P8</f>
        <v>1</v>
      </c>
      <c r="Q94" s="180">
        <f t="shared" si="30"/>
        <v>0</v>
      </c>
      <c r="R94" s="187">
        <f>'شرح الحالة'!E13</f>
        <v>0</v>
      </c>
      <c r="S94" s="182">
        <f t="shared" si="36"/>
        <v>0</v>
      </c>
      <c r="T94" s="183">
        <v>0</v>
      </c>
      <c r="U94" s="183">
        <f t="shared" si="31"/>
        <v>0</v>
      </c>
      <c r="V94" s="183">
        <f>(Sheet5!F124*((S94+T94)*(R94)))</f>
        <v>0</v>
      </c>
      <c r="W94" s="184" t="e">
        <f>Sheet5!G125*((S94+T94)/(R94))</f>
        <v>#DIV/0!</v>
      </c>
      <c r="X94" s="1235"/>
      <c r="Y94" s="179">
        <f>IF(Y92=FALSE,0,1)</f>
        <v>0</v>
      </c>
      <c r="Z94" s="203">
        <f>'أدخال البيانات'!M9+'أدخال البيانات'!M10</f>
        <v>0</v>
      </c>
      <c r="AA94" s="179"/>
      <c r="AB94" s="179"/>
      <c r="AC94" s="179"/>
      <c r="AD94" s="179"/>
      <c r="AE94" s="179"/>
      <c r="AF94" s="179"/>
      <c r="AG94" s="179"/>
      <c r="AH94" s="179"/>
      <c r="AI94" s="179"/>
      <c r="AJ94" s="179"/>
      <c r="AK94" s="179"/>
      <c r="AL94" s="179"/>
      <c r="AM94" s="179"/>
      <c r="AN94" s="179" t="str">
        <f t="shared" si="37"/>
        <v/>
      </c>
      <c r="AO94" s="168" t="str">
        <f t="shared" si="32"/>
        <v>لايورث</v>
      </c>
      <c r="AV94" s="936" t="e">
        <f t="shared" si="25"/>
        <v>#N/A</v>
      </c>
      <c r="AW94" s="929" t="e">
        <f t="shared" si="26"/>
        <v>#N/A</v>
      </c>
      <c r="AX94" s="930" t="e">
        <f t="shared" si="27"/>
        <v>#N/A</v>
      </c>
      <c r="AY94" s="1025"/>
      <c r="AZ94" s="858" t="e">
        <f t="shared" si="28"/>
        <v>#N/A</v>
      </c>
      <c r="CB94">
        <f t="shared" si="33"/>
        <v>0</v>
      </c>
      <c r="CG94" s="293"/>
      <c r="CH94" s="293"/>
      <c r="CI94" s="293"/>
    </row>
    <row r="95" spans="5:87" ht="71.25" hidden="1" customHeight="1" thickTop="1" thickBot="1">
      <c r="H95" s="237"/>
      <c r="J95" s="310">
        <f t="shared" si="24"/>
        <v>0</v>
      </c>
      <c r="K95" s="160">
        <f t="shared" si="29"/>
        <v>87</v>
      </c>
      <c r="L95" s="310">
        <f>SUM(J8:J95)</f>
        <v>0</v>
      </c>
      <c r="M95" s="248" t="s">
        <v>87</v>
      </c>
      <c r="N95" s="175"/>
      <c r="O95" s="175"/>
      <c r="P95" s="180"/>
      <c r="Q95" s="180"/>
      <c r="R95" s="187"/>
      <c r="S95" s="182"/>
      <c r="T95" s="183"/>
      <c r="U95" s="183">
        <f t="shared" si="31"/>
        <v>0</v>
      </c>
      <c r="V95" s="183">
        <f>(Sheet5!F125*((S95+T95)*(R95)))</f>
        <v>0</v>
      </c>
      <c r="W95" s="184" t="e">
        <f>Sheet5!G126*((S95+T95)/(R95))</f>
        <v>#DIV/0!</v>
      </c>
      <c r="X95" s="188"/>
      <c r="Y95" s="179"/>
      <c r="Z95" s="179"/>
      <c r="AA95" s="179"/>
      <c r="AB95" s="179"/>
      <c r="AC95" s="179"/>
      <c r="AD95" s="179"/>
      <c r="AE95" s="179"/>
      <c r="AF95" s="179"/>
      <c r="AG95" s="179"/>
      <c r="AH95" s="179"/>
      <c r="AI95" s="179"/>
      <c r="AJ95" s="179"/>
      <c r="AK95" s="179"/>
      <c r="AL95" s="179"/>
      <c r="AM95" s="179"/>
      <c r="AN95" s="179" t="str">
        <f>IF(AO95="حقق الشرط",M95,"")</f>
        <v/>
      </c>
      <c r="AO95" s="168" t="str">
        <f>IF(AP95=TRUE,"حقق الشرط","")</f>
        <v/>
      </c>
      <c r="AP95" t="b">
        <f>OR(O96,O97,O98  )</f>
        <v>0</v>
      </c>
      <c r="AV95" s="936" t="e">
        <f t="shared" si="25"/>
        <v>#N/A</v>
      </c>
      <c r="AW95" s="932" t="e">
        <f t="shared" si="26"/>
        <v>#N/A</v>
      </c>
      <c r="AX95" s="930" t="e">
        <f t="shared" si="27"/>
        <v>#N/A</v>
      </c>
      <c r="AY95" s="1025"/>
      <c r="AZ95" s="858" t="e">
        <f t="shared" si="28"/>
        <v>#N/A</v>
      </c>
      <c r="CB95">
        <f t="shared" si="33"/>
        <v>0</v>
      </c>
      <c r="CG95" s="293"/>
      <c r="CH95" s="293"/>
      <c r="CI95" s="293"/>
    </row>
    <row r="96" spans="5:87" ht="71.25" hidden="1" customHeight="1" thickTop="1" thickBot="1">
      <c r="F96" t="str">
        <f>$M$95</f>
        <v>أبن الأخ الشقيق</v>
      </c>
      <c r="H96" s="160">
        <v>1</v>
      </c>
      <c r="J96" s="310">
        <f t="shared" si="24"/>
        <v>0</v>
      </c>
      <c r="K96" s="160">
        <f t="shared" si="29"/>
        <v>88</v>
      </c>
      <c r="L96" s="310">
        <f>SUM(J8:J96)</f>
        <v>0</v>
      </c>
      <c r="M96" s="174" t="str">
        <f t="shared" ref="M96:N98" si="38">M92</f>
        <v xml:space="preserve">الأنفراد  </v>
      </c>
      <c r="N96" s="175" t="str">
        <f t="shared" si="38"/>
        <v>المال كله</v>
      </c>
      <c r="O96" s="175" t="b">
        <f>AND(AC105=TRUE,O92=FALSE,'شرح الحالة'!E15&gt;=1,'شرح الحالة'!E11=0,AC107=FALSE,AA103=TRUE,'أدخال البيانات'!M9+'أدخال البيانات'!M10=0,'أدخال البيانات'!M18+'أدخال البيانات'!M17+'أدخال البيانات'!M16+'أدخال البيانات'!M15+'أدخال البيانات'!M14+'أدخال البيانات'!M11+'أدخال البيانات'!M10+'أدخال البيانات'!M9=0)</f>
        <v>0</v>
      </c>
      <c r="P96" s="180">
        <f>$P$97</f>
        <v>1</v>
      </c>
      <c r="Q96" s="180">
        <f t="shared" si="30"/>
        <v>0</v>
      </c>
      <c r="R96" s="187">
        <f>'شرح الحالة'!E15</f>
        <v>0</v>
      </c>
      <c r="S96" s="182">
        <f t="shared" si="36"/>
        <v>0</v>
      </c>
      <c r="T96" s="183">
        <v>0</v>
      </c>
      <c r="U96" s="183">
        <f t="shared" si="31"/>
        <v>0</v>
      </c>
      <c r="V96" s="183">
        <f>(Sheet5!F126*((S96+T96)*(R96)))</f>
        <v>0</v>
      </c>
      <c r="W96" s="184" t="e">
        <f>Sheet5!G127*((S96+T96)/(R96))</f>
        <v>#DIV/0!</v>
      </c>
      <c r="X96" s="1235">
        <f>MAX(U96:U98)</f>
        <v>0</v>
      </c>
      <c r="Y96" s="179"/>
      <c r="Z96" s="179"/>
      <c r="AA96" s="179"/>
      <c r="AB96" s="179"/>
      <c r="AC96" s="179"/>
      <c r="AD96" s="179"/>
      <c r="AE96" s="179"/>
      <c r="AF96" s="179"/>
      <c r="AG96" s="179"/>
      <c r="AH96" s="179"/>
      <c r="AI96" s="179"/>
      <c r="AJ96" s="179"/>
      <c r="AK96" s="179"/>
      <c r="AL96" s="179"/>
      <c r="AM96" s="179"/>
      <c r="AN96" s="179" t="str">
        <f t="shared" si="37"/>
        <v/>
      </c>
      <c r="AO96" s="168" t="str">
        <f>IF(O96=TRUE,"حقق الشرط","لايورث")</f>
        <v>لايورث</v>
      </c>
      <c r="AV96" s="936" t="e">
        <f t="shared" si="25"/>
        <v>#N/A</v>
      </c>
      <c r="AW96" s="929" t="e">
        <f t="shared" si="26"/>
        <v>#N/A</v>
      </c>
      <c r="AX96" s="930" t="e">
        <f t="shared" si="27"/>
        <v>#N/A</v>
      </c>
      <c r="AY96" s="1025"/>
      <c r="AZ96" s="858" t="e">
        <f t="shared" si="28"/>
        <v>#N/A</v>
      </c>
      <c r="CB96">
        <f t="shared" si="33"/>
        <v>0</v>
      </c>
      <c r="CG96" s="293"/>
      <c r="CH96" s="293"/>
      <c r="CI96" s="293"/>
    </row>
    <row r="97" spans="5:87" ht="71.25" hidden="1" customHeight="1" thickTop="1" thickBot="1">
      <c r="F97" t="str">
        <f>$M$95</f>
        <v>أبن الأخ الشقيق</v>
      </c>
      <c r="H97" s="160">
        <v>2</v>
      </c>
      <c r="J97" s="310">
        <f t="shared" si="24"/>
        <v>0</v>
      </c>
      <c r="K97" s="160">
        <f t="shared" si="29"/>
        <v>89</v>
      </c>
      <c r="L97" s="310">
        <f>SUM(J8:J97)</f>
        <v>0</v>
      </c>
      <c r="M97" s="174" t="str">
        <f t="shared" si="38"/>
        <v xml:space="preserve">أذا أنفرد أو معه مثله جهة وقربا وقوة  </v>
      </c>
      <c r="N97" s="175" t="str">
        <f t="shared" si="38"/>
        <v xml:space="preserve"> أقتسمو المال على الرؤوس</v>
      </c>
      <c r="O97" s="175" t="b">
        <f>AND(AC105=TRUE,O93=FALSE,'شرح الحالة'!E15&gt;0,E26=0,E27+E23&lt;2,E27+E24&lt;2,'أدخال البيانات'!الأبناء__ذكور+'أدخال البيانات'!F10+'أدخال البيانات'!F11+'أدخال البيانات'!F12+'أدخال البيانات'!F13+'أدخال البيانات'!F14+'أدخال البيانات'!F15&gt;0,O96=FALSE)</f>
        <v>0</v>
      </c>
      <c r="P97" s="180">
        <f>$P$93</f>
        <v>1</v>
      </c>
      <c r="Q97" s="180">
        <f t="shared" si="30"/>
        <v>0</v>
      </c>
      <c r="R97" s="187">
        <f>'شرح الحالة'!E15</f>
        <v>0</v>
      </c>
      <c r="S97" s="182">
        <f t="shared" si="36"/>
        <v>0</v>
      </c>
      <c r="T97" s="183">
        <v>0</v>
      </c>
      <c r="U97" s="183">
        <f t="shared" si="31"/>
        <v>0</v>
      </c>
      <c r="V97" s="183">
        <f>(Sheet5!F127*((S97+T97)*(R97)))</f>
        <v>0</v>
      </c>
      <c r="W97" s="184" t="e">
        <f>Sheet5!G128*((S97+T97)/(R97))</f>
        <v>#DIV/0!</v>
      </c>
      <c r="X97" s="1235"/>
      <c r="Y97" s="179"/>
      <c r="Z97" s="179"/>
      <c r="AA97" s="179"/>
      <c r="AB97" s="179"/>
      <c r="AC97" s="179"/>
      <c r="AD97" s="179"/>
      <c r="AE97" s="179"/>
      <c r="AF97" s="179"/>
      <c r="AG97" s="179"/>
      <c r="AH97" s="179"/>
      <c r="AI97" s="179"/>
      <c r="AJ97" s="179"/>
      <c r="AK97" s="179"/>
      <c r="AL97" s="179"/>
      <c r="AM97" s="179"/>
      <c r="AN97" s="179" t="str">
        <f t="shared" si="37"/>
        <v/>
      </c>
      <c r="AO97" s="168" t="str">
        <f>IF(O97=TRUE,"حقق الشرط","لايورث")</f>
        <v>لايورث</v>
      </c>
      <c r="AV97" s="937" t="e">
        <f t="shared" si="25"/>
        <v>#N/A</v>
      </c>
      <c r="AW97" s="932" t="e">
        <f t="shared" si="26"/>
        <v>#N/A</v>
      </c>
      <c r="AX97" s="930" t="e">
        <f t="shared" si="27"/>
        <v>#N/A</v>
      </c>
      <c r="AY97" s="1025"/>
      <c r="AZ97" s="924" t="e">
        <f t="shared" si="28"/>
        <v>#N/A</v>
      </c>
      <c r="CB97">
        <f t="shared" si="33"/>
        <v>0</v>
      </c>
      <c r="CG97" s="293"/>
      <c r="CH97" s="293"/>
      <c r="CI97" s="293"/>
    </row>
    <row r="98" spans="5:87" ht="71.25" hidden="1" customHeight="1" thickTop="1" thickBot="1">
      <c r="F98" t="str">
        <f>$M$95</f>
        <v>أبن الأخ الشقيق</v>
      </c>
      <c r="H98" s="160">
        <v>3</v>
      </c>
      <c r="J98" s="310">
        <f t="shared" si="24"/>
        <v>0</v>
      </c>
      <c r="K98" s="160">
        <f t="shared" si="29"/>
        <v>90</v>
      </c>
      <c r="L98" s="310">
        <f>SUM(J8:J98)</f>
        <v>0</v>
      </c>
      <c r="M98" s="174" t="str">
        <f t="shared" si="38"/>
        <v xml:space="preserve">أذا  معه أو معهم صاحب فرض  وأذا وجدوا كلهم فالترتيب بينهم من ناحية الحهة والقرب والقوة </v>
      </c>
      <c r="N98" s="175" t="s">
        <v>548</v>
      </c>
      <c r="O98" s="175" t="b">
        <f>AND(E8+E9+E32=0,'أدخال البيانات'!F13+'أدخال البيانات'!F12+'أدخال البيانات'!F10+'أدخال البيانات'!F11+'أدخال البيانات'!F14+'أدخال البيانات'!F15=0,Y100+Y99&gt;=0,'أدخال البيانات'!F16&gt;0,E11=0,'أدخال البيانات'!F15=0,'أدخال البيانات'!F15=0,'أدخال البيانات'!F16&gt;0,'أدخال البيانات'!F15+'أدخال البيانات'!F14+'أدخال البيانات'!F12+'أدخال البيانات'!F10+'أدخال البيانات'!F9=0,AA92=TRUE,E101=FALSE,O97=FALSE,O96=FALSE)</f>
        <v>0</v>
      </c>
      <c r="P98" s="180">
        <f>$P$93</f>
        <v>1</v>
      </c>
      <c r="Q98" s="180">
        <f t="shared" si="30"/>
        <v>0</v>
      </c>
      <c r="R98" s="187">
        <f>'شرح الحالة'!E15</f>
        <v>0</v>
      </c>
      <c r="S98" s="182">
        <f t="shared" si="36"/>
        <v>0</v>
      </c>
      <c r="T98" s="183">
        <v>0</v>
      </c>
      <c r="U98" s="183">
        <f t="shared" si="31"/>
        <v>0</v>
      </c>
      <c r="V98" s="183">
        <f>(Sheet5!F128*((S98+T98)*(R98)))</f>
        <v>0</v>
      </c>
      <c r="W98" s="184" t="e">
        <f>Sheet5!G129*((S98+T98)/(R98))</f>
        <v>#DIV/0!</v>
      </c>
      <c r="X98" s="1235"/>
      <c r="Y98" s="179" t="b">
        <f>OR('أدخال البيانات'!M9+'أدخال البيانات'!M12&gt;0,'أدخال البيانات'!M10+'أدخال البيانات'!M13&gt;0)</f>
        <v>0</v>
      </c>
      <c r="Z98" s="179"/>
      <c r="AA98" s="179"/>
      <c r="AB98" s="179"/>
      <c r="AC98" s="179"/>
      <c r="AD98" s="179"/>
      <c r="AE98" s="179"/>
      <c r="AF98" s="179"/>
      <c r="AG98" s="179"/>
      <c r="AH98" s="179"/>
      <c r="AI98" s="179"/>
      <c r="AJ98" s="179"/>
      <c r="AK98" s="179"/>
      <c r="AL98" s="179"/>
      <c r="AM98" s="179"/>
      <c r="AN98" s="179" t="str">
        <f t="shared" si="37"/>
        <v/>
      </c>
      <c r="AO98" s="168" t="str">
        <f t="shared" si="32"/>
        <v>لايورث</v>
      </c>
      <c r="AV98" s="938" t="e">
        <f t="shared" si="25"/>
        <v>#N/A</v>
      </c>
      <c r="AW98" s="929" t="e">
        <f t="shared" si="26"/>
        <v>#N/A</v>
      </c>
      <c r="AX98" s="930" t="e">
        <f t="shared" si="27"/>
        <v>#N/A</v>
      </c>
      <c r="AY98" s="1026"/>
      <c r="AZ98" s="925" t="e">
        <f t="shared" si="28"/>
        <v>#N/A</v>
      </c>
      <c r="CB98">
        <f t="shared" si="33"/>
        <v>0</v>
      </c>
      <c r="CG98" s="293"/>
      <c r="CH98" s="293"/>
      <c r="CI98" s="293"/>
    </row>
    <row r="99" spans="5:87" ht="71.25" hidden="1" customHeight="1" thickTop="1" thickBot="1">
      <c r="E99" t="b">
        <f>AND('أدخال البيانات'!M9&gt;0,'أدخال البيانات'!M13&gt;0)</f>
        <v>0</v>
      </c>
      <c r="H99" s="160"/>
      <c r="J99" s="310">
        <f t="shared" si="24"/>
        <v>0</v>
      </c>
      <c r="K99" s="160">
        <f t="shared" si="29"/>
        <v>91</v>
      </c>
      <c r="L99" s="310">
        <f>SUM(J8:J99)</f>
        <v>0</v>
      </c>
      <c r="M99" s="248" t="s">
        <v>90</v>
      </c>
      <c r="N99" s="175"/>
      <c r="O99" s="175"/>
      <c r="P99" s="180"/>
      <c r="Q99" s="180"/>
      <c r="R99" s="187"/>
      <c r="S99" s="182"/>
      <c r="T99" s="183"/>
      <c r="U99" s="183">
        <f t="shared" si="31"/>
        <v>0</v>
      </c>
      <c r="V99" s="183">
        <f>(Sheet5!F129*((S99+T99)*(R99)))</f>
        <v>0</v>
      </c>
      <c r="W99" s="184" t="e">
        <f>Sheet5!G130*((S99+T99)/(R99))</f>
        <v>#DIV/0!</v>
      </c>
      <c r="X99" s="188"/>
      <c r="Y99" s="179">
        <f>IF(Y98=TRUE,1,0)</f>
        <v>0</v>
      </c>
      <c r="Z99" s="179"/>
      <c r="AA99" s="179"/>
      <c r="AB99" s="179"/>
      <c r="AC99" s="179"/>
      <c r="AD99" s="179"/>
      <c r="AE99" s="179"/>
      <c r="AF99" s="179"/>
      <c r="AG99" s="179"/>
      <c r="AH99" s="179"/>
      <c r="AI99" s="179"/>
      <c r="AJ99" s="179"/>
      <c r="AK99" s="179"/>
      <c r="AL99" s="179"/>
      <c r="AM99" s="179"/>
      <c r="AN99" s="179" t="str">
        <f>IF(AO99="حقق الشرط",M99,"")</f>
        <v/>
      </c>
      <c r="AO99" s="168" t="str">
        <f>IF(AP99=TRUE,"حقق الشرط","")</f>
        <v/>
      </c>
      <c r="AP99" t="b">
        <f>OR(O100,O101,O102  )</f>
        <v>0</v>
      </c>
      <c r="AR99" s="34" t="b">
        <f>AND(AR100,AR101)</f>
        <v>0</v>
      </c>
      <c r="AS99" s="34" t="b">
        <f>AND(AS100,AS101)</f>
        <v>0</v>
      </c>
      <c r="AV99" s="928" t="e">
        <f t="shared" si="25"/>
        <v>#N/A</v>
      </c>
      <c r="AW99" s="929" t="e">
        <f t="shared" si="26"/>
        <v>#N/A</v>
      </c>
      <c r="AX99" s="930" t="e">
        <f t="shared" si="27"/>
        <v>#N/A</v>
      </c>
      <c r="AY99" s="1025"/>
      <c r="AZ99" s="926" t="e">
        <f t="shared" si="28"/>
        <v>#N/A</v>
      </c>
      <c r="CB99">
        <f t="shared" si="33"/>
        <v>0</v>
      </c>
      <c r="CG99" s="293"/>
      <c r="CH99" s="293"/>
      <c r="CI99" s="293"/>
    </row>
    <row r="100" spans="5:87" ht="71.25" hidden="1" customHeight="1" thickTop="1" thickBot="1">
      <c r="E100" t="b">
        <f>AND('أدخال البيانات'!M10&gt;0,'أدخال البيانات'!M13&gt;0)</f>
        <v>0</v>
      </c>
      <c r="F100" t="str">
        <f>$M$99</f>
        <v>أبن الأخ لأب</v>
      </c>
      <c r="H100" s="160">
        <v>1</v>
      </c>
      <c r="J100" s="310">
        <f t="shared" si="24"/>
        <v>0</v>
      </c>
      <c r="K100" s="160">
        <f t="shared" si="29"/>
        <v>92</v>
      </c>
      <c r="L100" s="310">
        <f>SUM(J8:J100)</f>
        <v>0</v>
      </c>
      <c r="M100" s="174" t="str">
        <f t="shared" ref="M100:N102" si="39">M92</f>
        <v xml:space="preserve">الأنفراد  </v>
      </c>
      <c r="N100" s="175" t="str">
        <f t="shared" si="39"/>
        <v>المال كله</v>
      </c>
      <c r="O100" s="175" t="b">
        <f>AND('أدخال البيانات'!الأبناء__ذكور+'أدخال البيانات'!F10+'أدخال البيانات'!F11+'أدخال البيانات'!F12+'أدخال البيانات'!F13+'أدخال البيانات'!F14+'أدخال البيانات'!F15+'أدخال البيانات'!F16+'أدخال البيانات'!F22+'أدخال البيانات'!M9+'أدخال البيانات'!M10+'أدخال البيانات'!M11+'أدخال البيانات'!M12+'أدخال البيانات'!M13+'أدخال البيانات'!M14+'أدخال البيانات'!M15+'أدخال البيانات'!M16+'أدخال البيانات'!M17+'أدخال البيانات'!M18=0,O96=FALSE,'شرح الحالة'!E16=1,AC106=TRUE)</f>
        <v>0</v>
      </c>
      <c r="P100" s="180">
        <v>1</v>
      </c>
      <c r="Q100" s="180">
        <f t="shared" si="30"/>
        <v>0</v>
      </c>
      <c r="R100" s="187">
        <f>'شرح الحالة'!E16</f>
        <v>0</v>
      </c>
      <c r="S100" s="182">
        <f t="shared" si="36"/>
        <v>0</v>
      </c>
      <c r="T100" s="183">
        <v>0</v>
      </c>
      <c r="U100" s="183">
        <f t="shared" si="31"/>
        <v>0</v>
      </c>
      <c r="V100" s="183">
        <f>(Sheet5!F130*((S100+T100)*(R100)))</f>
        <v>0</v>
      </c>
      <c r="W100" s="184" t="e">
        <f>Sheet5!G131*((S100+T100)/(R100))</f>
        <v>#DIV/0!</v>
      </c>
      <c r="X100" s="1235">
        <f>MAX(U100:U102)</f>
        <v>0</v>
      </c>
      <c r="Y100" s="179">
        <f>IF('أدخال البيانات'!M12*Z94&gt;0,1,0)</f>
        <v>0</v>
      </c>
      <c r="Z100" s="179"/>
      <c r="AA100" s="179"/>
      <c r="AB100" s="179"/>
      <c r="AC100" s="179"/>
      <c r="AD100" s="179"/>
      <c r="AE100" s="179"/>
      <c r="AF100" s="179"/>
      <c r="AG100" s="179"/>
      <c r="AH100" s="179"/>
      <c r="AI100" s="179"/>
      <c r="AJ100" s="179"/>
      <c r="AK100" s="179"/>
      <c r="AL100" s="179"/>
      <c r="AM100" s="179"/>
      <c r="AN100" s="179" t="str">
        <f t="shared" si="37"/>
        <v/>
      </c>
      <c r="AO100" s="168" t="str">
        <f>IF(O100=TRUE,"حقق الشرط","لايورث")</f>
        <v>لايورث</v>
      </c>
      <c r="AR100" t="b">
        <f>IF('أدخال البيانات'!M12&gt;0,TRUE,FALSE)</f>
        <v>0</v>
      </c>
      <c r="AS100" t="b">
        <f>IF('أدخال البيانات'!M13&gt;0,TRUE,FALSE)</f>
        <v>0</v>
      </c>
      <c r="AV100" s="931" t="e">
        <f t="shared" si="25"/>
        <v>#N/A</v>
      </c>
      <c r="AW100" s="932" t="e">
        <f t="shared" si="26"/>
        <v>#N/A</v>
      </c>
      <c r="AX100" s="930" t="e">
        <f t="shared" si="27"/>
        <v>#N/A</v>
      </c>
      <c r="AY100" s="1025"/>
      <c r="AZ100" s="854" t="e">
        <f t="shared" si="28"/>
        <v>#N/A</v>
      </c>
      <c r="CB100">
        <f t="shared" si="33"/>
        <v>0</v>
      </c>
      <c r="CG100" s="293"/>
      <c r="CH100" s="293"/>
      <c r="CI100" s="293"/>
    </row>
    <row r="101" spans="5:87" ht="71.25" hidden="1" customHeight="1" thickTop="1" thickBot="1">
      <c r="E101" t="b">
        <f>OR(E99=TRUE,E100=TRUE)</f>
        <v>0</v>
      </c>
      <c r="F101" t="str">
        <f>$M$99</f>
        <v>أبن الأخ لأب</v>
      </c>
      <c r="H101" s="160">
        <v>2</v>
      </c>
      <c r="J101" s="310">
        <f t="shared" si="24"/>
        <v>0</v>
      </c>
      <c r="K101" s="160">
        <f t="shared" si="29"/>
        <v>93</v>
      </c>
      <c r="L101" s="310">
        <f>SUM(J8:J101)</f>
        <v>0</v>
      </c>
      <c r="M101" s="174" t="str">
        <f t="shared" si="39"/>
        <v xml:space="preserve">أذا أنفرد أو معه مثله جهة وقربا وقوة  </v>
      </c>
      <c r="N101" s="175" t="str">
        <f t="shared" si="39"/>
        <v xml:space="preserve"> أقتسمو المال على الرؤوس</v>
      </c>
      <c r="O101" s="175" t="b">
        <f>AND(E8+E9+E32=0,'أدخال البيانات'!F13+'أدخال البيانات'!F12+'أدخال البيانات'!F10+'أدخال البيانات'!F11+'أدخال البيانات'!F14+'أدخال البيانات'!F15=0,Y100+Y99=1,'أدخال البيانات'!F16&lt;=0,E11=0,'أدخال البيانات'!F15=0,'أدخال البيانات'!F15=0,'أدخال البيانات'!F17&gt;0,'أدخال البيانات'!F15+'أدخال البيانات'!F14+'أدخال البيانات'!F12+'أدخال البيانات'!F10+'أدخال البيانات'!F9=0,AA92=TRUE,E101=FALSE,O97=FALSE,'أدخال البيانات'!F16=0,'أدخال البيانات'!M9+'أدخال البيانات'!M10+'أدخال البيانات'!M11+'أدخال البيانات'!M12+'أدخال البيانات'!M13+'أدخال البيانات'!M14+'أدخال البيانات'!M15+'أدخال البيانات'!M16+'أدخال البيانات'!M17+'أدخال البيانات'!M18=0)</f>
        <v>0</v>
      </c>
      <c r="P101" s="180">
        <f>$P$93</f>
        <v>1</v>
      </c>
      <c r="Q101" s="180">
        <f t="shared" si="30"/>
        <v>0</v>
      </c>
      <c r="R101" s="187">
        <f>'شرح الحالة'!E16</f>
        <v>0</v>
      </c>
      <c r="S101" s="182">
        <f t="shared" si="36"/>
        <v>0</v>
      </c>
      <c r="T101" s="183">
        <v>0</v>
      </c>
      <c r="U101" s="183">
        <f t="shared" si="31"/>
        <v>0</v>
      </c>
      <c r="V101" s="183">
        <f>(Sheet5!F131*((S101+T101)*(R101)))</f>
        <v>0</v>
      </c>
      <c r="W101" s="184" t="e">
        <f>Sheet5!G132*((S101+T101)/(R101))</f>
        <v>#DIV/0!</v>
      </c>
      <c r="X101" s="1235"/>
      <c r="Y101" s="179"/>
      <c r="Z101" s="179"/>
      <c r="AA101" s="179"/>
      <c r="AB101" s="179"/>
      <c r="AC101" s="179"/>
      <c r="AD101" s="179"/>
      <c r="AE101" s="179"/>
      <c r="AF101" s="179"/>
      <c r="AG101" s="179"/>
      <c r="AH101" s="179"/>
      <c r="AI101" s="179"/>
      <c r="AJ101" s="179"/>
      <c r="AK101" s="179"/>
      <c r="AL101" s="179"/>
      <c r="AM101" s="179"/>
      <c r="AN101" s="179" t="str">
        <f t="shared" si="37"/>
        <v/>
      </c>
      <c r="AO101" s="168" t="str">
        <f>IF(O101=TRUE,"حقق الشرط","لايورث")</f>
        <v>لايورث</v>
      </c>
      <c r="AR101" t="b">
        <f>IF('أدخال البيانات'!M9+'أدخال البيانات'!M10&gt;0,TRUE,FALSE)</f>
        <v>0</v>
      </c>
      <c r="AS101" t="b">
        <f>AR101</f>
        <v>0</v>
      </c>
      <c r="AV101" s="933" t="e">
        <f t="shared" si="25"/>
        <v>#N/A</v>
      </c>
      <c r="AW101" s="929" t="e">
        <f t="shared" si="26"/>
        <v>#N/A</v>
      </c>
      <c r="AX101" s="930" t="e">
        <f t="shared" si="27"/>
        <v>#N/A</v>
      </c>
      <c r="AY101" s="1025"/>
      <c r="AZ101" s="927" t="e">
        <f t="shared" si="28"/>
        <v>#N/A</v>
      </c>
      <c r="CB101">
        <f t="shared" si="33"/>
        <v>0</v>
      </c>
      <c r="CG101" s="293"/>
      <c r="CH101" s="293"/>
      <c r="CI101" s="293"/>
    </row>
    <row r="102" spans="5:87" ht="71.25" hidden="1" customHeight="1" thickTop="1" thickBot="1">
      <c r="F102" t="str">
        <f>$M$99</f>
        <v>أبن الأخ لأب</v>
      </c>
      <c r="H102" s="160">
        <v>3</v>
      </c>
      <c r="J102" s="310">
        <f t="shared" si="24"/>
        <v>0</v>
      </c>
      <c r="K102" s="160">
        <f t="shared" si="29"/>
        <v>94</v>
      </c>
      <c r="L102" s="310">
        <f>SUM(J8:J102)</f>
        <v>0</v>
      </c>
      <c r="M102" s="174" t="str">
        <f t="shared" si="39"/>
        <v xml:space="preserve">أذا  معه أو معهم صاحب فرض  وأذا وجدوا كلهم فالترتيب بينهم من ناحية الحهة والقرب والقوة </v>
      </c>
      <c r="N102" s="175" t="str">
        <f>N98</f>
        <v>أخد أو أخذو ما بقى أن بقى شىء</v>
      </c>
      <c r="O102" s="175" t="b">
        <f>AND(E8+E9+E32=0,'أدخال البيانات'!F13+'أدخال البيانات'!F12+'أدخال البيانات'!F10+'أدخال البيانات'!F11+'أدخال البيانات'!F14+'أدخال البيانات'!F15=0, 'أدخال البيانات'!F16+'أدخال البيانات'!F15+'أدخال البيانات'!F14+'أدخال البيانات'!F13+'أدخال البيانات'!F12+'أدخال البيانات'!F11+'أدخال البيانات'!F10+'أدخال البيانات'!الأبناء__ذكور=0,O100=FALSE,'أدخال البيانات'!F15+'أدخال البيانات'!F16=0,AA103=TRUE,'أدخال البيانات'!F17&gt;0,O101=FALSE,AR99=FALSE,AS99=FALSE)</f>
        <v>0</v>
      </c>
      <c r="P102" s="180">
        <f>$P$93</f>
        <v>1</v>
      </c>
      <c r="Q102" s="180">
        <f t="shared" si="30"/>
        <v>0</v>
      </c>
      <c r="R102" s="187">
        <f>'شرح الحالة'!E16</f>
        <v>0</v>
      </c>
      <c r="S102" s="182">
        <f t="shared" si="36"/>
        <v>0</v>
      </c>
      <c r="T102" s="183">
        <v>0</v>
      </c>
      <c r="U102" s="183">
        <f t="shared" si="31"/>
        <v>0</v>
      </c>
      <c r="V102" s="183">
        <f>(Sheet5!F132*((S102+T102)*(R102)))</f>
        <v>0</v>
      </c>
      <c r="W102" s="184" t="e">
        <f>Sheet5!G133*((S102+T102)/(R102))</f>
        <v>#DIV/0!</v>
      </c>
      <c r="X102" s="1235"/>
      <c r="Y102" s="179"/>
      <c r="Z102" s="179" t="s">
        <v>131</v>
      </c>
      <c r="AA102" s="179" t="b">
        <f>AND('أدخال البيانات'!F12+'أدخال البيانات'!M15+'أدخال البيانات'!F22+'أدخال البيانات'!M9+'أدخال البيانات'!M10+'أدخال البيانات'!M11+'أدخال البيانات'!M14+'أدخال البيانات'!M16+'أدخال البيانات'!M17+'أدخال البيانات'!M18=0)</f>
        <v>1</v>
      </c>
      <c r="AB102" s="179"/>
      <c r="AC102" s="179"/>
      <c r="AD102" s="179"/>
      <c r="AE102" s="179"/>
      <c r="AF102" s="179"/>
      <c r="AG102" s="179"/>
      <c r="AH102" s="179"/>
      <c r="AI102" s="179"/>
      <c r="AJ102" s="179"/>
      <c r="AK102" s="179"/>
      <c r="AL102" s="179"/>
      <c r="AM102" s="179"/>
      <c r="AN102" s="179" t="str">
        <f t="shared" si="37"/>
        <v/>
      </c>
      <c r="AO102" s="168" t="str">
        <f t="shared" si="32"/>
        <v>لايورث</v>
      </c>
      <c r="AV102" s="934" t="e">
        <f t="shared" si="25"/>
        <v>#N/A</v>
      </c>
      <c r="AW102" s="932" t="e">
        <f t="shared" si="26"/>
        <v>#N/A</v>
      </c>
      <c r="AX102" s="930" t="e">
        <f t="shared" si="27"/>
        <v>#N/A</v>
      </c>
      <c r="AY102" s="1025"/>
      <c r="AZ102" s="855" t="e">
        <f t="shared" si="28"/>
        <v>#N/A</v>
      </c>
      <c r="CB102">
        <f t="shared" si="33"/>
        <v>0</v>
      </c>
      <c r="CG102" s="293"/>
      <c r="CH102" s="293"/>
      <c r="CI102" s="293"/>
    </row>
    <row r="103" spans="5:87" ht="71.25" hidden="1" customHeight="1" thickTop="1" thickBot="1">
      <c r="H103" s="237"/>
      <c r="J103" s="310">
        <f t="shared" si="24"/>
        <v>0</v>
      </c>
      <c r="K103" s="160">
        <f t="shared" si="29"/>
        <v>95</v>
      </c>
      <c r="L103" s="310">
        <f>SUM(J8:J103)</f>
        <v>0</v>
      </c>
      <c r="M103" s="248" t="s">
        <v>91</v>
      </c>
      <c r="N103" s="175"/>
      <c r="O103" s="175"/>
      <c r="P103" s="180"/>
      <c r="Q103" s="180"/>
      <c r="R103" s="187"/>
      <c r="S103" s="182"/>
      <c r="T103" s="183"/>
      <c r="U103" s="183">
        <f t="shared" si="31"/>
        <v>0</v>
      </c>
      <c r="V103" s="183">
        <f>(Sheet5!F133*((S103+T103)*(R103)))</f>
        <v>0</v>
      </c>
      <c r="W103" s="184" t="e">
        <f>Sheet5!G134*((S103+T103)/(R103))</f>
        <v>#DIV/0!</v>
      </c>
      <c r="X103" s="188"/>
      <c r="Y103" s="179"/>
      <c r="Z103" s="179" t="s">
        <v>140</v>
      </c>
      <c r="AA103" s="202" t="b">
        <f>AND('أدخال البيانات'!F9+'أدخال البيانات'!F10+'أدخال البيانات'!F12+'أدخال البيانات'!F11=0)</f>
        <v>1</v>
      </c>
      <c r="AB103" s="179"/>
      <c r="AC103" s="179"/>
      <c r="AD103" s="179"/>
      <c r="AE103" s="179"/>
      <c r="AF103" s="179"/>
      <c r="AG103" s="179"/>
      <c r="AH103" s="179"/>
      <c r="AI103" s="179"/>
      <c r="AJ103" s="179"/>
      <c r="AK103" s="179"/>
      <c r="AL103" s="179"/>
      <c r="AM103" s="179"/>
      <c r="AN103" s="179" t="str">
        <f>IF(AO103="حقق الشرط",M103,"")</f>
        <v/>
      </c>
      <c r="AO103" s="168" t="str">
        <f>IF(AP103=TRUE,"حقق الشرط","")</f>
        <v/>
      </c>
      <c r="AP103" t="b">
        <f>OR(O104,O105,O106  )</f>
        <v>0</v>
      </c>
      <c r="AV103" s="934" t="e">
        <f t="shared" si="25"/>
        <v>#N/A</v>
      </c>
      <c r="AW103" s="929" t="e">
        <f t="shared" si="26"/>
        <v>#N/A</v>
      </c>
      <c r="AX103" s="930" t="e">
        <f t="shared" si="27"/>
        <v>#N/A</v>
      </c>
      <c r="AY103" s="1025"/>
      <c r="AZ103" s="855" t="e">
        <f t="shared" si="28"/>
        <v>#N/A</v>
      </c>
      <c r="CB103">
        <f t="shared" si="33"/>
        <v>0</v>
      </c>
      <c r="CG103" s="293"/>
      <c r="CH103" s="293"/>
      <c r="CI103" s="293"/>
    </row>
    <row r="104" spans="5:87" ht="71.25" hidden="1" customHeight="1" thickTop="1" thickBot="1">
      <c r="F104" t="str">
        <f>$M$103</f>
        <v>العم الشقيق</v>
      </c>
      <c r="H104" s="160">
        <v>1</v>
      </c>
      <c r="J104" s="310">
        <f t="shared" si="24"/>
        <v>0</v>
      </c>
      <c r="K104" s="160">
        <f t="shared" si="29"/>
        <v>96</v>
      </c>
      <c r="L104" s="310">
        <f>SUM(J8:J104)</f>
        <v>0</v>
      </c>
      <c r="M104" s="174" t="str">
        <f t="shared" ref="M104:N106" si="40">M92</f>
        <v xml:space="preserve">الأنفراد  </v>
      </c>
      <c r="N104" s="175" t="str">
        <f t="shared" si="40"/>
        <v>المال كله</v>
      </c>
      <c r="O104" s="175" t="b">
        <f>AND('أدخال البيانات'!M9+'أدخال البيانات'!M10+'أدخال البيانات'!M11+'أدخال البيانات'!M12+'أدخال البيانات'!M13+'أدخال البيانات'!M14+'أدخال البيانات'!M15+'أدخال البيانات'!M16+'أدخال البيانات'!M17+'أدخال البيانات'!M18=0,O100=FALSE,'شرح الحالة'!E17=1,AC106=TRUE,'أدخال البيانات'!F22=0,'أدخال البيانات'!الأبناء__ذكور+'أدخال البيانات'!F10+'أدخال البيانات'!F11+'أدخال البيانات'!F12+'أدخال البيانات'!F13+'أدخال البيانات'!F14+'أدخال البيانات'!F15+'أدخال البيانات'!F16+'أدخال البيانات'!F17=0)</f>
        <v>0</v>
      </c>
      <c r="P104" s="180">
        <f>$P$105</f>
        <v>1</v>
      </c>
      <c r="Q104" s="180">
        <f t="shared" si="30"/>
        <v>0</v>
      </c>
      <c r="R104" s="187">
        <f>'شرح الحالة'!E17</f>
        <v>0</v>
      </c>
      <c r="S104" s="182">
        <f t="shared" si="36"/>
        <v>0</v>
      </c>
      <c r="T104" s="183">
        <v>0</v>
      </c>
      <c r="U104" s="183">
        <f t="shared" si="31"/>
        <v>0</v>
      </c>
      <c r="V104" s="183">
        <f>(Sheet5!F134*((S104+T104)*(R104)))</f>
        <v>0</v>
      </c>
      <c r="W104" s="184" t="e">
        <f>Sheet5!G135*((S104+T104)/(R104))</f>
        <v>#DIV/0!</v>
      </c>
      <c r="X104" s="1235">
        <f>MAX(U104:U106)</f>
        <v>0</v>
      </c>
      <c r="Y104" s="179"/>
      <c r="Z104" s="179"/>
      <c r="AA104" s="179"/>
      <c r="AB104" s="179"/>
      <c r="AC104" s="179"/>
      <c r="AD104" s="179"/>
      <c r="AE104" s="179"/>
      <c r="AF104" s="179"/>
      <c r="AG104" s="179"/>
      <c r="AH104" s="179"/>
      <c r="AI104" s="179"/>
      <c r="AJ104" s="179"/>
      <c r="AK104" s="179"/>
      <c r="AL104" s="179"/>
      <c r="AM104" s="179"/>
      <c r="AN104" s="179" t="str">
        <f t="shared" si="37"/>
        <v/>
      </c>
      <c r="AO104" s="168" t="str">
        <f>IF(O104=TRUE,"حقق الشرط","لايورث")</f>
        <v>لايورث</v>
      </c>
      <c r="AV104" s="935" t="e">
        <f t="shared" si="25"/>
        <v>#N/A</v>
      </c>
      <c r="AW104" s="932" t="e">
        <f t="shared" si="26"/>
        <v>#N/A</v>
      </c>
      <c r="AX104" s="930" t="e">
        <f t="shared" si="27"/>
        <v>#N/A</v>
      </c>
      <c r="AY104" s="1025"/>
      <c r="AZ104" s="857" t="e">
        <f t="shared" si="28"/>
        <v>#N/A</v>
      </c>
      <c r="CB104">
        <f t="shared" si="33"/>
        <v>0</v>
      </c>
      <c r="CG104" s="293"/>
      <c r="CH104" s="293"/>
      <c r="CI104" s="293"/>
    </row>
    <row r="105" spans="5:87" ht="71.25" hidden="1" customHeight="1" thickTop="1" thickBot="1">
      <c r="F105" t="str">
        <f>$M$103</f>
        <v>العم الشقيق</v>
      </c>
      <c r="H105" s="160">
        <v>2</v>
      </c>
      <c r="J105" s="310">
        <f t="shared" si="24"/>
        <v>0</v>
      </c>
      <c r="K105" s="160">
        <f t="shared" si="29"/>
        <v>97</v>
      </c>
      <c r="L105" s="310">
        <f>SUM(J8:J105)</f>
        <v>0</v>
      </c>
      <c r="M105" s="174" t="str">
        <f t="shared" si="40"/>
        <v xml:space="preserve">أذا أنفرد أو معه مثله جهة وقربا وقوة  </v>
      </c>
      <c r="N105" s="175" t="str">
        <f t="shared" si="40"/>
        <v xml:space="preserve"> أقتسمو المال على الرؤوس</v>
      </c>
      <c r="O105" s="175" t="b">
        <f>AND(AC105=TRUE,O101=FALSE,'شرح الحالة'!E17&gt;1,AB105=FALSE,'أدخال البيانات'!F17+'أدخال البيانات'!F16=0,O106=FALSE)</f>
        <v>0</v>
      </c>
      <c r="P105" s="180">
        <f>$P$93</f>
        <v>1</v>
      </c>
      <c r="Q105" s="180">
        <f t="shared" si="30"/>
        <v>0</v>
      </c>
      <c r="R105" s="187">
        <f>'شرح الحالة'!E17</f>
        <v>0</v>
      </c>
      <c r="S105" s="182">
        <f t="shared" si="36"/>
        <v>0</v>
      </c>
      <c r="T105" s="183">
        <v>0</v>
      </c>
      <c r="U105" s="183">
        <f t="shared" si="31"/>
        <v>0</v>
      </c>
      <c r="V105" s="183">
        <f>(Sheet5!F135*((S105+T105)*(R105)))</f>
        <v>0</v>
      </c>
      <c r="W105" s="184" t="e">
        <f>Sheet5!G136*((S105+T105)/(R105))</f>
        <v>#DIV/0!</v>
      </c>
      <c r="X105" s="1235"/>
      <c r="Y105" s="179"/>
      <c r="Z105" s="179"/>
      <c r="AA105" s="179"/>
      <c r="AB105" s="179" t="b">
        <f>AND('أدخال البيانات'!M9+'أدخال البيانات'!M10&gt;0,'أدخال البيانات'!M12+'أدخال البيانات'!M13&gt;0)</f>
        <v>0</v>
      </c>
      <c r="AC105" s="175" t="b">
        <f>AND('شرح الحالة'!E8+'شرح الحالة'!E9+'شرح الحالة'!E10+'شرح الحالة'!E32=0,E11=0,'شرح الحالة'!E12+'شرح الحالة'!E13=0)</f>
        <v>1</v>
      </c>
      <c r="AD105" s="1247" t="s">
        <v>104</v>
      </c>
      <c r="AE105" s="179"/>
      <c r="AF105" s="179"/>
      <c r="AG105" s="179"/>
      <c r="AH105" s="179"/>
      <c r="AI105" s="179"/>
      <c r="AJ105" s="179"/>
      <c r="AK105" s="179"/>
      <c r="AL105" s="179"/>
      <c r="AM105" s="179"/>
      <c r="AN105" s="179" t="str">
        <f t="shared" si="37"/>
        <v/>
      </c>
      <c r="AO105" s="168" t="str">
        <f>IF(O105=TRUE,"حقق الشرط","لايورث")</f>
        <v>لايورث</v>
      </c>
      <c r="AV105" s="935" t="e">
        <f t="shared" si="25"/>
        <v>#N/A</v>
      </c>
      <c r="AW105" s="929" t="e">
        <f t="shared" si="26"/>
        <v>#N/A</v>
      </c>
      <c r="AX105" s="930" t="e">
        <f t="shared" si="27"/>
        <v>#N/A</v>
      </c>
      <c r="AY105" s="1025"/>
      <c r="AZ105" s="857" t="e">
        <f t="shared" si="28"/>
        <v>#N/A</v>
      </c>
      <c r="CB105">
        <f t="shared" si="33"/>
        <v>0</v>
      </c>
      <c r="CG105" s="293"/>
      <c r="CH105" s="293"/>
      <c r="CI105" s="293"/>
    </row>
    <row r="106" spans="5:87" ht="71.25" hidden="1" customHeight="1" thickTop="1" thickBot="1">
      <c r="F106" t="str">
        <f>$M$103</f>
        <v>العم الشقيق</v>
      </c>
      <c r="H106" s="160">
        <v>3</v>
      </c>
      <c r="J106" s="310">
        <f t="shared" si="24"/>
        <v>0</v>
      </c>
      <c r="K106" s="160">
        <f t="shared" si="29"/>
        <v>98</v>
      </c>
      <c r="L106" s="310">
        <f>SUM(J8:J106)</f>
        <v>0</v>
      </c>
      <c r="M106" s="174" t="str">
        <f t="shared" si="40"/>
        <v xml:space="preserve">أذا  معه أو معهم صاحب فرض  وأذا وجدوا كلهم فالترتيب بينهم من ناحية الحهة والقرب والقوة </v>
      </c>
      <c r="N106" s="175" t="str">
        <f>N102</f>
        <v>أخد أو أخذو ما بقى أن بقى شىء</v>
      </c>
      <c r="O106" s="175" t="b">
        <f>AND(AC105=TRUE,O102=FALSE,'شرح الحالة'!E17&gt;=1,O53=FALSE,O94=FALSE,O98=FALSE,AA103=TRUE,'أدخال البيانات'!F17+'أدخال البيانات'!F16+'أدخال البيانات'!F15+'أدخال البيانات'!F14=0,AA92=TRUE,E101=FALSE,O104=FALSE)</f>
        <v>0</v>
      </c>
      <c r="P106" s="180">
        <f>$P$93</f>
        <v>1</v>
      </c>
      <c r="Q106" s="180">
        <f t="shared" si="30"/>
        <v>0</v>
      </c>
      <c r="R106" s="187">
        <f>'شرح الحالة'!E17</f>
        <v>0</v>
      </c>
      <c r="S106" s="182">
        <f t="shared" si="36"/>
        <v>0</v>
      </c>
      <c r="T106" s="183">
        <v>0</v>
      </c>
      <c r="U106" s="183">
        <f t="shared" si="31"/>
        <v>0</v>
      </c>
      <c r="V106" s="183">
        <f>(Sheet5!F136*((S106+T106)*(R106)))</f>
        <v>0</v>
      </c>
      <c r="W106" s="184" t="e">
        <f>Sheet5!G137*((S106+T106)/(R106))</f>
        <v>#DIV/0!</v>
      </c>
      <c r="X106" s="1235"/>
      <c r="Y106" s="179"/>
      <c r="Z106" s="179"/>
      <c r="AA106" s="179"/>
      <c r="AB106" s="179" t="s">
        <v>131</v>
      </c>
      <c r="AC106" s="179" t="b">
        <f>AND(E28+E14+E21+E23+E24+E25+E26+E29+E30+E31+E27+E29+E30=0)</f>
        <v>1</v>
      </c>
      <c r="AD106" s="1247"/>
      <c r="AE106" s="179"/>
      <c r="AF106" s="179"/>
      <c r="AG106" s="179"/>
      <c r="AH106" s="179"/>
      <c r="AI106" s="179"/>
      <c r="AJ106" s="179"/>
      <c r="AK106" s="179"/>
      <c r="AL106" s="179"/>
      <c r="AM106" s="179"/>
      <c r="AN106" s="179" t="str">
        <f t="shared" si="37"/>
        <v/>
      </c>
      <c r="AO106" s="168" t="str">
        <f t="shared" si="32"/>
        <v>لايورث</v>
      </c>
      <c r="AV106" s="936" t="e">
        <f t="shared" si="25"/>
        <v>#N/A</v>
      </c>
      <c r="AW106" s="932" t="e">
        <f t="shared" si="26"/>
        <v>#N/A</v>
      </c>
      <c r="AX106" s="930" t="e">
        <f t="shared" si="27"/>
        <v>#N/A</v>
      </c>
      <c r="AY106" s="1025"/>
      <c r="AZ106" s="858" t="e">
        <f t="shared" si="28"/>
        <v>#N/A</v>
      </c>
      <c r="CB106">
        <f t="shared" si="33"/>
        <v>0</v>
      </c>
      <c r="CG106" s="293"/>
      <c r="CH106" s="293"/>
      <c r="CI106" s="293"/>
    </row>
    <row r="107" spans="5:87" ht="71.25" hidden="1" customHeight="1" thickTop="1" thickBot="1">
      <c r="H107" s="237"/>
      <c r="J107" s="310">
        <f t="shared" si="24"/>
        <v>0</v>
      </c>
      <c r="K107" s="160">
        <f t="shared" si="29"/>
        <v>99</v>
      </c>
      <c r="L107" s="310">
        <f>SUM(J8:J107)</f>
        <v>0</v>
      </c>
      <c r="M107" s="869" t="s">
        <v>92</v>
      </c>
      <c r="N107" s="175"/>
      <c r="O107" s="175"/>
      <c r="P107" s="180"/>
      <c r="Q107" s="180"/>
      <c r="R107" s="187"/>
      <c r="S107" s="182"/>
      <c r="T107" s="183"/>
      <c r="U107" s="183">
        <f t="shared" si="31"/>
        <v>0</v>
      </c>
      <c r="V107" s="183">
        <f>(Sheet5!F137*((S107+T107)*(R107)))</f>
        <v>0</v>
      </c>
      <c r="W107" s="184" t="e">
        <f>Sheet5!G138*((S107+T107)/(R107))</f>
        <v>#DIV/0!</v>
      </c>
      <c r="X107" s="188"/>
      <c r="Y107" s="179"/>
      <c r="Z107" s="179"/>
      <c r="AA107" s="179"/>
      <c r="AB107" s="179" t="s">
        <v>169</v>
      </c>
      <c r="AC107" s="186" t="b">
        <f>AND('شرح الحالة'!E8+'شرح الحالة'!E9+'شرح الحالة'!E10+'شرح الحالة'!E32=0,'شرح الحالة'!E8+'أدخال البيانات'!F13=0,'شرح الحالة'!E12+'شرح الحالة'!E13+'شرح الحالة'!E14+'شرح الحالة'!E15+'شرح الحالة'!E16+'شرح الحالة'!E17+'شرح الحالة'!E18+'شرح الحالة'!E19+'شرح الحالة'!E21&gt;1)</f>
        <v>0</v>
      </c>
      <c r="AD107" s="1247"/>
      <c r="AE107" s="179"/>
      <c r="AF107" s="179"/>
      <c r="AG107" s="179"/>
      <c r="AH107" s="179"/>
      <c r="AI107" s="179"/>
      <c r="AJ107" s="179"/>
      <c r="AK107" s="179"/>
      <c r="AL107" s="179"/>
      <c r="AM107" s="179"/>
      <c r="AN107" s="179" t="str">
        <f>IF(AO107="حقق الشرط",M107,"")</f>
        <v/>
      </c>
      <c r="AO107" s="168" t="str">
        <f>IF(AP107=TRUE,"حقق الشرط","")</f>
        <v/>
      </c>
      <c r="AP107" t="b">
        <f>OR(O108,O109,O110  )</f>
        <v>0</v>
      </c>
      <c r="AV107" s="936" t="e">
        <f t="shared" si="25"/>
        <v>#N/A</v>
      </c>
      <c r="AW107" s="929" t="e">
        <f t="shared" si="26"/>
        <v>#N/A</v>
      </c>
      <c r="AX107" s="930" t="e">
        <f t="shared" si="27"/>
        <v>#N/A</v>
      </c>
      <c r="AY107" s="1025"/>
      <c r="AZ107" s="858" t="e">
        <f t="shared" si="28"/>
        <v>#N/A</v>
      </c>
      <c r="CB107">
        <f t="shared" si="33"/>
        <v>0</v>
      </c>
      <c r="CG107" s="293"/>
      <c r="CH107" s="293"/>
      <c r="CI107" s="293"/>
    </row>
    <row r="108" spans="5:87" ht="71.25" hidden="1" customHeight="1" thickTop="1" thickBot="1">
      <c r="F108" t="str">
        <f>$M$107</f>
        <v>العم لأب</v>
      </c>
      <c r="H108" s="160">
        <v>1</v>
      </c>
      <c r="J108" s="310">
        <f t="shared" si="24"/>
        <v>0</v>
      </c>
      <c r="K108" s="160">
        <f t="shared" si="29"/>
        <v>100</v>
      </c>
      <c r="L108" s="310">
        <f>SUM(J8:J108)</f>
        <v>0</v>
      </c>
      <c r="M108" s="174" t="str">
        <f t="shared" ref="M108:N110" si="41">M92</f>
        <v xml:space="preserve">الأنفراد  </v>
      </c>
      <c r="N108" s="175" t="str">
        <f t="shared" si="41"/>
        <v>المال كله</v>
      </c>
      <c r="O108" s="175" t="b">
        <f>AND('أدخال البيانات'!M9+'أدخال البيانات'!M10+'أدخال البيانات'!M11+'أدخال البيانات'!M12+'أدخال البيانات'!M13+'أدخال البيانات'!M14+'أدخال البيانات'!M15+'أدخال البيانات'!M16+'أدخال البيانات'!M17+'أدخال البيانات'!M18+'أدخال البيانات'!F22=0,O104=FALSE,'شرح الحالة'!E18&gt;=1,AC106=TRUE,O109=FALSE,'أدخال البيانات'!الأبناء__ذكور+'أدخال البيانات'!F10+'أدخال البيانات'!F11+'أدخال البيانات'!F12+'أدخال البيانات'!F13+'أدخال البيانات'!F14+'أدخال البيانات'!F15+'أدخال البيانات'!F16+'أدخال البيانات'!F17+'أدخال البيانات'!F18=0)</f>
        <v>0</v>
      </c>
      <c r="P108" s="180">
        <f>$P$105</f>
        <v>1</v>
      </c>
      <c r="Q108" s="180">
        <f t="shared" si="30"/>
        <v>0</v>
      </c>
      <c r="R108" s="187">
        <f>'شرح الحالة'!E18</f>
        <v>0</v>
      </c>
      <c r="S108" s="182">
        <f t="shared" si="36"/>
        <v>0</v>
      </c>
      <c r="T108" s="183">
        <v>0</v>
      </c>
      <c r="U108" s="183">
        <f t="shared" si="31"/>
        <v>0</v>
      </c>
      <c r="V108" s="183">
        <f>(Sheet5!F138*((S108+T108)*(R108)))</f>
        <v>0</v>
      </c>
      <c r="W108" s="184" t="e">
        <f>Sheet5!G139*((S108+T108)/(R108))</f>
        <v>#DIV/0!</v>
      </c>
      <c r="X108" s="1235">
        <f>MAX(U108:U110)</f>
        <v>0</v>
      </c>
      <c r="Y108" s="179"/>
      <c r="Z108" s="179"/>
      <c r="AA108" s="179"/>
      <c r="AB108" s="179"/>
      <c r="AC108" s="179"/>
      <c r="AD108" s="179"/>
      <c r="AE108" s="179"/>
      <c r="AF108" s="179"/>
      <c r="AG108" s="179"/>
      <c r="AH108" s="179"/>
      <c r="AI108" s="179"/>
      <c r="AJ108" s="179"/>
      <c r="AK108" s="179"/>
      <c r="AL108" s="179"/>
      <c r="AM108" s="179"/>
      <c r="AN108" s="179" t="str">
        <f t="shared" si="37"/>
        <v/>
      </c>
      <c r="AO108" s="168" t="str">
        <f>IF(O108=TRUE,"حقق الشرط","لايورث")</f>
        <v>لايورث</v>
      </c>
      <c r="AV108" s="936" t="e">
        <f t="shared" si="25"/>
        <v>#N/A</v>
      </c>
      <c r="AW108" s="932" t="e">
        <f t="shared" si="26"/>
        <v>#N/A</v>
      </c>
      <c r="AX108" s="930" t="e">
        <f t="shared" si="27"/>
        <v>#N/A</v>
      </c>
      <c r="AY108" s="1025"/>
      <c r="AZ108" s="858" t="e">
        <f t="shared" si="28"/>
        <v>#N/A</v>
      </c>
      <c r="CB108">
        <f t="shared" si="33"/>
        <v>0</v>
      </c>
      <c r="CG108" s="293"/>
      <c r="CH108" s="293"/>
      <c r="CI108" s="293"/>
    </row>
    <row r="109" spans="5:87" ht="71.25" hidden="1" customHeight="1" thickTop="1" thickBot="1">
      <c r="F109" t="str">
        <f>$M$107</f>
        <v>العم لأب</v>
      </c>
      <c r="H109" s="160">
        <v>2</v>
      </c>
      <c r="J109" s="310">
        <f t="shared" si="24"/>
        <v>0</v>
      </c>
      <c r="K109" s="160">
        <f t="shared" si="29"/>
        <v>101</v>
      </c>
      <c r="L109" s="310">
        <f>SUM(J8:J109)</f>
        <v>0</v>
      </c>
      <c r="M109" s="174" t="str">
        <f t="shared" si="41"/>
        <v xml:space="preserve">أذا أنفرد أو معه مثله جهة وقربا وقوة  </v>
      </c>
      <c r="N109" s="175" t="str">
        <f t="shared" si="41"/>
        <v xml:space="preserve"> أقتسمو المال على الرؤوس</v>
      </c>
      <c r="O109" s="175" t="b">
        <f>AND(AC105=TRUE,O105=FALSE,'شرح الحالة'!E18&gt;1,'أدخال البيانات'!F18+'أدخال البيانات'!F17+'أدخال البيانات'!F16+'أدخال البيانات'!F15=0,AB105=FALSE,'أدخال البيانات'!M9+'أدخال البيانات'!M10+'أدخال البيانات'!M12+'أدخال البيانات'!M13+'أدخال البيانات'!M14+'أدخال البيانات'!M15+'أدخال البيانات'!M16+'أدخال البيانات'!M17+'أدخال البيانات'!M18+'أدخال البيانات'!F22=0)</f>
        <v>0</v>
      </c>
      <c r="P109" s="180">
        <f>$P$93</f>
        <v>1</v>
      </c>
      <c r="Q109" s="180">
        <f t="shared" si="30"/>
        <v>0</v>
      </c>
      <c r="R109" s="187">
        <f>'شرح الحالة'!E18</f>
        <v>0</v>
      </c>
      <c r="S109" s="182">
        <f t="shared" si="36"/>
        <v>0</v>
      </c>
      <c r="T109" s="183">
        <v>0</v>
      </c>
      <c r="U109" s="183">
        <f t="shared" si="31"/>
        <v>0</v>
      </c>
      <c r="V109" s="183">
        <f>(Sheet5!F139*((S109+T109)*(R109)))</f>
        <v>0</v>
      </c>
      <c r="W109" s="184" t="e">
        <f>Sheet5!G140*((S109+T109)/(R109))</f>
        <v>#DIV/0!</v>
      </c>
      <c r="X109" s="1235"/>
      <c r="Y109" s="179"/>
      <c r="Z109" s="179"/>
      <c r="AA109" s="204"/>
      <c r="AB109" s="179"/>
      <c r="AC109" s="205" t="s">
        <v>95</v>
      </c>
      <c r="AD109" s="206" t="s">
        <v>8</v>
      </c>
      <c r="AE109" s="179"/>
      <c r="AF109" s="179"/>
      <c r="AG109" s="179"/>
      <c r="AH109" s="179"/>
      <c r="AI109" s="179"/>
      <c r="AJ109" s="179"/>
      <c r="AK109" s="179"/>
      <c r="AL109" s="179"/>
      <c r="AM109" s="179"/>
      <c r="AN109" s="179" t="str">
        <f t="shared" si="37"/>
        <v/>
      </c>
      <c r="AO109" s="168" t="str">
        <f>IF(O109=TRUE,"حقق الشرط","لايورث")</f>
        <v>لايورث</v>
      </c>
      <c r="AV109" s="936" t="e">
        <f t="shared" si="25"/>
        <v>#N/A</v>
      </c>
      <c r="AW109" s="929" t="e">
        <f t="shared" si="26"/>
        <v>#N/A</v>
      </c>
      <c r="AX109" s="930" t="e">
        <f t="shared" si="27"/>
        <v>#N/A</v>
      </c>
      <c r="AY109" s="1025"/>
      <c r="AZ109" s="858" t="e">
        <f t="shared" si="28"/>
        <v>#N/A</v>
      </c>
      <c r="CB109">
        <f t="shared" si="33"/>
        <v>0</v>
      </c>
      <c r="CG109" s="293"/>
      <c r="CH109" s="293"/>
      <c r="CI109" s="293"/>
    </row>
    <row r="110" spans="5:87" ht="71.25" hidden="1" customHeight="1" thickTop="1" thickBot="1">
      <c r="F110" t="str">
        <f>$M$107</f>
        <v>العم لأب</v>
      </c>
      <c r="H110" s="160">
        <v>3</v>
      </c>
      <c r="J110" s="310">
        <f t="shared" si="24"/>
        <v>0</v>
      </c>
      <c r="K110" s="160">
        <f t="shared" si="29"/>
        <v>102</v>
      </c>
      <c r="L110" s="310">
        <f>SUM(J8:J110)</f>
        <v>0</v>
      </c>
      <c r="M110" s="174" t="str">
        <f t="shared" si="41"/>
        <v xml:space="preserve">أذا  معه أو معهم صاحب فرض  وأذا وجدوا كلهم فالترتيب بينهم من ناحية الحهة والقرب والقوة </v>
      </c>
      <c r="N110" s="175" t="str">
        <f>N106</f>
        <v>أخد أو أخذو ما بقى أن بقى شىء</v>
      </c>
      <c r="O110" s="175" t="b">
        <f>AND('أدخال البيانات'!F19&gt;0,O106=FALSE,'شرح الحالة'!E18&gt;=1,O53=FALSE,O94=FALSE,O98=FALSE,O102=FALSE,E9=0,'أدخال البيانات'!F18=0,E11=0,AA92=TRUE,E101=FALSE,O109=FALSE,'أدخال البيانات'!الأبناء__ذكور=0,'أدخال البيانات'!F12+'أدخال البيانات'!F11+'أدخال البيانات'!F10+'أدخال البيانات'!F13=0,'أدخال البيانات'!F18+'أدخال البيانات'!F17+'أدخال البيانات'!F16+'أدخال البيانات'!F15=0,O108=FALSE)</f>
        <v>0</v>
      </c>
      <c r="P110" s="180">
        <f>$P$93</f>
        <v>1</v>
      </c>
      <c r="Q110" s="180">
        <f t="shared" si="30"/>
        <v>0</v>
      </c>
      <c r="R110" s="187">
        <f>'شرح الحالة'!E18</f>
        <v>0</v>
      </c>
      <c r="S110" s="182">
        <f t="shared" si="36"/>
        <v>0</v>
      </c>
      <c r="T110" s="183">
        <v>0</v>
      </c>
      <c r="U110" s="183">
        <f t="shared" si="31"/>
        <v>0</v>
      </c>
      <c r="V110" s="183">
        <f>(Sheet5!F140*((S110+T110)*(R110)))</f>
        <v>0</v>
      </c>
      <c r="W110" s="184" t="e">
        <f>Sheet5!G141*((S110+T110)/(R110))</f>
        <v>#DIV/0!</v>
      </c>
      <c r="X110" s="1235"/>
      <c r="Y110" s="179"/>
      <c r="Z110" s="179"/>
      <c r="AA110" s="204"/>
      <c r="AB110" s="179"/>
      <c r="AC110" s="205" t="s">
        <v>96</v>
      </c>
      <c r="AD110" s="206" t="s">
        <v>9</v>
      </c>
      <c r="AE110" s="179"/>
      <c r="AF110" s="179"/>
      <c r="AG110" s="179"/>
      <c r="AH110" s="179"/>
      <c r="AI110" s="179"/>
      <c r="AJ110" s="179"/>
      <c r="AK110" s="179"/>
      <c r="AL110" s="179"/>
      <c r="AM110" s="179"/>
      <c r="AN110" s="179" t="str">
        <f t="shared" si="37"/>
        <v/>
      </c>
      <c r="AO110" s="168" t="str">
        <f t="shared" si="32"/>
        <v>لايورث</v>
      </c>
      <c r="AV110" s="936" t="e">
        <f t="shared" si="25"/>
        <v>#N/A</v>
      </c>
      <c r="AW110" s="932" t="e">
        <f t="shared" si="26"/>
        <v>#N/A</v>
      </c>
      <c r="AX110" s="930" t="e">
        <f t="shared" si="27"/>
        <v>#N/A</v>
      </c>
      <c r="AY110" s="1025"/>
      <c r="AZ110" s="858" t="e">
        <f t="shared" si="28"/>
        <v>#N/A</v>
      </c>
      <c r="CB110">
        <f t="shared" si="33"/>
        <v>0</v>
      </c>
      <c r="CG110" s="293"/>
      <c r="CH110" s="293"/>
      <c r="CI110" s="293"/>
    </row>
    <row r="111" spans="5:87" ht="71.25" hidden="1" customHeight="1" thickTop="1" thickBot="1">
      <c r="H111" s="237"/>
      <c r="J111" s="310">
        <f t="shared" si="24"/>
        <v>0</v>
      </c>
      <c r="K111" s="160">
        <f t="shared" si="29"/>
        <v>103</v>
      </c>
      <c r="L111" s="310">
        <f>SUM(J8:J111)</f>
        <v>0</v>
      </c>
      <c r="M111" s="248" t="s">
        <v>93</v>
      </c>
      <c r="N111" s="175"/>
      <c r="O111" s="175"/>
      <c r="P111" s="180"/>
      <c r="Q111" s="180"/>
      <c r="R111" s="187"/>
      <c r="S111" s="182"/>
      <c r="T111" s="183"/>
      <c r="U111" s="183">
        <f t="shared" si="31"/>
        <v>0</v>
      </c>
      <c r="V111" s="183">
        <f>(Sheet5!F141*((S111+T111)*(R111)))</f>
        <v>0</v>
      </c>
      <c r="W111" s="184" t="e">
        <f>Sheet5!G142*((S111+T111)/(R111))</f>
        <v>#DIV/0!</v>
      </c>
      <c r="X111" s="188"/>
      <c r="Y111" s="179"/>
      <c r="Z111" s="179"/>
      <c r="AA111" s="204"/>
      <c r="AB111" s="179"/>
      <c r="AC111" s="205" t="s">
        <v>97</v>
      </c>
      <c r="AD111" s="206" t="s">
        <v>10</v>
      </c>
      <c r="AE111" s="179"/>
      <c r="AF111" s="179"/>
      <c r="AG111" s="179"/>
      <c r="AH111" s="179"/>
      <c r="AI111" s="179"/>
      <c r="AJ111" s="179"/>
      <c r="AK111" s="179"/>
      <c r="AL111" s="179"/>
      <c r="AM111" s="179"/>
      <c r="AN111" s="179" t="str">
        <f>IF(AO111="حقق الشرط",M111,"")</f>
        <v/>
      </c>
      <c r="AO111" s="168" t="str">
        <f>IF(AP111=TRUE,"حقق الشرط","")</f>
        <v/>
      </c>
      <c r="AP111" t="b">
        <f>OR(O112,O113,O114  )</f>
        <v>0</v>
      </c>
      <c r="AV111" s="936" t="e">
        <f t="shared" si="25"/>
        <v>#N/A</v>
      </c>
      <c r="AW111" s="929" t="e">
        <f t="shared" si="26"/>
        <v>#N/A</v>
      </c>
      <c r="AX111" s="930" t="e">
        <f t="shared" si="27"/>
        <v>#N/A</v>
      </c>
      <c r="AY111" s="1025"/>
      <c r="AZ111" s="858" t="e">
        <f t="shared" si="28"/>
        <v>#N/A</v>
      </c>
      <c r="CB111">
        <f t="shared" si="33"/>
        <v>0</v>
      </c>
      <c r="CG111" s="293"/>
      <c r="CH111" s="293"/>
      <c r="CI111" s="293"/>
    </row>
    <row r="112" spans="5:87" ht="71.25" hidden="1" customHeight="1" thickTop="1" thickBot="1">
      <c r="F112" t="str">
        <f>$M$111</f>
        <v>أبن العم الشقيق</v>
      </c>
      <c r="H112" s="160">
        <v>1</v>
      </c>
      <c r="J112" s="310">
        <f t="shared" si="24"/>
        <v>0</v>
      </c>
      <c r="K112" s="160">
        <f t="shared" si="29"/>
        <v>104</v>
      </c>
      <c r="L112" s="310">
        <f>SUM(J8:J112)</f>
        <v>0</v>
      </c>
      <c r="M112" s="174" t="str">
        <f t="shared" ref="M112:N114" si="42">M92</f>
        <v xml:space="preserve">الأنفراد  </v>
      </c>
      <c r="N112" s="175" t="str">
        <f t="shared" si="42"/>
        <v>المال كله</v>
      </c>
      <c r="O112" s="175" t="b">
        <f>AND('أدخال البيانات'!M9+'أدخال البيانات'!M10+'أدخال البيانات'!M11+'أدخال البيانات'!M12+'أدخال البيانات'!M13+'أدخال البيانات'!M14+'أدخال البيانات'!M15+'أدخال البيانات'!M16+'أدخال البيانات'!M17+'أدخال البيانات'!M18+'أدخال البيانات'!F22=0,O108=FALSE,'شرح الحالة'!E19&gt;=1,AC106=TRUE,'أدخال البيانات'!F20=1,'أدخال البيانات'!الأبناء__ذكور+'أدخال البيانات'!F10+'أدخال البيانات'!F11+'أدخال البيانات'!F12+'أدخال البيانات'!F13+'أدخال البيانات'!F14+'أدخال البيانات'!F15+'أدخال البيانات'!F16+'أدخال البيانات'!F17+'أدخال البيانات'!F18+'أدخال البيانات'!F19=0)</f>
        <v>0</v>
      </c>
      <c r="P112" s="180">
        <f>$P$105</f>
        <v>1</v>
      </c>
      <c r="Q112" s="180">
        <f t="shared" si="30"/>
        <v>0</v>
      </c>
      <c r="R112" s="187">
        <f>'شرح الحالة'!E19</f>
        <v>0</v>
      </c>
      <c r="S112" s="182">
        <f t="shared" si="36"/>
        <v>0</v>
      </c>
      <c r="T112" s="183">
        <v>0</v>
      </c>
      <c r="U112" s="183">
        <f t="shared" si="31"/>
        <v>0</v>
      </c>
      <c r="V112" s="183">
        <f>(Sheet5!F142*((S112+T112)*(R112)))</f>
        <v>0</v>
      </c>
      <c r="W112" s="184" t="e">
        <f>Sheet5!G143*((S112+T112)/(R112))</f>
        <v>#DIV/0!</v>
      </c>
      <c r="X112" s="1235">
        <f>MAX(U112:U114)</f>
        <v>0</v>
      </c>
      <c r="Y112" s="179"/>
      <c r="Z112" s="179" t="b">
        <f>AND('أدخال البيانات'!M9+'أدخال البيانات'!M10&gt;0,'أدخال البيانات'!M12&gt;0)</f>
        <v>0</v>
      </c>
      <c r="AA112" s="204"/>
      <c r="AB112" s="179"/>
      <c r="AC112" s="205" t="s">
        <v>98</v>
      </c>
      <c r="AD112" s="206" t="s">
        <v>11</v>
      </c>
      <c r="AE112" s="179"/>
      <c r="AF112" s="179"/>
      <c r="AG112" s="179"/>
      <c r="AH112" s="179"/>
      <c r="AI112" s="179"/>
      <c r="AJ112" s="179"/>
      <c r="AK112" s="179"/>
      <c r="AL112" s="179"/>
      <c r="AM112" s="179"/>
      <c r="AN112" s="179" t="str">
        <f t="shared" si="37"/>
        <v/>
      </c>
      <c r="AO112" s="168" t="str">
        <f>IF(O112=TRUE,"حقق الشرط","لايورث")</f>
        <v>لايورث</v>
      </c>
      <c r="AV112" s="937" t="e">
        <f t="shared" si="25"/>
        <v>#N/A</v>
      </c>
      <c r="AW112" s="932" t="e">
        <f t="shared" si="26"/>
        <v>#N/A</v>
      </c>
      <c r="AX112" s="930" t="e">
        <f t="shared" si="27"/>
        <v>#N/A</v>
      </c>
      <c r="AY112" s="1025"/>
      <c r="AZ112" s="924" t="e">
        <f t="shared" si="28"/>
        <v>#N/A</v>
      </c>
      <c r="CB112">
        <f t="shared" si="33"/>
        <v>0</v>
      </c>
      <c r="CG112" s="293"/>
      <c r="CH112" s="293"/>
      <c r="CI112" s="293"/>
    </row>
    <row r="113" spans="5:87" ht="71.25" hidden="1" customHeight="1" thickTop="1" thickBot="1">
      <c r="F113" t="str">
        <f>$M$111</f>
        <v>أبن العم الشقيق</v>
      </c>
      <c r="H113" s="160">
        <v>2</v>
      </c>
      <c r="J113" s="310">
        <f t="shared" si="24"/>
        <v>0</v>
      </c>
      <c r="K113" s="160">
        <f t="shared" si="29"/>
        <v>105</v>
      </c>
      <c r="L113" s="310">
        <f>SUM(J8:J113)</f>
        <v>0</v>
      </c>
      <c r="M113" s="174" t="str">
        <f t="shared" si="42"/>
        <v xml:space="preserve">أذا أنفرد أو معه مثله جهة وقربا وقوة  </v>
      </c>
      <c r="N113" s="175" t="str">
        <f t="shared" si="42"/>
        <v xml:space="preserve"> أقتسمو المال على الرؤوس</v>
      </c>
      <c r="O113" s="175" t="b">
        <f>AND(AC105=TRUE,O109=FALSE,'شرح الحالة'!E19&gt;1,AB105=FALSE,'أدخال البيانات'!F19+'أدخال البيانات'!F18+'أدخال البيانات'!F17+'أدخال البيانات'!F16+'أدخال البيانات'!F15=0,O112=FALSE,'أدخال البيانات'!M9+'أدخال البيانات'!M10+'أدخال البيانات'!M11+'أدخال البيانات'!M12+'أدخال البيانات'!M13+'أدخال البيانات'!M14+'أدخال البيانات'!M15+'أدخال البيانات'!M16+'أدخال البيانات'!M17+'أدخال البيانات'!M18+'أدخال البيانات'!F22=0)</f>
        <v>0</v>
      </c>
      <c r="P113" s="180">
        <f>$P$93</f>
        <v>1</v>
      </c>
      <c r="Q113" s="180">
        <f t="shared" si="30"/>
        <v>0</v>
      </c>
      <c r="R113" s="187">
        <f>'شرح الحالة'!E19</f>
        <v>0</v>
      </c>
      <c r="S113" s="182">
        <f t="shared" si="36"/>
        <v>0</v>
      </c>
      <c r="T113" s="183">
        <v>0</v>
      </c>
      <c r="U113" s="183">
        <f t="shared" si="31"/>
        <v>0</v>
      </c>
      <c r="V113" s="183">
        <f>(Sheet5!F143*((S113+T113)*(R113)))</f>
        <v>0</v>
      </c>
      <c r="W113" s="184" t="e">
        <f>Sheet5!G144*((S113+T113)/(R113))</f>
        <v>#DIV/0!</v>
      </c>
      <c r="X113" s="1235"/>
      <c r="Y113" s="179"/>
      <c r="Z113" s="179"/>
      <c r="AA113" s="204"/>
      <c r="AB113" s="179"/>
      <c r="AC113" s="205" t="s">
        <v>99</v>
      </c>
      <c r="AD113" s="206" t="s">
        <v>12</v>
      </c>
      <c r="AE113" s="179"/>
      <c r="AF113" s="179"/>
      <c r="AG113" s="179"/>
      <c r="AH113" s="179"/>
      <c r="AI113" s="179"/>
      <c r="AJ113" s="179"/>
      <c r="AK113" s="179"/>
      <c r="AL113" s="179"/>
      <c r="AM113" s="179"/>
      <c r="AN113" s="179" t="str">
        <f t="shared" si="37"/>
        <v/>
      </c>
      <c r="AO113" s="168" t="str">
        <f>IF(O113=TRUE,"حقق الشرط","لايورث")</f>
        <v>لايورث</v>
      </c>
      <c r="AV113" s="938" t="e">
        <f t="shared" si="25"/>
        <v>#N/A</v>
      </c>
      <c r="AW113" s="929" t="e">
        <f t="shared" si="26"/>
        <v>#N/A</v>
      </c>
      <c r="AX113" s="930" t="e">
        <f t="shared" si="27"/>
        <v>#N/A</v>
      </c>
      <c r="AY113" s="1026"/>
      <c r="AZ113" s="925" t="e">
        <f t="shared" si="28"/>
        <v>#N/A</v>
      </c>
      <c r="CB113">
        <f t="shared" si="33"/>
        <v>0</v>
      </c>
      <c r="CG113" s="293"/>
      <c r="CH113" s="293"/>
      <c r="CI113" s="293"/>
    </row>
    <row r="114" spans="5:87" ht="71.25" hidden="1" customHeight="1" thickTop="1" thickBot="1">
      <c r="F114" t="str">
        <f>$M$111</f>
        <v>أبن العم الشقيق</v>
      </c>
      <c r="H114" s="160">
        <v>3</v>
      </c>
      <c r="J114" s="310">
        <f t="shared" si="24"/>
        <v>0</v>
      </c>
      <c r="K114" s="160">
        <f t="shared" si="29"/>
        <v>106</v>
      </c>
      <c r="L114" s="310">
        <f>SUM(J8:J114)</f>
        <v>0</v>
      </c>
      <c r="M114" s="174" t="str">
        <f t="shared" si="42"/>
        <v xml:space="preserve">أذا  معه أو معهم صاحب فرض  وأذا وجدوا كلهم فالترتيب بينهم من ناحية الحهة والقرب والقوة </v>
      </c>
      <c r="N114" s="175" t="str">
        <f>N110</f>
        <v>أخد أو أخذو ما بقى أن بقى شىء</v>
      </c>
      <c r="O114" s="175" t="b">
        <f>AND('أدخال البيانات'!F20&gt;0,O110=FALSE,'شرح الحالة'!E19&gt;=1,O53=FALSE,O94=FALSE,O98=FALSE,O102=FALSE,O108=FALSE,E9=0,AA103=TRUE,O106=FALSE,E11=0,'أدخال البيانات'!F18+'أدخال البيانات'!F17+'أدخال البيانات'!F16+'أدخال البيانات'!F14=0,AA92=TRUE,E101=FALSE,O113=FALSE,'أدخال البيانات'!F19+'أدخال البيانات'!F18+'أدخال البيانات'!F17+'أدخال البيانات'!F16+'أدخال البيانات'!F15=0,O112=FALSE)</f>
        <v>0</v>
      </c>
      <c r="P114" s="180">
        <f>$P$93</f>
        <v>1</v>
      </c>
      <c r="Q114" s="180">
        <f t="shared" si="30"/>
        <v>0</v>
      </c>
      <c r="R114" s="187">
        <f>'شرح الحالة'!E19</f>
        <v>0</v>
      </c>
      <c r="S114" s="182">
        <f t="shared" si="36"/>
        <v>0</v>
      </c>
      <c r="T114" s="183">
        <v>0</v>
      </c>
      <c r="U114" s="183">
        <f t="shared" si="31"/>
        <v>0</v>
      </c>
      <c r="V114" s="183">
        <f>(Sheet5!F144*((S114+T114)*(R114)))</f>
        <v>0</v>
      </c>
      <c r="W114" s="184" t="e">
        <f>Sheet5!G145*((S114+T114)/(R114))</f>
        <v>#DIV/0!</v>
      </c>
      <c r="X114" s="1235"/>
      <c r="Y114" s="179"/>
      <c r="Z114" s="179"/>
      <c r="AA114" s="204"/>
      <c r="AB114" s="179"/>
      <c r="AC114" s="205" t="s">
        <v>100</v>
      </c>
      <c r="AD114" s="206" t="s">
        <v>13</v>
      </c>
      <c r="AE114" s="179"/>
      <c r="AF114" s="179"/>
      <c r="AG114" s="179"/>
      <c r="AH114" s="179"/>
      <c r="AI114" s="179"/>
      <c r="AJ114" s="179"/>
      <c r="AK114" s="179"/>
      <c r="AL114" s="179"/>
      <c r="AM114" s="179"/>
      <c r="AN114" s="179" t="str">
        <f t="shared" si="37"/>
        <v/>
      </c>
      <c r="AO114" s="168" t="str">
        <f t="shared" si="32"/>
        <v>لايورث</v>
      </c>
      <c r="AV114" s="928" t="e">
        <f t="shared" si="25"/>
        <v>#N/A</v>
      </c>
      <c r="AW114" s="929" t="e">
        <f t="shared" si="26"/>
        <v>#N/A</v>
      </c>
      <c r="AX114" s="930" t="e">
        <f t="shared" si="27"/>
        <v>#N/A</v>
      </c>
      <c r="AY114" s="1025"/>
      <c r="AZ114" s="926" t="e">
        <f t="shared" si="28"/>
        <v>#N/A</v>
      </c>
      <c r="CB114">
        <f t="shared" si="33"/>
        <v>0</v>
      </c>
      <c r="CG114" s="293"/>
      <c r="CH114" s="293"/>
      <c r="CI114" s="293"/>
    </row>
    <row r="115" spans="5:87" ht="71.25" hidden="1" customHeight="1" thickTop="1" thickBot="1">
      <c r="H115" s="237"/>
      <c r="J115" s="310">
        <f t="shared" si="24"/>
        <v>0</v>
      </c>
      <c r="K115" s="160">
        <f t="shared" si="29"/>
        <v>107</v>
      </c>
      <c r="L115" s="310">
        <f>SUM(J8:J115)</f>
        <v>0</v>
      </c>
      <c r="M115" s="248" t="s">
        <v>94</v>
      </c>
      <c r="N115" s="175"/>
      <c r="O115" s="175"/>
      <c r="P115" s="180"/>
      <c r="Q115" s="180"/>
      <c r="R115" s="187"/>
      <c r="S115" s="182"/>
      <c r="T115" s="183"/>
      <c r="U115" s="183">
        <f t="shared" si="31"/>
        <v>0</v>
      </c>
      <c r="V115" s="183">
        <f>(Sheet5!F145*((S115+T115)*(R115)))</f>
        <v>0</v>
      </c>
      <c r="W115" s="184" t="e">
        <f>Sheet5!G146*((S115+T115)/(R115))</f>
        <v>#DIV/0!</v>
      </c>
      <c r="X115" s="188"/>
      <c r="Y115" s="179"/>
      <c r="Z115" s="179"/>
      <c r="AA115" s="204"/>
      <c r="AB115" s="179"/>
      <c r="AC115" s="205" t="s">
        <v>101</v>
      </c>
      <c r="AD115" s="206" t="s">
        <v>14</v>
      </c>
      <c r="AE115" s="179"/>
      <c r="AF115" s="179"/>
      <c r="AG115" s="179"/>
      <c r="AH115" s="179"/>
      <c r="AI115" s="179"/>
      <c r="AJ115" s="179"/>
      <c r="AK115" s="179"/>
      <c r="AL115" s="179"/>
      <c r="AM115" s="179"/>
      <c r="AN115" s="179" t="str">
        <f>IF(AO115="حقق الشرط",M115,"")</f>
        <v/>
      </c>
      <c r="AO115" s="168" t="str">
        <f>IF(AP115=TRUE,"حقق الشرط","")</f>
        <v/>
      </c>
      <c r="AP115" t="b">
        <f>OR( O117,O118  )</f>
        <v>0</v>
      </c>
      <c r="AV115" s="931" t="e">
        <f t="shared" si="25"/>
        <v>#N/A</v>
      </c>
      <c r="AW115" s="932" t="e">
        <f t="shared" si="26"/>
        <v>#N/A</v>
      </c>
      <c r="AX115" s="930" t="e">
        <f t="shared" si="27"/>
        <v>#N/A</v>
      </c>
      <c r="AY115" s="1025"/>
      <c r="AZ115" s="854" t="e">
        <f t="shared" si="28"/>
        <v>#N/A</v>
      </c>
      <c r="CB115">
        <f t="shared" si="33"/>
        <v>0</v>
      </c>
      <c r="CG115" s="293"/>
      <c r="CH115" s="293"/>
      <c r="CI115" s="293"/>
    </row>
    <row r="116" spans="5:87" ht="71.25" hidden="1" customHeight="1" thickTop="1" thickBot="1">
      <c r="F116" t="str">
        <f>$M$115</f>
        <v>أبن العم لأب</v>
      </c>
      <c r="H116" s="160">
        <v>1</v>
      </c>
      <c r="J116" s="310">
        <f t="shared" si="24"/>
        <v>0</v>
      </c>
      <c r="K116" s="160">
        <f t="shared" si="29"/>
        <v>108</v>
      </c>
      <c r="L116" s="310">
        <f>SUM(J8:J116)</f>
        <v>0</v>
      </c>
      <c r="M116" s="248" t="s">
        <v>569</v>
      </c>
      <c r="N116" s="175" t="s">
        <v>548</v>
      </c>
      <c r="O116" s="175" t="b">
        <f>AND( 'أدخال البيانات'!F23&gt;=1,O112=FALSE, 'أدخال البيانات'!F23&gt;=1,AC107=FALSE,'أدخال البيانات'!F21+'أدخال البيانات'!F20+'أدخال البيانات'!F19+'أدخال البيانات'!F18+'أدخال البيانات'!F17+'أدخال البيانات'!F16+'أدخال البيانات'!F15+'أدخال البيانات'!F14+'أدخال البيانات'!F13+'أدخال البيانات'!F12+'أدخال البيانات'!F11+'أدخال البيانات'!F10+'أدخال البيانات'!الأبناء__ذكور=0,Z112=FALSE)</f>
        <v>0</v>
      </c>
      <c r="P116" s="180">
        <f>$P$105</f>
        <v>1</v>
      </c>
      <c r="Q116" s="180">
        <f>IF(O116=TRUE,R116,0)</f>
        <v>0</v>
      </c>
      <c r="R116" s="187">
        <f>'شرح الحالة'!E22</f>
        <v>0</v>
      </c>
      <c r="S116" s="182">
        <f t="shared" si="36"/>
        <v>0</v>
      </c>
      <c r="T116" s="183">
        <v>0</v>
      </c>
      <c r="U116" s="183">
        <f t="shared" si="31"/>
        <v>0</v>
      </c>
      <c r="V116" s="183">
        <f>(Sheet5!F146*((S116+T116)*(R116)))</f>
        <v>0</v>
      </c>
      <c r="W116" s="184" t="e">
        <f>Sheet5!G147*((S116+T116)/(R116))</f>
        <v>#DIV/0!</v>
      </c>
      <c r="X116" s="1235">
        <f>MAX(U116:U118)</f>
        <v>0</v>
      </c>
      <c r="Y116" s="179"/>
      <c r="Z116" s="179"/>
      <c r="AA116" s="204"/>
      <c r="AB116" s="179"/>
      <c r="AC116" s="205" t="s">
        <v>102</v>
      </c>
      <c r="AD116" s="206" t="s">
        <v>15</v>
      </c>
      <c r="AE116" s="179"/>
      <c r="AF116" s="179"/>
      <c r="AG116" s="179"/>
      <c r="AH116" s="179"/>
      <c r="AI116" s="179"/>
      <c r="AJ116" s="179"/>
      <c r="AK116" s="179"/>
      <c r="AL116" s="179"/>
      <c r="AM116" s="179"/>
      <c r="AN116" s="179" t="str">
        <f t="shared" si="37"/>
        <v/>
      </c>
      <c r="AO116" s="168" t="str">
        <f>IF(O116=TRUE,"حقق الشرط","لايورث")</f>
        <v>لايورث</v>
      </c>
      <c r="AV116" s="933" t="e">
        <f t="shared" si="25"/>
        <v>#N/A</v>
      </c>
      <c r="AW116" s="929" t="e">
        <f t="shared" si="26"/>
        <v>#N/A</v>
      </c>
      <c r="AX116" s="930" t="e">
        <f t="shared" si="27"/>
        <v>#N/A</v>
      </c>
      <c r="AY116" s="1025"/>
      <c r="AZ116" s="927" t="e">
        <f t="shared" si="28"/>
        <v>#N/A</v>
      </c>
      <c r="CB116">
        <f t="shared" si="33"/>
        <v>0</v>
      </c>
      <c r="CG116" s="293"/>
      <c r="CH116" s="293"/>
      <c r="CI116" s="293"/>
    </row>
    <row r="117" spans="5:87" ht="71.25" hidden="1" customHeight="1" thickTop="1" thickBot="1">
      <c r="F117" t="str">
        <f>$M$115</f>
        <v>أبن العم لأب</v>
      </c>
      <c r="H117" s="160">
        <v>2</v>
      </c>
      <c r="J117" s="310">
        <f t="shared" si="24"/>
        <v>0</v>
      </c>
      <c r="K117" s="160">
        <f t="shared" si="29"/>
        <v>109</v>
      </c>
      <c r="L117" s="310">
        <f>SUM(J8:J117)</f>
        <v>0</v>
      </c>
      <c r="M117" s="174" t="str">
        <f>M93</f>
        <v xml:space="preserve">أذا أنفرد أو معه مثله جهة وقربا وقوة  </v>
      </c>
      <c r="N117" s="175" t="str">
        <f>N93</f>
        <v xml:space="preserve"> أقتسمو المال على الرؤوس</v>
      </c>
      <c r="O117" s="175" t="b">
        <f>AND(AC105=TRUE,O113=FALSE,'شرح الحالة'!E21&gt;1,AB105=FALSE)</f>
        <v>0</v>
      </c>
      <c r="P117" s="180">
        <f>$P$93</f>
        <v>1</v>
      </c>
      <c r="Q117" s="180">
        <f t="shared" si="30"/>
        <v>0</v>
      </c>
      <c r="R117" s="187">
        <f>'شرح الحالة'!E20</f>
        <v>0</v>
      </c>
      <c r="S117" s="182">
        <f t="shared" si="36"/>
        <v>0</v>
      </c>
      <c r="T117" s="183">
        <v>0</v>
      </c>
      <c r="U117" s="183">
        <f t="shared" si="31"/>
        <v>0</v>
      </c>
      <c r="V117" s="183">
        <f>(Sheet5!F147*((S117+T117)*(R117)))</f>
        <v>0</v>
      </c>
      <c r="W117" s="184" t="e">
        <f>Sheet5!G148*((S117+T117)/(R117))</f>
        <v>#DIV/0!</v>
      </c>
      <c r="X117" s="1235"/>
      <c r="Y117" s="179"/>
      <c r="Z117" s="179"/>
      <c r="AA117" s="204"/>
      <c r="AB117" s="179"/>
      <c r="AC117" s="205" t="s">
        <v>103</v>
      </c>
      <c r="AD117" s="206" t="s">
        <v>16</v>
      </c>
      <c r="AE117" s="179"/>
      <c r="AF117" s="179"/>
      <c r="AG117" s="179"/>
      <c r="AH117" s="179"/>
      <c r="AI117" s="179"/>
      <c r="AJ117" s="179"/>
      <c r="AK117" s="179"/>
      <c r="AL117" s="179"/>
      <c r="AM117" s="179"/>
      <c r="AN117" s="179" t="str">
        <f t="shared" si="37"/>
        <v/>
      </c>
      <c r="AO117" s="168" t="str">
        <f>IF(O117=TRUE,"حقق الشرط","لايورث")</f>
        <v>لايورث</v>
      </c>
      <c r="AV117" s="934" t="e">
        <f t="shared" si="25"/>
        <v>#N/A</v>
      </c>
      <c r="AW117" s="932" t="e">
        <f t="shared" si="26"/>
        <v>#N/A</v>
      </c>
      <c r="AX117" s="930" t="e">
        <f t="shared" si="27"/>
        <v>#N/A</v>
      </c>
      <c r="AY117" s="1025"/>
      <c r="AZ117" s="855" t="e">
        <f t="shared" si="28"/>
        <v>#N/A</v>
      </c>
      <c r="CB117">
        <f t="shared" si="33"/>
        <v>0</v>
      </c>
      <c r="CG117" s="293"/>
      <c r="CH117" s="293"/>
      <c r="CI117" s="293"/>
    </row>
    <row r="118" spans="5:87" ht="71.25" hidden="1" customHeight="1" thickTop="1" thickBot="1">
      <c r="F118" t="str">
        <f>$M$115</f>
        <v>أبن العم لأب</v>
      </c>
      <c r="H118" s="160">
        <v>3</v>
      </c>
      <c r="J118" s="310">
        <f t="shared" si="24"/>
        <v>0</v>
      </c>
      <c r="K118" s="160">
        <f t="shared" si="29"/>
        <v>110</v>
      </c>
      <c r="L118" s="310">
        <f>SUM(J8:J118)</f>
        <v>0</v>
      </c>
      <c r="M118" s="174" t="str">
        <f>M94</f>
        <v xml:space="preserve">أذا  معه أو معهم صاحب فرض  وأذا وجدوا كلهم فالترتيب بينهم من ناحية الحهة والقرب والقوة </v>
      </c>
      <c r="N118" s="175" t="str">
        <f>N114</f>
        <v>أخد أو أخذو ما بقى أن بقى شىء</v>
      </c>
      <c r="O118" s="175" t="b">
        <f>AND('أدخال البيانات'!F21&gt;0,O114=FALSE,'شرح الحالة'!E21&gt;=0,O53=FALSE,O94=FALSE,O98=FALSE,O102=FALSE,O108=FALSE,O114=FALSE,E9=0,AA103=TRUE,O114=FALSE,O110=FALSE,O106=FALSE,O102=FALSE,O98=FALSE,O94=FALSE,'أدخال البيانات'!F20+'أدخال البيانات'!F19+'أدخال البيانات'!F18+'أدخال البيانات'!F17+'أدخال البيانات'!F16+'أدخال البيانات'!F15+'أدخال البيانات'!F14=0,AA92=TRUE,E101=FALSE,'أدخال البيانات'!F13=0)</f>
        <v>0</v>
      </c>
      <c r="P118" s="180">
        <f>$P$93</f>
        <v>1</v>
      </c>
      <c r="Q118" s="180">
        <f t="shared" si="30"/>
        <v>0</v>
      </c>
      <c r="R118" s="187">
        <f>R117</f>
        <v>0</v>
      </c>
      <c r="S118" s="182">
        <f t="shared" si="36"/>
        <v>0</v>
      </c>
      <c r="T118" s="183">
        <v>0</v>
      </c>
      <c r="U118" s="183">
        <f t="shared" si="31"/>
        <v>0</v>
      </c>
      <c r="V118" s="183">
        <f>(Sheet5!F148*((S118+T118)*(R118)))</f>
        <v>0</v>
      </c>
      <c r="W118" s="184" t="e">
        <f>Sheet5!G149*((S118+T118)/(R118))</f>
        <v>#DIV/0!</v>
      </c>
      <c r="X118" s="1235"/>
      <c r="Y118" s="179"/>
      <c r="Z118" s="179"/>
      <c r="AA118" s="179"/>
      <c r="AB118" s="179"/>
      <c r="AC118" s="179"/>
      <c r="AD118" s="179"/>
      <c r="AE118" s="179"/>
      <c r="AF118" s="179"/>
      <c r="AG118" s="179"/>
      <c r="AH118" s="179"/>
      <c r="AI118" s="179"/>
      <c r="AJ118" s="179"/>
      <c r="AK118" s="179"/>
      <c r="AL118" s="179"/>
      <c r="AM118" s="179"/>
      <c r="AN118" s="179" t="str">
        <f t="shared" si="37"/>
        <v/>
      </c>
      <c r="AO118" s="168" t="str">
        <f t="shared" si="32"/>
        <v>لايورث</v>
      </c>
      <c r="AV118" s="934" t="e">
        <f t="shared" si="25"/>
        <v>#N/A</v>
      </c>
      <c r="AW118" s="929" t="e">
        <f t="shared" si="26"/>
        <v>#N/A</v>
      </c>
      <c r="AX118" s="930" t="e">
        <f t="shared" si="27"/>
        <v>#N/A</v>
      </c>
      <c r="AY118" s="1025"/>
      <c r="AZ118" s="855" t="e">
        <f t="shared" si="28"/>
        <v>#N/A</v>
      </c>
      <c r="CB118">
        <f t="shared" si="33"/>
        <v>0</v>
      </c>
      <c r="CG118" s="293"/>
      <c r="CH118" s="293"/>
      <c r="CI118" s="293"/>
    </row>
    <row r="119" spans="5:87" ht="71.25" hidden="1" customHeight="1" thickTop="1" thickBot="1">
      <c r="E119">
        <f>'أدخال البيانات'!F14+'أدخال البيانات'!F15+'أدخال البيانات'!F16+'أدخال البيانات'!F17+'أدخال البيانات'!F18+'أدخال البيانات'!F19+'أدخال البيانات'!F20+'أدخال البيانات'!F21</f>
        <v>0</v>
      </c>
      <c r="H119" s="162"/>
      <c r="J119" s="310">
        <f t="shared" si="24"/>
        <v>0</v>
      </c>
      <c r="K119" s="160">
        <f t="shared" si="29"/>
        <v>111</v>
      </c>
      <c r="L119" s="310">
        <f>SUM(J8:J119)</f>
        <v>0</v>
      </c>
      <c r="M119" s="198"/>
      <c r="N119" s="167"/>
      <c r="O119" s="167"/>
      <c r="P119" s="180"/>
      <c r="Q119" s="180"/>
      <c r="R119" s="187"/>
      <c r="S119" s="182"/>
      <c r="T119" s="183"/>
      <c r="U119" s="183">
        <f t="shared" si="31"/>
        <v>0</v>
      </c>
      <c r="V119" s="183">
        <f>(Sheet5!F149*((S119+T119)*(R119)))</f>
        <v>0</v>
      </c>
      <c r="W119" s="184" t="e">
        <f>Sheet5!G150*((S119+T119)/(R119))</f>
        <v>#DIV/0!</v>
      </c>
      <c r="X119" s="188"/>
      <c r="Y119" s="179"/>
      <c r="Z119" s="179"/>
      <c r="AA119" s="179"/>
      <c r="AB119" s="179"/>
      <c r="AC119" s="179"/>
      <c r="AD119" s="179"/>
      <c r="AE119" s="179"/>
      <c r="AF119" s="179"/>
      <c r="AG119" s="179"/>
      <c r="AH119" s="179"/>
      <c r="AI119" s="179"/>
      <c r="AJ119" s="179"/>
      <c r="AK119" s="179"/>
      <c r="AL119" s="179"/>
      <c r="AM119" s="179"/>
      <c r="AN119" s="179"/>
      <c r="AO119" s="168" t="str">
        <f t="shared" si="32"/>
        <v>لايورث</v>
      </c>
      <c r="AV119" s="935" t="e">
        <f t="shared" si="25"/>
        <v>#N/A</v>
      </c>
      <c r="AW119" s="932" t="e">
        <f t="shared" si="26"/>
        <v>#N/A</v>
      </c>
      <c r="AX119" s="930" t="e">
        <f t="shared" si="27"/>
        <v>#N/A</v>
      </c>
      <c r="AY119" s="1025"/>
      <c r="AZ119" s="857" t="e">
        <f t="shared" si="28"/>
        <v>#N/A</v>
      </c>
      <c r="CB119">
        <f t="shared" si="33"/>
        <v>0</v>
      </c>
      <c r="CG119" s="293"/>
      <c r="CH119" s="293"/>
      <c r="CI119" s="293"/>
    </row>
    <row r="120" spans="5:87" ht="71.25" hidden="1" customHeight="1" thickTop="1" thickBot="1">
      <c r="G120" t="s">
        <v>551</v>
      </c>
      <c r="H120" s="162"/>
      <c r="J120" s="310">
        <f t="shared" si="24"/>
        <v>0</v>
      </c>
      <c r="K120" s="160">
        <f t="shared" si="29"/>
        <v>112</v>
      </c>
      <c r="L120" s="310">
        <f>SUM(J8:J120)</f>
        <v>0</v>
      </c>
      <c r="M120" s="200" t="s">
        <v>106</v>
      </c>
      <c r="N120" s="167"/>
      <c r="O120" s="167"/>
      <c r="P120" s="180"/>
      <c r="Q120" s="180"/>
      <c r="R120" s="187"/>
      <c r="S120" s="182"/>
      <c r="T120" s="183"/>
      <c r="U120" s="183">
        <f t="shared" si="31"/>
        <v>0</v>
      </c>
      <c r="V120" s="183">
        <f>(Sheet5!F150*((S120+T120)*(R120)))</f>
        <v>0</v>
      </c>
      <c r="W120" s="184" t="e">
        <f>Sheet5!G151*((S120+T120)/(R120))</f>
        <v>#DIV/0!</v>
      </c>
      <c r="X120" s="188"/>
      <c r="Y120" s="179"/>
      <c r="Z120" s="179"/>
      <c r="AA120" s="179"/>
      <c r="AB120" s="179"/>
      <c r="AC120" s="179"/>
      <c r="AD120" s="179"/>
      <c r="AE120" s="179"/>
      <c r="AF120" s="179"/>
      <c r="AG120" s="179"/>
      <c r="AH120" s="179"/>
      <c r="AI120" s="179"/>
      <c r="AJ120" s="179"/>
      <c r="AK120" s="179"/>
      <c r="AL120" s="179"/>
      <c r="AM120" s="179"/>
      <c r="AN120" s="179" t="str">
        <f t="shared" ref="AN120:AN131" si="43">IF(AO120="حقق الشرط",AP120,"")</f>
        <v/>
      </c>
      <c r="AO120" s="168" t="str">
        <f>IF(AP120=TRUE,"حقق الشرط","")</f>
        <v/>
      </c>
      <c r="AP120" t="b">
        <f>OR(O121,O122,O123,O124,O125,O126,O127,O128,O129 )</f>
        <v>0</v>
      </c>
      <c r="AV120" s="935" t="e">
        <f t="shared" si="25"/>
        <v>#N/A</v>
      </c>
      <c r="AW120" s="929" t="e">
        <f t="shared" si="26"/>
        <v>#N/A</v>
      </c>
      <c r="AX120" s="930" t="e">
        <f t="shared" si="27"/>
        <v>#N/A</v>
      </c>
      <c r="AY120" s="1025"/>
      <c r="AZ120" s="857" t="e">
        <f t="shared" si="28"/>
        <v>#N/A</v>
      </c>
      <c r="CB120">
        <f t="shared" si="33"/>
        <v>0</v>
      </c>
      <c r="CE120" t="b">
        <f>AND(CF120&gt;0)</f>
        <v>0</v>
      </c>
      <c r="CF120" s="1">
        <f>ABS(SUM(CB122+CB129+CB124+CB128+CC123))</f>
        <v>0</v>
      </c>
      <c r="CG120" s="293"/>
      <c r="CH120" s="293"/>
      <c r="CI120" s="293"/>
    </row>
    <row r="121" spans="5:87" ht="71.25" hidden="1" customHeight="1" thickTop="1" thickBot="1">
      <c r="H121" s="160">
        <v>1</v>
      </c>
      <c r="J121" s="310">
        <f t="shared" si="24"/>
        <v>0</v>
      </c>
      <c r="K121" s="160">
        <f t="shared" si="29"/>
        <v>113</v>
      </c>
      <c r="L121" s="310">
        <f>SUM(J8:J121)</f>
        <v>0</v>
      </c>
      <c r="M121" s="174" t="s">
        <v>32</v>
      </c>
      <c r="N121" s="175" t="s">
        <v>51</v>
      </c>
      <c r="O121" s="175" t="b">
        <f>AND('شرح الحالة'!E11=1,'أدخال البيانات'!F9+'أدخال البيانات'!F10+'أدخال البيانات'!F12+'أدخال البيانات'!F14+'أدخال البيانات'!F15+'أدخال البيانات'!M9+'أدخال البيانات'!M10+'أدخال البيانات'!M16+'أدخال البيانات'!M17+'أدخال البيانات'!F11=0,'أدخال البيانات'!M12+'أدخال البيانات'!M13+'أدخال البيانات'!F15+'أدخال البيانات'!F14+'أدخال البيانات'!M11+'أدخال البيانات'!M10+'أدخال البيانات'!M9+'أدخال البيانات'!F22+'أدخال البيانات'!M18+'أدخال البيانات'!F11+'أدخال البيانات'!M17+'أدخال البيانات'!M16=0)</f>
        <v>0</v>
      </c>
      <c r="P121" s="180">
        <v>1</v>
      </c>
      <c r="Q121" s="180">
        <f t="shared" si="30"/>
        <v>0</v>
      </c>
      <c r="R121" s="187">
        <f>'شرح الحالة'!E11</f>
        <v>0</v>
      </c>
      <c r="S121" s="182">
        <f t="shared" si="36"/>
        <v>0</v>
      </c>
      <c r="T121" s="183">
        <v>0</v>
      </c>
      <c r="U121" s="183">
        <f t="shared" si="31"/>
        <v>0</v>
      </c>
      <c r="V121" s="183">
        <f>(Sheet5!F151*((S121+T121)*(R121)))</f>
        <v>0</v>
      </c>
      <c r="W121" s="184" t="e">
        <f>Sheet5!G152*((S121+T121)/(R121))</f>
        <v>#DIV/0!</v>
      </c>
      <c r="X121" s="207">
        <f>MAX(U122,U125,U128)</f>
        <v>0</v>
      </c>
      <c r="Y121" s="170">
        <f>MAX(Z121:Z122)</f>
        <v>0</v>
      </c>
      <c r="Z121" s="185">
        <f>U129</f>
        <v>0</v>
      </c>
      <c r="AA121" s="179" t="s">
        <v>114</v>
      </c>
      <c r="AB121" s="179"/>
      <c r="AC121" s="179"/>
      <c r="AD121" s="179"/>
      <c r="AE121" s="179"/>
      <c r="AF121" s="179"/>
      <c r="AG121" s="179"/>
      <c r="AH121" s="179"/>
      <c r="AI121" s="179"/>
      <c r="AJ121" s="179"/>
      <c r="AK121" s="179"/>
      <c r="AL121" s="179"/>
      <c r="AM121" s="179"/>
      <c r="AN121" s="179" t="str">
        <f t="shared" si="43"/>
        <v/>
      </c>
      <c r="AO121" s="168" t="str">
        <f t="shared" si="32"/>
        <v>لايورث</v>
      </c>
      <c r="AP121" t="b">
        <f t="shared" ref="AP121:AP131" si="44">$AP$120</f>
        <v>0</v>
      </c>
      <c r="AV121" s="936" t="e">
        <f t="shared" si="25"/>
        <v>#N/A</v>
      </c>
      <c r="AW121" s="932" t="e">
        <f t="shared" si="26"/>
        <v>#N/A</v>
      </c>
      <c r="AX121" s="930" t="e">
        <f t="shared" si="27"/>
        <v>#N/A</v>
      </c>
      <c r="AY121" s="1025"/>
      <c r="AZ121" s="858" t="e">
        <f t="shared" si="28"/>
        <v>#N/A</v>
      </c>
      <c r="CB121">
        <f t="shared" si="33"/>
        <v>0</v>
      </c>
      <c r="CG121" s="293"/>
      <c r="CH121" s="293"/>
      <c r="CI121" s="293"/>
    </row>
    <row r="122" spans="5:87" ht="71.25" hidden="1" customHeight="1" thickTop="1" thickBot="1">
      <c r="H122" s="160">
        <v>2</v>
      </c>
      <c r="J122" s="310">
        <f t="shared" si="24"/>
        <v>0</v>
      </c>
      <c r="K122" s="160">
        <f t="shared" si="29"/>
        <v>114</v>
      </c>
      <c r="L122" s="310">
        <f>SUM(J8:J122)</f>
        <v>0</v>
      </c>
      <c r="M122" s="174" t="s">
        <v>107</v>
      </c>
      <c r="N122" s="175" t="s">
        <v>5</v>
      </c>
      <c r="O122" s="175" t="b">
        <f>AND('شرح الحالة'!E11=1,'شرح الحالة'!E8+'أدخال البيانات'!F10+'أدخال البيانات'!F11&gt;0,'شرح الحالة'!E10=0,'أدخال البيانات'!F9+'أدخال البيانات'!F10+'أدخال البيانات'!F11&gt;0)</f>
        <v>0</v>
      </c>
      <c r="P122" s="199">
        <v>0.16666666666666699</v>
      </c>
      <c r="Q122" s="180">
        <f>IF(O122=TRUE,R122,0)</f>
        <v>0</v>
      </c>
      <c r="R122" s="196">
        <f>'شرح الحالة'!E11</f>
        <v>0</v>
      </c>
      <c r="S122" s="182">
        <v>0</v>
      </c>
      <c r="T122" s="183">
        <f>IF(O122=TRUE,P122,0)</f>
        <v>0</v>
      </c>
      <c r="U122" s="183">
        <f t="shared" si="31"/>
        <v>0</v>
      </c>
      <c r="V122" s="183">
        <f>(Sheet5!F152*((S122+T122)*(R122)))</f>
        <v>0</v>
      </c>
      <c r="W122" s="184" t="e">
        <f>Sheet5!G153*((S122+T122)/(R122))</f>
        <v>#DIV/0!</v>
      </c>
      <c r="X122" s="207">
        <f>MAX(U126,U127,U121)</f>
        <v>0</v>
      </c>
      <c r="Y122" s="185">
        <v>0</v>
      </c>
      <c r="Z122" s="185">
        <f>MAX(X123,X122)+Y124</f>
        <v>0</v>
      </c>
      <c r="AA122" s="179"/>
      <c r="AB122" s="179"/>
      <c r="AC122" s="179"/>
      <c r="AD122" s="179"/>
      <c r="AE122" s="179"/>
      <c r="AF122" s="179"/>
      <c r="AG122" s="179"/>
      <c r="AH122" s="179"/>
      <c r="AI122" s="179"/>
      <c r="AJ122" s="179"/>
      <c r="AK122" s="179"/>
      <c r="AL122" s="179"/>
      <c r="AM122" s="179"/>
      <c r="AN122" s="179" t="str">
        <f t="shared" si="43"/>
        <v/>
      </c>
      <c r="AO122" s="168" t="str">
        <f t="shared" si="32"/>
        <v>لايورث</v>
      </c>
      <c r="AP122" t="b">
        <f t="shared" si="44"/>
        <v>0</v>
      </c>
      <c r="AV122" s="936" t="e">
        <f t="shared" si="25"/>
        <v>#N/A</v>
      </c>
      <c r="AW122" s="929" t="e">
        <f t="shared" si="26"/>
        <v>#N/A</v>
      </c>
      <c r="AX122" s="930" t="e">
        <f t="shared" si="27"/>
        <v>#N/A</v>
      </c>
      <c r="AY122" s="1025"/>
      <c r="AZ122" s="858" t="e">
        <f t="shared" si="28"/>
        <v>#N/A</v>
      </c>
      <c r="CB122">
        <f t="shared" si="33"/>
        <v>0</v>
      </c>
      <c r="CG122" s="293"/>
      <c r="CH122" s="293"/>
      <c r="CI122" s="293"/>
    </row>
    <row r="123" spans="5:87" ht="71.25" hidden="1" customHeight="1" thickTop="1" thickBot="1">
      <c r="F123" s="3" t="s">
        <v>133</v>
      </c>
      <c r="G123" s="301"/>
      <c r="H123" s="237">
        <v>3</v>
      </c>
      <c r="J123" s="310">
        <f t="shared" si="24"/>
        <v>0</v>
      </c>
      <c r="K123" s="160">
        <f t="shared" si="29"/>
        <v>115</v>
      </c>
      <c r="L123" s="310">
        <f>SUM(J8:J123)</f>
        <v>0</v>
      </c>
      <c r="M123" s="174" t="s">
        <v>803</v>
      </c>
      <c r="N123" s="175" t="s">
        <v>557</v>
      </c>
      <c r="O123" s="175" t="b">
        <f>AND('شرح الحالة'!E11=1,'شرح الحالة'!E10=0,'شرح الحالة'!E23+E24&gt;0,'شرح الحالة'!E24&gt;=0,'شرح الحالة'!E26&gt;=0,'شرح الحالة'!E27&gt;=0,E24+E23&gt;0,E8=0,E9+E32=0,'أدخال البيانات'!M12+'أدخال البيانات'!M13+'أدخال البيانات'!F14+'أدخال البيانات'!F15=0)</f>
        <v>0</v>
      </c>
      <c r="P123" s="199">
        <f>P8</f>
        <v>1</v>
      </c>
      <c r="Q123" s="180">
        <f t="shared" si="30"/>
        <v>0</v>
      </c>
      <c r="R123" s="196">
        <f>'شرح الحالة'!E11</f>
        <v>0</v>
      </c>
      <c r="S123" s="182">
        <f t="shared" si="36"/>
        <v>0</v>
      </c>
      <c r="T123" s="183">
        <v>0</v>
      </c>
      <c r="U123" s="183">
        <f t="shared" si="31"/>
        <v>0</v>
      </c>
      <c r="V123" s="183">
        <f>(Sheet5!F153*((S123+T123)*(R123)))</f>
        <v>0</v>
      </c>
      <c r="W123" s="184" t="e">
        <f>Sheet5!G154*((S123+T123)/(R123))</f>
        <v>#DIV/0!</v>
      </c>
      <c r="X123" s="207">
        <f>MAX(X121,X124)</f>
        <v>0</v>
      </c>
      <c r="Y123" s="179"/>
      <c r="Z123" s="179"/>
      <c r="AA123" s="179"/>
      <c r="AB123" s="179"/>
      <c r="AC123" s="179"/>
      <c r="AD123" s="179"/>
      <c r="AE123" s="179"/>
      <c r="AF123" s="179"/>
      <c r="AG123" s="179"/>
      <c r="AH123" s="179"/>
      <c r="AI123" s="179"/>
      <c r="AJ123" s="179"/>
      <c r="AK123" s="179"/>
      <c r="AL123" s="179"/>
      <c r="AM123" s="179"/>
      <c r="AN123" s="179" t="str">
        <f t="shared" si="43"/>
        <v/>
      </c>
      <c r="AO123" s="168" t="str">
        <f t="shared" si="32"/>
        <v>لايورث</v>
      </c>
      <c r="AP123" t="b">
        <f t="shared" si="44"/>
        <v>0</v>
      </c>
      <c r="AV123" s="936" t="e">
        <f t="shared" si="25"/>
        <v>#N/A</v>
      </c>
      <c r="AW123" s="932" t="e">
        <f t="shared" si="26"/>
        <v>#N/A</v>
      </c>
      <c r="AX123" s="930" t="e">
        <f t="shared" si="27"/>
        <v>#N/A</v>
      </c>
      <c r="AY123" s="1025"/>
      <c r="AZ123" s="858" t="e">
        <f t="shared" si="28"/>
        <v>#N/A</v>
      </c>
      <c r="CB123">
        <f t="shared" si="33"/>
        <v>0</v>
      </c>
      <c r="CC123">
        <f>IF(CB123&gt;0,CB123,0)</f>
        <v>0</v>
      </c>
      <c r="CG123" s="293"/>
      <c r="CH123" s="293"/>
      <c r="CI123" s="293"/>
    </row>
    <row r="124" spans="5:87" ht="71.25" hidden="1" customHeight="1" thickTop="1" thickBot="1">
      <c r="F124" s="3" t="s">
        <v>132</v>
      </c>
      <c r="G124" s="301"/>
      <c r="H124" s="237">
        <v>3</v>
      </c>
      <c r="J124" s="310">
        <f t="shared" si="24"/>
        <v>0</v>
      </c>
      <c r="K124" s="160">
        <f t="shared" si="29"/>
        <v>116</v>
      </c>
      <c r="L124" s="310">
        <f>SUM(J8:J124)</f>
        <v>0</v>
      </c>
      <c r="M124" s="174" t="s">
        <v>108</v>
      </c>
      <c r="N124" s="175" t="s">
        <v>551</v>
      </c>
      <c r="O124" s="175" t="b">
        <f>AND('شرح الحالة'!E11=1,'شرح الحالة'!E10=0,'شرح الحالة'!E23&gt;=0,'شرح الحالة'!E24&gt;=0,'شرح الحالة'!E26&gt;=0,'شرح الحالة'!E27&gt;=0,E24+E23&gt;0,E10=0,E8+E9+E32=0,1=1,O123=TRUE)</f>
        <v>0</v>
      </c>
      <c r="P124" s="199">
        <v>0.16666666666666666</v>
      </c>
      <c r="Q124" s="180">
        <f t="shared" si="30"/>
        <v>0</v>
      </c>
      <c r="R124" s="196">
        <f>'شرح الحالة'!E11</f>
        <v>0</v>
      </c>
      <c r="S124" s="182">
        <v>0</v>
      </c>
      <c r="T124" s="183">
        <f>IF(O124=TRUE,P124,0)</f>
        <v>0</v>
      </c>
      <c r="U124" s="183">
        <f t="shared" si="31"/>
        <v>0</v>
      </c>
      <c r="V124" s="183">
        <f>(Sheet5!F154*((S124+T124)*(R124)))</f>
        <v>0</v>
      </c>
      <c r="W124" s="184" t="e">
        <f>Sheet5!G155*((S124+T124)/(R124))</f>
        <v>#DIV/0!</v>
      </c>
      <c r="X124" s="207">
        <f>MAX(U124)</f>
        <v>0</v>
      </c>
      <c r="Y124" s="179">
        <f>IF(U123&gt;0,U123,0)</f>
        <v>0</v>
      </c>
      <c r="Z124" s="179"/>
      <c r="AA124" s="179"/>
      <c r="AB124" s="179" t="b">
        <f>Sheet5!M11+'أدخال البيانات'!P14 =2</f>
        <v>0</v>
      </c>
      <c r="AC124" s="179"/>
      <c r="AD124" s="179"/>
      <c r="AE124" s="179"/>
      <c r="AF124" s="179"/>
      <c r="AG124" s="179"/>
      <c r="AH124" s="179"/>
      <c r="AI124" s="179"/>
      <c r="AJ124" s="179"/>
      <c r="AK124" s="179"/>
      <c r="AL124" s="179"/>
      <c r="AM124" s="179"/>
      <c r="AN124" s="179" t="str">
        <f t="shared" si="43"/>
        <v/>
      </c>
      <c r="AO124" s="168" t="str">
        <f t="shared" si="32"/>
        <v>لايورث</v>
      </c>
      <c r="AP124" t="b">
        <f t="shared" si="44"/>
        <v>0</v>
      </c>
      <c r="AV124" s="936" t="e">
        <f t="shared" si="25"/>
        <v>#N/A</v>
      </c>
      <c r="AW124" s="929" t="e">
        <f t="shared" si="26"/>
        <v>#N/A</v>
      </c>
      <c r="AX124" s="930" t="e">
        <f t="shared" si="27"/>
        <v>#N/A</v>
      </c>
      <c r="AY124" s="1025"/>
      <c r="AZ124" s="858" t="e">
        <f t="shared" si="28"/>
        <v>#N/A</v>
      </c>
      <c r="CB124">
        <f t="shared" si="33"/>
        <v>0</v>
      </c>
      <c r="CG124" s="293"/>
      <c r="CH124" s="293"/>
      <c r="CI124" s="293"/>
    </row>
    <row r="125" spans="5:87" ht="71.25" hidden="1" customHeight="1" thickTop="1" thickBot="1">
      <c r="E125" t="b">
        <f>OR(O123=FALSE,O121=FALSE,O126=FALSE,O127=FALSE)</f>
        <v>1</v>
      </c>
      <c r="H125" s="160">
        <v>4</v>
      </c>
      <c r="J125" s="310">
        <f t="shared" si="24"/>
        <v>0</v>
      </c>
      <c r="K125" s="160">
        <f t="shared" si="29"/>
        <v>117</v>
      </c>
      <c r="L125" s="310">
        <f>SUM(J8:J125)</f>
        <v>0</v>
      </c>
      <c r="M125" s="174" t="s">
        <v>564</v>
      </c>
      <c r="N125" s="175" t="s">
        <v>565</v>
      </c>
      <c r="O125" s="175" t="b">
        <f>AND('شرح الحالة'!E11=1, 'أدخال البيانات'!F9+'أدخال البيانات'!F10+'أدخال البيانات'!F12+'أدخال البيانات'!M9+'أدخال البيانات'!M10+'أدخال البيانات'!F11+'أدخال البيانات'!F15+'أدخال البيانات'!F14+'أدخال البيانات'!M12+'أدخال البيانات'!M13=0, E126=TRUE)</f>
        <v>0</v>
      </c>
      <c r="P125" s="199">
        <f>P8</f>
        <v>1</v>
      </c>
      <c r="Q125" s="180">
        <f t="shared" si="30"/>
        <v>0</v>
      </c>
      <c r="R125" s="196">
        <f>'شرح الحالة'!E11</f>
        <v>0</v>
      </c>
      <c r="S125" s="182">
        <f>IF(O125=TRUE,P125,0)</f>
        <v>0</v>
      </c>
      <c r="T125" s="183">
        <v>0</v>
      </c>
      <c r="U125" s="183">
        <f t="shared" si="31"/>
        <v>0</v>
      </c>
      <c r="V125" s="183">
        <f>(Sheet5!F155*((S125+T125)))</f>
        <v>0</v>
      </c>
      <c r="W125" s="184" t="e">
        <f>Sheet5!G156*((S125+T125)/(R125))</f>
        <v>#DIV/0!</v>
      </c>
      <c r="X125" s="188" t="s">
        <v>106</v>
      </c>
      <c r="Y125" s="208">
        <f>U16+U17+U21+U22+U34+U35+U36+U43+U44+U47+U48+U85+U86+U88+U89</f>
        <v>0</v>
      </c>
      <c r="Z125" s="185">
        <f>1*Sheet5!F41-Y125</f>
        <v>1</v>
      </c>
      <c r="AA125" s="179"/>
      <c r="AB125" s="179"/>
      <c r="AC125" s="179"/>
      <c r="AD125" s="179"/>
      <c r="AE125" s="179"/>
      <c r="AF125" s="179"/>
      <c r="AG125" s="179"/>
      <c r="AH125" s="179"/>
      <c r="AI125" s="179"/>
      <c r="AJ125" s="179"/>
      <c r="AK125" s="179"/>
      <c r="AL125" s="179"/>
      <c r="AM125" s="179"/>
      <c r="AN125" s="179" t="str">
        <f t="shared" si="43"/>
        <v/>
      </c>
      <c r="AO125" s="168" t="str">
        <f t="shared" si="32"/>
        <v>لايورث</v>
      </c>
      <c r="AP125" t="b">
        <f t="shared" si="44"/>
        <v>0</v>
      </c>
      <c r="AV125" s="936" t="e">
        <f t="shared" si="25"/>
        <v>#N/A</v>
      </c>
      <c r="AW125" s="932" t="e">
        <f t="shared" si="26"/>
        <v>#N/A</v>
      </c>
      <c r="AX125" s="930" t="e">
        <f t="shared" si="27"/>
        <v>#N/A</v>
      </c>
      <c r="AY125" s="1025"/>
      <c r="AZ125" s="858" t="e">
        <f t="shared" si="28"/>
        <v>#N/A</v>
      </c>
      <c r="CB125">
        <f t="shared" si="33"/>
        <v>0</v>
      </c>
      <c r="CG125" s="293"/>
      <c r="CH125" s="293"/>
      <c r="CI125" s="293"/>
    </row>
    <row r="126" spans="5:87" ht="71.25" hidden="1" customHeight="1" thickTop="1" thickBot="1">
      <c r="E126" t="b">
        <f>AND('أدخال البيانات'!M11+'أدخال البيانات'!M18+'أدخال البيانات'!F22+'أدخال البيانات'!M16+'أدخال البيانات'!M17&gt;0,'أدخال البيانات'!M18+'أدخال البيانات'!F22+'أدخال البيانات'!M16+'أدخال البيانات'!M17+'أدخال البيانات'!M11&gt;0,'أدخال البيانات'!F13&gt;0,'أدخال البيانات'!F12=0,'أدخال البيانات'!M12+'أدخال البيانات'!M13+'أدخال البيانات'!F15+'أدخال البيانات'!F14=0)</f>
        <v>0</v>
      </c>
      <c r="H126" s="160">
        <v>5</v>
      </c>
      <c r="J126" s="310">
        <f t="shared" si="24"/>
        <v>0</v>
      </c>
      <c r="K126" s="160">
        <f t="shared" si="29"/>
        <v>118</v>
      </c>
      <c r="L126" s="310">
        <f>SUM(J8:J126)</f>
        <v>0</v>
      </c>
      <c r="M126" s="174" t="s">
        <v>109</v>
      </c>
      <c r="N126" s="175" t="s">
        <v>110</v>
      </c>
      <c r="O126" s="175" t="b">
        <f>AND('شرح الحالة'!E11=1,E8+'شرح الحالة'!E9+'شرح الحالة'!E10+'شرح الحالة'!E32=0,E11=1,AA103=TRUE,'أدخال البيانات'!F14+'أدخال البيانات'!F15+'أدخال البيانات'!M12+'أدخال البيانات'!M13&gt;0,O128=FALSE,O127=FALSE,O124=FALSE,'أدخال البيانات'!M11+'أدخال البيانات'!F22+'أدخال البيانات'!M18=0,'أدخال البيانات'!AS11=0,'أدخال البيانات'!AS9=0,Sheet5!M11=0,'أدخال البيانات'!M16+'أدخال البيانات'!M17=0)</f>
        <v>0</v>
      </c>
      <c r="P126" s="180">
        <f>P8-IF(X128=TRUE,1/20,0)-IF(Y127=TRUE,'أدخال البيانات'!V17-1,0)</f>
        <v>1</v>
      </c>
      <c r="Q126" s="180">
        <f t="shared" si="30"/>
        <v>0</v>
      </c>
      <c r="R126" s="187">
        <f>'شرح الحالة'!E11</f>
        <v>0</v>
      </c>
      <c r="S126" s="182">
        <f>IF(O126=TRUE,P126,0)</f>
        <v>0</v>
      </c>
      <c r="T126" s="183">
        <v>0</v>
      </c>
      <c r="U126" s="183">
        <f t="shared" si="31"/>
        <v>0</v>
      </c>
      <c r="V126" s="183">
        <f>(Sheet5!F156*((S126+T126)*(R126)))</f>
        <v>0</v>
      </c>
      <c r="W126" s="184" t="e">
        <f>Sheet5!G157*((S126+T126)/(R126))</f>
        <v>#DIV/0!</v>
      </c>
      <c r="X126" s="209" t="b">
        <f>AND('أدخال البيانات'!M11=1,'أدخال البيانات'!M12&gt;0,'أدخال البيانات'!M13&gt;0,'أدخال البيانات'!F13&gt;0,'أدخال البيانات'!F22+'أدخال البيانات'!M18=0,'أدخال البيانات'!F12+'أدخال البيانات'!F10+'أدخال البيانات'!F9+'أدخال البيانات'!M10+'أدخال البيانات'!M9+'أدخال البيانات'!F11=0,'أدخال البيانات'!F14=0)</f>
        <v>0</v>
      </c>
      <c r="Y126" s="185">
        <f>Sheet5!K18+IF(O129=TRUE,1/6,0)</f>
        <v>1</v>
      </c>
      <c r="Z126" s="185">
        <f>Y126*1/3</f>
        <v>0.33333333333333331</v>
      </c>
      <c r="AA126" s="185" t="s">
        <v>114</v>
      </c>
      <c r="AB126" s="185" t="b">
        <f>OR('أدخال البيانات'!AS9=1,Sheet5!M11=1)</f>
        <v>1</v>
      </c>
      <c r="AC126" s="179">
        <v>1</v>
      </c>
      <c r="AD126" s="179"/>
      <c r="AE126" s="179"/>
      <c r="AH126">
        <v>1</v>
      </c>
      <c r="AI126" s="179"/>
      <c r="AJ126" s="179"/>
      <c r="AK126" s="179"/>
      <c r="AL126" s="179"/>
      <c r="AM126" s="179"/>
      <c r="AN126" s="179" t="str">
        <f t="shared" si="43"/>
        <v/>
      </c>
      <c r="AO126" s="168" t="str">
        <f t="shared" si="32"/>
        <v>لايورث</v>
      </c>
      <c r="AP126" t="b">
        <f t="shared" si="44"/>
        <v>0</v>
      </c>
      <c r="AQ126">
        <f>IF(O127=TRUE,P127,0)</f>
        <v>0</v>
      </c>
      <c r="AV126" s="936" t="e">
        <f t="shared" si="25"/>
        <v>#N/A</v>
      </c>
      <c r="AW126" s="929" t="e">
        <f t="shared" si="26"/>
        <v>#N/A</v>
      </c>
      <c r="AX126" s="930" t="e">
        <f t="shared" si="27"/>
        <v>#N/A</v>
      </c>
      <c r="AY126" s="1025"/>
      <c r="AZ126" s="858" t="e">
        <f t="shared" si="28"/>
        <v>#N/A</v>
      </c>
      <c r="CB126">
        <f t="shared" si="33"/>
        <v>0</v>
      </c>
      <c r="CG126" s="293"/>
      <c r="CH126" s="293"/>
      <c r="CI126" s="293"/>
    </row>
    <row r="127" spans="5:87" ht="71.25" hidden="1" customHeight="1" thickTop="1" thickBot="1">
      <c r="H127" s="160">
        <v>6</v>
      </c>
      <c r="J127" s="310">
        <f t="shared" si="24"/>
        <v>0</v>
      </c>
      <c r="K127" s="160">
        <f t="shared" si="29"/>
        <v>119</v>
      </c>
      <c r="L127" s="310">
        <f>SUM(J8:J127)</f>
        <v>0</v>
      </c>
      <c r="M127" s="174" t="s">
        <v>544</v>
      </c>
      <c r="N127" s="175" t="s">
        <v>111</v>
      </c>
      <c r="O127" s="175" t="b">
        <f>IF(AQ55=TRUE,TRUE,AQ127)</f>
        <v>0</v>
      </c>
      <c r="P127" s="180">
        <f>IF(AQ55=TRUE,8/27,P8)</f>
        <v>1</v>
      </c>
      <c r="Q127" s="180">
        <f t="shared" si="30"/>
        <v>0</v>
      </c>
      <c r="R127" s="187">
        <f>'شرح الحالة'!E11</f>
        <v>0</v>
      </c>
      <c r="S127" s="182">
        <f>IF(AQ55=TRUE,8/27,AQ126)</f>
        <v>0</v>
      </c>
      <c r="T127" s="183">
        <v>0</v>
      </c>
      <c r="U127" s="183">
        <f t="shared" si="31"/>
        <v>0</v>
      </c>
      <c r="V127" s="183">
        <f>(Sheet5!F157*((S127+T127)*(R127)))</f>
        <v>0</v>
      </c>
      <c r="W127" s="184" t="e">
        <f>Sheet5!G158*((S127+T127)/(R127))</f>
        <v>#DIV/0!</v>
      </c>
      <c r="X127" s="209" t="b">
        <f>AND('أدخال البيانات'!M11=0,'أدخال البيانات'!M12&gt;0,'أدخال البيانات'!M13&gt;0,'أدخال البيانات'!F13&gt;0,'أدخال البيانات'!F22+'أدخال البيانات'!M11=0,'أدخال البيانات'!F12+'أدخال البيانات'!F10+'أدخال البيانات'!F9+'أدخال البيانات'!M10+'أدخال البيانات'!M9+'أدخال البيانات'!F11=0,'أدخال البيانات'!F14=0,'أدخال البيانات'!M18&gt;0)</f>
        <v>0</v>
      </c>
      <c r="Y127" s="179" t="b">
        <f>AND('أدخال البيانات'!M11=1,'أدخال البيانات'!M18=1,Y129=TRUE)</f>
        <v>0</v>
      </c>
      <c r="Z127" s="179" t="b">
        <f>AND('أدخال البيانات'!M11=1,'أدخال البيانات'!M12&gt;0,'أدخال البيانات'!M13&gt;0,'أدخال البيانات'!F13&gt;0,'أدخال البيانات'!F22+'أدخال البيانات'!M11=1,'أدخال البيانات'!F12+'أدخال البيانات'!F10+'أدخال البيانات'!F9+'أدخال البيانات'!M10+'أدخال البيانات'!M9+'أدخال البيانات'!F11=0,'أدخال البيانات'!F14=0)</f>
        <v>0</v>
      </c>
      <c r="AA127" s="179"/>
      <c r="AB127" s="179"/>
      <c r="AC127" s="179"/>
      <c r="AD127" s="179"/>
      <c r="AE127" s="179"/>
      <c r="AG127" t="b">
        <f>AND(AO133="لايورث",AO134="حقق الشرط")</f>
        <v>0</v>
      </c>
      <c r="AH127" s="295">
        <f>'طريقة العمل'!G29</f>
        <v>0</v>
      </c>
      <c r="AI127" s="179"/>
      <c r="AJ127" s="179"/>
      <c r="AK127" s="179"/>
      <c r="AL127" s="179"/>
      <c r="AM127" s="179"/>
      <c r="AN127" s="179" t="str">
        <f t="shared" si="43"/>
        <v/>
      </c>
      <c r="AO127" s="168" t="str">
        <f t="shared" si="32"/>
        <v>لايورث</v>
      </c>
      <c r="AP127" t="b">
        <f t="shared" si="44"/>
        <v>0</v>
      </c>
      <c r="AQ127" t="b">
        <f>AND('شرح الحالة'!E11=1,E8+'شرح الحالة'!E9+'شرح الحالة'!E10+'شرح الحالة'!E32=0,E11=1,'أدخال البيانات'!F14+'أدخال البيانات'!F15+'أدخال البيانات'!M12+'أدخال البيانات'!M13&gt;0,AA103=TRUE,O124=FALSE,O122=FALSE,O129=FALSE,1=1,'أدخال البيانات'!AS10=1,'أدخال البيانات'!AS11=0)</f>
        <v>0</v>
      </c>
      <c r="AV127" s="937" t="e">
        <f t="shared" si="25"/>
        <v>#N/A</v>
      </c>
      <c r="AW127" s="932" t="e">
        <f t="shared" si="26"/>
        <v>#N/A</v>
      </c>
      <c r="AX127" s="930" t="e">
        <f t="shared" si="27"/>
        <v>#N/A</v>
      </c>
      <c r="AY127" s="1025"/>
      <c r="AZ127" s="924" t="e">
        <f t="shared" si="28"/>
        <v>#N/A</v>
      </c>
      <c r="CB127">
        <f t="shared" si="33"/>
        <v>0</v>
      </c>
      <c r="CG127" s="293"/>
      <c r="CH127" s="293"/>
      <c r="CI127" s="293"/>
    </row>
    <row r="128" spans="5:87" ht="71.25" hidden="1" customHeight="1" thickTop="1" thickBot="1">
      <c r="H128" s="163">
        <v>7</v>
      </c>
      <c r="J128" s="310">
        <f t="shared" si="24"/>
        <v>0</v>
      </c>
      <c r="K128" s="160">
        <f t="shared" si="29"/>
        <v>120</v>
      </c>
      <c r="L128" s="310">
        <f>SUM(J8:J128)</f>
        <v>0</v>
      </c>
      <c r="M128" s="198" t="s">
        <v>561</v>
      </c>
      <c r="N128" s="175" t="s">
        <v>112</v>
      </c>
      <c r="O128" s="175" t="b">
        <f>AND('شرح الحالة'!E11=1,E8+'شرح الحالة'!E9+'شرح الحالة'!E10+'شرح الحالة'!E32=0,E11=1,O129=FALSE,O122=FALSE,O123=FALSE,'أدخال البيانات'!F13&gt;0,'أدخال البيانات'!AS11=1)</f>
        <v>0</v>
      </c>
      <c r="P128" s="180">
        <f>Z126</f>
        <v>0.33333333333333331</v>
      </c>
      <c r="Q128" s="180">
        <f t="shared" si="30"/>
        <v>0</v>
      </c>
      <c r="R128" s="187">
        <f>'شرح الحالة'!E11</f>
        <v>0</v>
      </c>
      <c r="S128" s="182">
        <f>IF(O128=TRUE,P128,0)</f>
        <v>0</v>
      </c>
      <c r="T128" s="194">
        <v>0</v>
      </c>
      <c r="U128" s="183">
        <f t="shared" si="31"/>
        <v>0</v>
      </c>
      <c r="V128" s="183">
        <f>((Sheet5!F41)*((S128+T128)*(R128)))</f>
        <v>0</v>
      </c>
      <c r="W128" s="184" t="e">
        <f>Sheet5!G159*((S128+T128)/(R128))</f>
        <v>#DIV/0!</v>
      </c>
      <c r="X128" s="209" t="b">
        <f>AND(X127=TRUE,'أدخال البيانات'!M13=0)</f>
        <v>0</v>
      </c>
      <c r="Y128" s="179">
        <f>IF(X130='أدخال البيانات'!R8,0,1)</f>
        <v>1</v>
      </c>
      <c r="Z128" s="179" t="b">
        <f>OR(X128=TRUE,X127=TRUE,X126=TRUE,Z127=TRUE)</f>
        <v>0</v>
      </c>
      <c r="AA128" s="179"/>
      <c r="AB128" s="179"/>
      <c r="AC128" s="179"/>
      <c r="AD128" s="179"/>
      <c r="AE128" s="179"/>
      <c r="AF128" s="296">
        <f>IF(AG127=TRUE,#REF!-1/2,AH128)</f>
        <v>0</v>
      </c>
      <c r="AG128" t="b">
        <f>$AG$127</f>
        <v>0</v>
      </c>
      <c r="AH128" s="294">
        <f>'طريقة العمل'!G17</f>
        <v>0</v>
      </c>
      <c r="AI128" s="179"/>
      <c r="AJ128" s="179"/>
      <c r="AK128" s="179"/>
      <c r="AL128" s="179"/>
      <c r="AM128" s="179"/>
      <c r="AN128" s="179" t="str">
        <f t="shared" si="43"/>
        <v/>
      </c>
      <c r="AO128" s="168" t="str">
        <f t="shared" si="32"/>
        <v>لايورث</v>
      </c>
      <c r="AP128" t="b">
        <f t="shared" si="44"/>
        <v>0</v>
      </c>
      <c r="AV128" s="938" t="e">
        <f t="shared" si="25"/>
        <v>#N/A</v>
      </c>
      <c r="AW128" s="929" t="e">
        <f t="shared" si="26"/>
        <v>#N/A</v>
      </c>
      <c r="AX128" s="930" t="e">
        <f t="shared" si="27"/>
        <v>#N/A</v>
      </c>
      <c r="AY128" s="1026"/>
      <c r="AZ128" s="925" t="e">
        <f t="shared" si="28"/>
        <v>#N/A</v>
      </c>
      <c r="CB128">
        <f t="shared" si="33"/>
        <v>0</v>
      </c>
      <c r="CG128" s="293"/>
      <c r="CH128" s="293"/>
      <c r="CI128" s="293"/>
    </row>
    <row r="129" spans="4:87" ht="71.25" hidden="1" customHeight="1" thickTop="1" thickBot="1">
      <c r="H129" s="163">
        <v>8</v>
      </c>
      <c r="J129" s="310">
        <f t="shared" si="24"/>
        <v>0</v>
      </c>
      <c r="K129" s="160">
        <f t="shared" si="29"/>
        <v>121</v>
      </c>
      <c r="L129" s="310">
        <f>SUM(J8:J129)</f>
        <v>0</v>
      </c>
      <c r="M129" s="174" t="s">
        <v>576</v>
      </c>
      <c r="N129" s="175" t="s">
        <v>566</v>
      </c>
      <c r="O129" s="175" t="b">
        <f>AND('شرح الحالة'!E11&gt;=1,E8+'شرح الحالة'!E9+'شرح الحالة'!E10+'شرح الحالة'!E32=0,E11&gt;=1,E26+E27+E12+E13+'أدخال البيانات'!AS9&gt;0,AB126=TRUE,O125=FALSE,O124=FALSE,O121=FALSE, 'أدخال البيانات'!F12+'أدخال البيانات'!M9+'أدخال البيانات'!M10+'أدخال البيانات'!M9+'أدخال البيانات'!F11&gt;=0,D138=TRUE,'أدخال البيانات'!AS9+'أدخال البيانات'!AS10&gt;=1,AQ55=FALSE)</f>
        <v>0</v>
      </c>
      <c r="P129" s="199">
        <v>0.16666666666666666</v>
      </c>
      <c r="Q129" s="180">
        <f>IF(O129=TRUE,R129,0)</f>
        <v>0</v>
      </c>
      <c r="R129" s="187">
        <f>E11</f>
        <v>0</v>
      </c>
      <c r="S129" s="182">
        <v>0</v>
      </c>
      <c r="T129" s="183">
        <f>IF('أدخال البيانات'!AS9+Sheet5!M11&gt;=1,1/6,0)*IF(O129=TRUE,1,0)</f>
        <v>0</v>
      </c>
      <c r="U129" s="183">
        <f t="shared" si="31"/>
        <v>0</v>
      </c>
      <c r="V129" s="183">
        <f>(Sheet5!F159*((S129+T129)*(R129)))</f>
        <v>0</v>
      </c>
      <c r="W129" s="184" t="e">
        <f>Sheet5!G160*((S129+T129)/(R129))</f>
        <v>#DIV/0!</v>
      </c>
      <c r="X129" s="188">
        <f>Sheet5!$K$35</f>
        <v>1</v>
      </c>
      <c r="Y129" s="179"/>
      <c r="Z129" s="179"/>
      <c r="AA129" s="179"/>
      <c r="AB129" s="179" t="s">
        <v>114</v>
      </c>
      <c r="AC129" s="179" t="s">
        <v>114</v>
      </c>
      <c r="AD129" s="179" t="s">
        <v>114</v>
      </c>
      <c r="AE129" s="179"/>
      <c r="AF129" s="296">
        <f>IF(AG128=TRUE,#REF!-1/2,AH129)</f>
        <v>0</v>
      </c>
      <c r="AG129" t="b">
        <f>$AG$127</f>
        <v>0</v>
      </c>
      <c r="AH129" s="294">
        <f>'طريقة العمل'!G30</f>
        <v>0</v>
      </c>
      <c r="AI129" s="179"/>
      <c r="AJ129" s="179"/>
      <c r="AK129" s="179"/>
      <c r="AL129" s="179"/>
      <c r="AM129" s="179"/>
      <c r="AN129" s="179" t="str">
        <f t="shared" si="43"/>
        <v/>
      </c>
      <c r="AO129" s="168" t="str">
        <f t="shared" si="32"/>
        <v>لايورث</v>
      </c>
      <c r="AP129" t="b">
        <f t="shared" si="44"/>
        <v>0</v>
      </c>
      <c r="AQ129" t="b">
        <f>AND('شرح الحالة'!E11&gt;=1,E8+'شرح الحالة'!E9+'شرح الحالة'!E10+'شرح الحالة'!E32=0,E11&gt;=1,E26+E27+E12+E13+'أدخال البيانات'!AS9&gt;0,AB126=TRUE,O125=FALSE,O124=FALSE,O121=FALSE, 'أدخال البيانات'!F12+'أدخال البيانات'!M9+'أدخال البيانات'!M10+'أدخال البيانات'!M9+'أدخال البيانات'!F11&gt;=0,D138=TRUE,'أدخال البيانات'!AS9+'أدخال البيانات'!AS10&gt;=1)</f>
        <v>0</v>
      </c>
      <c r="AV129" s="928" t="e">
        <f t="shared" si="25"/>
        <v>#N/A</v>
      </c>
      <c r="AW129" s="929" t="e">
        <f t="shared" si="26"/>
        <v>#N/A</v>
      </c>
      <c r="AX129" s="930" t="e">
        <f t="shared" si="27"/>
        <v>#N/A</v>
      </c>
      <c r="AY129" s="1025"/>
      <c r="AZ129" s="926" t="e">
        <f t="shared" si="28"/>
        <v>#N/A</v>
      </c>
      <c r="CB129">
        <f t="shared" si="33"/>
        <v>0</v>
      </c>
      <c r="CG129" s="293"/>
      <c r="CH129" s="293"/>
      <c r="CI129" s="293"/>
    </row>
    <row r="130" spans="4:87" ht="71.25" hidden="1" customHeight="1" thickTop="1" thickBot="1">
      <c r="H130" s="162"/>
      <c r="J130" s="310">
        <f t="shared" si="24"/>
        <v>0</v>
      </c>
      <c r="K130" s="160">
        <f t="shared" si="29"/>
        <v>122</v>
      </c>
      <c r="L130" s="310">
        <f>SUM(J8:J130)</f>
        <v>0</v>
      </c>
      <c r="M130" s="210">
        <f>IF(O127=TRUE,P127,0)</f>
        <v>0</v>
      </c>
      <c r="N130" s="211">
        <f>IF(O128=TRUE,P128,0)</f>
        <v>0</v>
      </c>
      <c r="O130" s="211">
        <f>IF(P128&gt;P127,0,1)</f>
        <v>1</v>
      </c>
      <c r="P130" s="212">
        <f>MAX(P127:P129)</f>
        <v>1</v>
      </c>
      <c r="Q130" s="212">
        <f>SUM(Q10:Q129)</f>
        <v>0.5</v>
      </c>
      <c r="R130" s="176"/>
      <c r="S130" s="213">
        <f>SUM(S10:S129)</f>
        <v>0</v>
      </c>
      <c r="T130" s="188">
        <f>SUM(T10:T129)</f>
        <v>0</v>
      </c>
      <c r="U130" s="188">
        <f>SUM(U9:U129)</f>
        <v>0</v>
      </c>
      <c r="V130" s="214">
        <f>(Sheet5!F160*((S130+T130)*(R130)))</f>
        <v>0</v>
      </c>
      <c r="W130" s="188"/>
      <c r="X130" s="188">
        <f>SUM(X9:X129)</f>
        <v>9</v>
      </c>
      <c r="Y130" s="185">
        <f>IF(T130&lt;=1,T130,1-T130)</f>
        <v>0</v>
      </c>
      <c r="Z130" s="215">
        <f>T130+S130</f>
        <v>0</v>
      </c>
      <c r="AA130" s="185" t="e">
        <f>1/Y130</f>
        <v>#DIV/0!</v>
      </c>
      <c r="AB130" s="185" t="e">
        <f>AA130*2</f>
        <v>#DIV/0!</v>
      </c>
      <c r="AC130" s="179"/>
      <c r="AD130" s="179"/>
      <c r="AE130" s="179"/>
      <c r="AF130" s="296">
        <f>IF(AG129=TRUE,#REF!-1/2,AH130)</f>
        <v>0</v>
      </c>
      <c r="AG130" t="b">
        <f>$AG$127</f>
        <v>0</v>
      </c>
      <c r="AH130" s="294">
        <f>'طريقة العمل'!G18</f>
        <v>0</v>
      </c>
      <c r="AI130" s="179"/>
      <c r="AJ130" s="179"/>
      <c r="AK130" s="179"/>
      <c r="AL130" s="179"/>
      <c r="AM130" s="179"/>
      <c r="AN130" s="179" t="str">
        <f t="shared" si="43"/>
        <v/>
      </c>
      <c r="AO130" s="168" t="str">
        <f t="shared" si="32"/>
        <v>لايورث</v>
      </c>
      <c r="AP130" t="b">
        <f t="shared" si="44"/>
        <v>0</v>
      </c>
      <c r="AV130" s="931" t="e">
        <f t="shared" si="25"/>
        <v>#N/A</v>
      </c>
      <c r="AW130" s="932" t="e">
        <f t="shared" si="26"/>
        <v>#N/A</v>
      </c>
      <c r="AX130" s="930" t="e">
        <f t="shared" si="27"/>
        <v>#N/A</v>
      </c>
      <c r="AY130" s="1025"/>
      <c r="AZ130" s="854" t="e">
        <f t="shared" si="28"/>
        <v>#N/A</v>
      </c>
      <c r="CB130">
        <f t="shared" si="33"/>
        <v>0</v>
      </c>
      <c r="CG130" s="293"/>
      <c r="CH130" s="293"/>
      <c r="CI130" s="293"/>
    </row>
    <row r="131" spans="4:87" ht="71.25" hidden="1" customHeight="1" thickTop="1" thickBot="1">
      <c r="H131" s="306"/>
      <c r="J131" s="310">
        <f t="shared" si="24"/>
        <v>0</v>
      </c>
      <c r="K131" s="160">
        <f t="shared" si="29"/>
        <v>123</v>
      </c>
      <c r="L131" s="310">
        <f>SUM(J8:J131)</f>
        <v>0</v>
      </c>
      <c r="M131" s="244"/>
      <c r="N131" s="245"/>
      <c r="O131" s="167"/>
      <c r="P131" s="199">
        <f>P8</f>
        <v>1</v>
      </c>
      <c r="Q131" s="199">
        <f>P7</f>
        <v>0.5</v>
      </c>
      <c r="R131" s="180">
        <f>P8</f>
        <v>1</v>
      </c>
      <c r="S131" s="180">
        <f>P7</f>
        <v>0.5</v>
      </c>
      <c r="T131" s="212">
        <f>T130+S130</f>
        <v>0</v>
      </c>
      <c r="U131" s="212"/>
      <c r="V131" s="214" t="e">
        <f>(Sheet5!F161*((#REF!+T131)*(#REF!)))</f>
        <v>#REF!</v>
      </c>
      <c r="W131" s="212"/>
      <c r="X131" s="212"/>
      <c r="Y131" s="179">
        <f>IF(CS6=TRUE,AF136,Y134+AF136)</f>
        <v>0.5</v>
      </c>
      <c r="Z131" s="179"/>
      <c r="AA131" s="179"/>
      <c r="AB131" s="179"/>
      <c r="AC131" s="179"/>
      <c r="AD131" s="179"/>
      <c r="AE131" s="179"/>
      <c r="AF131" s="179"/>
      <c r="AG131" s="179"/>
      <c r="AH131" s="179"/>
      <c r="AI131" s="179"/>
      <c r="AJ131" s="179"/>
      <c r="AK131" s="179"/>
      <c r="AL131" s="179"/>
      <c r="AM131" s="179"/>
      <c r="AN131" s="179" t="str">
        <f t="shared" si="43"/>
        <v/>
      </c>
      <c r="AO131" s="168" t="str">
        <f t="shared" si="32"/>
        <v>لايورث</v>
      </c>
      <c r="AP131" t="b">
        <f t="shared" si="44"/>
        <v>0</v>
      </c>
      <c r="AV131" s="933" t="e">
        <f t="shared" si="25"/>
        <v>#N/A</v>
      </c>
      <c r="AW131" s="929" t="e">
        <f t="shared" si="26"/>
        <v>#N/A</v>
      </c>
      <c r="AX131" s="930" t="e">
        <f t="shared" si="27"/>
        <v>#N/A</v>
      </c>
      <c r="AY131" s="1025"/>
      <c r="AZ131" s="927" t="e">
        <f t="shared" si="28"/>
        <v>#N/A</v>
      </c>
      <c r="CB131">
        <f>IF(O131=TRUE,#REF!,0)</f>
        <v>0</v>
      </c>
      <c r="CG131" s="293"/>
      <c r="CH131" s="293"/>
      <c r="CI131" s="293"/>
    </row>
    <row r="132" spans="4:87" ht="71.25" hidden="1" customHeight="1" thickTop="1" thickBot="1">
      <c r="F132" s="303" t="s">
        <v>164</v>
      </c>
      <c r="G132" s="304"/>
      <c r="H132" s="307"/>
      <c r="J132" s="310">
        <f t="shared" si="24"/>
        <v>0</v>
      </c>
      <c r="K132" s="160">
        <f t="shared" si="29"/>
        <v>124</v>
      </c>
      <c r="L132" s="310">
        <f>SUM(J8:J132)</f>
        <v>0</v>
      </c>
      <c r="M132" s="1238" t="s">
        <v>567</v>
      </c>
      <c r="N132" s="1239"/>
      <c r="R132" s="19" t="b">
        <f>OR(O133=TRUE,O134=TRUE)</f>
        <v>0</v>
      </c>
      <c r="S132" s="1082" t="b">
        <f>AND(O134=TRUE,O133=FALSE,P135+P136&gt;0)</f>
        <v>0</v>
      </c>
      <c r="AN132"/>
      <c r="AO132" s="168" t="str">
        <f>IF(AP132=TRUE,"حقق الشرط","")</f>
        <v/>
      </c>
      <c r="AP132" t="b">
        <f>OR(O133,O134,O135,O136  )</f>
        <v>0</v>
      </c>
      <c r="AV132" s="934" t="e">
        <f t="shared" si="25"/>
        <v>#N/A</v>
      </c>
      <c r="AW132" s="932" t="e">
        <f t="shared" si="26"/>
        <v>#N/A</v>
      </c>
      <c r="AX132" s="930" t="e">
        <f t="shared" si="27"/>
        <v>#N/A</v>
      </c>
      <c r="AY132" s="1025"/>
      <c r="AZ132" s="855" t="e">
        <f t="shared" si="28"/>
        <v>#N/A</v>
      </c>
      <c r="CB132">
        <f t="shared" si="33"/>
        <v>0</v>
      </c>
      <c r="CG132" s="293"/>
      <c r="CH132" s="293"/>
      <c r="CI132" s="293"/>
    </row>
    <row r="133" spans="4:87" ht="71.25" hidden="1" customHeight="1" thickTop="1" thickBot="1">
      <c r="D133" s="81" t="s">
        <v>176</v>
      </c>
      <c r="F133" s="265" t="s">
        <v>571</v>
      </c>
      <c r="G133" s="302"/>
      <c r="H133" s="308">
        <v>1</v>
      </c>
      <c r="J133" s="310">
        <f t="shared" si="24"/>
        <v>0</v>
      </c>
      <c r="K133" s="160">
        <f t="shared" si="29"/>
        <v>125</v>
      </c>
      <c r="L133" s="310">
        <f>SUM(J8:J133)</f>
        <v>0</v>
      </c>
      <c r="M133" s="246" t="s">
        <v>830</v>
      </c>
      <c r="N133" s="247" t="s">
        <v>829</v>
      </c>
      <c r="O133" s="175" t="b">
        <f>AND(CC6=TRUE,AA103=TRUE,'أدخال البيانات'!F13=1,N54=TRUE,'أدخال البيانات'!F14&gt;=1,'أدخال  البيانات'!AD12+'أدخال  البيانات'!AD10&gt;0,P137=FALSE)</f>
        <v>0</v>
      </c>
      <c r="P133" s="870">
        <f>AH128</f>
        <v>0</v>
      </c>
      <c r="Q133" s="180">
        <f>IF(O133=TRUE,R133,0)</f>
        <v>0</v>
      </c>
      <c r="R133" s="196">
        <f>'أدخال البيانات'!F14</f>
        <v>0</v>
      </c>
      <c r="S133" s="182">
        <f>IF(O133=TRUE,P131,0)</f>
        <v>0</v>
      </c>
      <c r="T133" s="183">
        <v>0</v>
      </c>
      <c r="U133" s="183">
        <f>IF(R133*Q133=0,0,V133+W133)</f>
        <v>0</v>
      </c>
      <c r="V133" s="183">
        <f>(Sheet5!F41*((S133+T133)*(R133)))</f>
        <v>0</v>
      </c>
      <c r="W133" s="184" t="e">
        <f>Sheet5!G163*((S133+T133)/(R133))*Q133</f>
        <v>#DIV/0!</v>
      </c>
      <c r="X133" s="212">
        <f>IF(Z133&lt;0,0,Z133)</f>
        <v>0</v>
      </c>
      <c r="Y133" s="185">
        <f>IF(AA133=FALSE,AB133,V134)</f>
        <v>0</v>
      </c>
      <c r="Z133" s="179">
        <f>AF135*IF(O133=FALSE,0,1)</f>
        <v>0</v>
      </c>
      <c r="AA133" s="216" t="b">
        <f>AND(O133=FALSE,O135=FALSE,O136=FALSE)</f>
        <v>1</v>
      </c>
      <c r="AB133" s="217">
        <f>AF136*IF(O134=FALSE,0,1)</f>
        <v>0</v>
      </c>
      <c r="AC133" s="179"/>
      <c r="AD133" s="179"/>
      <c r="AE133" s="185"/>
      <c r="AF133" s="185" t="s">
        <v>114</v>
      </c>
      <c r="AG133" s="179"/>
      <c r="AH133" s="179"/>
      <c r="AI133" s="179"/>
      <c r="AJ133" s="179"/>
      <c r="AK133" s="179"/>
      <c r="AL133" s="179"/>
      <c r="AM133" s="179"/>
      <c r="AN133" s="179" t="str">
        <f>IF(AO133="حقق الشرط",#REF!,"")</f>
        <v/>
      </c>
      <c r="AO133" s="168" t="str">
        <f t="shared" si="32"/>
        <v>لايورث</v>
      </c>
      <c r="AV133" s="934" t="e">
        <f t="shared" si="25"/>
        <v>#N/A</v>
      </c>
      <c r="AW133" s="929" t="e">
        <f t="shared" si="26"/>
        <v>#N/A</v>
      </c>
      <c r="AX133" s="930" t="e">
        <f t="shared" si="27"/>
        <v>#N/A</v>
      </c>
      <c r="AY133" s="1025"/>
      <c r="AZ133" s="855" t="e">
        <f t="shared" si="28"/>
        <v>#N/A</v>
      </c>
      <c r="CB133">
        <f>IF(O133=TRUE,P131,0)</f>
        <v>0</v>
      </c>
      <c r="CG133" s="293"/>
      <c r="CH133" s="293"/>
      <c r="CI133" s="293"/>
    </row>
    <row r="134" spans="4:87" ht="71.25" hidden="1" customHeight="1" thickTop="1" thickBot="1">
      <c r="F134" s="265" t="s">
        <v>572</v>
      </c>
      <c r="G134" s="302"/>
      <c r="H134" s="308">
        <v>2</v>
      </c>
      <c r="J134" s="310">
        <f t="shared" si="24"/>
        <v>0</v>
      </c>
      <c r="K134" s="160">
        <f t="shared" si="29"/>
        <v>126</v>
      </c>
      <c r="L134" s="310">
        <f>SUM(J8:J134)</f>
        <v>0</v>
      </c>
      <c r="M134" s="174" t="s">
        <v>722</v>
      </c>
      <c r="N134" s="175" t="str">
        <f>IF(S132=TRUE,"يعاد نصيب الأخوة للأب للشقيقات فأذا ما بلغن فرضهن فما بقى لأخو الأب","يعاد نصيب أخوة الأب للأخوة الأشقاء للذكر مثل حظ الأنتيين")</f>
        <v>يعاد نصيب أخوة الأب للأخوة الأشقاء للذكر مثل حظ الأنتيين</v>
      </c>
      <c r="O134" s="175" t="b">
        <f>AND(CC6=TRUE,AA103=TRUE,'أدخال البيانات'!F13=1,'أدخال البيانات'!M12&gt;0, N54=TRUE,'أدخال  البيانات'!AD12+'أدخال  البيانات'!AD10&gt;0,P137=FALSE)</f>
        <v>0</v>
      </c>
      <c r="P134" s="870">
        <f>AH127</f>
        <v>0</v>
      </c>
      <c r="Q134" s="180">
        <f>IF(O134=TRUE,R134,0)</f>
        <v>0</v>
      </c>
      <c r="R134" s="196">
        <f>'أدخال البيانات'!M12</f>
        <v>0</v>
      </c>
      <c r="S134" s="182">
        <f>IF(O134=TRUE,Q131,0)</f>
        <v>0</v>
      </c>
      <c r="T134" s="183">
        <v>0</v>
      </c>
      <c r="U134" s="183">
        <f>IF(R134*Q134=0,0,V134+W134)</f>
        <v>0</v>
      </c>
      <c r="V134" s="183">
        <f>(Sheet5!F41*((S134+T134)*(R134)))</f>
        <v>0</v>
      </c>
      <c r="W134" s="184" t="e">
        <f>Sheet5!G164*((S134+T134)/(R134))*Q134</f>
        <v>#DIV/0!</v>
      </c>
      <c r="X134" s="212">
        <f>IF(Y133&gt;0,Y133,0)</f>
        <v>0</v>
      </c>
      <c r="Y134" s="185">
        <f>IF('أدخال البيانات'!M12&gt;=2,2/3*Sheet5!F41,AC138)</f>
        <v>0.5</v>
      </c>
      <c r="Z134" s="218">
        <f>IF(AA134&gt;=Y134,AA134,AA134+Z136+Z135)</f>
        <v>0</v>
      </c>
      <c r="AA134" s="219">
        <f>MAX(V134,U134)</f>
        <v>0</v>
      </c>
      <c r="AB134" s="220">
        <f>(Z134-Y134)</f>
        <v>-0.5</v>
      </c>
      <c r="AC134" s="221" t="e">
        <f>((AB134)/(Y135+Y136))</f>
        <v>#DIV/0!</v>
      </c>
      <c r="AD134" s="179" t="b">
        <f>AND(Q133+Q134&gt;1,Q134&gt;0,Q135+Q136&gt;0)</f>
        <v>0</v>
      </c>
      <c r="AE134" s="179" t="b">
        <f>AND(O133=TRUE,Q136+Q135&gt;0,O134&gt;=FALSE)</f>
        <v>0</v>
      </c>
      <c r="AF134" s="179"/>
      <c r="AG134" s="179"/>
      <c r="AH134" s="179"/>
      <c r="AI134" s="179"/>
      <c r="AJ134" s="179"/>
      <c r="AK134" s="179"/>
      <c r="AL134" s="179"/>
      <c r="AM134" s="179"/>
      <c r="AN134" s="179" t="str">
        <f>IF(AO134="حقق الشرط",#REF!,"")</f>
        <v/>
      </c>
      <c r="AO134" s="168" t="str">
        <f t="shared" si="32"/>
        <v>لايورث</v>
      </c>
      <c r="AV134" s="935" t="e">
        <f t="shared" si="25"/>
        <v>#N/A</v>
      </c>
      <c r="AW134" s="932" t="e">
        <f t="shared" si="26"/>
        <v>#N/A</v>
      </c>
      <c r="AX134" s="930" t="e">
        <f t="shared" si="27"/>
        <v>#N/A</v>
      </c>
      <c r="AY134" s="1025"/>
      <c r="AZ134" s="857" t="e">
        <f t="shared" si="28"/>
        <v>#N/A</v>
      </c>
      <c r="CB134">
        <f>IF(O134=TRUE,Q131,0)</f>
        <v>0</v>
      </c>
      <c r="CG134" s="293"/>
      <c r="CH134" s="293"/>
      <c r="CI134" s="293"/>
    </row>
    <row r="135" spans="4:87" ht="71.25" hidden="1" customHeight="1" thickTop="1" thickBot="1">
      <c r="F135" s="265" t="s">
        <v>573</v>
      </c>
      <c r="G135" s="302"/>
      <c r="H135" s="308">
        <v>3</v>
      </c>
      <c r="J135" s="310">
        <f t="shared" si="24"/>
        <v>0</v>
      </c>
      <c r="K135" s="160">
        <f t="shared" si="29"/>
        <v>127</v>
      </c>
      <c r="L135" s="310">
        <f>SUM(J8:J135)</f>
        <v>0</v>
      </c>
      <c r="M135" s="174" t="s">
        <v>800</v>
      </c>
      <c r="N135" s="175" t="str">
        <f>IF(O133=TRUE,0,R137)</f>
        <v>ما بقى للأخوة للأب أن بقى شىء للذكر مثل حظ الأنثيين أن كانو معهم أخوات لأب أو جد</v>
      </c>
      <c r="O135" s="175" t="b">
        <f>AND(CC6=TRUE,AA103=TRUE,'أدخال البيانات'!F13=1,'أدخال البيانات'!F15&gt;0,'أدخال البيانات'!AS10+'أدخال البيانات'!AS11=1,R132=TRUE)</f>
        <v>0</v>
      </c>
      <c r="P135" s="870">
        <f>AH130</f>
        <v>0</v>
      </c>
      <c r="Q135" s="180">
        <f>IF(O135=TRUE,R135,0)</f>
        <v>0</v>
      </c>
      <c r="R135" s="187">
        <f>'أدخال البيانات'!F15</f>
        <v>0</v>
      </c>
      <c r="S135" s="182">
        <f>IF(O135=TRUE,R131,0)</f>
        <v>0</v>
      </c>
      <c r="T135" s="183">
        <v>0</v>
      </c>
      <c r="U135" s="183">
        <f>IF(R135*Q135=0,0,V135+W135)</f>
        <v>0</v>
      </c>
      <c r="V135" s="183">
        <f>(Sheet5!F41*((S135+T135)*(R135)))</f>
        <v>0</v>
      </c>
      <c r="W135" s="184" t="e">
        <f>Sheet5!G165*((S135+T135)/(R135))*Q135</f>
        <v>#DIV/0!</v>
      </c>
      <c r="X135" s="212">
        <f>IF(Q135+Q136=0,0,AG135)</f>
        <v>0</v>
      </c>
      <c r="Y135" s="222">
        <f>MAX(V135,U135)</f>
        <v>0</v>
      </c>
      <c r="Z135" s="222">
        <f>IF(Q133*2+Q134&gt;=2,0,Y135)</f>
        <v>0</v>
      </c>
      <c r="AA135" s="222"/>
      <c r="AB135" s="222" t="e">
        <f>Z135*AC134</f>
        <v>#DIV/0!</v>
      </c>
      <c r="AC135" s="212">
        <f>IF(Q133*2+Q134=1,AB135,Z135)</f>
        <v>0</v>
      </c>
      <c r="AD135" s="223">
        <f>MAX(V133,U133)</f>
        <v>0</v>
      </c>
      <c r="AE135" s="222" t="e">
        <f>Q133*2/(Q133*2+Q134)</f>
        <v>#DIV/0!</v>
      </c>
      <c r="AF135" s="224">
        <f>IF(AE134=TRUE,AD135+(AE135)*AA138,AD135)</f>
        <v>0</v>
      </c>
      <c r="AG135" s="176">
        <f>IF(O135=FALSE,0,AC135)*IF(AC135&lt;=0,0,1)</f>
        <v>0</v>
      </c>
      <c r="AH135" s="179"/>
      <c r="AI135" s="179"/>
      <c r="AJ135" s="179"/>
      <c r="AK135" s="179"/>
      <c r="AL135" s="179"/>
      <c r="AM135" s="179"/>
      <c r="AN135" s="179" t="str">
        <f>IF(AO135="حقق الشرط",F133,"")</f>
        <v/>
      </c>
      <c r="AO135" s="168" t="str">
        <f t="shared" si="32"/>
        <v>لايورث</v>
      </c>
      <c r="AV135" s="935" t="e">
        <f t="shared" si="25"/>
        <v>#N/A</v>
      </c>
      <c r="AW135" s="929" t="e">
        <f t="shared" si="26"/>
        <v>#N/A</v>
      </c>
      <c r="AX135" s="930" t="e">
        <f t="shared" si="27"/>
        <v>#N/A</v>
      </c>
      <c r="AY135" s="1025"/>
      <c r="AZ135" s="857" t="e">
        <f t="shared" si="28"/>
        <v>#N/A</v>
      </c>
      <c r="CB135">
        <f>IF(O135=TRUE,R131,0)</f>
        <v>0</v>
      </c>
      <c r="CG135" s="293"/>
      <c r="CH135" s="293"/>
      <c r="CI135" s="293"/>
    </row>
    <row r="136" spans="4:87" ht="71.25" hidden="1" customHeight="1" thickTop="1" thickBot="1">
      <c r="D136" t="b">
        <f>(CD6=TRUE)</f>
        <v>0</v>
      </c>
      <c r="F136" s="265" t="s">
        <v>574</v>
      </c>
      <c r="G136" s="302"/>
      <c r="H136" s="308">
        <v>4</v>
      </c>
      <c r="J136" s="310">
        <f t="shared" si="24"/>
        <v>0</v>
      </c>
      <c r="K136" s="160">
        <f t="shared" si="29"/>
        <v>128</v>
      </c>
      <c r="L136" s="310">
        <f>SUM(J8:J136)</f>
        <v>0</v>
      </c>
      <c r="M136" s="174" t="str">
        <f>M135</f>
        <v>يقاسموا الأخوة للأب الأخوة الأشقاء والجد (أن كانت المقاسمة أحظ للجد) أو يعطى ثلث الباقى أن كان أحظ للجد وتعاد حصتهم الى الأخوة الأشقاء أو( الأخوات الأشقاء حتى يتحصلن على فرضهن فما بقى  بعد فرض الشقيقات يقاسمونه الأخوة للأب)</v>
      </c>
      <c r="N136" s="175" t="str">
        <f>IF(O133=TRUE,0,S137)</f>
        <v>ما بقى للأخوات للأب أن بقى شى للذكر مثل حظ الأنثيين أن كانومعهم أخوة لأب أو جد</v>
      </c>
      <c r="O136" s="175" t="b">
        <f>AND(CC6=TRUE,AA103=TRUE,'أدخال البيانات'!F13=1,'أدخال البيانات'!M13&gt;0,'أدخال البيانات'!AS10+'أدخال البيانات'!AS11=1,R132=TRUE)</f>
        <v>0</v>
      </c>
      <c r="P136" s="870">
        <f>AH129</f>
        <v>0</v>
      </c>
      <c r="Q136" s="180">
        <f>IF(O136=TRUE,R136,0)</f>
        <v>0</v>
      </c>
      <c r="R136" s="187">
        <f>'أدخال البيانات'!M13</f>
        <v>0</v>
      </c>
      <c r="S136" s="182">
        <f>IF(O136=TRUE,S131,0)</f>
        <v>0</v>
      </c>
      <c r="T136" s="183">
        <v>0</v>
      </c>
      <c r="U136" s="183">
        <f>IF(R136*Q136=0,0,V136+W136)</f>
        <v>0</v>
      </c>
      <c r="V136" s="183">
        <f>(Sheet5!F41*((S136+T136)*(R136)))</f>
        <v>0</v>
      </c>
      <c r="W136" s="184" t="e">
        <f>Sheet5!G166*((S136+T136)/(R136))*Q136</f>
        <v>#DIV/0!</v>
      </c>
      <c r="X136" s="212">
        <f>IF(Q135+Q136=0,0,AG136)</f>
        <v>0</v>
      </c>
      <c r="Y136" s="222">
        <f>MAX(V136,U136)</f>
        <v>0</v>
      </c>
      <c r="Z136" s="225">
        <f>IF(Q133*2+Q134&gt;=2,0,Y136)</f>
        <v>0</v>
      </c>
      <c r="AA136" s="222"/>
      <c r="AB136" s="222" t="e">
        <f>Z136*(AC134)</f>
        <v>#DIV/0!</v>
      </c>
      <c r="AC136" s="212">
        <f>IF(Q133*2+Q134=1,(AB136),Z136)</f>
        <v>0</v>
      </c>
      <c r="AD136" s="226">
        <f>IF(Z134&gt;=Y134,Y134,Z134)</f>
        <v>0</v>
      </c>
      <c r="AE136" s="222" t="e">
        <f>Q134/(Q133*2+Q134)</f>
        <v>#DIV/0!</v>
      </c>
      <c r="AF136" s="223">
        <f>IF(AD134=TRUE,AD136+(AE136*AA138),AD136)</f>
        <v>0</v>
      </c>
      <c r="AG136" s="176">
        <f>IF(O136=FALSE,0,AC136)*IF(AC136&lt;=0,0,1)</f>
        <v>0</v>
      </c>
      <c r="AH136" s="179"/>
      <c r="AI136" s="179"/>
      <c r="AJ136" s="179"/>
      <c r="AK136" s="179"/>
      <c r="AL136" s="179"/>
      <c r="AM136" s="179"/>
      <c r="AN136" s="179" t="str">
        <f>IF(AO136="حقق الشرط",F134,"")</f>
        <v/>
      </c>
      <c r="AO136" s="168" t="str">
        <f t="shared" si="32"/>
        <v>لايورث</v>
      </c>
      <c r="AV136" s="936" t="e">
        <f t="shared" si="25"/>
        <v>#N/A</v>
      </c>
      <c r="AW136" s="932" t="e">
        <f t="shared" si="26"/>
        <v>#N/A</v>
      </c>
      <c r="AX136" s="930" t="e">
        <f t="shared" si="27"/>
        <v>#N/A</v>
      </c>
      <c r="AY136" s="1025"/>
      <c r="AZ136" s="858" t="e">
        <f t="shared" si="28"/>
        <v>#N/A</v>
      </c>
      <c r="CB136">
        <f>IF(O136=TRUE,S131,0)</f>
        <v>0</v>
      </c>
      <c r="CG136" s="293"/>
      <c r="CH136" s="293"/>
      <c r="CI136" s="293"/>
    </row>
    <row r="137" spans="4:87" ht="71.25" hidden="1" customHeight="1" thickTop="1" thickBot="1">
      <c r="D137" t="b">
        <f>AND('أدخال البيانات'!M9+'أدخال البيانات'!M10&gt;=0,'أدخال البيانات'!M12+'أدخال البيانات'!M13+'أدخال البيانات'!F14+'أدخال البيانات'!F15&gt;0,O36=TRUE)</f>
        <v>0</v>
      </c>
      <c r="F137" s="44" t="s">
        <v>144</v>
      </c>
      <c r="G137" s="305"/>
      <c r="H137" s="306"/>
      <c r="J137" s="310">
        <f t="shared" si="24"/>
        <v>0</v>
      </c>
      <c r="K137" s="160">
        <f t="shared" si="29"/>
        <v>129</v>
      </c>
      <c r="L137" s="310">
        <f>SUM(J8:J137)</f>
        <v>0</v>
      </c>
      <c r="M137" s="200" t="s">
        <v>177</v>
      </c>
      <c r="N137" s="167"/>
      <c r="O137" s="167"/>
      <c r="P137" s="19" t="b">
        <f>AND(O129=TRUE,'أدخال  البيانات'!AB4+'أدخال  البيانات'!AB6&gt;0)</f>
        <v>0</v>
      </c>
      <c r="Q137" s="176" t="s">
        <v>721</v>
      </c>
      <c r="R137" s="176" t="s">
        <v>801</v>
      </c>
      <c r="S137" s="176" t="s">
        <v>802</v>
      </c>
      <c r="T137" s="176"/>
      <c r="U137" s="212">
        <f>X135+X136</f>
        <v>0</v>
      </c>
      <c r="V137" s="176"/>
      <c r="W137" s="176"/>
      <c r="X137" s="212" t="s">
        <v>114</v>
      </c>
      <c r="Y137" s="212"/>
      <c r="Z137" s="227"/>
      <c r="AA137" s="179"/>
      <c r="AB137" s="185"/>
      <c r="AC137" s="179"/>
      <c r="AD137" s="185"/>
      <c r="AE137" s="179"/>
      <c r="AF137" s="179"/>
      <c r="AG137" s="179"/>
      <c r="AH137" s="179"/>
      <c r="AI137" s="179"/>
      <c r="AJ137" s="179"/>
      <c r="AK137" s="179"/>
      <c r="AL137" s="179"/>
      <c r="AM137" s="179"/>
      <c r="AN137" s="179" t="str">
        <f>IF(AO137="حقق الشرط",F137,"")</f>
        <v/>
      </c>
      <c r="AO137" s="168" t="str">
        <f>IF(AP137=TRUE,"حقق الشرط","")</f>
        <v/>
      </c>
      <c r="AP137" t="b">
        <f>OR(O138,O139,O140,O141  )</f>
        <v>0</v>
      </c>
      <c r="AV137" s="936" t="e">
        <f t="shared" si="25"/>
        <v>#N/A</v>
      </c>
      <c r="AW137" s="929" t="e">
        <f t="shared" si="26"/>
        <v>#N/A</v>
      </c>
      <c r="AX137" s="930" t="e">
        <f t="shared" si="27"/>
        <v>#N/A</v>
      </c>
      <c r="AY137" s="1025"/>
      <c r="AZ137" s="858" t="e">
        <f t="shared" si="28"/>
        <v>#N/A</v>
      </c>
      <c r="CB137">
        <f>IF(O137=TRUE,S132,0)</f>
        <v>0</v>
      </c>
      <c r="CG137" s="293"/>
      <c r="CH137" s="293"/>
      <c r="CI137" s="293"/>
    </row>
    <row r="138" spans="4:87" ht="71.25" hidden="1" customHeight="1" thickTop="1" thickBot="1">
      <c r="D138" t="b">
        <f>OR(D137=TRUE,D136=TRUE,'أدخال البيانات'!AS9=1,D141)</f>
        <v>1</v>
      </c>
      <c r="F138" t="str">
        <f>$F$137</f>
        <v>أبن أبن الأبن</v>
      </c>
      <c r="H138" s="160">
        <v>1</v>
      </c>
      <c r="J138" s="310">
        <f t="shared" ref="J138:J141" si="45">IF(AO138="حقق الشرط",1,0)</f>
        <v>0</v>
      </c>
      <c r="K138" s="160">
        <f t="shared" si="29"/>
        <v>130</v>
      </c>
      <c r="L138" s="310">
        <f>SUM(J8:J138)</f>
        <v>0</v>
      </c>
      <c r="M138" s="174" t="s">
        <v>32</v>
      </c>
      <c r="N138" s="175" t="s">
        <v>33</v>
      </c>
      <c r="O138" s="175" t="b">
        <f>AND('شرح الحالة'!E8=0,'شرح الحالة'!E14&gt;=0,'شرح الحالة'!E21=0,'شرح الحالة'!E23=0,'شرح الحالة'!E25=0,'شرح الحالة'!E31=0,'شرح الحالة'!E9+E32&gt;=1,'شرح الحالة'!E10=0,'شرح الحالة'!E11=0,'شرح الحالة'!E8=0,'شرح الحالة'!E24=0,'أدخال البيانات'!F10=0,O79=FALSE)</f>
        <v>0</v>
      </c>
      <c r="P138" s="180">
        <f>P8</f>
        <v>1</v>
      </c>
      <c r="Q138" s="180">
        <f>IF(O138=TRUE,R138,0)</f>
        <v>0</v>
      </c>
      <c r="R138" s="187">
        <f>'أدخال البيانات'!$F$11</f>
        <v>0</v>
      </c>
      <c r="S138" s="182">
        <f>IF(O138=TRUE,P138,0)</f>
        <v>0</v>
      </c>
      <c r="T138" s="183">
        <v>0</v>
      </c>
      <c r="U138" s="183">
        <f>IF(R138*Q138=0,0,V138+W138)</f>
        <v>0</v>
      </c>
      <c r="V138" s="183">
        <f>(Sheet5!F168*((S138+T138)*(R138)))</f>
        <v>0</v>
      </c>
      <c r="W138" s="184" t="e">
        <f>Sheet5!G169*((S138+T138)/(R138))</f>
        <v>#DIV/0!</v>
      </c>
      <c r="X138" s="1235">
        <f>MAX(U138:U141)</f>
        <v>0</v>
      </c>
      <c r="Y138" s="185">
        <f>AC136+AC135</f>
        <v>0</v>
      </c>
      <c r="Z138" s="185"/>
      <c r="AA138" s="208">
        <f>Y135+Y136</f>
        <v>0</v>
      </c>
      <c r="AB138" s="185"/>
      <c r="AC138" s="185">
        <f>(1/2*Sheet5!F41)</f>
        <v>0.5</v>
      </c>
      <c r="AD138" s="179"/>
      <c r="AE138" s="179"/>
      <c r="AF138" s="185" t="s">
        <v>114</v>
      </c>
      <c r="AG138" s="179"/>
      <c r="AH138" s="179"/>
      <c r="AI138" s="179"/>
      <c r="AJ138" s="179"/>
      <c r="AK138" s="179"/>
      <c r="AL138" s="179"/>
      <c r="AM138" s="179"/>
      <c r="AN138" s="179" t="str">
        <f>IF(AO138="حقق الشرط",F138,"")</f>
        <v/>
      </c>
      <c r="AO138" s="168" t="str">
        <f t="shared" si="32"/>
        <v>لايورث</v>
      </c>
      <c r="AV138" s="936" t="e">
        <f t="shared" ref="AV138:AV141" si="46">VLOOKUP(K138, L138:AO270,2,FALSE)</f>
        <v>#N/A</v>
      </c>
      <c r="AW138" s="932" t="e">
        <f t="shared" ref="AW138:AW141" si="47">VLOOKUP(K138, L138:AO270,3,FALSE)</f>
        <v>#N/A</v>
      </c>
      <c r="AX138" s="930" t="e">
        <f t="shared" ref="AX138:AX141" si="48">VLOOKUP(K138, L138:AO270,5,FALSE)</f>
        <v>#N/A</v>
      </c>
      <c r="AY138" s="1025"/>
      <c r="AZ138" s="858" t="e">
        <f t="shared" ref="AZ138:AZ141" si="49">VLOOKUP(K138, L138:AO270,6,FALSE)</f>
        <v>#N/A</v>
      </c>
      <c r="CB138">
        <f t="shared" si="33"/>
        <v>0</v>
      </c>
      <c r="CG138" s="293"/>
      <c r="CH138" s="293"/>
      <c r="CI138" s="293"/>
    </row>
    <row r="139" spans="4:87" ht="71.25" hidden="1" customHeight="1" thickTop="1" thickBot="1">
      <c r="D139" t="b">
        <f>AND('أدخال البيانات'!AS9=1)</f>
        <v>1</v>
      </c>
      <c r="F139" t="str">
        <f>$F$137</f>
        <v>أبن أبن الأبن</v>
      </c>
      <c r="H139" s="161">
        <v>2</v>
      </c>
      <c r="J139" s="310">
        <f t="shared" si="45"/>
        <v>0</v>
      </c>
      <c r="K139" s="160">
        <f t="shared" ref="K139:K141" si="50">K138+1</f>
        <v>131</v>
      </c>
      <c r="L139" s="310">
        <f>SUM(J8:J139)</f>
        <v>0</v>
      </c>
      <c r="M139" s="174" t="s">
        <v>34</v>
      </c>
      <c r="N139" s="175" t="s">
        <v>35</v>
      </c>
      <c r="O139" s="175" t="b">
        <f>AND('شرح الحالة'!E24&gt;=0,'شرح الحالة'!E10&gt;=0,'شرح الحالة'!E11&gt;=0,'أدخال البيانات'!M10&gt;0,'شرح الحالة'!E8=0,A17=TRUE,'شرح الحالة'!E31&gt;=0,'شرح الحالة'!E9+E32&gt;0,'أدخال البيانات'!F11&gt;=1,'شرح الحالة'!E8=0,E9=0,'أدخال البيانات'!M9&gt;=2,'أدخال البيانات'!F10=0)</f>
        <v>0</v>
      </c>
      <c r="P139" s="180">
        <f>P8</f>
        <v>1</v>
      </c>
      <c r="Q139" s="180">
        <f>IF(O139=TRUE,R139,0)</f>
        <v>0</v>
      </c>
      <c r="R139" s="187">
        <f>'أدخال البيانات'!F11</f>
        <v>0</v>
      </c>
      <c r="S139" s="182">
        <f>IF(O139=TRUE,P139,0)</f>
        <v>0</v>
      </c>
      <c r="T139" s="183">
        <v>0</v>
      </c>
      <c r="U139" s="183">
        <f>IF(R139*Q139=0,0,V139+W139)</f>
        <v>0</v>
      </c>
      <c r="V139" s="183">
        <f>(Sheet5!F169*((S139+T139)*(R139)))</f>
        <v>0</v>
      </c>
      <c r="W139" s="184" t="e">
        <f>Sheet5!G170*((S139+T139)/(R139))</f>
        <v>#DIV/0!</v>
      </c>
      <c r="X139" s="1235"/>
      <c r="Y139" s="185"/>
      <c r="Z139" s="185"/>
      <c r="AA139" s="179"/>
      <c r="AB139" s="179"/>
      <c r="AC139" s="179"/>
      <c r="AD139" s="179"/>
      <c r="AE139" s="179"/>
      <c r="AF139" s="179"/>
      <c r="AG139" s="179"/>
      <c r="AH139" s="179"/>
      <c r="AI139" s="179"/>
      <c r="AJ139" s="179"/>
      <c r="AK139" s="179"/>
      <c r="AL139" s="179"/>
      <c r="AM139" s="179"/>
      <c r="AN139" s="179" t="str">
        <f>IF(AO139="حقق الشرط",F139,"")</f>
        <v/>
      </c>
      <c r="AO139" s="168" t="str">
        <f>IF(O139=TRUE,"حقق الشرط","لايورث")</f>
        <v>لايورث</v>
      </c>
      <c r="AV139" s="936" t="e">
        <f t="shared" si="46"/>
        <v>#N/A</v>
      </c>
      <c r="AW139" s="929" t="e">
        <f t="shared" si="47"/>
        <v>#N/A</v>
      </c>
      <c r="AX139" s="930" t="e">
        <f t="shared" si="48"/>
        <v>#N/A</v>
      </c>
      <c r="AY139" s="1025"/>
      <c r="AZ139" s="858" t="e">
        <f t="shared" si="49"/>
        <v>#N/A</v>
      </c>
      <c r="CB139">
        <f>IF(O139=TRUE,P139,0)</f>
        <v>0</v>
      </c>
      <c r="CG139" s="293"/>
      <c r="CH139" s="293"/>
      <c r="CI139" s="293"/>
    </row>
    <row r="140" spans="4:87" ht="71.25" hidden="1" customHeight="1" thickTop="1" thickBot="1">
      <c r="D140" t="s">
        <v>114</v>
      </c>
      <c r="E140" t="b">
        <f>AND('أدخال البيانات'!M9&lt;2,'أدخال البيانات'!M10&gt;0)</f>
        <v>0</v>
      </c>
      <c r="F140" t="str">
        <f>$F$137</f>
        <v>أبن أبن الأبن</v>
      </c>
      <c r="H140" s="160">
        <v>3</v>
      </c>
      <c r="J140" s="310">
        <f t="shared" si="45"/>
        <v>0</v>
      </c>
      <c r="K140" s="160">
        <f t="shared" si="50"/>
        <v>132</v>
      </c>
      <c r="L140" s="310">
        <f>SUM(J8:J140)</f>
        <v>0</v>
      </c>
      <c r="M140" s="174" t="s">
        <v>36</v>
      </c>
      <c r="N140" s="175" t="s">
        <v>560</v>
      </c>
      <c r="O140" s="175" t="b">
        <f>AND('شرح الحالة'!E10+'شرح الحالة'!E11+'شرح الحالة'!E14+'شرح الحالة'!E21+'شرح الحالة'!E25+'شرح الحالة'!E29+'شرح الحالة'!E30+'شرح الحالة'!E31+'أدخال البيانات'!M9+'أدخال البيانات'!M10&gt;0,'شرح الحالة'!E8=0,'شرح الحالة'!E9=0,'أدخال البيانات'!F9+'أدخال البيانات'!F10=0,'أدخال البيانات'!F11&gt;0,O139=FALSE,A17=TRUE,O138=FALSE,'أدخال البيانات'!F11&gt;=1, 1=1)</f>
        <v>0</v>
      </c>
      <c r="P140" s="180">
        <f>Sheet5!K18</f>
        <v>1</v>
      </c>
      <c r="Q140" s="180">
        <f>IF(O140=TRUE,R140,0)</f>
        <v>0</v>
      </c>
      <c r="R140" s="187">
        <f>'أدخال البيانات'!F11</f>
        <v>0</v>
      </c>
      <c r="S140" s="182">
        <f>IF(O140=TRUE,P140,0)</f>
        <v>0</v>
      </c>
      <c r="T140" s="183">
        <v>0</v>
      </c>
      <c r="U140" s="183">
        <f>IF(R140*Q140=0,0,V140+W140)</f>
        <v>0</v>
      </c>
      <c r="V140" s="183">
        <f>(Sheet5!F170*((S140+T140)*(1)))</f>
        <v>0</v>
      </c>
      <c r="W140" s="184" t="e">
        <f>Sheet5!G171*((S140+T140)/(R140))</f>
        <v>#DIV/0!</v>
      </c>
      <c r="X140" s="1235"/>
      <c r="Y140" s="202"/>
      <c r="Z140" s="179"/>
      <c r="AA140" s="185"/>
      <c r="AB140" s="185"/>
      <c r="AC140" s="179"/>
      <c r="AD140" s="185"/>
      <c r="AE140" s="179"/>
      <c r="AF140" s="179"/>
      <c r="AG140" s="179"/>
      <c r="AH140" s="179"/>
      <c r="AI140" s="179"/>
      <c r="AJ140" s="179"/>
      <c r="AK140" s="179"/>
      <c r="AL140" s="179"/>
      <c r="AM140" s="179"/>
      <c r="AN140" s="179" t="str">
        <f>IF(AO140="حقق الشرط",F140,"")</f>
        <v/>
      </c>
      <c r="AO140" s="168" t="str">
        <f>IF(O140=TRUE,"حقق الشرط","لايورث")</f>
        <v>لايورث</v>
      </c>
      <c r="AV140" s="936" t="e">
        <f t="shared" si="46"/>
        <v>#N/A</v>
      </c>
      <c r="AW140" s="932" t="e">
        <f t="shared" si="47"/>
        <v>#N/A</v>
      </c>
      <c r="AX140" s="930" t="e">
        <f t="shared" si="48"/>
        <v>#N/A</v>
      </c>
      <c r="AY140" s="1025"/>
      <c r="AZ140" s="858" t="e">
        <f t="shared" si="49"/>
        <v>#N/A</v>
      </c>
      <c r="CB140">
        <f>IF(O140=TRUE,P140,0)</f>
        <v>0</v>
      </c>
      <c r="CG140" s="293"/>
      <c r="CH140" s="293"/>
      <c r="CI140" s="293"/>
    </row>
    <row r="141" spans="4:87" ht="71.25" hidden="1" customHeight="1" thickTop="1" thickBot="1">
      <c r="D141" t="b">
        <f>AND('أدخال البيانات'!M11=1,'أدخال البيانات'!F22=1,'أدخال البيانات'!M13+'أدخال البيانات'!F15*2&gt;=2)</f>
        <v>0</v>
      </c>
      <c r="F141" t="str">
        <f>$F$137</f>
        <v>أبن أبن الأبن</v>
      </c>
      <c r="H141" s="164">
        <v>4</v>
      </c>
      <c r="J141" s="310">
        <f t="shared" si="45"/>
        <v>0</v>
      </c>
      <c r="K141" s="160">
        <f t="shared" si="50"/>
        <v>133</v>
      </c>
      <c r="L141" s="310">
        <f>SUM(J8:J141)</f>
        <v>0</v>
      </c>
      <c r="M141" s="228" t="s">
        <v>38</v>
      </c>
      <c r="N141" s="229" t="s">
        <v>39</v>
      </c>
      <c r="O141" s="229" t="b">
        <f>AND('شرح الحالة'!E9=0,'شرح الحالة'!E11+'شرح الحالة'!E14+'شرح الحالة'!E21+'شرح الحالة'!E25+'شرح الحالة'!E29+'شرح الحالة'!E30+'شرح الحالة'!E31&gt;0,'شرح الحالة'!E8=0,'أدخال البيانات'!M10=0, E32&gt;=1,'أدخال البيانات'!M10=0,O140=FALSE)</f>
        <v>0</v>
      </c>
      <c r="P141" s="230">
        <f>$P$139</f>
        <v>1</v>
      </c>
      <c r="Q141" s="230">
        <f>IF(O141=TRUE,R141,0)</f>
        <v>0</v>
      </c>
      <c r="R141" s="231">
        <f>'أدخال البيانات'!F11</f>
        <v>0</v>
      </c>
      <c r="S141" s="232">
        <f>IF(O141=TRUE,P141,0)</f>
        <v>0</v>
      </c>
      <c r="T141" s="233">
        <v>0</v>
      </c>
      <c r="U141" s="233">
        <f>IF(R141*Q141=0,0,V141+W141)</f>
        <v>0</v>
      </c>
      <c r="V141" s="233">
        <f>(Sheet5!F171*((S141+T141)*(R141)))</f>
        <v>0</v>
      </c>
      <c r="W141" s="234" t="e">
        <f>Sheet5!G172*((S141+T141)/(R141))</f>
        <v>#DIV/0!</v>
      </c>
      <c r="X141" s="1246"/>
      <c r="Y141" s="235"/>
      <c r="Z141" s="236"/>
      <c r="AA141" s="235"/>
      <c r="AB141" s="235"/>
      <c r="AC141" s="235"/>
      <c r="AD141" s="235"/>
      <c r="AE141" s="235"/>
      <c r="AF141" s="235"/>
      <c r="AG141" s="235"/>
      <c r="AH141" s="235"/>
      <c r="AI141" s="235"/>
      <c r="AJ141" s="235"/>
      <c r="AK141" s="235"/>
      <c r="AL141" s="235"/>
      <c r="AM141" s="235"/>
      <c r="AN141" s="179" t="str">
        <f>IF(AO141="حقق الشرط",F141,"")</f>
        <v/>
      </c>
      <c r="AO141" s="172" t="str">
        <f>IF(O141=TRUE,"حقق الشرط","لايورث")</f>
        <v>لايورث</v>
      </c>
      <c r="AV141" s="939" t="e">
        <f t="shared" si="46"/>
        <v>#N/A</v>
      </c>
      <c r="AW141" s="940" t="e">
        <f t="shared" si="47"/>
        <v>#N/A</v>
      </c>
      <c r="AX141" s="941" t="e">
        <f t="shared" si="48"/>
        <v>#N/A</v>
      </c>
      <c r="AY141" s="1025"/>
      <c r="AZ141" s="858" t="e">
        <f t="shared" si="49"/>
        <v>#N/A</v>
      </c>
      <c r="CB141">
        <f>IF(O141=TRUE,P141,0)</f>
        <v>0</v>
      </c>
      <c r="CG141" s="293"/>
      <c r="CH141" s="293"/>
      <c r="CI141" s="293"/>
    </row>
    <row r="142" spans="4:87" ht="71.25" hidden="1" customHeight="1">
      <c r="CG142" s="293"/>
      <c r="CH142" s="293"/>
      <c r="CI142" s="293"/>
    </row>
    <row r="143" spans="4:87" ht="71.25" hidden="1" customHeight="1">
      <c r="M143" s="421" t="s">
        <v>583</v>
      </c>
      <c r="N143" s="422"/>
      <c r="CG143" s="293"/>
      <c r="CH143" s="293"/>
      <c r="CI143" s="293"/>
    </row>
    <row r="144" spans="4:87" ht="71.25" hidden="1" customHeight="1">
      <c r="M144" s="423"/>
      <c r="N144" s="422"/>
      <c r="X144" s="55"/>
      <c r="Y144" s="56"/>
    </row>
    <row r="145" spans="13:14" ht="71.25" customHeight="1" thickTop="1">
      <c r="M145" s="424" t="s">
        <v>685</v>
      </c>
      <c r="N145" s="422"/>
    </row>
    <row r="146" spans="13:14" ht="60.75" customHeight="1">
      <c r="M146" s="424" t="s">
        <v>584</v>
      </c>
      <c r="N146" s="422"/>
    </row>
    <row r="147" spans="13:14" ht="60.75" customHeight="1">
      <c r="M147" s="425"/>
      <c r="N147" s="422"/>
    </row>
    <row r="148" spans="13:14" ht="60.75" customHeight="1">
      <c r="M148" s="426" t="s">
        <v>585</v>
      </c>
      <c r="N148" s="422"/>
    </row>
    <row r="149" spans="13:14" ht="60.75" customHeight="1">
      <c r="M149" s="424" t="s">
        <v>586</v>
      </c>
      <c r="N149" s="422"/>
    </row>
    <row r="150" spans="13:14" ht="60.75" customHeight="1">
      <c r="M150" s="424" t="s">
        <v>587</v>
      </c>
      <c r="N150" s="422"/>
    </row>
    <row r="151" spans="13:14" ht="60.75" customHeight="1">
      <c r="M151" s="424" t="s">
        <v>588</v>
      </c>
      <c r="N151" s="422"/>
    </row>
    <row r="152" spans="13:14" ht="60.75" customHeight="1">
      <c r="M152" s="425"/>
      <c r="N152" s="422"/>
    </row>
    <row r="153" spans="13:14" ht="60.75" customHeight="1">
      <c r="M153" s="426" t="s">
        <v>589</v>
      </c>
      <c r="N153" s="422"/>
    </row>
    <row r="154" spans="13:14" ht="60.75" customHeight="1">
      <c r="M154" s="424" t="s">
        <v>590</v>
      </c>
      <c r="N154" s="422"/>
    </row>
    <row r="155" spans="13:14" ht="60.75" customHeight="1">
      <c r="M155" s="424" t="s">
        <v>591</v>
      </c>
      <c r="N155" s="422"/>
    </row>
    <row r="156" spans="13:14" ht="60.75" customHeight="1">
      <c r="M156" s="425"/>
      <c r="N156" s="422"/>
    </row>
    <row r="157" spans="13:14" ht="60.75" customHeight="1">
      <c r="M157" s="424" t="s">
        <v>592</v>
      </c>
      <c r="N157" s="422"/>
    </row>
    <row r="158" spans="13:14" ht="60.75" customHeight="1">
      <c r="M158" s="424" t="s">
        <v>593</v>
      </c>
      <c r="N158" s="422"/>
    </row>
    <row r="159" spans="13:14" ht="60.75" customHeight="1">
      <c r="M159" s="424"/>
      <c r="N159" s="422"/>
    </row>
    <row r="160" spans="13:14" ht="60.75" customHeight="1">
      <c r="M160" s="423"/>
      <c r="N160" s="422"/>
    </row>
    <row r="161" spans="13:14" ht="60.75" customHeight="1">
      <c r="M161" s="424" t="s">
        <v>684</v>
      </c>
      <c r="N161" s="422"/>
    </row>
    <row r="162" spans="13:14" ht="60.75" customHeight="1">
      <c r="M162" s="424" t="s">
        <v>594</v>
      </c>
      <c r="N162" s="422"/>
    </row>
    <row r="163" spans="13:14" ht="60.75" customHeight="1">
      <c r="M163" s="424" t="s">
        <v>595</v>
      </c>
      <c r="N163" s="422"/>
    </row>
    <row r="164" spans="13:14" ht="60.75" customHeight="1">
      <c r="M164" s="424" t="s">
        <v>596</v>
      </c>
      <c r="N164" s="422"/>
    </row>
    <row r="165" spans="13:14" ht="60.75" customHeight="1">
      <c r="M165" s="424" t="s">
        <v>597</v>
      </c>
      <c r="N165" s="422"/>
    </row>
    <row r="166" spans="13:14" ht="60.75" customHeight="1">
      <c r="M166" s="425"/>
      <c r="N166" s="422"/>
    </row>
    <row r="167" spans="13:14" ht="60.75" customHeight="1">
      <c r="M167" s="426" t="s">
        <v>585</v>
      </c>
      <c r="N167" s="422"/>
    </row>
    <row r="168" spans="13:14" ht="60.75" customHeight="1">
      <c r="M168" s="424" t="s">
        <v>598</v>
      </c>
      <c r="N168" s="422"/>
    </row>
    <row r="169" spans="13:14" ht="60.75" customHeight="1">
      <c r="M169" s="425"/>
      <c r="N169" s="422"/>
    </row>
    <row r="170" spans="13:14" ht="60.75" customHeight="1">
      <c r="M170" s="426" t="s">
        <v>589</v>
      </c>
      <c r="N170" s="422"/>
    </row>
    <row r="171" spans="13:14" ht="60.75" customHeight="1">
      <c r="M171" s="424" t="s">
        <v>599</v>
      </c>
      <c r="N171" s="422"/>
    </row>
    <row r="172" spans="13:14" ht="60.75" customHeight="1">
      <c r="M172" s="424" t="s">
        <v>600</v>
      </c>
      <c r="N172" s="422"/>
    </row>
    <row r="173" spans="13:14" ht="60.75" customHeight="1">
      <c r="M173" s="424" t="s">
        <v>601</v>
      </c>
      <c r="N173" s="422"/>
    </row>
    <row r="174" spans="13:14" ht="60.75" customHeight="1">
      <c r="M174" s="425"/>
      <c r="N174" s="422"/>
    </row>
    <row r="175" spans="13:14" ht="60.75" customHeight="1">
      <c r="M175" s="424" t="s">
        <v>602</v>
      </c>
      <c r="N175" s="422"/>
    </row>
    <row r="176" spans="13:14" ht="60.75" customHeight="1">
      <c r="M176" s="424" t="s">
        <v>603</v>
      </c>
      <c r="N176" s="422"/>
    </row>
    <row r="177" spans="13:87" ht="60.75" customHeight="1">
      <c r="M177" s="424" t="s">
        <v>604</v>
      </c>
      <c r="N177" s="422"/>
    </row>
    <row r="178" spans="13:87" ht="60.75" customHeight="1">
      <c r="M178" s="424"/>
      <c r="N178" s="422"/>
    </row>
    <row r="179" spans="13:87" ht="60.75" customHeight="1">
      <c r="M179" s="423"/>
      <c r="N179" s="422"/>
    </row>
    <row r="180" spans="13:87" ht="60.75" customHeight="1">
      <c r="M180" s="424" t="s">
        <v>683</v>
      </c>
      <c r="N180" s="422"/>
    </row>
    <row r="181" spans="13:87" ht="60.75" customHeight="1">
      <c r="M181" s="424" t="s">
        <v>605</v>
      </c>
      <c r="N181" s="422"/>
    </row>
    <row r="182" spans="13:87" ht="60.75" customHeight="1">
      <c r="M182" s="424" t="s">
        <v>606</v>
      </c>
      <c r="N182" s="422"/>
    </row>
    <row r="183" spans="13:87" ht="60.75" customHeight="1">
      <c r="M183" s="425"/>
      <c r="N183" s="422"/>
    </row>
    <row r="184" spans="13:87" ht="60.75" customHeight="1">
      <c r="M184" s="426" t="s">
        <v>585</v>
      </c>
      <c r="N184" s="422"/>
    </row>
    <row r="185" spans="13:87" ht="60.75" customHeight="1">
      <c r="M185" s="424" t="s">
        <v>607</v>
      </c>
      <c r="N185" s="422"/>
    </row>
    <row r="186" spans="13:87" ht="60.75" customHeight="1">
      <c r="M186" s="424" t="s">
        <v>608</v>
      </c>
      <c r="N186" s="422"/>
    </row>
    <row r="187" spans="13:87" ht="60.75" customHeight="1">
      <c r="M187" s="425"/>
      <c r="N187" s="422"/>
    </row>
    <row r="188" spans="13:87" ht="60.75" customHeight="1">
      <c r="M188" s="426" t="s">
        <v>589</v>
      </c>
      <c r="N188" s="422"/>
    </row>
    <row r="189" spans="13:87" ht="60.75" customHeight="1">
      <c r="M189" s="424" t="s">
        <v>609</v>
      </c>
      <c r="N189" s="422"/>
    </row>
    <row r="190" spans="13:87" ht="60.75" customHeight="1">
      <c r="M190" s="424"/>
      <c r="N190" s="422"/>
    </row>
    <row r="191" spans="13:87" ht="60.75" customHeight="1">
      <c r="M191" s="423"/>
      <c r="N191" s="422"/>
    </row>
    <row r="192" spans="13:87" ht="60.75" customHeight="1">
      <c r="M192" s="428" t="s">
        <v>682</v>
      </c>
      <c r="N192" s="422"/>
      <c r="CG192" s="293"/>
      <c r="CH192" s="293"/>
      <c r="CI192" s="293"/>
    </row>
    <row r="193" spans="13:87" ht="60.75" customHeight="1">
      <c r="M193" s="424" t="s">
        <v>610</v>
      </c>
      <c r="N193" s="422"/>
      <c r="CG193" s="293"/>
      <c r="CH193" s="293"/>
      <c r="CI193" s="293"/>
    </row>
    <row r="194" spans="13:87" ht="60.75" customHeight="1">
      <c r="M194" s="425"/>
      <c r="N194" s="422"/>
      <c r="CG194" s="293"/>
      <c r="CH194" s="293"/>
      <c r="CI194" s="293"/>
    </row>
    <row r="195" spans="13:87" ht="60.75" customHeight="1">
      <c r="M195" s="426" t="s">
        <v>585</v>
      </c>
      <c r="N195" s="422"/>
      <c r="CG195" s="293"/>
      <c r="CH195" s="293"/>
      <c r="CI195" s="293"/>
    </row>
    <row r="196" spans="13:87" ht="60.75" customHeight="1">
      <c r="M196" s="424" t="s">
        <v>611</v>
      </c>
      <c r="N196" s="422"/>
      <c r="CG196" s="293"/>
      <c r="CH196" s="293"/>
      <c r="CI196" s="293"/>
    </row>
    <row r="197" spans="13:87" ht="60.75" customHeight="1">
      <c r="M197" s="425"/>
      <c r="N197" s="422"/>
      <c r="CG197" s="293"/>
      <c r="CH197" s="293"/>
      <c r="CI197" s="293"/>
    </row>
    <row r="198" spans="13:87" ht="60.75" customHeight="1">
      <c r="M198" s="426" t="s">
        <v>589</v>
      </c>
      <c r="N198" s="422"/>
      <c r="CG198" s="293"/>
      <c r="CH198" s="293"/>
      <c r="CI198" s="293"/>
    </row>
    <row r="199" spans="13:87" ht="60.75" customHeight="1">
      <c r="M199" s="424" t="s">
        <v>612</v>
      </c>
      <c r="N199" s="422"/>
      <c r="CG199" s="293"/>
      <c r="CH199" s="293"/>
      <c r="CI199" s="293"/>
    </row>
    <row r="200" spans="13:87" ht="60.75" customHeight="1">
      <c r="M200" s="424" t="s">
        <v>613</v>
      </c>
      <c r="N200" s="422"/>
      <c r="CG200" s="293"/>
      <c r="CH200" s="293"/>
      <c r="CI200" s="293"/>
    </row>
    <row r="201" spans="13:87" ht="60.75" customHeight="1">
      <c r="M201" s="424"/>
      <c r="N201" s="422"/>
      <c r="CG201" s="293"/>
      <c r="CH201" s="293"/>
      <c r="CI201" s="293"/>
    </row>
    <row r="202" spans="13:87" ht="60.75" customHeight="1">
      <c r="M202" s="423"/>
      <c r="N202" s="422"/>
      <c r="CG202" s="293"/>
      <c r="CH202" s="293"/>
      <c r="CI202" s="293"/>
    </row>
    <row r="203" spans="13:87" ht="60.75" customHeight="1">
      <c r="M203" s="424" t="s">
        <v>686</v>
      </c>
      <c r="N203" s="422"/>
      <c r="CG203" s="293"/>
      <c r="CH203" s="293"/>
      <c r="CI203" s="293"/>
    </row>
    <row r="204" spans="13:87" ht="60.75" customHeight="1">
      <c r="M204" s="424" t="s">
        <v>614</v>
      </c>
      <c r="N204" s="422"/>
      <c r="CG204" s="293"/>
      <c r="CH204" s="293"/>
      <c r="CI204" s="293"/>
    </row>
    <row r="205" spans="13:87" ht="60.75" customHeight="1">
      <c r="M205" s="425"/>
      <c r="N205" s="422"/>
    </row>
    <row r="206" spans="13:87" ht="60.75" customHeight="1">
      <c r="M206" s="426" t="s">
        <v>585</v>
      </c>
      <c r="N206" s="422"/>
    </row>
    <row r="207" spans="13:87" ht="60.75" customHeight="1">
      <c r="M207" s="424" t="s">
        <v>615</v>
      </c>
      <c r="N207" s="422"/>
    </row>
    <row r="208" spans="13:87" ht="60.75" customHeight="1">
      <c r="M208" s="424" t="s">
        <v>616</v>
      </c>
      <c r="N208" s="422"/>
    </row>
    <row r="209" spans="13:14" ht="60.75" customHeight="1">
      <c r="M209" s="424" t="s">
        <v>617</v>
      </c>
      <c r="N209" s="422"/>
    </row>
    <row r="210" spans="13:14" ht="60.75" customHeight="1">
      <c r="M210" s="425"/>
      <c r="N210" s="422"/>
    </row>
    <row r="211" spans="13:14" ht="60.75" customHeight="1">
      <c r="M211" s="426" t="s">
        <v>589</v>
      </c>
      <c r="N211" s="422"/>
    </row>
    <row r="212" spans="13:14" ht="60.75" customHeight="1">
      <c r="M212" s="424" t="s">
        <v>618</v>
      </c>
      <c r="N212" s="422"/>
    </row>
    <row r="213" spans="13:14" ht="60.75" customHeight="1">
      <c r="M213" s="424" t="s">
        <v>619</v>
      </c>
      <c r="N213" s="422"/>
    </row>
    <row r="214" spans="13:14" ht="60.75" customHeight="1">
      <c r="M214" s="424" t="s">
        <v>620</v>
      </c>
      <c r="N214" s="422"/>
    </row>
    <row r="215" spans="13:14" ht="60.75" customHeight="1">
      <c r="M215" s="424" t="s">
        <v>621</v>
      </c>
      <c r="N215" s="422"/>
    </row>
    <row r="216" spans="13:14" ht="60.75" customHeight="1">
      <c r="M216" s="424" t="s">
        <v>622</v>
      </c>
      <c r="N216" s="422"/>
    </row>
    <row r="217" spans="13:14" ht="60.75" customHeight="1">
      <c r="M217" s="424" t="s">
        <v>623</v>
      </c>
      <c r="N217" s="422"/>
    </row>
    <row r="218" spans="13:14" ht="60.75" customHeight="1">
      <c r="M218" s="424" t="s">
        <v>624</v>
      </c>
      <c r="N218" s="422"/>
    </row>
    <row r="219" spans="13:14" ht="60.75" customHeight="1">
      <c r="M219" s="424"/>
      <c r="N219" s="422"/>
    </row>
    <row r="220" spans="13:14" ht="60.75" customHeight="1">
      <c r="M220" s="423"/>
      <c r="N220" s="422"/>
    </row>
    <row r="221" spans="13:14" ht="60.75" customHeight="1">
      <c r="M221" s="424" t="s">
        <v>687</v>
      </c>
      <c r="N221" s="422"/>
    </row>
    <row r="222" spans="13:14" ht="60.75" customHeight="1">
      <c r="M222" s="424" t="s">
        <v>625</v>
      </c>
      <c r="N222" s="422"/>
    </row>
    <row r="223" spans="13:14" ht="60.75" customHeight="1">
      <c r="M223" s="424" t="s">
        <v>626</v>
      </c>
      <c r="N223" s="422"/>
    </row>
    <row r="224" spans="13:14" ht="60.75" customHeight="1">
      <c r="M224" s="424" t="s">
        <v>627</v>
      </c>
      <c r="N224" s="422"/>
    </row>
    <row r="225" spans="13:14" ht="60.75" customHeight="1">
      <c r="M225" s="425"/>
      <c r="N225" s="422"/>
    </row>
    <row r="226" spans="13:14" ht="60.75" customHeight="1">
      <c r="M226" s="426" t="s">
        <v>585</v>
      </c>
      <c r="N226" s="422"/>
    </row>
    <row r="227" spans="13:14" ht="60.75" customHeight="1">
      <c r="M227" s="424" t="s">
        <v>628</v>
      </c>
      <c r="N227" s="422"/>
    </row>
    <row r="228" spans="13:14" ht="60.75" customHeight="1">
      <c r="M228" s="424" t="s">
        <v>613</v>
      </c>
      <c r="N228" s="422"/>
    </row>
    <row r="229" spans="13:14" ht="60.75" customHeight="1">
      <c r="M229" s="424"/>
      <c r="N229" s="422"/>
    </row>
    <row r="230" spans="13:14" ht="60.75" customHeight="1">
      <c r="M230" s="423"/>
      <c r="N230" s="422"/>
    </row>
    <row r="231" spans="13:14" ht="60.75" customHeight="1">
      <c r="M231" s="424" t="s">
        <v>688</v>
      </c>
      <c r="N231" s="422"/>
    </row>
    <row r="232" spans="13:14" ht="60.75" customHeight="1">
      <c r="M232" s="424" t="s">
        <v>629</v>
      </c>
      <c r="N232" s="422"/>
    </row>
    <row r="233" spans="13:14" ht="60.75" customHeight="1">
      <c r="M233" s="425"/>
      <c r="N233" s="422"/>
    </row>
    <row r="234" spans="13:14" ht="60.75" customHeight="1">
      <c r="M234" s="426" t="s">
        <v>585</v>
      </c>
      <c r="N234" s="422"/>
    </row>
    <row r="235" spans="13:14" ht="60.75" customHeight="1">
      <c r="M235" s="424" t="s">
        <v>630</v>
      </c>
      <c r="N235" s="422"/>
    </row>
    <row r="236" spans="13:14" ht="60.75" customHeight="1">
      <c r="M236" s="424" t="s">
        <v>631</v>
      </c>
      <c r="N236" s="422"/>
    </row>
    <row r="237" spans="13:14" ht="60.75" customHeight="1">
      <c r="M237" s="425"/>
      <c r="N237" s="422"/>
    </row>
    <row r="238" spans="13:14" ht="60.75" customHeight="1">
      <c r="M238" s="426" t="s">
        <v>589</v>
      </c>
      <c r="N238" s="422"/>
    </row>
    <row r="239" spans="13:14" ht="60.75" customHeight="1">
      <c r="M239" s="424" t="s">
        <v>632</v>
      </c>
      <c r="N239" s="422"/>
    </row>
    <row r="240" spans="13:14" ht="60.75" customHeight="1">
      <c r="M240" s="424" t="s">
        <v>613</v>
      </c>
      <c r="N240" s="422"/>
    </row>
    <row r="241" spans="13:14" ht="60.75" customHeight="1">
      <c r="M241" s="424"/>
      <c r="N241" s="422"/>
    </row>
    <row r="242" spans="13:14" ht="60.75" customHeight="1">
      <c r="M242" s="423"/>
      <c r="N242" s="422"/>
    </row>
    <row r="243" spans="13:14" ht="60.75" customHeight="1">
      <c r="M243" s="424" t="s">
        <v>689</v>
      </c>
      <c r="N243" s="422"/>
    </row>
    <row r="244" spans="13:14" ht="60.75" customHeight="1">
      <c r="M244" s="424" t="s">
        <v>633</v>
      </c>
      <c r="N244" s="422"/>
    </row>
    <row r="245" spans="13:14" ht="60.75" customHeight="1">
      <c r="M245" s="425"/>
      <c r="N245" s="422"/>
    </row>
    <row r="246" spans="13:14" ht="60.75" customHeight="1">
      <c r="M246" s="426" t="s">
        <v>585</v>
      </c>
      <c r="N246" s="422"/>
    </row>
    <row r="247" spans="13:14" ht="60.75" customHeight="1">
      <c r="M247" s="424" t="s">
        <v>634</v>
      </c>
      <c r="N247" s="422"/>
    </row>
    <row r="248" spans="13:14" ht="60.75" customHeight="1">
      <c r="M248" s="424" t="s">
        <v>635</v>
      </c>
      <c r="N248" s="422"/>
    </row>
    <row r="249" spans="13:14" ht="60.75" customHeight="1">
      <c r="M249" s="424" t="s">
        <v>636</v>
      </c>
      <c r="N249" s="422"/>
    </row>
    <row r="250" spans="13:14" ht="60.75" customHeight="1">
      <c r="M250" s="424" t="s">
        <v>637</v>
      </c>
      <c r="N250" s="422"/>
    </row>
    <row r="251" spans="13:14" ht="60.75" customHeight="1">
      <c r="M251" s="425"/>
      <c r="N251" s="422"/>
    </row>
    <row r="252" spans="13:14" ht="60.75" customHeight="1">
      <c r="M252" s="426" t="s">
        <v>589</v>
      </c>
      <c r="N252" s="422"/>
    </row>
    <row r="253" spans="13:14" ht="60.75" customHeight="1">
      <c r="M253" s="424" t="s">
        <v>638</v>
      </c>
      <c r="N253" s="422"/>
    </row>
    <row r="254" spans="13:14" ht="60.75" customHeight="1">
      <c r="M254" s="424" t="s">
        <v>639</v>
      </c>
      <c r="N254" s="422"/>
    </row>
    <row r="255" spans="13:14" ht="60.75" customHeight="1">
      <c r="M255" s="424" t="s">
        <v>640</v>
      </c>
      <c r="N255" s="422"/>
    </row>
    <row r="256" spans="13:14" ht="60.75" customHeight="1">
      <c r="M256" s="424" t="s">
        <v>641</v>
      </c>
      <c r="N256" s="422"/>
    </row>
    <row r="257" spans="13:14" ht="60.75" customHeight="1">
      <c r="M257" s="424"/>
      <c r="N257" s="422"/>
    </row>
    <row r="258" spans="13:14" ht="60.75" customHeight="1">
      <c r="M258" s="423"/>
      <c r="N258" s="422"/>
    </row>
    <row r="259" spans="13:14" ht="60.75" customHeight="1">
      <c r="M259" s="424" t="s">
        <v>690</v>
      </c>
      <c r="N259" s="422"/>
    </row>
    <row r="260" spans="13:14" ht="60.75" customHeight="1">
      <c r="M260" s="424" t="s">
        <v>642</v>
      </c>
      <c r="N260" s="422"/>
    </row>
    <row r="261" spans="13:14" ht="60.75" customHeight="1">
      <c r="M261" s="425"/>
      <c r="N261" s="422"/>
    </row>
    <row r="262" spans="13:14" ht="60.75" customHeight="1">
      <c r="M262" s="426" t="s">
        <v>585</v>
      </c>
      <c r="N262" s="422"/>
    </row>
    <row r="263" spans="13:14" ht="60.75" customHeight="1">
      <c r="M263" s="424" t="s">
        <v>643</v>
      </c>
      <c r="N263" s="422"/>
    </row>
    <row r="264" spans="13:14" ht="60.75" customHeight="1">
      <c r="M264" s="425"/>
      <c r="N264" s="422"/>
    </row>
    <row r="265" spans="13:14" ht="60.75" customHeight="1">
      <c r="M265" s="426" t="s">
        <v>589</v>
      </c>
      <c r="N265" s="422"/>
    </row>
    <row r="266" spans="13:14" ht="60.75" customHeight="1">
      <c r="M266" s="424" t="s">
        <v>644</v>
      </c>
      <c r="N266" s="422"/>
    </row>
    <row r="267" spans="13:14" ht="60.75" customHeight="1">
      <c r="M267" s="424"/>
      <c r="N267" s="422"/>
    </row>
    <row r="268" spans="13:14" ht="60.75" customHeight="1">
      <c r="M268" s="423"/>
      <c r="N268" s="422"/>
    </row>
    <row r="269" spans="13:14" ht="60.75" customHeight="1">
      <c r="M269" s="424" t="s">
        <v>691</v>
      </c>
      <c r="N269" s="422"/>
    </row>
    <row r="270" spans="13:14" ht="60.75" customHeight="1">
      <c r="M270" s="424" t="s">
        <v>645</v>
      </c>
      <c r="N270" s="422"/>
    </row>
    <row r="271" spans="13:14" ht="60.75" customHeight="1">
      <c r="M271" s="425"/>
      <c r="N271" s="422"/>
    </row>
    <row r="272" spans="13:14" ht="60.75" customHeight="1">
      <c r="M272" s="426" t="s">
        <v>585</v>
      </c>
      <c r="N272" s="422"/>
    </row>
    <row r="273" spans="13:14" ht="60.75" customHeight="1">
      <c r="M273" s="424" t="s">
        <v>646</v>
      </c>
      <c r="N273" s="422"/>
    </row>
    <row r="274" spans="13:14" ht="60.75" customHeight="1">
      <c r="M274" s="424" t="s">
        <v>647</v>
      </c>
      <c r="N274" s="422"/>
    </row>
    <row r="275" spans="13:14" ht="60.75" customHeight="1">
      <c r="M275" s="425"/>
      <c r="N275" s="422"/>
    </row>
    <row r="276" spans="13:14" ht="60.75" customHeight="1">
      <c r="M276" s="426" t="s">
        <v>589</v>
      </c>
      <c r="N276" s="422"/>
    </row>
    <row r="277" spans="13:14" ht="60.75" customHeight="1">
      <c r="M277" s="424" t="s">
        <v>648</v>
      </c>
      <c r="N277" s="422"/>
    </row>
    <row r="278" spans="13:14" ht="60.75" customHeight="1">
      <c r="M278" s="424"/>
      <c r="N278" s="422"/>
    </row>
    <row r="279" spans="13:14" ht="60.75" customHeight="1">
      <c r="M279" s="424"/>
      <c r="N279" s="422"/>
    </row>
    <row r="280" spans="13:14" ht="60.75" customHeight="1">
      <c r="M280" s="423"/>
      <c r="N280" s="422"/>
    </row>
    <row r="281" spans="13:14" ht="60.75" customHeight="1">
      <c r="M281" s="424" t="s">
        <v>692</v>
      </c>
      <c r="N281" s="422"/>
    </row>
    <row r="282" spans="13:14" ht="60.75" customHeight="1">
      <c r="M282" s="424" t="s">
        <v>649</v>
      </c>
      <c r="N282" s="422"/>
    </row>
    <row r="283" spans="13:14" ht="60.75" customHeight="1">
      <c r="M283" s="425"/>
      <c r="N283" s="422"/>
    </row>
    <row r="284" spans="13:14" ht="60.75" customHeight="1">
      <c r="M284" s="426" t="s">
        <v>585</v>
      </c>
      <c r="N284" s="422"/>
    </row>
    <row r="285" spans="13:14" ht="60.75" customHeight="1">
      <c r="M285" s="424" t="s">
        <v>650</v>
      </c>
      <c r="N285" s="422"/>
    </row>
    <row r="286" spans="13:14" ht="60.75" customHeight="1">
      <c r="M286" s="425"/>
      <c r="N286" s="422"/>
    </row>
    <row r="287" spans="13:14" ht="60.75" customHeight="1">
      <c r="M287" s="426" t="s">
        <v>589</v>
      </c>
      <c r="N287" s="422"/>
    </row>
    <row r="288" spans="13:14" ht="60.75" customHeight="1">
      <c r="M288" s="424" t="s">
        <v>651</v>
      </c>
      <c r="N288" s="422"/>
    </row>
    <row r="289" spans="13:14" ht="60.75" customHeight="1">
      <c r="M289" s="424" t="s">
        <v>652</v>
      </c>
      <c r="N289" s="422"/>
    </row>
    <row r="290" spans="13:14" ht="60.75" customHeight="1">
      <c r="M290" s="424"/>
      <c r="N290" s="422"/>
    </row>
    <row r="291" spans="13:14" ht="60.75" customHeight="1">
      <c r="M291" s="423"/>
      <c r="N291" s="422"/>
    </row>
    <row r="292" spans="13:14" ht="60.75" customHeight="1">
      <c r="M292" s="424" t="s">
        <v>693</v>
      </c>
      <c r="N292" s="422"/>
    </row>
    <row r="293" spans="13:14" ht="60.75" customHeight="1">
      <c r="M293" s="424" t="s">
        <v>653</v>
      </c>
      <c r="N293" s="422"/>
    </row>
    <row r="294" spans="13:14" ht="60.75" customHeight="1">
      <c r="M294" s="424" t="s">
        <v>654</v>
      </c>
      <c r="N294" s="422"/>
    </row>
    <row r="295" spans="13:14" ht="60.75" customHeight="1">
      <c r="M295" s="425"/>
      <c r="N295" s="422"/>
    </row>
    <row r="296" spans="13:14" ht="60.75" customHeight="1">
      <c r="M296" s="426" t="s">
        <v>585</v>
      </c>
      <c r="N296" s="422"/>
    </row>
    <row r="297" spans="13:14" ht="60.75" customHeight="1">
      <c r="M297" s="424" t="s">
        <v>655</v>
      </c>
      <c r="N297" s="422"/>
    </row>
    <row r="298" spans="13:14" ht="60.75" customHeight="1">
      <c r="M298" s="425"/>
      <c r="N298" s="422"/>
    </row>
    <row r="299" spans="13:14" ht="60.75" customHeight="1">
      <c r="M299" s="426" t="s">
        <v>589</v>
      </c>
      <c r="N299" s="422"/>
    </row>
    <row r="300" spans="13:14" ht="60.75" customHeight="1">
      <c r="M300" s="424" t="s">
        <v>681</v>
      </c>
      <c r="N300" s="422"/>
    </row>
    <row r="301" spans="13:14" ht="60.75" customHeight="1">
      <c r="M301" s="424" t="s">
        <v>656</v>
      </c>
      <c r="N301" s="422"/>
    </row>
    <row r="302" spans="13:14" ht="60.75" customHeight="1">
      <c r="M302" s="424"/>
      <c r="N302" s="422"/>
    </row>
    <row r="303" spans="13:14" ht="60.75" customHeight="1">
      <c r="M303" s="423"/>
      <c r="N303" s="422"/>
    </row>
    <row r="304" spans="13:14" ht="60.75" customHeight="1">
      <c r="M304" s="424" t="s">
        <v>694</v>
      </c>
      <c r="N304" s="422"/>
    </row>
    <row r="305" spans="13:14" ht="60.75" customHeight="1">
      <c r="M305" s="424" t="s">
        <v>657</v>
      </c>
      <c r="N305" s="422"/>
    </row>
    <row r="306" spans="13:14" ht="60.75" customHeight="1">
      <c r="M306" s="425"/>
      <c r="N306" s="422"/>
    </row>
    <row r="307" spans="13:14" ht="60.75" customHeight="1">
      <c r="M307" s="426" t="s">
        <v>585</v>
      </c>
      <c r="N307" s="422"/>
    </row>
    <row r="308" spans="13:14" ht="60.75" customHeight="1">
      <c r="M308" s="424" t="s">
        <v>658</v>
      </c>
      <c r="N308" s="422"/>
    </row>
    <row r="309" spans="13:14" ht="60.75" customHeight="1">
      <c r="M309" s="425"/>
      <c r="N309" s="422"/>
    </row>
    <row r="310" spans="13:14" ht="60.75" customHeight="1">
      <c r="M310" s="426" t="s">
        <v>589</v>
      </c>
      <c r="N310" s="422"/>
    </row>
    <row r="311" spans="13:14" ht="60.75" customHeight="1">
      <c r="M311" s="424" t="s">
        <v>659</v>
      </c>
      <c r="N311" s="422"/>
    </row>
    <row r="312" spans="13:14" ht="60.75" customHeight="1">
      <c r="M312" s="424" t="s">
        <v>660</v>
      </c>
      <c r="N312" s="422"/>
    </row>
    <row r="313" spans="13:14" ht="60.75" customHeight="1">
      <c r="M313" s="424"/>
      <c r="N313" s="422"/>
    </row>
    <row r="314" spans="13:14" ht="60.75" customHeight="1">
      <c r="M314" s="423"/>
      <c r="N314" s="422"/>
    </row>
    <row r="315" spans="13:14" ht="60.75" customHeight="1">
      <c r="M315" s="424" t="s">
        <v>695</v>
      </c>
      <c r="N315" s="422"/>
    </row>
    <row r="316" spans="13:14" ht="60.75" customHeight="1">
      <c r="M316" s="424" t="s">
        <v>661</v>
      </c>
      <c r="N316" s="422"/>
    </row>
    <row r="317" spans="13:14" ht="60.75" customHeight="1">
      <c r="M317" s="425"/>
      <c r="N317" s="422"/>
    </row>
    <row r="318" spans="13:14" ht="60.75" customHeight="1">
      <c r="M318" s="426" t="s">
        <v>585</v>
      </c>
      <c r="N318" s="422"/>
    </row>
    <row r="319" spans="13:14" ht="60.75" customHeight="1">
      <c r="M319" s="424" t="s">
        <v>662</v>
      </c>
      <c r="N319" s="422"/>
    </row>
    <row r="320" spans="13:14" ht="60.75" customHeight="1">
      <c r="M320" s="425"/>
      <c r="N320" s="422"/>
    </row>
    <row r="321" spans="13:14" ht="60.75" customHeight="1">
      <c r="M321" s="426" t="s">
        <v>589</v>
      </c>
      <c r="N321" s="422"/>
    </row>
    <row r="322" spans="13:14" ht="60.75" customHeight="1">
      <c r="M322" s="424" t="s">
        <v>663</v>
      </c>
      <c r="N322" s="422"/>
    </row>
    <row r="323" spans="13:14" ht="60.75" customHeight="1">
      <c r="M323" s="424" t="s">
        <v>664</v>
      </c>
      <c r="N323" s="422"/>
    </row>
    <row r="324" spans="13:14" ht="60.75" customHeight="1">
      <c r="M324" s="424"/>
      <c r="N324" s="422"/>
    </row>
    <row r="325" spans="13:14" ht="60.75" customHeight="1">
      <c r="M325" s="423"/>
      <c r="N325" s="422"/>
    </row>
    <row r="326" spans="13:14" ht="60.75" customHeight="1">
      <c r="M326" s="424" t="s">
        <v>696</v>
      </c>
      <c r="N326" s="422"/>
    </row>
    <row r="327" spans="13:14" ht="60.75" customHeight="1">
      <c r="M327" s="424" t="s">
        <v>665</v>
      </c>
      <c r="N327" s="422"/>
    </row>
    <row r="328" spans="13:14" ht="60.75" customHeight="1">
      <c r="M328" s="425"/>
      <c r="N328" s="422"/>
    </row>
    <row r="329" spans="13:14" ht="60.75" customHeight="1">
      <c r="M329" s="426" t="s">
        <v>585</v>
      </c>
      <c r="N329" s="422"/>
    </row>
    <row r="330" spans="13:14" ht="60.75" customHeight="1">
      <c r="M330" s="424" t="s">
        <v>666</v>
      </c>
      <c r="N330" s="422"/>
    </row>
    <row r="331" spans="13:14" ht="60.75" customHeight="1">
      <c r="M331" s="425"/>
      <c r="N331" s="422"/>
    </row>
    <row r="332" spans="13:14" ht="60.75" customHeight="1">
      <c r="M332" s="426" t="s">
        <v>589</v>
      </c>
      <c r="N332" s="422"/>
    </row>
    <row r="333" spans="13:14" ht="60.75" customHeight="1">
      <c r="M333" s="424" t="s">
        <v>667</v>
      </c>
      <c r="N333" s="422"/>
    </row>
    <row r="334" spans="13:14" ht="60.75" customHeight="1">
      <c r="M334" s="424"/>
      <c r="N334" s="422"/>
    </row>
    <row r="335" spans="13:14" ht="60.75" customHeight="1">
      <c r="M335" s="423"/>
      <c r="N335" s="422"/>
    </row>
    <row r="336" spans="13:14" ht="60.75" customHeight="1">
      <c r="M336" s="424" t="s">
        <v>697</v>
      </c>
      <c r="N336" s="422"/>
    </row>
    <row r="337" spans="13:14" ht="60.75" customHeight="1">
      <c r="M337" s="424" t="s">
        <v>668</v>
      </c>
      <c r="N337" s="422"/>
    </row>
    <row r="338" spans="13:14" ht="60.75" customHeight="1">
      <c r="M338" s="425"/>
      <c r="N338" s="422"/>
    </row>
    <row r="339" spans="13:14" ht="60.75" customHeight="1">
      <c r="M339" s="426" t="s">
        <v>585</v>
      </c>
      <c r="N339" s="422"/>
    </row>
    <row r="340" spans="13:14" ht="60.75" customHeight="1">
      <c r="M340" s="424" t="s">
        <v>669</v>
      </c>
      <c r="N340" s="422"/>
    </row>
    <row r="341" spans="13:14" ht="60.75" customHeight="1">
      <c r="M341" s="425"/>
      <c r="N341" s="422"/>
    </row>
    <row r="342" spans="13:14" ht="60.75" customHeight="1">
      <c r="M342" s="426" t="s">
        <v>589</v>
      </c>
      <c r="N342" s="422"/>
    </row>
    <row r="343" spans="13:14" ht="60.75" customHeight="1">
      <c r="M343" s="424" t="s">
        <v>670</v>
      </c>
      <c r="N343" s="422"/>
    </row>
    <row r="344" spans="13:14" ht="60.75" customHeight="1">
      <c r="M344" s="424"/>
      <c r="N344" s="422"/>
    </row>
    <row r="345" spans="13:14" ht="60.75" customHeight="1">
      <c r="M345" s="423"/>
      <c r="N345" s="422"/>
    </row>
    <row r="346" spans="13:14" ht="60.75" customHeight="1">
      <c r="M346" s="424" t="s">
        <v>698</v>
      </c>
      <c r="N346" s="422"/>
    </row>
    <row r="347" spans="13:14" ht="60.75" customHeight="1">
      <c r="M347" s="424" t="s">
        <v>671</v>
      </c>
      <c r="N347" s="422"/>
    </row>
    <row r="348" spans="13:14" ht="60.75" customHeight="1">
      <c r="M348" s="425"/>
      <c r="N348" s="422"/>
    </row>
    <row r="349" spans="13:14" ht="60.75" customHeight="1">
      <c r="M349" s="426" t="s">
        <v>585</v>
      </c>
      <c r="N349" s="422"/>
    </row>
    <row r="350" spans="13:14" ht="60.75" customHeight="1">
      <c r="M350" s="424" t="s">
        <v>672</v>
      </c>
      <c r="N350" s="422"/>
    </row>
    <row r="351" spans="13:14" ht="60.75" customHeight="1">
      <c r="M351" s="425"/>
      <c r="N351" s="422"/>
    </row>
    <row r="352" spans="13:14" ht="60.75" customHeight="1">
      <c r="M352" s="426" t="s">
        <v>589</v>
      </c>
      <c r="N352" s="422"/>
    </row>
    <row r="353" spans="13:14" ht="60.75" customHeight="1">
      <c r="M353" s="424" t="s">
        <v>673</v>
      </c>
      <c r="N353" s="422"/>
    </row>
    <row r="354" spans="13:14" ht="60.75" customHeight="1">
      <c r="M354" s="424"/>
      <c r="N354" s="422"/>
    </row>
    <row r="355" spans="13:14" ht="60.75" customHeight="1">
      <c r="M355" s="423"/>
      <c r="N355" s="422"/>
    </row>
    <row r="356" spans="13:14" ht="60.75" customHeight="1">
      <c r="M356" s="424" t="s">
        <v>699</v>
      </c>
      <c r="N356" s="422"/>
    </row>
    <row r="357" spans="13:14" ht="60.75" customHeight="1">
      <c r="M357" s="424" t="s">
        <v>674</v>
      </c>
      <c r="N357" s="422"/>
    </row>
    <row r="358" spans="13:14" ht="60.75" customHeight="1">
      <c r="M358" s="425"/>
      <c r="N358" s="422"/>
    </row>
    <row r="359" spans="13:14" ht="60.75" customHeight="1">
      <c r="M359" s="426" t="s">
        <v>585</v>
      </c>
      <c r="N359" s="422"/>
    </row>
    <row r="360" spans="13:14" ht="60.75" customHeight="1">
      <c r="M360" s="424" t="s">
        <v>675</v>
      </c>
      <c r="N360" s="422"/>
    </row>
    <row r="361" spans="13:14" ht="60.75" customHeight="1">
      <c r="M361" s="425"/>
      <c r="N361" s="422"/>
    </row>
    <row r="362" spans="13:14" ht="60.75" customHeight="1">
      <c r="M362" s="426" t="s">
        <v>589</v>
      </c>
      <c r="N362" s="422"/>
    </row>
    <row r="363" spans="13:14" ht="60.75" customHeight="1">
      <c r="M363" s="424" t="s">
        <v>676</v>
      </c>
      <c r="N363" s="422"/>
    </row>
    <row r="364" spans="13:14" ht="60.75" customHeight="1">
      <c r="M364" s="424"/>
      <c r="N364" s="422"/>
    </row>
    <row r="365" spans="13:14" ht="60.75" customHeight="1">
      <c r="M365" s="423"/>
      <c r="N365" s="422"/>
    </row>
    <row r="366" spans="13:14" ht="60.75" customHeight="1">
      <c r="M366" s="424" t="s">
        <v>700</v>
      </c>
      <c r="N366" s="422"/>
    </row>
    <row r="367" spans="13:14" ht="60.75" customHeight="1">
      <c r="M367" s="424" t="s">
        <v>677</v>
      </c>
      <c r="N367" s="422"/>
    </row>
    <row r="368" spans="13:14" ht="60.75" customHeight="1">
      <c r="M368" s="425"/>
      <c r="N368" s="422"/>
    </row>
    <row r="369" spans="13:14" ht="60.75" customHeight="1">
      <c r="M369" s="426" t="s">
        <v>585</v>
      </c>
      <c r="N369" s="422"/>
    </row>
    <row r="370" spans="13:14" ht="60.75" customHeight="1">
      <c r="M370" s="424" t="s">
        <v>678</v>
      </c>
      <c r="N370" s="422"/>
    </row>
    <row r="371" spans="13:14" ht="60.75" customHeight="1">
      <c r="M371" s="425"/>
      <c r="N371" s="422"/>
    </row>
    <row r="372" spans="13:14" ht="60.75" customHeight="1">
      <c r="M372" s="426" t="s">
        <v>589</v>
      </c>
      <c r="N372" s="422"/>
    </row>
    <row r="373" spans="13:14" ht="60.75" customHeight="1">
      <c r="M373" s="424" t="s">
        <v>679</v>
      </c>
      <c r="N373" s="422"/>
    </row>
    <row r="374" spans="13:14" ht="60.75" customHeight="1">
      <c r="M374" s="424" t="s">
        <v>680</v>
      </c>
      <c r="N374" s="422"/>
    </row>
  </sheetData>
  <sheetProtection password="EF73" sheet="1" objects="1" scenarios="1" selectLockedCells="1" autoFilter="0" selectUnlockedCells="1"/>
  <autoFilter ref="AO8:AO141"/>
  <customSheetViews>
    <customSheetView guid="{D786A5C0-FBC0-4F24-9F75-D436CA99DC6C}" scale="70" showGridLines="0" zeroValues="0" showAutoFilter="1" hiddenRows="1" hiddenColumns="1" topLeftCell="AT1">
      <selection activeCell="AV161" sqref="AV161"/>
      <pageMargins left="1" right="0" top="0.74803040244969399" bottom="0.74803040244969399" header="0.31496062992126" footer="0.31496062992126"/>
      <printOptions horizontalCentered="1" verticalCentered="1"/>
      <pageSetup paperSize="3" scale="80" orientation="portrait" r:id="rId1"/>
      <autoFilter ref="AO8:AO141"/>
    </customSheetView>
    <customSheetView guid="{257D8C62-BEC4-42F5-9011-98FE74A056C5}" scale="69" filter="1" showAutoFilter="1" hiddenRows="1" hiddenColumns="1" topLeftCell="F7">
      <selection activeCell="J128" sqref="J128"/>
      <autoFilter ref="B1">
        <filterColumn colId="0">
          <filters>
            <filter val="حقق الشرط"/>
          </filters>
        </filterColumn>
      </autoFilter>
    </customSheetView>
    <customSheetView guid="{998369C8-AF8D-4C69-81C1-DF462985F742}" scale="68" hiddenRows="1" hiddenColumns="1" state="hidden" topLeftCell="F108">
      <selection activeCell="R112" sqref="R112"/>
      <pageMargins left="0.7" right="0.7" top="0.75" bottom="0.75" header="0.3" footer="0.3"/>
      <pageSetup paperSize="9" orientation="portrait" r:id="rId2"/>
    </customSheetView>
  </customSheetViews>
  <mergeCells count="34">
    <mergeCell ref="BB4:BD4"/>
    <mergeCell ref="BB2:BD2"/>
    <mergeCell ref="X138:X141"/>
    <mergeCell ref="X56:X61"/>
    <mergeCell ref="AD105:AD107"/>
    <mergeCell ref="X79:X82"/>
    <mergeCell ref="X100:X102"/>
    <mergeCell ref="X108:X110"/>
    <mergeCell ref="AE9:AF9"/>
    <mergeCell ref="BB9:BC9"/>
    <mergeCell ref="BB11:BC12"/>
    <mergeCell ref="AT8:AU8"/>
    <mergeCell ref="AT11:AU11"/>
    <mergeCell ref="AT6:AU6"/>
    <mergeCell ref="BB6:BC7"/>
    <mergeCell ref="M132:N132"/>
    <mergeCell ref="X75:X76"/>
    <mergeCell ref="X92:X94"/>
    <mergeCell ref="X116:X118"/>
    <mergeCell ref="X112:X114"/>
    <mergeCell ref="X88:X89"/>
    <mergeCell ref="X104:X106"/>
    <mergeCell ref="B8:B22"/>
    <mergeCell ref="B23:B33"/>
    <mergeCell ref="X96:X98"/>
    <mergeCell ref="X47:X48"/>
    <mergeCell ref="X16:X18"/>
    <mergeCell ref="X85:X86"/>
    <mergeCell ref="X34:X37"/>
    <mergeCell ref="X52:X53"/>
    <mergeCell ref="X10:X13"/>
    <mergeCell ref="X43:X44"/>
    <mergeCell ref="X21:X25"/>
    <mergeCell ref="X64:X72"/>
  </mergeCells>
  <printOptions horizontalCentered="1" verticalCentered="1"/>
  <pageMargins left="1" right="0" top="0.74803040244969399" bottom="0.74803040244969399" header="0.31496062992126" footer="0.31496062992126"/>
  <pageSetup paperSize="3" scale="80" orientation="portrait"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00"/>
  </sheetPr>
  <dimension ref="A1:CM202"/>
  <sheetViews>
    <sheetView showZeros="0" rightToLeft="1" topLeftCell="F59" zoomScaleNormal="87" workbookViewId="0">
      <selection activeCell="L78" sqref="L78"/>
    </sheetView>
  </sheetViews>
  <sheetFormatPr defaultColWidth="7.75" defaultRowHeight="15"/>
  <cols>
    <col min="1" max="2" width="3" hidden="1" customWidth="1"/>
    <col min="3" max="3" width="6.875" hidden="1" customWidth="1"/>
    <col min="4" max="4" width="9.375" hidden="1" customWidth="1"/>
    <col min="5" max="5" width="9.125" hidden="1" customWidth="1"/>
    <col min="6" max="6" width="9.125" customWidth="1"/>
    <col min="7" max="9" width="12.75" customWidth="1"/>
    <col min="10" max="10" width="6.25" hidden="1" customWidth="1"/>
    <col min="11" max="11" width="9.875" customWidth="1"/>
    <col min="12" max="12" width="9.25" customWidth="1"/>
    <col min="13" max="14" width="8.625" customWidth="1"/>
    <col min="15" max="15" width="12.125" hidden="1" customWidth="1"/>
    <col min="16" max="16" width="8.875" hidden="1" customWidth="1"/>
    <col min="17" max="17" width="11.875" hidden="1" customWidth="1"/>
    <col min="18" max="18" width="14.875" hidden="1" customWidth="1"/>
    <col min="19" max="19" width="9.25" hidden="1" customWidth="1"/>
    <col min="20" max="20" width="11.5" hidden="1" customWidth="1"/>
    <col min="21" max="21" width="17.625" hidden="1" customWidth="1"/>
    <col min="22" max="22" width="11.125" hidden="1" customWidth="1"/>
    <col min="23" max="23" width="15.875" hidden="1" customWidth="1"/>
    <col min="24" max="24" width="18.25" hidden="1" customWidth="1"/>
    <col min="25" max="25" width="19.75" hidden="1" customWidth="1"/>
    <col min="26" max="33" width="9.625" hidden="1" customWidth="1"/>
    <col min="34" max="34" width="8.25" hidden="1" customWidth="1"/>
    <col min="35" max="35" width="9.625" hidden="1" customWidth="1"/>
    <col min="36" max="36" width="2.5" hidden="1" customWidth="1"/>
    <col min="37" max="37" width="0.125" hidden="1" customWidth="1"/>
    <col min="38" max="38" width="17.25" hidden="1" customWidth="1"/>
    <col min="39" max="39" width="8.25" hidden="1" customWidth="1"/>
    <col min="40" max="40" width="12" hidden="1" customWidth="1"/>
    <col min="41" max="41" width="17.125" hidden="1" customWidth="1"/>
    <col min="42" max="42" width="12.25" hidden="1" customWidth="1"/>
    <col min="43" max="43" width="16.5" hidden="1" customWidth="1"/>
    <col min="44" max="44" width="6" customWidth="1"/>
    <col min="45" max="45" width="11.625" hidden="1" customWidth="1"/>
    <col min="46" max="46" width="12.75" hidden="1" customWidth="1"/>
    <col min="47" max="47" width="7.75" hidden="1" customWidth="1"/>
    <col min="48" max="48" width="10" hidden="1" customWidth="1"/>
    <col min="49" max="49" width="9.375" hidden="1" customWidth="1"/>
    <col min="50" max="50" width="10.75" hidden="1" customWidth="1"/>
    <col min="51" max="51" width="10" hidden="1" customWidth="1"/>
    <col min="52" max="52" width="9.375" hidden="1" customWidth="1"/>
    <col min="53" max="53" width="11.25" hidden="1" customWidth="1"/>
    <col min="54" max="54" width="21.75" customWidth="1"/>
    <col min="55" max="55" width="10.25" hidden="1" customWidth="1"/>
    <col min="56" max="56" width="16.75" customWidth="1"/>
    <col min="61" max="61" width="9.25" customWidth="1"/>
    <col min="62" max="62" width="12.875" customWidth="1"/>
    <col min="63" max="63" width="0" hidden="1" customWidth="1"/>
    <col min="69" max="69" width="13.625" customWidth="1"/>
    <col min="70" max="70" width="12.5" customWidth="1"/>
    <col min="71" max="71" width="0" hidden="1" customWidth="1"/>
    <col min="73" max="73" width="9" customWidth="1"/>
    <col min="75" max="75" width="8.5" customWidth="1"/>
    <col min="77" max="77" width="13" customWidth="1"/>
    <col min="78" max="78" width="13.5" customWidth="1"/>
    <col min="79" max="79" width="0" hidden="1" customWidth="1"/>
    <col min="81" max="81" width="8.125" customWidth="1"/>
    <col min="85" max="85" width="12.625" customWidth="1"/>
    <col min="86" max="86" width="12.5" customWidth="1"/>
    <col min="87" max="87" width="0" hidden="1" customWidth="1"/>
    <col min="91" max="91" width="6.75" customWidth="1"/>
  </cols>
  <sheetData>
    <row r="1" spans="1:91" ht="21.75" hidden="1" customHeight="1">
      <c r="I1" s="1">
        <f>1/3-K7</f>
        <v>0.33333333333333331</v>
      </c>
      <c r="J1" s="1">
        <f>T3</f>
        <v>1</v>
      </c>
      <c r="K1" s="1">
        <f>IF(SUM(K64:K75)=0,1,K62)</f>
        <v>1</v>
      </c>
      <c r="L1" s="1">
        <f>IF(SUM(L64:L75)=0,1,L62)</f>
        <v>1</v>
      </c>
      <c r="M1" s="1">
        <f>IF(SUM(M64:M75)=0,1,M62)</f>
        <v>1</v>
      </c>
      <c r="N1" s="1">
        <f>IF(SUM(N64:N75)=0,1,N62)</f>
        <v>1</v>
      </c>
      <c r="T1">
        <f>MINVERSE(K1)</f>
        <v>1</v>
      </c>
      <c r="U1">
        <f>MINVERSE(L1)</f>
        <v>1</v>
      </c>
      <c r="V1">
        <f>MINVERSE(M1)</f>
        <v>1</v>
      </c>
      <c r="W1">
        <f>MINVERSE(N1)</f>
        <v>1</v>
      </c>
    </row>
    <row r="2" spans="1:91" ht="21.75" hidden="1" customHeight="1">
      <c r="I2" s="1">
        <f>1/3-L7</f>
        <v>0.33333333333333331</v>
      </c>
      <c r="J2" s="1">
        <f>U3</f>
        <v>1</v>
      </c>
      <c r="K2" s="1">
        <f xml:space="preserve"> T3*(U3/X5)</f>
        <v>1</v>
      </c>
      <c r="L2" s="1">
        <f>V3*T3/X5</f>
        <v>1</v>
      </c>
      <c r="M2" s="1">
        <f>T3*W3/X5</f>
        <v>1</v>
      </c>
      <c r="N2" s="1">
        <f>T3*X3/X5</f>
        <v>1</v>
      </c>
      <c r="T2" s="1">
        <f>IFERROR(T1,1)</f>
        <v>1</v>
      </c>
      <c r="U2" s="1">
        <f>IFERROR(U1,1)</f>
        <v>1</v>
      </c>
      <c r="V2" s="1">
        <f>IFERROR(V1,1)</f>
        <v>1</v>
      </c>
      <c r="W2" s="1">
        <f>IFERROR(W1,1)</f>
        <v>1</v>
      </c>
      <c r="X2" s="1" t="s">
        <v>114</v>
      </c>
      <c r="Y2" s="1">
        <f>X4*W4*V4*U4*T4*T4</f>
        <v>1</v>
      </c>
      <c r="Z2" s="536">
        <f xml:space="preserve"> Y3</f>
        <v>1</v>
      </c>
    </row>
    <row r="3" spans="1:91" ht="23.25" hidden="1" customHeight="1" thickBot="1">
      <c r="I3" s="1">
        <f>1/3-M7</f>
        <v>0.33333333333333331</v>
      </c>
      <c r="K3" s="1">
        <f>IFERROR( K62,0)</f>
        <v>0</v>
      </c>
      <c r="L3" s="1">
        <f>IFERROR( L62,0)</f>
        <v>0</v>
      </c>
      <c r="M3" s="1">
        <f>IFERROR( M62,0)</f>
        <v>0</v>
      </c>
      <c r="N3" s="1">
        <f>IFERROR( N62,0)</f>
        <v>0</v>
      </c>
      <c r="O3" s="478" t="b">
        <f>AND( K61&gt;=K62, L61&gt;=L62, M61&gt;=M62,N61&gt;=N62)</f>
        <v>1</v>
      </c>
      <c r="P3" s="491" t="str">
        <f>IF(K7+L7+M7+N7&gt;1,"تجاوز الوصايا التركــــــــــــة","")</f>
        <v/>
      </c>
      <c r="Q3" s="491"/>
      <c r="R3" s="1">
        <f>1/S3</f>
        <v>4</v>
      </c>
      <c r="S3" s="1">
        <f>U4/(U4+V4+W4+X4)</f>
        <v>0.25</v>
      </c>
      <c r="T3" s="1">
        <f>1/T4</f>
        <v>1</v>
      </c>
      <c r="U3" s="1">
        <f>1/U4</f>
        <v>1</v>
      </c>
      <c r="V3" s="1">
        <f>1/V4</f>
        <v>1</v>
      </c>
      <c r="W3" s="1">
        <f>1/W4</f>
        <v>1</v>
      </c>
      <c r="X3" s="1">
        <f>1/X4</f>
        <v>1</v>
      </c>
      <c r="Y3" s="521">
        <f xml:space="preserve"> Y4*Y7*T4</f>
        <v>1</v>
      </c>
      <c r="Z3" s="1">
        <f>X4*W4*V4*U4</f>
        <v>1</v>
      </c>
      <c r="AA3" s="1">
        <f>Z3*Y3</f>
        <v>1</v>
      </c>
    </row>
    <row r="4" spans="1:91" ht="28.5" hidden="1" customHeight="1">
      <c r="I4" s="1">
        <f>1/3-N7</f>
        <v>0.33333333333333331</v>
      </c>
      <c r="K4">
        <f>IF(SUM(K64:K75)&gt;0,3,1)</f>
        <v>1</v>
      </c>
      <c r="L4">
        <f>IF(SUM(L64:L75)&gt;0,3,1)</f>
        <v>1</v>
      </c>
      <c r="M4">
        <f>IF(SUM(M64:M75)&gt;0,3,1)</f>
        <v>1</v>
      </c>
      <c r="N4">
        <f>IF(SUM(N64:N75)&gt;0,3,1)</f>
        <v>1</v>
      </c>
      <c r="R4" s="1">
        <f>SUM(O12:O27)</f>
        <v>0</v>
      </c>
      <c r="S4" s="1">
        <f>IFERROR(  AH9,1)</f>
        <v>3</v>
      </c>
      <c r="T4" s="485">
        <f>IF(K7+L7+M7+N7=0,1,S4)</f>
        <v>1</v>
      </c>
      <c r="U4" s="485">
        <f>IFERROR(AI9,1)</f>
        <v>1</v>
      </c>
      <c r="V4" s="485">
        <f>IFERROR(AJ9,1)</f>
        <v>1</v>
      </c>
      <c r="W4" s="485">
        <f>IFERROR(AK9,1)</f>
        <v>1</v>
      </c>
      <c r="X4" s="485">
        <f>IFERROR(AN7,1)</f>
        <v>1</v>
      </c>
      <c r="Y4" s="1">
        <f>Y8*Y7</f>
        <v>1</v>
      </c>
      <c r="AD4" s="1">
        <f>R7*K7/X5</f>
        <v>0</v>
      </c>
      <c r="AE4" s="1">
        <f>N62+M62+L62+K62</f>
        <v>0</v>
      </c>
      <c r="AG4" s="13">
        <f xml:space="preserve"> AK7/(U4+AJ7+AK7+AQ8)</f>
        <v>0.25</v>
      </c>
      <c r="AH4" s="13"/>
      <c r="AI4" s="13"/>
      <c r="AJ4" s="13"/>
      <c r="AK4" s="541"/>
      <c r="AL4" s="478"/>
      <c r="AM4" s="478"/>
    </row>
    <row r="5" spans="1:91" ht="20.25" hidden="1" customHeight="1" thickBot="1">
      <c r="R5" s="1" t="s">
        <v>114</v>
      </c>
      <c r="T5" s="309">
        <f>IF(U4&gt;1,1/U4,0)</f>
        <v>0</v>
      </c>
      <c r="U5" s="309">
        <f>IF(V4&gt;1,1/V4,0)</f>
        <v>0</v>
      </c>
      <c r="V5" s="309">
        <f>IF(W4&gt;1,1/W4,0)</f>
        <v>0</v>
      </c>
      <c r="W5" s="309">
        <f>IF(X4&gt;1,1/X4,0)</f>
        <v>0</v>
      </c>
      <c r="X5" s="1">
        <f>IFERROR(Y5,1)</f>
        <v>1</v>
      </c>
      <c r="Y5" s="1">
        <f>IF(W5+V5+U5+T5=0,1,W5+V5+U5+T5)</f>
        <v>1</v>
      </c>
      <c r="Z5" s="1">
        <f>X4*W4*V4*U4</f>
        <v>1</v>
      </c>
      <c r="AE5" s="1" t="s">
        <v>114</v>
      </c>
      <c r="AG5" s="493">
        <f>AH7*AQ8/(AI7+AJ7+AK7+AQ8)</f>
        <v>0.25</v>
      </c>
      <c r="AH5" s="493" t="s">
        <v>114</v>
      </c>
      <c r="AI5" s="493"/>
      <c r="AJ5" s="493"/>
      <c r="AK5" s="542"/>
      <c r="AM5" s="478"/>
    </row>
    <row r="6" spans="1:91" ht="18" hidden="1" customHeight="1" thickTop="1" thickBot="1">
      <c r="A6" t="str">
        <f>IF( SUM(K7:N7)+SUM(I64:I75)&lt;=2,"العملية صحيحة","خطأ راجع المسألة")</f>
        <v>العملية صحيحة</v>
      </c>
      <c r="C6" s="848">
        <f>SUM(O12:O27)</f>
        <v>0</v>
      </c>
      <c r="D6" s="647"/>
      <c r="E6" s="647"/>
      <c r="F6" s="647"/>
      <c r="G6" s="647"/>
      <c r="H6" s="871">
        <f>SUM(K62:N62)</f>
        <v>0</v>
      </c>
      <c r="I6" s="647"/>
      <c r="J6" s="647"/>
      <c r="K6" s="647"/>
      <c r="L6" s="647"/>
      <c r="M6" s="647"/>
      <c r="N6" s="647"/>
      <c r="O6" s="647"/>
      <c r="P6" s="647"/>
      <c r="Q6" s="647"/>
      <c r="R6" s="648"/>
      <c r="S6" s="647"/>
      <c r="T6" s="649"/>
      <c r="U6" s="649"/>
      <c r="V6" s="649"/>
      <c r="W6" s="649"/>
      <c r="X6" s="648"/>
      <c r="Y6" s="648"/>
      <c r="Z6" s="648"/>
      <c r="AA6" s="647"/>
      <c r="AB6" s="647"/>
      <c r="AC6" s="647"/>
      <c r="AD6" s="647"/>
      <c r="AE6" s="648"/>
      <c r="AF6" s="647"/>
      <c r="AG6" s="650"/>
      <c r="AH6" s="650"/>
      <c r="AI6" s="650"/>
      <c r="AJ6" s="650"/>
      <c r="AK6" s="651"/>
      <c r="AL6" s="647"/>
      <c r="AM6" s="478"/>
    </row>
    <row r="7" spans="1:91" ht="24" hidden="1" customHeight="1" thickTop="1" thickBot="1">
      <c r="A7" s="1" t="str">
        <f>IF(H6=1/3,"الورثة أجازو الثلث",A6)</f>
        <v>العملية صحيحة</v>
      </c>
      <c r="B7" s="1"/>
      <c r="C7" s="1307" t="s">
        <v>69</v>
      </c>
      <c r="D7" s="848" t="e">
        <f>'ورقة أجازة وعدم الأجازة للمختصن'!C7</f>
        <v>#DIV/0!</v>
      </c>
      <c r="E7" s="734"/>
      <c r="F7" s="734"/>
      <c r="G7" s="734"/>
      <c r="H7" s="652" t="s">
        <v>760</v>
      </c>
      <c r="I7" s="735"/>
      <c r="J7" s="735"/>
      <c r="K7" s="736">
        <f>'ورقة أجازة وعدم الأجازة للمختصن'!H7</f>
        <v>0</v>
      </c>
      <c r="L7" s="736">
        <f>'ورقة أجازة وعدم الأجازة للمختصن'!J7</f>
        <v>0</v>
      </c>
      <c r="M7" s="736">
        <f>'ورقة أجازة وعدم الأجازة للمختصن'!K7</f>
        <v>0</v>
      </c>
      <c r="N7" s="737">
        <f>'ورقة أجازة وعدم الأجازة للمختصن'!L7</f>
        <v>0</v>
      </c>
      <c r="O7" s="734"/>
      <c r="P7" s="734"/>
      <c r="Q7" s="734"/>
      <c r="R7" s="738">
        <v>0.33333333333333331</v>
      </c>
      <c r="S7" s="739" t="s">
        <v>114</v>
      </c>
      <c r="T7" s="740" t="s">
        <v>114</v>
      </c>
      <c r="U7" s="740" t="s">
        <v>114</v>
      </c>
      <c r="V7" s="739" t="s">
        <v>114</v>
      </c>
      <c r="W7" s="740" t="s">
        <v>114</v>
      </c>
      <c r="X7" s="740" t="s">
        <v>114</v>
      </c>
      <c r="Y7" s="741">
        <f>X4*W4*V4*U4</f>
        <v>1</v>
      </c>
      <c r="Z7" s="739"/>
      <c r="AA7" s="739"/>
      <c r="AB7" s="739"/>
      <c r="AC7" s="739"/>
      <c r="AD7" s="740" t="e">
        <f>J64*1/Z12</f>
        <v>#DIV/0!</v>
      </c>
      <c r="AE7" s="742" t="s">
        <v>114</v>
      </c>
      <c r="AF7" s="739"/>
      <c r="AG7" s="743">
        <f>IF(R7=0,1,1/R7)</f>
        <v>3</v>
      </c>
      <c r="AH7" s="743">
        <f>ROUNDDOWN( T4,0)</f>
        <v>1</v>
      </c>
      <c r="AI7" s="743">
        <f>ROUNDDOWN(U4,0)</f>
        <v>1</v>
      </c>
      <c r="AJ7" s="743">
        <f>ROUNDDOWN(V4,0)</f>
        <v>1</v>
      </c>
      <c r="AK7" s="744">
        <f>ROUNDDOWN(W4,0)</f>
        <v>1</v>
      </c>
      <c r="AL7" s="734"/>
      <c r="AM7" s="478" t="s">
        <v>114</v>
      </c>
      <c r="AN7" s="540" t="e">
        <f>MINVERSE(  N7)</f>
        <v>#NUM!</v>
      </c>
      <c r="AO7" s="28"/>
      <c r="AP7" s="28"/>
      <c r="AQ7" s="478"/>
      <c r="AR7" s="28"/>
      <c r="AS7" s="789" t="s">
        <v>760</v>
      </c>
      <c r="AT7" s="790"/>
      <c r="AU7" s="790"/>
      <c r="AV7" s="791">
        <f>'ورقة أجازة وعدم الأجازة للمختصن'!H7</f>
        <v>0</v>
      </c>
      <c r="AW7" s="791">
        <f>'ورقة أجازة وعدم الأجازة للمختصن'!J7</f>
        <v>0</v>
      </c>
      <c r="AX7" s="791">
        <f>'ورقة أجازة وعدم الأجازة للمختصن'!K7</f>
        <v>0</v>
      </c>
      <c r="AY7" s="792">
        <f>'ورقة أجازة وعدم الأجازة للمختصن'!L7</f>
        <v>0</v>
      </c>
      <c r="AZ7" s="28"/>
      <c r="BA7" s="789" t="s">
        <v>760</v>
      </c>
      <c r="BB7" s="790"/>
      <c r="BC7" s="790"/>
      <c r="BD7" s="791">
        <f>'ورقة أجازة وعدم الأجازة للمختصن'!H7</f>
        <v>0</v>
      </c>
      <c r="BE7" s="791">
        <f>'ورقة أجازة وعدم الأجازة للمختصن'!J7</f>
        <v>0</v>
      </c>
      <c r="BF7" s="791">
        <f>'ورقة أجازة وعدم الأجازة للمختصن'!K7</f>
        <v>0</v>
      </c>
      <c r="BG7" s="791">
        <f>'ورقة أجازة وعدم الأجازة للمختصن'!L7</f>
        <v>0</v>
      </c>
      <c r="BI7" s="1286" t="s">
        <v>760</v>
      </c>
      <c r="BJ7" s="1287"/>
      <c r="BK7" s="790"/>
      <c r="BL7" s="791">
        <f>'ورقة أجازة وعدم الأجازة للمختصن'!H7</f>
        <v>0</v>
      </c>
      <c r="BM7" s="791">
        <f>'ورقة أجازة وعدم الأجازة للمختصن'!J7</f>
        <v>0</v>
      </c>
      <c r="BN7" s="791">
        <f>'ورقة أجازة وعدم الأجازة للمختصن'!K7</f>
        <v>0</v>
      </c>
      <c r="BO7" s="792">
        <f>'ورقة أجازة وعدم الأجازة للمختصن'!L7</f>
        <v>0</v>
      </c>
      <c r="BQ7" s="652" t="s">
        <v>760</v>
      </c>
      <c r="BR7" s="653"/>
      <c r="BS7" s="653"/>
      <c r="BT7" s="654">
        <f>'ورقة أجازة وعدم الأجازة للمختصن'!H7</f>
        <v>0</v>
      </c>
      <c r="BU7" s="654">
        <f>'ورقة أجازة وعدم الأجازة للمختصن'!J7</f>
        <v>0</v>
      </c>
      <c r="BV7" s="654">
        <f>'ورقة أجازة وعدم الأجازة للمختصن'!K7</f>
        <v>0</v>
      </c>
      <c r="BW7" s="655">
        <f>'ورقة أجازة وعدم الأجازة للمختصن'!L7</f>
        <v>0</v>
      </c>
      <c r="BY7" s="652" t="s">
        <v>760</v>
      </c>
      <c r="BZ7" s="653"/>
      <c r="CA7" s="653"/>
      <c r="CB7" s="654">
        <f>'ورقة أجازة وعدم الأجازة للمختصن'!H7</f>
        <v>0</v>
      </c>
      <c r="CC7" s="654">
        <f>'ورقة أجازة وعدم الأجازة للمختصن'!J7</f>
        <v>0</v>
      </c>
      <c r="CD7" s="654">
        <f>'ورقة أجازة وعدم الأجازة للمختصن'!K7</f>
        <v>0</v>
      </c>
      <c r="CE7" s="655">
        <f>'ورقة أجازة وعدم الأجازة للمختصن'!L7</f>
        <v>0</v>
      </c>
      <c r="CG7" s="789" t="s">
        <v>760</v>
      </c>
      <c r="CH7" s="790"/>
      <c r="CI7" s="790"/>
      <c r="CJ7" s="791">
        <f>'ورقة أجازة وعدم الأجازة للمختصن'!H7</f>
        <v>0</v>
      </c>
      <c r="CK7" s="791">
        <f>'ورقة أجازة وعدم الأجازة للمختصن'!J7</f>
        <v>0</v>
      </c>
      <c r="CL7" s="791">
        <f>'ورقة أجازة وعدم الأجازة للمختصن'!K7</f>
        <v>0</v>
      </c>
      <c r="CM7" s="792">
        <f>'ورقة أجازة وعدم الأجازة للمختصن'!L7</f>
        <v>0</v>
      </c>
    </row>
    <row r="8" spans="1:91" ht="23.25" hidden="1" customHeight="1" thickTop="1" thickBot="1">
      <c r="C8" s="1308"/>
      <c r="D8" s="848"/>
      <c r="E8" s="734"/>
      <c r="F8" s="734"/>
      <c r="G8" s="734"/>
      <c r="O8" s="734"/>
      <c r="P8" s="734"/>
      <c r="Q8" s="734"/>
      <c r="R8" s="734"/>
      <c r="S8" s="739" t="s">
        <v>114</v>
      </c>
      <c r="T8" s="740">
        <f>IF(Q52*Q53=0,1,Q52*Q53)</f>
        <v>1</v>
      </c>
      <c r="U8" s="740" t="s">
        <v>114</v>
      </c>
      <c r="V8" s="740" t="s">
        <v>114</v>
      </c>
      <c r="W8" s="740">
        <f>Y3/Y7</f>
        <v>1</v>
      </c>
      <c r="X8" s="740">
        <f>IFERROR(Y3/Y4,1)</f>
        <v>1</v>
      </c>
      <c r="Y8" s="741">
        <f>X5*Y7</f>
        <v>1</v>
      </c>
      <c r="Z8" s="740">
        <f>X3*W3*V3*U3</f>
        <v>1</v>
      </c>
      <c r="AA8" s="739"/>
      <c r="AB8" s="739"/>
      <c r="AC8" s="739"/>
      <c r="AD8" s="739"/>
      <c r="AE8" s="739"/>
      <c r="AF8" s="739"/>
      <c r="AG8" s="745">
        <f>IF(R7=0,1,R7)</f>
        <v>0.33333333333333331</v>
      </c>
      <c r="AH8" s="739"/>
      <c r="AI8" s="739"/>
      <c r="AJ8" s="739"/>
      <c r="AK8" s="739"/>
      <c r="AL8" s="734"/>
      <c r="AM8" s="1033"/>
      <c r="AN8" s="1034"/>
      <c r="AO8" s="1034"/>
      <c r="AP8" s="1034"/>
      <c r="AQ8" s="1035">
        <f>ROUNDDOWN(X4,0)</f>
        <v>1</v>
      </c>
      <c r="AR8" s="1034"/>
      <c r="AS8" s="1276" t="str">
        <f>IF('(2) '!M3=FALSE, "الوصية  أجازتها ملزمة فى حق الورثة لعدم تجاوزها الثلث","ضع البيانات فى الخلايا الحمراء")</f>
        <v>ضع البيانات فى الخلايا الحمراء</v>
      </c>
      <c r="AT8" s="1279" t="s">
        <v>114</v>
      </c>
      <c r="AU8" s="1280"/>
      <c r="AV8" s="1280"/>
      <c r="AW8" s="1280"/>
      <c r="AX8" s="1280"/>
      <c r="AY8" s="1281"/>
      <c r="AZ8" s="1034"/>
      <c r="BA8" s="1276" t="str">
        <f>IF('(3) '!M3=FALSE, "الوصية  أجازتها ملزمة فى حق الورثة لعدم تجاوزها الثلث","ضع البيانات فى الخلايا الحمراء")</f>
        <v>ضع البيانات فى الخلايا الحمراء</v>
      </c>
      <c r="BB8" s="1279" t="s">
        <v>114</v>
      </c>
      <c r="BC8" s="1280"/>
      <c r="BD8" s="1280"/>
      <c r="BE8" s="1280"/>
      <c r="BF8" s="1280"/>
      <c r="BG8" s="1288"/>
      <c r="BH8" s="1036"/>
      <c r="BI8" s="1276" t="str">
        <f>IF('(4) '!M3=FALSE, "الوصية  أجازتها ملزمة فى حق الورثة لعدم تجاوزها الثلث","ضع البيانات فى الخلايا الحمراء")</f>
        <v>ضع البيانات فى الخلايا الحمراء</v>
      </c>
      <c r="BJ8" s="1279" t="s">
        <v>114</v>
      </c>
      <c r="BK8" s="1280"/>
      <c r="BL8" s="1280"/>
      <c r="BM8" s="1280"/>
      <c r="BN8" s="1280"/>
      <c r="BO8" s="1281"/>
      <c r="BP8" s="1036"/>
      <c r="BQ8" s="1276" t="str">
        <f>IF('(5) '!M3=FALSE, "الوصية  أجازتها ملزمة فى حق الورثة لعدم تجاوزها الثلث","ضع البيانات فى الخلايا الحمراء")</f>
        <v>ضع البيانات فى الخلايا الحمراء</v>
      </c>
      <c r="BR8" s="1279" t="s">
        <v>114</v>
      </c>
      <c r="BS8" s="1280"/>
      <c r="BT8" s="1280"/>
      <c r="BU8" s="1280"/>
      <c r="BV8" s="1280"/>
      <c r="BW8" s="1281"/>
      <c r="BX8" s="1036"/>
      <c r="BY8" s="1276" t="str">
        <f>IF('(6) '!M3=FALSE, "الوصية  أجازتها ملزمة فى حق الورثة لعدم تجاوزها الثلث","ضع البيانات فى الخلايا الحمراء")</f>
        <v>ضع البيانات فى الخلايا الحمراء</v>
      </c>
      <c r="BZ8" s="1279" t="s">
        <v>114</v>
      </c>
      <c r="CA8" s="1280"/>
      <c r="CB8" s="1280"/>
      <c r="CC8" s="1280"/>
      <c r="CD8" s="1280"/>
      <c r="CE8" s="1281"/>
      <c r="CF8" s="1036"/>
      <c r="CG8" s="1276" t="str">
        <f>IF('(7) '!M3=FALSE, "الوصية  أجازتها ملزمة فى حق الورثة لعدم تجاوزها الثلث","ضع البيانات فى الخلايا الحمراء")</f>
        <v>ضع البيانات فى الخلايا الحمراء</v>
      </c>
      <c r="CH8" s="1279" t="s">
        <v>114</v>
      </c>
      <c r="CI8" s="1280"/>
      <c r="CJ8" s="1280"/>
      <c r="CK8" s="1280"/>
      <c r="CL8" s="1280"/>
      <c r="CM8" s="1281"/>
    </row>
    <row r="9" spans="1:91" ht="30.75" hidden="1" customHeight="1" thickTop="1" thickBot="1">
      <c r="C9" s="746" t="s">
        <v>744</v>
      </c>
      <c r="D9" s="665">
        <f>U29</f>
        <v>0</v>
      </c>
      <c r="E9" s="734"/>
      <c r="F9" s="734"/>
      <c r="G9" s="734"/>
      <c r="O9" s="734"/>
      <c r="P9" s="734"/>
      <c r="Q9" s="734"/>
      <c r="R9" s="734"/>
      <c r="S9" s="749" t="s">
        <v>114</v>
      </c>
      <c r="T9" s="749">
        <f>IF(Q52=0,1,Q52)</f>
        <v>1</v>
      </c>
      <c r="U9" s="750">
        <f>U4*T4</f>
        <v>1</v>
      </c>
      <c r="V9" s="750">
        <f>V4*T4</f>
        <v>1</v>
      </c>
      <c r="W9" s="751">
        <f>W4*T4</f>
        <v>1</v>
      </c>
      <c r="X9" s="750">
        <f>X4*T4</f>
        <v>1</v>
      </c>
      <c r="Y9" s="750">
        <f>T3*U3/X5</f>
        <v>1</v>
      </c>
      <c r="Z9" s="752">
        <f>1/Z8</f>
        <v>1</v>
      </c>
      <c r="AA9" s="753"/>
      <c r="AB9" s="749"/>
      <c r="AC9" s="749"/>
      <c r="AD9" s="749"/>
      <c r="AE9" s="749"/>
      <c r="AF9" s="749"/>
      <c r="AG9" s="754" t="s">
        <v>114</v>
      </c>
      <c r="AH9" s="755">
        <f>MINVERSE( AG8)</f>
        <v>3</v>
      </c>
      <c r="AI9" s="755" t="e">
        <f>MINVERSE(K7)</f>
        <v>#NUM!</v>
      </c>
      <c r="AJ9" s="755" t="e">
        <f>MINVERSE( L7)</f>
        <v>#NUM!</v>
      </c>
      <c r="AK9" s="756" t="e">
        <f>MINVERSE(  M7)</f>
        <v>#NUM!</v>
      </c>
      <c r="AL9" s="757" t="s">
        <v>747</v>
      </c>
      <c r="AM9" s="1037"/>
      <c r="AN9" s="1036"/>
      <c r="AO9" s="1036"/>
      <c r="AP9" s="1034"/>
      <c r="AQ9" s="1038"/>
      <c r="AR9" s="1034"/>
      <c r="AS9" s="1277"/>
      <c r="AT9" s="1282" t="s">
        <v>736</v>
      </c>
      <c r="AU9" s="1283"/>
      <c r="AV9" s="772">
        <f>AV7</f>
        <v>0</v>
      </c>
      <c r="AW9" s="747">
        <f>AW7</f>
        <v>0</v>
      </c>
      <c r="AX9" s="747">
        <f>AX7</f>
        <v>0</v>
      </c>
      <c r="AY9" s="748">
        <f>AY7</f>
        <v>0</v>
      </c>
      <c r="AZ9" s="1036"/>
      <c r="BA9" s="1277"/>
      <c r="BB9" s="1282" t="s">
        <v>736</v>
      </c>
      <c r="BC9" s="1283"/>
      <c r="BD9" s="772">
        <f>BD7</f>
        <v>0</v>
      </c>
      <c r="BE9" s="747">
        <f>BE7</f>
        <v>0</v>
      </c>
      <c r="BF9" s="747">
        <f>BF7</f>
        <v>0</v>
      </c>
      <c r="BG9" s="747">
        <f>BG7</f>
        <v>0</v>
      </c>
      <c r="BH9" s="1036"/>
      <c r="BI9" s="1277"/>
      <c r="BJ9" s="1282" t="s">
        <v>736</v>
      </c>
      <c r="BK9" s="1283"/>
      <c r="BL9" s="772">
        <f>BL7</f>
        <v>0</v>
      </c>
      <c r="BM9" s="747">
        <f>BM7</f>
        <v>0</v>
      </c>
      <c r="BN9" s="747">
        <f>BN7</f>
        <v>0</v>
      </c>
      <c r="BO9" s="748">
        <f>BO7</f>
        <v>0</v>
      </c>
      <c r="BP9" s="1036"/>
      <c r="BQ9" s="1277"/>
      <c r="BR9" s="1282" t="s">
        <v>736</v>
      </c>
      <c r="BS9" s="1283"/>
      <c r="BT9" s="772">
        <f>BT7</f>
        <v>0</v>
      </c>
      <c r="BU9" s="747">
        <f>BU7</f>
        <v>0</v>
      </c>
      <c r="BV9" s="747">
        <f>BV7</f>
        <v>0</v>
      </c>
      <c r="BW9" s="748">
        <f>BW7</f>
        <v>0</v>
      </c>
      <c r="BX9" s="1036"/>
      <c r="BY9" s="1277"/>
      <c r="BZ9" s="1282" t="s">
        <v>736</v>
      </c>
      <c r="CA9" s="1283"/>
      <c r="CB9" s="772">
        <f>CB7</f>
        <v>0</v>
      </c>
      <c r="CC9" s="747">
        <f>CC7</f>
        <v>0</v>
      </c>
      <c r="CD9" s="747">
        <f>CD7</f>
        <v>0</v>
      </c>
      <c r="CE9" s="748">
        <f>CE7</f>
        <v>0</v>
      </c>
      <c r="CF9" s="1036"/>
      <c r="CG9" s="1277"/>
      <c r="CH9" s="1282" t="s">
        <v>736</v>
      </c>
      <c r="CI9" s="1283"/>
      <c r="CJ9" s="772">
        <f>CJ7</f>
        <v>0</v>
      </c>
      <c r="CK9" s="747">
        <f>CK7</f>
        <v>0</v>
      </c>
      <c r="CL9" s="747">
        <f>CL7</f>
        <v>0</v>
      </c>
      <c r="CM9" s="748">
        <f>CM7</f>
        <v>0</v>
      </c>
    </row>
    <row r="10" spans="1:91" ht="36" hidden="1" customHeight="1" thickTop="1" thickBot="1">
      <c r="C10" s="746" t="s">
        <v>755</v>
      </c>
      <c r="D10" s="665">
        <f>VLOOKUP(H64,'ورقة أجازة وعدم الأجازة للمختصن'!E12:F23,2,FALSE)</f>
        <v>0</v>
      </c>
      <c r="E10" s="734"/>
      <c r="F10" s="734"/>
      <c r="G10" s="734"/>
      <c r="O10" s="734"/>
      <c r="P10" s="734"/>
      <c r="Q10" s="734"/>
      <c r="R10" s="734"/>
      <c r="S10" s="749"/>
      <c r="T10" s="749">
        <f>IF(Q53=0,1,Q53)</f>
        <v>1</v>
      </c>
      <c r="U10" s="749"/>
      <c r="V10" s="749"/>
      <c r="W10" s="749"/>
      <c r="X10" s="750">
        <f>X9*W9*V9*U9</f>
        <v>1</v>
      </c>
      <c r="Y10" s="750" t="s">
        <v>114</v>
      </c>
      <c r="Z10" s="750">
        <f>X10/389</f>
        <v>2.5706940874035988E-3</v>
      </c>
      <c r="AA10" s="750" t="s">
        <v>114</v>
      </c>
      <c r="AB10" s="750"/>
      <c r="AC10" s="750"/>
      <c r="AD10" s="750"/>
      <c r="AE10" s="750"/>
      <c r="AF10" s="750"/>
      <c r="AG10" s="750"/>
      <c r="AH10" s="750"/>
      <c r="AI10" s="750"/>
      <c r="AJ10" s="750" t="s">
        <v>114</v>
      </c>
      <c r="AK10" s="750" t="s">
        <v>114</v>
      </c>
      <c r="AL10" s="1039">
        <f>'ورقة أجازة وعدم الأجازة للمختصن'!AL11</f>
        <v>100</v>
      </c>
      <c r="AM10" s="1034"/>
      <c r="AN10" s="1035">
        <f>W5</f>
        <v>0</v>
      </c>
      <c r="AO10" s="1036"/>
      <c r="AP10" s="1035" t="s">
        <v>114</v>
      </c>
      <c r="AQ10" s="1040" t="e">
        <f>MINVERSE(  N7)</f>
        <v>#NUM!</v>
      </c>
      <c r="AR10" s="1034"/>
      <c r="AS10" s="1278"/>
      <c r="AT10" s="1284" t="s">
        <v>737</v>
      </c>
      <c r="AU10" s="1285"/>
      <c r="AV10" s="873">
        <f>IF(AV7+AW7+AX7+AY7&lt;=1/3,AV7,IF(AV7=0,0,'(2) '!I2))</f>
        <v>0</v>
      </c>
      <c r="AW10" s="758">
        <f>IF(AV7+AW7+AX7+AY7&lt;=1/3,AW7,IF(AW7=0,0,'(2) '!J2))</f>
        <v>0</v>
      </c>
      <c r="AX10" s="758">
        <f>IF(AV7+AW7+AX7+AY7&lt;=1/3,AX7,IF(AX7=0,0,'(2) '!K2))</f>
        <v>0</v>
      </c>
      <c r="AY10" s="758">
        <f>IF(AV7+AW7+AX7+AY7&lt;=1/3,AY7,IF(AY7=0,0,'(2) '!L2))</f>
        <v>0</v>
      </c>
      <c r="AZ10" s="1036"/>
      <c r="BA10" s="1278"/>
      <c r="BB10" s="1284" t="s">
        <v>737</v>
      </c>
      <c r="BC10" s="1285"/>
      <c r="BD10" s="873">
        <f>IF(BD7+BE7+BF7+BG7&lt;=1/3,BD7,IF(BD7=0,0,'(3) '!I2))</f>
        <v>0</v>
      </c>
      <c r="BE10" s="758">
        <f>IF(BD7+BE7+BF7+BG7&lt;=1/3,BE7,IF(BE7=0,0,'(3) '!J2))</f>
        <v>0</v>
      </c>
      <c r="BF10" s="758">
        <f>IF(BD7+BE7+BF7+BG7&lt;=1/3,BF7,IF(BF7=0,0,'(3) '!K2))</f>
        <v>0</v>
      </c>
      <c r="BG10" s="758">
        <f>IF(BD7+BE7+BF7+BG7&lt;=1/3,BG7,IF(BG7=0,0,'(3) '!L2))</f>
        <v>0</v>
      </c>
      <c r="BH10" s="1036"/>
      <c r="BI10" s="1278"/>
      <c r="BJ10" s="1284" t="s">
        <v>737</v>
      </c>
      <c r="BK10" s="1285"/>
      <c r="BL10" s="873">
        <f>IF(BL7+BM7+BN7+BO7&lt;=1/3,BL7,IF(BL7=0,0,'(4) '!I2))</f>
        <v>0</v>
      </c>
      <c r="BM10" s="758">
        <f>IF(BL7+BM7+BN7+BO7&lt;=1/3,BM7,IF(BM7=0,0,'(4) '!J2))</f>
        <v>0</v>
      </c>
      <c r="BN10" s="758">
        <f>IF(BL7+BM7+BN7+BO7&lt;=1/3,BN7,IF(BN7=0,0,'(4) '!K2))</f>
        <v>0</v>
      </c>
      <c r="BO10" s="758">
        <f>IF(BL7+BM7+BN7+BO7&lt;=1/3,BO7,IF(BO7=0,0,'(4) '!L2))</f>
        <v>0</v>
      </c>
      <c r="BP10" s="1036"/>
      <c r="BQ10" s="1278"/>
      <c r="BR10" s="1284" t="s">
        <v>737</v>
      </c>
      <c r="BS10" s="1285"/>
      <c r="BT10" s="873">
        <f>IF(BT7+BU7+BV7+BW7&lt;=1/3,BT7,IF(BT7=0,0,'(5) '!I2))</f>
        <v>0</v>
      </c>
      <c r="BU10" s="758">
        <f>IF(BT7+BU7+BV7+BW7&lt;=1/3,BU7,IF(BU7=0,0,'(5) '!J2))</f>
        <v>0</v>
      </c>
      <c r="BV10" s="758">
        <f>IF(BT7+BU7+BV7+BW7&lt;=1/3,BV7,IF(BV7=0,0,'(5) '!K2))</f>
        <v>0</v>
      </c>
      <c r="BW10" s="758">
        <f>IF(BT7+BU7+BV7+BW7&lt;=1/3,BW7,IF(BW7=0,0,'(5) '!L2))</f>
        <v>0</v>
      </c>
      <c r="BX10" s="1036"/>
      <c r="BY10" s="1278"/>
      <c r="BZ10" s="1284" t="s">
        <v>737</v>
      </c>
      <c r="CA10" s="1285"/>
      <c r="CB10" s="873">
        <f>IF(CB7+CC7+CD7+CE7&lt;=1/3,CB7,IF(CB7=0,0,'(6) '!I2))</f>
        <v>0</v>
      </c>
      <c r="CC10" s="758">
        <f>IF(CB7+CC7+CD7+CE7&lt;=1/3,CC7,IF(CC7=0,0,'(6) '!J2))</f>
        <v>0</v>
      </c>
      <c r="CD10" s="758">
        <f>IF(CB7+CC7+CD7+CE7&lt;=1/3,CD7,IF(CD7=0,0,'(6) '!K2))</f>
        <v>0</v>
      </c>
      <c r="CE10" s="758">
        <f>IF(CB7+CC7+CD7+CE7&lt;=1/3,CE7,IF(CE7=0,0,'(6) '!L2))</f>
        <v>0</v>
      </c>
      <c r="CF10" s="1036"/>
      <c r="CG10" s="1278"/>
      <c r="CH10" s="1284" t="s">
        <v>737</v>
      </c>
      <c r="CI10" s="1285"/>
      <c r="CJ10" s="758">
        <f>IF(CJ7+CK7+CL7+CM7&lt;=1/3,CJ7,IF(CJ7=0,0,'(7) '!I2))</f>
        <v>0</v>
      </c>
      <c r="CK10" s="758">
        <f>IF(CJ7+CK7+CL7+CM7&lt;=1/3,CK7,IF(CK7=0,0,'(7) '!J2))</f>
        <v>0</v>
      </c>
      <c r="CL10" s="758">
        <f>IF(CJ7+CK7+CL7+CM7&lt;=1/3,CL7,IF(CL7=0,0,'(7) '!K2))</f>
        <v>0</v>
      </c>
      <c r="CM10" s="758">
        <f>IF(CJ7+CK7+CL7+CM7&lt;=1/3,CM7,IF(CM7=0,0,'(7) '!L2))</f>
        <v>0</v>
      </c>
    </row>
    <row r="11" spans="1:91" ht="34.5" hidden="1" customHeight="1" thickTop="1" thickBot="1">
      <c r="C11" s="1315">
        <f>H64</f>
        <v>0</v>
      </c>
      <c r="D11" s="1316"/>
      <c r="E11" s="759"/>
      <c r="F11" s="759"/>
      <c r="G11" s="759"/>
      <c r="O11" s="762" t="s">
        <v>739</v>
      </c>
      <c r="P11" s="763"/>
      <c r="Q11" s="764" t="s">
        <v>540</v>
      </c>
      <c r="R11" s="765" t="s">
        <v>753</v>
      </c>
      <c r="S11" s="766" t="s">
        <v>137</v>
      </c>
      <c r="T11" s="767"/>
      <c r="U11" s="768" t="s">
        <v>734</v>
      </c>
      <c r="V11" s="767" t="s">
        <v>733</v>
      </c>
      <c r="W11" s="767" t="s">
        <v>733</v>
      </c>
      <c r="X11" s="769"/>
      <c r="Y11" s="770"/>
      <c r="Z11" s="749"/>
      <c r="AA11" s="750"/>
      <c r="AB11" s="750"/>
      <c r="AC11" s="750"/>
      <c r="AD11" s="750"/>
      <c r="AE11" s="750"/>
      <c r="AF11" s="750"/>
      <c r="AG11" s="750"/>
      <c r="AH11" s="750"/>
      <c r="AI11" s="750"/>
      <c r="AJ11" s="749"/>
      <c r="AK11" s="771">
        <f>'أدخال البيانات'!$R$8* Z2</f>
        <v>0</v>
      </c>
      <c r="AL11" s="1039"/>
      <c r="AM11" s="1036"/>
      <c r="AN11" s="1036"/>
      <c r="AO11" s="1036"/>
      <c r="AP11" s="1036"/>
      <c r="AQ11" s="1036"/>
      <c r="AR11" s="1036"/>
      <c r="AS11" s="760" t="s">
        <v>786</v>
      </c>
      <c r="AT11" s="761" t="s">
        <v>749</v>
      </c>
      <c r="AU11" s="677" t="s">
        <v>750</v>
      </c>
      <c r="AV11" s="1289" t="s">
        <v>757</v>
      </c>
      <c r="AW11" s="1290"/>
      <c r="AX11" s="1290"/>
      <c r="AY11" s="1291"/>
      <c r="AZ11" s="1036"/>
      <c r="BA11" s="760" t="s">
        <v>786</v>
      </c>
      <c r="BB11" s="761" t="s">
        <v>749</v>
      </c>
      <c r="BC11" s="677" t="s">
        <v>750</v>
      </c>
      <c r="BD11" s="1289" t="s">
        <v>757</v>
      </c>
      <c r="BE11" s="1290"/>
      <c r="BF11" s="1290"/>
      <c r="BG11" s="1291"/>
      <c r="BH11" s="1036"/>
      <c r="BI11" s="760" t="s">
        <v>786</v>
      </c>
      <c r="BJ11" s="761" t="s">
        <v>749</v>
      </c>
      <c r="BK11" s="677" t="s">
        <v>750</v>
      </c>
      <c r="BL11" s="1264" t="s">
        <v>757</v>
      </c>
      <c r="BM11" s="1265"/>
      <c r="BN11" s="1265"/>
      <c r="BO11" s="1266"/>
      <c r="BP11" s="1036"/>
      <c r="BQ11" s="760" t="s">
        <v>786</v>
      </c>
      <c r="BR11" s="761" t="s">
        <v>749</v>
      </c>
      <c r="BS11" s="677" t="s">
        <v>750</v>
      </c>
      <c r="BT11" s="1264" t="s">
        <v>757</v>
      </c>
      <c r="BU11" s="1265"/>
      <c r="BV11" s="1265"/>
      <c r="BW11" s="1266"/>
      <c r="BX11" s="1036"/>
      <c r="BY11" s="760" t="s">
        <v>786</v>
      </c>
      <c r="BZ11" s="761" t="s">
        <v>749</v>
      </c>
      <c r="CA11" s="677" t="s">
        <v>750</v>
      </c>
      <c r="CB11" s="1264" t="s">
        <v>757</v>
      </c>
      <c r="CC11" s="1265"/>
      <c r="CD11" s="1265"/>
      <c r="CE11" s="1266"/>
      <c r="CF11" s="1036"/>
      <c r="CG11" s="760" t="s">
        <v>786</v>
      </c>
      <c r="CH11" s="761" t="s">
        <v>749</v>
      </c>
      <c r="CI11" s="677" t="s">
        <v>750</v>
      </c>
      <c r="CJ11" s="1264" t="s">
        <v>757</v>
      </c>
      <c r="CK11" s="1265"/>
      <c r="CL11" s="1265"/>
      <c r="CM11" s="1266"/>
    </row>
    <row r="12" spans="1:91" ht="18.75" hidden="1" customHeight="1" thickTop="1" thickBot="1">
      <c r="C12" s="1295" t="str">
        <f>IF(SUM(K64:N75) &gt;0,"بعض الورثة أجازو الوصايا",A7)</f>
        <v>العملية صحيحة</v>
      </c>
      <c r="D12" s="1296"/>
      <c r="E12" s="734"/>
      <c r="F12" s="734"/>
      <c r="G12" s="734"/>
      <c r="O12" s="679">
        <f>IF(Z12&lt;0,"الوارث لم يبقى له شىء",Z12)</f>
        <v>0</v>
      </c>
      <c r="P12" s="772" t="e">
        <f t="shared" ref="P12:P27" si="0">AM12*O12/U29</f>
        <v>#DIV/0!</v>
      </c>
      <c r="Q12" s="848" t="e">
        <f>'ورقة أجازة وعدم الأجازة للمختصن'!BA28</f>
        <v>#DIV/0!</v>
      </c>
      <c r="R12" s="773" t="e">
        <f t="shared" ref="R12:R27" si="1">U12/V12</f>
        <v>#DIV/0!</v>
      </c>
      <c r="S12" s="774">
        <f t="shared" ref="S12:S23" si="2">IF(I64&gt;0,I64,0)</f>
        <v>0</v>
      </c>
      <c r="T12" s="774" t="e">
        <f>R12</f>
        <v>#DIV/0!</v>
      </c>
      <c r="U12" s="772">
        <f t="shared" ref="U12:U27" si="3">ROUNDDOWN(O12*AM12,0)</f>
        <v>0</v>
      </c>
      <c r="V12" s="772">
        <f t="shared" ref="V12:V27" si="4">$U$29</f>
        <v>0</v>
      </c>
      <c r="W12" s="750">
        <f t="shared" ref="W12:W27" si="5" xml:space="preserve"> AM12*O12</f>
        <v>0</v>
      </c>
      <c r="X12" s="772">
        <f t="shared" ref="X12:X27" si="6">Y12*O12</f>
        <v>0</v>
      </c>
      <c r="Y12" s="775">
        <f>AK11</f>
        <v>0</v>
      </c>
      <c r="Z12" s="772">
        <f t="shared" ref="Z12:Z23" si="7">IFERROR( ( ((I64-(( (AE12+AI12) +(AD12+AH12) +(AC12+AG12) +(AB12+AF12)  ))*I64))),0)</f>
        <v>0</v>
      </c>
      <c r="AA12" s="775" t="str">
        <f>X32</f>
        <v xml:space="preserve"> </v>
      </c>
      <c r="AB12" s="776">
        <f>IF(K64=1, K61,0)</f>
        <v>0</v>
      </c>
      <c r="AC12" s="776">
        <f>IF(L64=1, L61,0)</f>
        <v>0</v>
      </c>
      <c r="AD12" s="776">
        <f>IF(M64=1, M61,0)</f>
        <v>0</v>
      </c>
      <c r="AE12" s="776">
        <f>IF(N64=1, N61,0)</f>
        <v>0</v>
      </c>
      <c r="AF12" s="776">
        <f>IF(K64=0,K62,0)</f>
        <v>0</v>
      </c>
      <c r="AG12" s="776">
        <f>IF(L64=0,L62,0)</f>
        <v>0</v>
      </c>
      <c r="AH12" s="776">
        <f>IF(M64=0,M62,0)</f>
        <v>0</v>
      </c>
      <c r="AI12" s="776">
        <f>IF(N64=0,N62,0)</f>
        <v>0</v>
      </c>
      <c r="AJ12" s="775"/>
      <c r="AK12" s="777"/>
      <c r="AL12" s="866">
        <f t="shared" ref="AL12:AL27" si="8">AN12*O12</f>
        <v>0</v>
      </c>
      <c r="AM12" s="293">
        <f>$AM$13</f>
        <v>0</v>
      </c>
      <c r="AN12" s="293">
        <f t="shared" ref="AN12:AN27" si="9">$AL$10</f>
        <v>100</v>
      </c>
      <c r="AO12" s="1" t="e">
        <f>R12</f>
        <v>#DIV/0!</v>
      </c>
    </row>
    <row r="13" spans="1:91" ht="18.75" hidden="1" customHeight="1" thickTop="1" thickBot="1">
      <c r="C13" s="1297"/>
      <c r="D13" s="1298"/>
      <c r="E13" s="734"/>
      <c r="F13" s="734"/>
      <c r="G13" s="734"/>
      <c r="O13" s="679">
        <f t="shared" ref="O13:O23" si="10">IF(Z13&lt;0,"الوارث لم يبقى له شىء",Z13)</f>
        <v>0</v>
      </c>
      <c r="P13" s="772" t="e">
        <f t="shared" si="0"/>
        <v>#DIV/0!</v>
      </c>
      <c r="Q13" s="848" t="e">
        <f>'ورقة أجازة وعدم الأجازة للمختصن'!BA29</f>
        <v>#DIV/0!</v>
      </c>
      <c r="R13" s="773" t="e">
        <f t="shared" si="1"/>
        <v>#DIV/0!</v>
      </c>
      <c r="S13" s="774">
        <f t="shared" si="2"/>
        <v>0</v>
      </c>
      <c r="T13" s="774" t="e">
        <f t="shared" ref="T13:T27" si="11">R13</f>
        <v>#DIV/0!</v>
      </c>
      <c r="U13" s="772">
        <f t="shared" si="3"/>
        <v>0</v>
      </c>
      <c r="V13" s="772">
        <f t="shared" si="4"/>
        <v>0</v>
      </c>
      <c r="W13" s="750">
        <f t="shared" si="5"/>
        <v>0</v>
      </c>
      <c r="X13" s="772">
        <f t="shared" si="6"/>
        <v>0</v>
      </c>
      <c r="Y13" s="775">
        <f t="shared" ref="Y13:Y27" si="12">$Y$12</f>
        <v>0</v>
      </c>
      <c r="Z13" s="772">
        <f t="shared" si="7"/>
        <v>0</v>
      </c>
      <c r="AA13" s="775">
        <f t="shared" ref="AA13:AA27" si="13">X33</f>
        <v>0</v>
      </c>
      <c r="AB13" s="776">
        <f>IF(K65=1, K61,0)</f>
        <v>0</v>
      </c>
      <c r="AC13" s="776">
        <f>IF(L65=1, L61,0)</f>
        <v>0</v>
      </c>
      <c r="AD13" s="776">
        <f>IF(M65=1, M61,0)</f>
        <v>0</v>
      </c>
      <c r="AE13" s="776">
        <f>IF(N65=1, N61,0)</f>
        <v>0</v>
      </c>
      <c r="AF13" s="776">
        <f>IF(K65=0,K62,0)</f>
        <v>0</v>
      </c>
      <c r="AG13" s="776">
        <f>IF(L65=0,L62,0)</f>
        <v>0</v>
      </c>
      <c r="AH13" s="776">
        <f>IF(M65=0,M62,0)</f>
        <v>0</v>
      </c>
      <c r="AI13" s="776">
        <f>IF(N65=0,N62,0)</f>
        <v>0</v>
      </c>
      <c r="AJ13" s="775"/>
      <c r="AK13" s="777"/>
      <c r="AL13" s="866">
        <f t="shared" si="8"/>
        <v>0</v>
      </c>
      <c r="AM13" s="293">
        <f t="shared" ref="AM13:AM27" si="14">$AK$11</f>
        <v>0</v>
      </c>
      <c r="AN13" s="293">
        <f t="shared" si="9"/>
        <v>100</v>
      </c>
      <c r="AO13" s="1" t="e">
        <f t="shared" ref="AO13:AO27" si="15">R13</f>
        <v>#DIV/0!</v>
      </c>
    </row>
    <row r="14" spans="1:91" ht="18.75" hidden="1" customHeight="1" thickTop="1" thickBot="1">
      <c r="C14" s="1297"/>
      <c r="D14" s="1298"/>
      <c r="E14" s="734"/>
      <c r="F14" s="734"/>
      <c r="G14" s="734"/>
      <c r="O14" s="679">
        <f t="shared" si="10"/>
        <v>0</v>
      </c>
      <c r="P14" s="772" t="e">
        <f t="shared" si="0"/>
        <v>#DIV/0!</v>
      </c>
      <c r="Q14" s="848" t="e">
        <f>'ورقة أجازة وعدم الأجازة للمختصن'!BA30</f>
        <v>#DIV/0!</v>
      </c>
      <c r="R14" s="773" t="e">
        <f t="shared" si="1"/>
        <v>#DIV/0!</v>
      </c>
      <c r="S14" s="774">
        <f t="shared" si="2"/>
        <v>0</v>
      </c>
      <c r="T14" s="774" t="e">
        <f t="shared" si="11"/>
        <v>#DIV/0!</v>
      </c>
      <c r="U14" s="772">
        <f t="shared" si="3"/>
        <v>0</v>
      </c>
      <c r="V14" s="772">
        <f t="shared" si="4"/>
        <v>0</v>
      </c>
      <c r="W14" s="750">
        <f t="shared" si="5"/>
        <v>0</v>
      </c>
      <c r="X14" s="772">
        <f t="shared" si="6"/>
        <v>0</v>
      </c>
      <c r="Y14" s="775">
        <f t="shared" si="12"/>
        <v>0</v>
      </c>
      <c r="Z14" s="772">
        <f t="shared" si="7"/>
        <v>0</v>
      </c>
      <c r="AA14" s="775">
        <f t="shared" si="13"/>
        <v>0</v>
      </c>
      <c r="AB14" s="776">
        <f>IF(K66=1, K61,0)</f>
        <v>0</v>
      </c>
      <c r="AC14" s="776">
        <f>IF(L66=1, L61,0)</f>
        <v>0</v>
      </c>
      <c r="AD14" s="776">
        <f>IF(M66=1, M61,0)</f>
        <v>0</v>
      </c>
      <c r="AE14" s="776">
        <f>IF(N66=1, N61,0)</f>
        <v>0</v>
      </c>
      <c r="AF14" s="776">
        <f>IF(K66=0,K62,0)</f>
        <v>0</v>
      </c>
      <c r="AG14" s="776">
        <f>IF(L66=0,L62,0)</f>
        <v>0</v>
      </c>
      <c r="AH14" s="776">
        <f>IF(M66=0,M62,0)</f>
        <v>0</v>
      </c>
      <c r="AI14" s="776">
        <f>IF(N66=0,N62,0)</f>
        <v>0</v>
      </c>
      <c r="AJ14" s="775"/>
      <c r="AK14" s="777"/>
      <c r="AL14" s="866">
        <f t="shared" si="8"/>
        <v>0</v>
      </c>
      <c r="AM14" s="293">
        <f t="shared" si="14"/>
        <v>0</v>
      </c>
      <c r="AN14" s="293">
        <f t="shared" si="9"/>
        <v>100</v>
      </c>
      <c r="AO14" s="1" t="e">
        <f t="shared" si="15"/>
        <v>#DIV/0!</v>
      </c>
    </row>
    <row r="15" spans="1:91" ht="18.75" hidden="1" customHeight="1" thickTop="1" thickBot="1">
      <c r="C15" s="1297"/>
      <c r="D15" s="1298"/>
      <c r="E15" s="734"/>
      <c r="F15" s="734"/>
      <c r="G15" s="734"/>
      <c r="O15" s="679">
        <f t="shared" si="10"/>
        <v>0</v>
      </c>
      <c r="P15" s="772" t="e">
        <f t="shared" si="0"/>
        <v>#DIV/0!</v>
      </c>
      <c r="Q15" s="848" t="e">
        <f>'ورقة أجازة وعدم الأجازة للمختصن'!BA31</f>
        <v>#DIV/0!</v>
      </c>
      <c r="R15" s="773" t="e">
        <f t="shared" si="1"/>
        <v>#DIV/0!</v>
      </c>
      <c r="S15" s="774">
        <f t="shared" si="2"/>
        <v>0</v>
      </c>
      <c r="T15" s="774" t="e">
        <f t="shared" si="11"/>
        <v>#DIV/0!</v>
      </c>
      <c r="U15" s="772">
        <f t="shared" si="3"/>
        <v>0</v>
      </c>
      <c r="V15" s="772">
        <f t="shared" si="4"/>
        <v>0</v>
      </c>
      <c r="W15" s="750">
        <f t="shared" si="5"/>
        <v>0</v>
      </c>
      <c r="X15" s="772">
        <f t="shared" si="6"/>
        <v>0</v>
      </c>
      <c r="Y15" s="775">
        <f t="shared" si="12"/>
        <v>0</v>
      </c>
      <c r="Z15" s="772">
        <f t="shared" si="7"/>
        <v>0</v>
      </c>
      <c r="AA15" s="775">
        <f t="shared" si="13"/>
        <v>0</v>
      </c>
      <c r="AB15" s="776">
        <f>IF(K67=1, K61,0)</f>
        <v>0</v>
      </c>
      <c r="AC15" s="776">
        <f>IF(L67=1, L61,0)</f>
        <v>0</v>
      </c>
      <c r="AD15" s="776">
        <f>IF(M67=1, M61,0)</f>
        <v>0</v>
      </c>
      <c r="AE15" s="776">
        <f>IF(N67=1, N61,0)</f>
        <v>0</v>
      </c>
      <c r="AF15" s="776">
        <f>IF(K67=0,K62,0)</f>
        <v>0</v>
      </c>
      <c r="AG15" s="776">
        <f>IF(L67=0,L62,0)</f>
        <v>0</v>
      </c>
      <c r="AH15" s="776">
        <f>IF(M67=0,M62,0)</f>
        <v>0</v>
      </c>
      <c r="AI15" s="776">
        <f>IF(N67=0,N62,0)</f>
        <v>0</v>
      </c>
      <c r="AJ15" s="775"/>
      <c r="AK15" s="777"/>
      <c r="AL15" s="866">
        <f t="shared" si="8"/>
        <v>0</v>
      </c>
      <c r="AM15" s="293">
        <f t="shared" si="14"/>
        <v>0</v>
      </c>
      <c r="AN15" s="293">
        <f t="shared" si="9"/>
        <v>100</v>
      </c>
      <c r="AO15" s="1" t="e">
        <f t="shared" si="15"/>
        <v>#DIV/0!</v>
      </c>
    </row>
    <row r="16" spans="1:91" ht="18.75" hidden="1" customHeight="1" thickTop="1" thickBot="1">
      <c r="C16" s="1297"/>
      <c r="D16" s="1298"/>
      <c r="E16" s="734"/>
      <c r="F16" s="734"/>
      <c r="G16" s="734"/>
      <c r="O16" s="679">
        <f t="shared" si="10"/>
        <v>0</v>
      </c>
      <c r="P16" s="772" t="e">
        <f t="shared" si="0"/>
        <v>#DIV/0!</v>
      </c>
      <c r="Q16" s="848" t="e">
        <f>'ورقة أجازة وعدم الأجازة للمختصن'!BA32</f>
        <v>#DIV/0!</v>
      </c>
      <c r="R16" s="773" t="e">
        <f t="shared" si="1"/>
        <v>#DIV/0!</v>
      </c>
      <c r="S16" s="774">
        <f t="shared" si="2"/>
        <v>0</v>
      </c>
      <c r="T16" s="774" t="e">
        <f t="shared" si="11"/>
        <v>#DIV/0!</v>
      </c>
      <c r="U16" s="772">
        <f t="shared" si="3"/>
        <v>0</v>
      </c>
      <c r="V16" s="772">
        <f t="shared" si="4"/>
        <v>0</v>
      </c>
      <c r="W16" s="750">
        <f t="shared" si="5"/>
        <v>0</v>
      </c>
      <c r="X16" s="772">
        <f t="shared" si="6"/>
        <v>0</v>
      </c>
      <c r="Y16" s="775">
        <f t="shared" si="12"/>
        <v>0</v>
      </c>
      <c r="Z16" s="772">
        <f t="shared" si="7"/>
        <v>0</v>
      </c>
      <c r="AA16" s="775">
        <f t="shared" si="13"/>
        <v>0</v>
      </c>
      <c r="AB16" s="776">
        <f>IF(K68=1, K61,0)</f>
        <v>0</v>
      </c>
      <c r="AC16" s="776">
        <f>IF(L68=1, L61,0)</f>
        <v>0</v>
      </c>
      <c r="AD16" s="776">
        <f>IF(M68=1, M61,0)</f>
        <v>0</v>
      </c>
      <c r="AE16" s="776">
        <f>IF(N68=1, N61,0)</f>
        <v>0</v>
      </c>
      <c r="AF16" s="776">
        <f>IF(K68=0,K62,0)</f>
        <v>0</v>
      </c>
      <c r="AG16" s="776">
        <f>IF(L68=0,L62,0)</f>
        <v>0</v>
      </c>
      <c r="AH16" s="776">
        <f>IF(M68=0,M62,0)</f>
        <v>0</v>
      </c>
      <c r="AI16" s="776">
        <f>IF(N68=0,N62,0)</f>
        <v>0</v>
      </c>
      <c r="AJ16" s="775"/>
      <c r="AK16" s="777"/>
      <c r="AL16" s="866">
        <f t="shared" si="8"/>
        <v>0</v>
      </c>
      <c r="AM16" s="293">
        <f t="shared" si="14"/>
        <v>0</v>
      </c>
      <c r="AN16" s="293">
        <f t="shared" si="9"/>
        <v>100</v>
      </c>
      <c r="AO16" s="1" t="e">
        <f t="shared" si="15"/>
        <v>#DIV/0!</v>
      </c>
    </row>
    <row r="17" spans="3:91" ht="18.75" hidden="1" customHeight="1" thickTop="1" thickBot="1">
      <c r="C17" s="1297"/>
      <c r="D17" s="1298"/>
      <c r="E17" s="734"/>
      <c r="F17" s="734"/>
      <c r="G17" s="734"/>
      <c r="O17" s="679">
        <f t="shared" si="10"/>
        <v>0</v>
      </c>
      <c r="P17" s="772" t="e">
        <f t="shared" si="0"/>
        <v>#DIV/0!</v>
      </c>
      <c r="Q17" s="848" t="e">
        <f>'ورقة أجازة وعدم الأجازة للمختصن'!BA33</f>
        <v>#DIV/0!</v>
      </c>
      <c r="R17" s="773" t="e">
        <f t="shared" si="1"/>
        <v>#DIV/0!</v>
      </c>
      <c r="S17" s="774">
        <f t="shared" si="2"/>
        <v>0</v>
      </c>
      <c r="T17" s="774" t="e">
        <f t="shared" si="11"/>
        <v>#DIV/0!</v>
      </c>
      <c r="U17" s="772">
        <f t="shared" si="3"/>
        <v>0</v>
      </c>
      <c r="V17" s="772">
        <f t="shared" si="4"/>
        <v>0</v>
      </c>
      <c r="W17" s="750">
        <f t="shared" si="5"/>
        <v>0</v>
      </c>
      <c r="X17" s="772">
        <f t="shared" si="6"/>
        <v>0</v>
      </c>
      <c r="Y17" s="775">
        <f t="shared" si="12"/>
        <v>0</v>
      </c>
      <c r="Z17" s="772">
        <f t="shared" si="7"/>
        <v>0</v>
      </c>
      <c r="AA17" s="775">
        <f t="shared" si="13"/>
        <v>0</v>
      </c>
      <c r="AB17" s="776">
        <f>IF(K69=1, K61,0)</f>
        <v>0</v>
      </c>
      <c r="AC17" s="776">
        <f>IF(L69=1, L61,0)</f>
        <v>0</v>
      </c>
      <c r="AD17" s="776">
        <f>IF(M69=1, M61,0)</f>
        <v>0</v>
      </c>
      <c r="AE17" s="776">
        <f>IF(N69=1, N61,0)</f>
        <v>0</v>
      </c>
      <c r="AF17" s="776">
        <f>IF(K69=0,K62,0)</f>
        <v>0</v>
      </c>
      <c r="AG17" s="776">
        <f>IF(L69=0,L62,0)</f>
        <v>0</v>
      </c>
      <c r="AH17" s="776">
        <f>IF(M69=0,M62,0)</f>
        <v>0</v>
      </c>
      <c r="AI17" s="776">
        <f>IF(N69=0,N62,0)</f>
        <v>0</v>
      </c>
      <c r="AJ17" s="775"/>
      <c r="AK17" s="777"/>
      <c r="AL17" s="866">
        <f t="shared" si="8"/>
        <v>0</v>
      </c>
      <c r="AM17" s="293">
        <f t="shared" si="14"/>
        <v>0</v>
      </c>
      <c r="AN17" s="293">
        <f t="shared" si="9"/>
        <v>100</v>
      </c>
      <c r="AO17" s="1" t="e">
        <f t="shared" si="15"/>
        <v>#DIV/0!</v>
      </c>
    </row>
    <row r="18" spans="3:91" ht="18.75" hidden="1" customHeight="1" thickTop="1" thickBot="1">
      <c r="C18" s="1297"/>
      <c r="D18" s="1298"/>
      <c r="E18" s="734"/>
      <c r="F18" s="734"/>
      <c r="G18" s="734"/>
      <c r="O18" s="679">
        <f t="shared" si="10"/>
        <v>0</v>
      </c>
      <c r="P18" s="772" t="e">
        <f t="shared" si="0"/>
        <v>#DIV/0!</v>
      </c>
      <c r="Q18" s="848" t="e">
        <f>'ورقة أجازة وعدم الأجازة للمختصن'!BA34</f>
        <v>#DIV/0!</v>
      </c>
      <c r="R18" s="773" t="e">
        <f t="shared" si="1"/>
        <v>#DIV/0!</v>
      </c>
      <c r="S18" s="774">
        <f t="shared" si="2"/>
        <v>0</v>
      </c>
      <c r="T18" s="774" t="e">
        <f t="shared" si="11"/>
        <v>#DIV/0!</v>
      </c>
      <c r="U18" s="772">
        <f t="shared" si="3"/>
        <v>0</v>
      </c>
      <c r="V18" s="772">
        <f t="shared" si="4"/>
        <v>0</v>
      </c>
      <c r="W18" s="750">
        <f t="shared" si="5"/>
        <v>0</v>
      </c>
      <c r="X18" s="772">
        <f t="shared" si="6"/>
        <v>0</v>
      </c>
      <c r="Y18" s="775">
        <f t="shared" si="12"/>
        <v>0</v>
      </c>
      <c r="Z18" s="772">
        <f t="shared" si="7"/>
        <v>0</v>
      </c>
      <c r="AA18" s="775">
        <f t="shared" si="13"/>
        <v>0</v>
      </c>
      <c r="AB18" s="776">
        <f>IF(K70=1, K61,0)</f>
        <v>0</v>
      </c>
      <c r="AC18" s="776">
        <f>IF(L70=1, L61,0)</f>
        <v>0</v>
      </c>
      <c r="AD18" s="776">
        <f>IF(M70=1, M61,0)</f>
        <v>0</v>
      </c>
      <c r="AE18" s="776">
        <f>IF(N70=1, N61,0)</f>
        <v>0</v>
      </c>
      <c r="AF18" s="776">
        <f>IF(K70=0,K62,0)</f>
        <v>0</v>
      </c>
      <c r="AG18" s="776">
        <f>IF(L70=0,L62,0)</f>
        <v>0</v>
      </c>
      <c r="AH18" s="776">
        <f>IF(M70=0,M62,0)</f>
        <v>0</v>
      </c>
      <c r="AI18" s="776">
        <f>IF(N70=0,N62,0)</f>
        <v>0</v>
      </c>
      <c r="AJ18" s="775"/>
      <c r="AK18" s="777"/>
      <c r="AL18" s="866">
        <f t="shared" si="8"/>
        <v>0</v>
      </c>
      <c r="AM18" s="293">
        <f t="shared" si="14"/>
        <v>0</v>
      </c>
      <c r="AN18" s="293">
        <f t="shared" si="9"/>
        <v>100</v>
      </c>
      <c r="AO18" s="1" t="e">
        <f t="shared" si="15"/>
        <v>#DIV/0!</v>
      </c>
    </row>
    <row r="19" spans="3:91" ht="18.75" hidden="1" customHeight="1" thickTop="1" thickBot="1">
      <c r="C19" s="1297"/>
      <c r="D19" s="1298"/>
      <c r="E19" s="734"/>
      <c r="F19" s="734"/>
      <c r="G19" s="734"/>
      <c r="O19" s="679">
        <f t="shared" si="10"/>
        <v>0</v>
      </c>
      <c r="P19" s="772" t="e">
        <f t="shared" si="0"/>
        <v>#DIV/0!</v>
      </c>
      <c r="Q19" s="848" t="e">
        <f>'ورقة أجازة وعدم الأجازة للمختصن'!BA35</f>
        <v>#DIV/0!</v>
      </c>
      <c r="R19" s="773" t="e">
        <f t="shared" si="1"/>
        <v>#DIV/0!</v>
      </c>
      <c r="S19" s="774">
        <f t="shared" si="2"/>
        <v>0</v>
      </c>
      <c r="T19" s="774" t="e">
        <f t="shared" si="11"/>
        <v>#DIV/0!</v>
      </c>
      <c r="U19" s="772">
        <f t="shared" si="3"/>
        <v>0</v>
      </c>
      <c r="V19" s="772">
        <f t="shared" si="4"/>
        <v>0</v>
      </c>
      <c r="W19" s="750">
        <f t="shared" si="5"/>
        <v>0</v>
      </c>
      <c r="X19" s="772">
        <f t="shared" si="6"/>
        <v>0</v>
      </c>
      <c r="Y19" s="775">
        <f t="shared" si="12"/>
        <v>0</v>
      </c>
      <c r="Z19" s="772">
        <f t="shared" si="7"/>
        <v>0</v>
      </c>
      <c r="AA19" s="775">
        <f t="shared" si="13"/>
        <v>0</v>
      </c>
      <c r="AB19" s="776">
        <f>IF(K71=1, K61,0)</f>
        <v>0</v>
      </c>
      <c r="AC19" s="776">
        <f>IF(L71=1, L61,0)</f>
        <v>0</v>
      </c>
      <c r="AD19" s="776">
        <f>IF(M71=1, M61,0)</f>
        <v>0</v>
      </c>
      <c r="AE19" s="776">
        <f>IF(N71=1, N61,0)</f>
        <v>0</v>
      </c>
      <c r="AF19" s="776">
        <f>IF(K71=0,K62,0)</f>
        <v>0</v>
      </c>
      <c r="AG19" s="776">
        <f>IF(L71=0,L62,0)</f>
        <v>0</v>
      </c>
      <c r="AH19" s="776">
        <f>IF(M71=0,M62,0)</f>
        <v>0</v>
      </c>
      <c r="AI19" s="776">
        <f>IF(N71=0,N62,0)</f>
        <v>0</v>
      </c>
      <c r="AJ19" s="775"/>
      <c r="AK19" s="777"/>
      <c r="AL19" s="866">
        <f t="shared" si="8"/>
        <v>0</v>
      </c>
      <c r="AM19" s="293">
        <f t="shared" si="14"/>
        <v>0</v>
      </c>
      <c r="AN19" s="293">
        <f t="shared" si="9"/>
        <v>100</v>
      </c>
      <c r="AO19" s="1" t="e">
        <f t="shared" si="15"/>
        <v>#DIV/0!</v>
      </c>
    </row>
    <row r="20" spans="3:91" ht="18.75" hidden="1" customHeight="1" thickTop="1" thickBot="1">
      <c r="C20" s="1297"/>
      <c r="D20" s="1298"/>
      <c r="E20" s="734"/>
      <c r="F20" s="734"/>
      <c r="G20" s="734"/>
      <c r="O20" s="679">
        <f t="shared" si="10"/>
        <v>0</v>
      </c>
      <c r="P20" s="772" t="e">
        <f t="shared" si="0"/>
        <v>#DIV/0!</v>
      </c>
      <c r="Q20" s="848" t="e">
        <f>'ورقة أجازة وعدم الأجازة للمختصن'!BA36</f>
        <v>#DIV/0!</v>
      </c>
      <c r="R20" s="773" t="e">
        <f t="shared" si="1"/>
        <v>#DIV/0!</v>
      </c>
      <c r="S20" s="774">
        <f t="shared" si="2"/>
        <v>0</v>
      </c>
      <c r="T20" s="774" t="e">
        <f t="shared" si="11"/>
        <v>#DIV/0!</v>
      </c>
      <c r="U20" s="772">
        <f t="shared" si="3"/>
        <v>0</v>
      </c>
      <c r="V20" s="772">
        <f t="shared" si="4"/>
        <v>0</v>
      </c>
      <c r="W20" s="750">
        <f t="shared" si="5"/>
        <v>0</v>
      </c>
      <c r="X20" s="772">
        <f t="shared" si="6"/>
        <v>0</v>
      </c>
      <c r="Y20" s="775">
        <f t="shared" si="12"/>
        <v>0</v>
      </c>
      <c r="Z20" s="772">
        <f t="shared" si="7"/>
        <v>0</v>
      </c>
      <c r="AA20" s="775">
        <f t="shared" si="13"/>
        <v>0</v>
      </c>
      <c r="AB20" s="776">
        <f>IF(K72=1, K61,0)</f>
        <v>0</v>
      </c>
      <c r="AC20" s="776">
        <f>IF(L72=1, L61,0)</f>
        <v>0</v>
      </c>
      <c r="AD20" s="776">
        <f>IF(M72=1, M61,0)</f>
        <v>0</v>
      </c>
      <c r="AE20" s="776">
        <f>IF(N72=1, N61,0)</f>
        <v>0</v>
      </c>
      <c r="AF20" s="776">
        <f>IF(K72=0,K62,0)</f>
        <v>0</v>
      </c>
      <c r="AG20" s="776">
        <f>IF(L72=0,L62,0)</f>
        <v>0</v>
      </c>
      <c r="AH20" s="776">
        <f>IF(M72=0,M62,0)</f>
        <v>0</v>
      </c>
      <c r="AI20" s="776">
        <f>IF(N72=0,N62,0)</f>
        <v>0</v>
      </c>
      <c r="AJ20" s="775"/>
      <c r="AK20" s="777"/>
      <c r="AL20" s="866">
        <f t="shared" si="8"/>
        <v>0</v>
      </c>
      <c r="AM20" s="293">
        <f t="shared" si="14"/>
        <v>0</v>
      </c>
      <c r="AN20" s="293">
        <f t="shared" si="9"/>
        <v>100</v>
      </c>
      <c r="AO20" s="1" t="e">
        <f t="shared" si="15"/>
        <v>#DIV/0!</v>
      </c>
    </row>
    <row r="21" spans="3:91" ht="18.75" hidden="1" customHeight="1" thickTop="1" thickBot="1">
      <c r="C21" s="1299"/>
      <c r="D21" s="1300"/>
      <c r="E21" s="734"/>
      <c r="F21" s="734"/>
      <c r="G21" s="734"/>
      <c r="O21" s="679">
        <f t="shared" si="10"/>
        <v>0</v>
      </c>
      <c r="P21" s="772" t="e">
        <f t="shared" si="0"/>
        <v>#DIV/0!</v>
      </c>
      <c r="Q21" s="848" t="e">
        <f>'ورقة أجازة وعدم الأجازة للمختصن'!BA37</f>
        <v>#DIV/0!</v>
      </c>
      <c r="R21" s="773" t="e">
        <f t="shared" si="1"/>
        <v>#DIV/0!</v>
      </c>
      <c r="S21" s="774">
        <f t="shared" si="2"/>
        <v>0</v>
      </c>
      <c r="T21" s="774" t="e">
        <f t="shared" si="11"/>
        <v>#DIV/0!</v>
      </c>
      <c r="U21" s="772">
        <f t="shared" si="3"/>
        <v>0</v>
      </c>
      <c r="V21" s="772">
        <f t="shared" si="4"/>
        <v>0</v>
      </c>
      <c r="W21" s="750">
        <f t="shared" si="5"/>
        <v>0</v>
      </c>
      <c r="X21" s="772">
        <f t="shared" si="6"/>
        <v>0</v>
      </c>
      <c r="Y21" s="775">
        <f t="shared" si="12"/>
        <v>0</v>
      </c>
      <c r="Z21" s="772">
        <f t="shared" si="7"/>
        <v>0</v>
      </c>
      <c r="AA21" s="775">
        <f t="shared" si="13"/>
        <v>0</v>
      </c>
      <c r="AB21" s="776">
        <f>IF(K73=1, K61,0)</f>
        <v>0</v>
      </c>
      <c r="AC21" s="776">
        <f>IF(L73=1, L61,0)</f>
        <v>0</v>
      </c>
      <c r="AD21" s="776">
        <f>IF(M73=1, M61,0)</f>
        <v>0</v>
      </c>
      <c r="AE21" s="776">
        <f>IF(N73=1, N61,0)</f>
        <v>0</v>
      </c>
      <c r="AF21" s="776">
        <f>IF(K73=0,K62,0)</f>
        <v>0</v>
      </c>
      <c r="AG21" s="776">
        <f>IF(L73=0,L62,0)</f>
        <v>0</v>
      </c>
      <c r="AH21" s="776">
        <f>IF(M73=0,M62,0)</f>
        <v>0</v>
      </c>
      <c r="AI21" s="776">
        <f>IF(N73=0,N62,0)</f>
        <v>0</v>
      </c>
      <c r="AJ21" s="775"/>
      <c r="AK21" s="777"/>
      <c r="AL21" s="866">
        <f t="shared" si="8"/>
        <v>0</v>
      </c>
      <c r="AM21" s="293">
        <f t="shared" si="14"/>
        <v>0</v>
      </c>
      <c r="AN21" s="293">
        <f t="shared" si="9"/>
        <v>100</v>
      </c>
      <c r="AO21" s="1" t="e">
        <f t="shared" si="15"/>
        <v>#DIV/0!</v>
      </c>
    </row>
    <row r="22" spans="3:91" ht="18.75" hidden="1" customHeight="1" thickTop="1" thickBot="1">
      <c r="C22" s="759"/>
      <c r="D22" s="759"/>
      <c r="E22" s="734"/>
      <c r="F22" s="734"/>
      <c r="G22" s="734"/>
      <c r="O22" s="679">
        <f t="shared" si="10"/>
        <v>0</v>
      </c>
      <c r="P22" s="772" t="e">
        <f t="shared" si="0"/>
        <v>#DIV/0!</v>
      </c>
      <c r="Q22" s="848" t="e">
        <f>'ورقة أجازة وعدم الأجازة للمختصن'!BA38</f>
        <v>#DIV/0!</v>
      </c>
      <c r="R22" s="773" t="e">
        <f t="shared" si="1"/>
        <v>#DIV/0!</v>
      </c>
      <c r="S22" s="774">
        <f t="shared" si="2"/>
        <v>0</v>
      </c>
      <c r="T22" s="774" t="e">
        <f t="shared" si="11"/>
        <v>#DIV/0!</v>
      </c>
      <c r="U22" s="772">
        <f t="shared" si="3"/>
        <v>0</v>
      </c>
      <c r="V22" s="772">
        <f t="shared" si="4"/>
        <v>0</v>
      </c>
      <c r="W22" s="750">
        <f t="shared" si="5"/>
        <v>0</v>
      </c>
      <c r="X22" s="772">
        <f t="shared" si="6"/>
        <v>0</v>
      </c>
      <c r="Y22" s="775">
        <f t="shared" si="12"/>
        <v>0</v>
      </c>
      <c r="Z22" s="772">
        <f t="shared" si="7"/>
        <v>0</v>
      </c>
      <c r="AA22" s="775">
        <f t="shared" si="13"/>
        <v>0</v>
      </c>
      <c r="AB22" s="776">
        <f>IF(K74=1, K61,0)</f>
        <v>0</v>
      </c>
      <c r="AC22" s="776">
        <f>IF(L74=1, L61,0)</f>
        <v>0</v>
      </c>
      <c r="AD22" s="776">
        <f>IF(M74=1, M61,0)</f>
        <v>0</v>
      </c>
      <c r="AE22" s="776">
        <f>IF(N74=1, N61,0)</f>
        <v>0</v>
      </c>
      <c r="AF22" s="776">
        <f>IF(K74=0,K62,0)</f>
        <v>0</v>
      </c>
      <c r="AG22" s="776">
        <f>IF(L74=0,L62,0)</f>
        <v>0</v>
      </c>
      <c r="AH22" s="776">
        <f>IF(M74=0,M62,0)</f>
        <v>0</v>
      </c>
      <c r="AI22" s="776">
        <f>IF(N74=0,N62,0)</f>
        <v>0</v>
      </c>
      <c r="AJ22" s="775"/>
      <c r="AK22" s="777"/>
      <c r="AL22" s="866">
        <f t="shared" si="8"/>
        <v>0</v>
      </c>
      <c r="AM22" s="293">
        <f t="shared" si="14"/>
        <v>0</v>
      </c>
      <c r="AN22" s="293">
        <f t="shared" si="9"/>
        <v>100</v>
      </c>
      <c r="AO22" s="1" t="e">
        <f t="shared" si="15"/>
        <v>#DIV/0!</v>
      </c>
    </row>
    <row r="23" spans="3:91" ht="18.75" hidden="1" customHeight="1" thickTop="1" thickBot="1">
      <c r="C23" s="759" t="s">
        <v>114</v>
      </c>
      <c r="D23" s="759"/>
      <c r="E23" s="734"/>
      <c r="F23" s="734"/>
      <c r="G23" s="734"/>
      <c r="O23" s="679">
        <f t="shared" si="10"/>
        <v>0</v>
      </c>
      <c r="P23" s="772" t="e">
        <f t="shared" si="0"/>
        <v>#DIV/0!</v>
      </c>
      <c r="Q23" s="848" t="e">
        <f>'ورقة أجازة وعدم الأجازة للمختصن'!BA39</f>
        <v>#DIV/0!</v>
      </c>
      <c r="R23" s="773" t="e">
        <f t="shared" si="1"/>
        <v>#DIV/0!</v>
      </c>
      <c r="S23" s="774">
        <f t="shared" si="2"/>
        <v>0</v>
      </c>
      <c r="T23" s="774" t="e">
        <f t="shared" si="11"/>
        <v>#DIV/0!</v>
      </c>
      <c r="U23" s="772">
        <f t="shared" si="3"/>
        <v>0</v>
      </c>
      <c r="V23" s="772">
        <f t="shared" si="4"/>
        <v>0</v>
      </c>
      <c r="W23" s="750">
        <f t="shared" si="5"/>
        <v>0</v>
      </c>
      <c r="X23" s="772">
        <f t="shared" si="6"/>
        <v>0</v>
      </c>
      <c r="Y23" s="775">
        <f t="shared" si="12"/>
        <v>0</v>
      </c>
      <c r="Z23" s="772">
        <f t="shared" si="7"/>
        <v>0</v>
      </c>
      <c r="AA23" s="775">
        <f t="shared" si="13"/>
        <v>0</v>
      </c>
      <c r="AB23" s="776">
        <f>IF(K75=1, K61,0)</f>
        <v>0</v>
      </c>
      <c r="AC23" s="776">
        <f>IF(L75=1, L61,0)</f>
        <v>0</v>
      </c>
      <c r="AD23" s="776">
        <f>IF(M75=1, M61,0)</f>
        <v>0</v>
      </c>
      <c r="AE23" s="776">
        <f>IF(N75=1, N61,0)</f>
        <v>0</v>
      </c>
      <c r="AF23" s="776">
        <f>IF(K75=0,K62,0)</f>
        <v>0</v>
      </c>
      <c r="AG23" s="776">
        <f>IF(L75=0,L62,0)</f>
        <v>0</v>
      </c>
      <c r="AH23" s="776">
        <f>IF(M75=0,M62,0)</f>
        <v>0</v>
      </c>
      <c r="AI23" s="776">
        <f>IF(N75=0,N62,0)</f>
        <v>0</v>
      </c>
      <c r="AJ23" s="775"/>
      <c r="AK23" s="777"/>
      <c r="AL23" s="866">
        <f t="shared" si="8"/>
        <v>0</v>
      </c>
      <c r="AM23" s="293">
        <f t="shared" si="14"/>
        <v>0</v>
      </c>
      <c r="AN23" s="293">
        <f t="shared" si="9"/>
        <v>100</v>
      </c>
      <c r="AO23" s="1" t="e">
        <f t="shared" si="15"/>
        <v>#DIV/0!</v>
      </c>
    </row>
    <row r="24" spans="3:91" ht="16.5" hidden="1" customHeight="1" thickTop="1" thickBot="1">
      <c r="C24" s="1301" t="s">
        <v>738</v>
      </c>
      <c r="D24" s="778">
        <f>K7</f>
        <v>0</v>
      </c>
      <c r="E24" s="734"/>
      <c r="F24" s="734"/>
      <c r="G24" s="734"/>
      <c r="H24" s="779" t="str">
        <f>IF(K7=0,"","الموصى له الأول")</f>
        <v/>
      </c>
      <c r="I24" s="1304" t="s">
        <v>740</v>
      </c>
      <c r="J24" s="1304" t="s">
        <v>114</v>
      </c>
      <c r="K24" s="780">
        <f>(IF(K64=1,K61,0)*I64)+(IF(K65=1,K61,0)*I65)+(IF(K66=1,K61,0)*I66)+(IF(K67=1,K61,0)*I67)+(IF(K68=1,K61,0)*I68)+(IF(K69=1,K61,0)*I69)+(IF(K70=1,K61,0)*I70) +(IF(K71=1,K61,0)*I71)+(IF(K72=1,K61,0)*I72)+(IF(K73=1,K61,0)*I73)+(IF(K74=1,K61,0)*I74)+(IF(K75=1,K61,0)*I75)</f>
        <v>0</v>
      </c>
      <c r="L24" s="1305" t="s">
        <v>741</v>
      </c>
      <c r="M24" s="780">
        <f>(IF(K64=0,K62,0)*I64)+(IF(K65=0,K62,0)*I65)+(IF(K66=0,K62,0)*I66)+(IF(K67=0,K62,0)*I67)+(IF(K68=0,K62,0)*I68+(IF(K69=0,K62,0)*I69+(IF(K70=0,K62,0)*I70)+(IF(K71=0,K62,0)*I71)+(IF(K72=0,K62,0)*I72)+(IF(K73=0,K62,0)*I73)+(IF(K74=0,K62,0)*I74)+(IF(K75=0,K62,0)*I75)))</f>
        <v>0</v>
      </c>
      <c r="N24" s="780"/>
      <c r="O24" s="772">
        <f>IFERROR( K24+M24,0)</f>
        <v>0</v>
      </c>
      <c r="P24" s="772" t="e">
        <f t="shared" si="0"/>
        <v>#DIV/0!</v>
      </c>
      <c r="Q24" s="848" t="e">
        <f>'ورقة أجازة وعدم الأجازة للمختصن'!BA40</f>
        <v>#DIV/0!</v>
      </c>
      <c r="R24" s="773" t="e">
        <f t="shared" si="1"/>
        <v>#DIV/0!</v>
      </c>
      <c r="S24" s="774">
        <f>IF(K24&gt;0,K24,0)</f>
        <v>0</v>
      </c>
      <c r="T24" s="774" t="e">
        <f t="shared" si="11"/>
        <v>#DIV/0!</v>
      </c>
      <c r="U24" s="772">
        <f t="shared" si="3"/>
        <v>0</v>
      </c>
      <c r="V24" s="772">
        <f t="shared" si="4"/>
        <v>0</v>
      </c>
      <c r="W24" s="750">
        <f t="shared" si="5"/>
        <v>0</v>
      </c>
      <c r="X24" s="772">
        <f t="shared" si="6"/>
        <v>0</v>
      </c>
      <c r="Y24" s="775">
        <f t="shared" si="12"/>
        <v>0</v>
      </c>
      <c r="Z24" s="772"/>
      <c r="AA24" s="775">
        <f t="shared" si="13"/>
        <v>0</v>
      </c>
      <c r="AB24" s="775"/>
      <c r="AC24" s="775"/>
      <c r="AD24" s="775"/>
      <c r="AE24" s="775"/>
      <c r="AF24" s="775"/>
      <c r="AG24" s="775"/>
      <c r="AH24" s="775"/>
      <c r="AI24" s="775"/>
      <c r="AJ24" s="775"/>
      <c r="AK24" s="777"/>
      <c r="AL24" s="866">
        <f t="shared" si="8"/>
        <v>0</v>
      </c>
      <c r="AM24" s="293">
        <f t="shared" si="14"/>
        <v>0</v>
      </c>
      <c r="AN24" s="293">
        <f t="shared" si="9"/>
        <v>100</v>
      </c>
      <c r="AO24" s="1" t="e">
        <f t="shared" si="15"/>
        <v>#DIV/0!</v>
      </c>
      <c r="AS24" s="821" t="str">
        <f>IF(AV7=0,"","الموصى له الأول")</f>
        <v/>
      </c>
      <c r="AT24" s="1267" t="s">
        <v>740</v>
      </c>
      <c r="AU24" s="1267" t="s">
        <v>114</v>
      </c>
      <c r="AV24" s="822">
        <f>(IF(K76=1,AV9,0)*I76)+(IF(K77=1,AV9,0)*I77)+(IF(K78=1,AV9,0)*I78)+(IF(K79=1,AV9,0)*I79)+(IF(K80=1,AV9,0)*I80)+(IF(K81=1,AV9,0)*I81)+(IF(K82=1,AV9,0)*I82) +(IF(K83=1,AV9,0)*I83)+(IF(K84=1,AV9,0)*I84)+(IF(K85=1,AV9,0)*I85)+(IF(K86=1,AV9,0)*I86)+(IF(K87=1,AV9,0)*I87)</f>
        <v>0</v>
      </c>
      <c r="AW24" s="1268" t="s">
        <v>741</v>
      </c>
      <c r="AX24" s="822">
        <f>(IF(K76=0,AV10,0)*I76)+(IF(K77=0,AV10,0)*I77)+(IF(K78=0,AV10,0)*I78)+(IF(K79=0,AV10,0)*I79)+(IF(K80=0,AV10,0)*I80+(IF(K81=0,AV10,0)*I81+(IF(K82=0,AV10,0)*I82)+(IF(K83=0,AV10,0)*I83)+(IF(K84=0,AV10,0)*I84)+(IF(K85=0,AV10,0)*I85)+(IF(K86=0,AV10,0)*I86)+(IF(K87=0,AV10,0)*I87)))</f>
        <v>0</v>
      </c>
      <c r="AY24" s="822"/>
      <c r="BA24" s="821" t="str">
        <f>IF(BD7=0,"","الموصى له الأول")</f>
        <v/>
      </c>
      <c r="BB24" s="1267" t="s">
        <v>740</v>
      </c>
      <c r="BC24" s="1267" t="s">
        <v>114</v>
      </c>
      <c r="BD24" s="822">
        <f>(IF(K88=1,BD9,0)*I88)+(IF(K89=1,BD9,0)*I89)+(IF(K90=1,BD9,0)*I90)+(IF(K91=1,BD9,0)*I91)+(IF(K92=1,BD9,0)*I92)+(IF(K93=1,BD9,0)*I93)+(IF(K94=1,BD9,0)*I94) +(IF(K95=1,BD9,0)*I95)+(IF(K96=1,BD9,0)*I96)+(IF(K97=1,BD9,0)*I97)+(IF(K98=1,BD9,0)*I98)+(IF(K99=1,BD9,0)*I99)</f>
        <v>0</v>
      </c>
      <c r="BE24" s="1268" t="s">
        <v>741</v>
      </c>
      <c r="BF24" s="822">
        <f>(IF(K88=0,BD10,0)*I88)+(IF(K89=0,BD10,0)*I89)+(IF(K90=0,BD10,0)*I90)+(IF(K91=0,BD10,0)*I91)+(IF(K92=0,BD10,0)*I92+(IF(K93=0,BD10,0)*I93+(IF(K94=0,BD10,0)*I94)+(IF(K95=0,BD10,0)*I95)+(IF(K96=0,BD10,0)*I96)+(IF(K97=0,BD10,0)*I97)+(IF(K98=0,BD10,0)*I98)+(IF(K99=0,BD10,0)*I99)))</f>
        <v>0</v>
      </c>
      <c r="BG24" s="822"/>
      <c r="BI24" s="821" t="str">
        <f>IF(BL7=0,"","الموصى له الأول")</f>
        <v/>
      </c>
      <c r="BJ24" s="1267" t="s">
        <v>740</v>
      </c>
      <c r="BK24" s="1267" t="s">
        <v>114</v>
      </c>
      <c r="BL24" s="822">
        <f>(IF(K100=1,BL9,0)*I100)+(IF(K101=1,BL9,0)*I101)+(IF(K102=1,BL9,0)*I102)+(IF(K103=1,BL9,0)*I103)+(IF(K104=1,BL9,0)*I104)+(IF(K105=1,BL9,0)*I105)+(IF(K106=1,BL9,0)*I106) +(IF(K107=1,BL9,0)*I107)+(IF(K108=1,BL9,0)*I108)+(IF(K109=1,BL9,0)*I109)+(IF(K110=1,BL9,0)*I110)+(IF(K111=1,BL9,0)*I111)</f>
        <v>0</v>
      </c>
      <c r="BM24" s="1268" t="s">
        <v>741</v>
      </c>
      <c r="BN24" s="822">
        <f>(IF(K100=0,BL10,0)*I100)+(IF(K101=0,BL10,0)*I101)+(IF(K102=0,BL10,0)*I102)+(IF(K103=0,BL10,0)*I103)+(IF(K104=0,BL10,0)*I104+(IF(K105=0,BL10,0)*I105+(IF(K106=0,BL10,0)*I106)+(IF(K107=0,BL10,0)*I107)+(IF(K108=0,BL10,0)*I108)+(IF(K109=0,BL10,0)*I109)+(IF(K110=0,BL10,0)*I110)+(IF(K111=0,BL10,0)*I111)))</f>
        <v>0</v>
      </c>
      <c r="BO24" s="822"/>
      <c r="BQ24" s="687" t="str">
        <f>IF(BT7=0,"","الموصى له الأول")</f>
        <v/>
      </c>
      <c r="BR24" s="1270" t="s">
        <v>740</v>
      </c>
      <c r="BS24" s="1273" t="s">
        <v>114</v>
      </c>
      <c r="BT24" s="688">
        <f>(IF(K112=1,BT9,0)*I112)+(IF(K113=1,BT9,0)*I113)+(IF(K114=1,BT9,0)*I114)+(IF(K115=1,BT9,0)*I115)+(IF(K116=1,BT9,0)*I116)+(IF(K117=1,BT9,0)*I117)+(IF(K118=1,BT9,0)*I118) +(IF(K119=1,BT9,0)*I119)+(IF(K120=1,BT9,0)*I120)+(IF(K121=1,BT9,0)*I121)+(IF(K122=1,BT9,0)*I122)+(IF(K123=1,BT9,0)*I123)</f>
        <v>0</v>
      </c>
      <c r="BU24" s="1271" t="s">
        <v>741</v>
      </c>
      <c r="BV24" s="688">
        <f>(IF(K112=0,BT10,0)*I112)+(IF(K113=0,BT10,0)*I113)+(IF(K114=0,BT10,0)*I114)+(IF(K115=0,BT10,0)*I115)+(IF(K116=0,BT10,0)*I116+(IF(K117=0,BT10,0)*I117+(IF(K118=0,BT10,0)*I118)+(IF(K119=0,BT10,0)*I119)+(IF(K120=0,BT10,0)*I120)+(IF(K121=0,BT10,0)*I121)+(IF(K122=0,BT10,0)*I122)+(IF(K123=0,BT10,0)*I123)))</f>
        <v>0</v>
      </c>
      <c r="BW24" s="688"/>
      <c r="BY24" s="687" t="str">
        <f>IF(CB7=0,"","الموصى له الأول")</f>
        <v/>
      </c>
      <c r="BZ24" s="1270" t="s">
        <v>740</v>
      </c>
      <c r="CA24" s="1273" t="s">
        <v>114</v>
      </c>
      <c r="CB24" s="688">
        <f>(IF(K124=1,CB9,0)*I124)+(IF(K125=1,CB9,0)*I125)+(IF(K126=1,CB9,0)*I126)+(IF(K127=1,CB9,0)*I127)+(IF(K128=1,CB9,0)*I128)+(IF(K129=1,CB9,0)*I129)+(IF(K130=1,CB9,0)*I130) +(IF(K131=1,CB9,0)*I131)+(IF(K132=1,CB9,0)*I132)+(IF(K133=1,CB9,0)*I133)+(IF(K134=1,CB9,0)*I134)+(IF(K135=1,CB9,0)*I135)</f>
        <v>0</v>
      </c>
      <c r="CC24" s="1271" t="s">
        <v>741</v>
      </c>
      <c r="CD24" s="688">
        <f>(IF(K124=0,CB10,0)*I124)+(IF(K125=0,CB10,0)*I125)+(IF(K126=0,CB10,0)*I126)+(IF(K127=0,CB10,0)*I127)+(IF(K128=0,CB10,0)*I128+(IF(K129=0,CB10,0)*I129+(IF(K130=0,CB10,0)*I130)+(IF(K131=0,CB10,0)*I131)+(IF(K132=0,CB10,0)*I132)+(IF(K133=0,CB10,0)*I133)+(IF(K134=0,CB10,0)*I134)+(IF(K135=0,CB10,0)*I135)))</f>
        <v>0</v>
      </c>
      <c r="CE24" s="688"/>
      <c r="CG24" s="821" t="str">
        <f>IF(CJ7=0,"","الموصى له الأول")</f>
        <v/>
      </c>
      <c r="CH24" s="1267" t="s">
        <v>740</v>
      </c>
      <c r="CI24" s="1267" t="s">
        <v>114</v>
      </c>
      <c r="CJ24" s="822">
        <f>(IF(K136=1,CJ9,0)*I136)+(IF(K137=1,CJ9,0)*I137)+(IF(K138=1,CJ9,0)*I138)+(IF(K139=1,CJ9,0)*I139)+(IF(K140=1,CJ9,0)*I140)+(IF(K141=1,CJ9,0)*I141)+(IF(K142=1,CJ9,0)*I142) +(IF(K143=1,CJ9,0)*I143)+(IF(K144=1,CJ9,0)*I144)+(IF(K145=1,CJ9,0)*I145)+(IF(K146=1,CJ9,0)*I146)+(IF(K147=1,CJ9,0)*I147)</f>
        <v>0</v>
      </c>
      <c r="CK24" s="1268" t="s">
        <v>741</v>
      </c>
      <c r="CL24" s="822">
        <f>(IF(K136=0,CJ10,0)*I136)+(IF(K137=0,CJ10,0)*I137)+(IF(K138=0,CJ10,0)*I138)+(IF(K139=0,CJ10,0)*I139)+(IF(K140=0,CJ10,0)*I140+(IF(K141=0,CJ10,0)*I141+(IF(K142=0,CJ10,0)*I142)+(IF(K143=0,CJ10,0)*I143)+(IF(K144=0,CJ10,0)*I144)+(IF(K145=0,CJ10,0)*I145)+(IF(K146=0,CJ10,0)*I146)+(IF(K147=0,CJ10,0)*I147)))</f>
        <v>0</v>
      </c>
      <c r="CM24" s="822"/>
    </row>
    <row r="25" spans="3:91" ht="16.5" hidden="1" customHeight="1" thickTop="1" thickBot="1">
      <c r="C25" s="1302"/>
      <c r="D25" s="778">
        <f>L7</f>
        <v>0</v>
      </c>
      <c r="E25" s="734"/>
      <c r="F25" s="734"/>
      <c r="G25" s="734"/>
      <c r="H25" s="781" t="str">
        <f>IF(L7=0,"","الموصى له التانى")</f>
        <v/>
      </c>
      <c r="I25" s="1305"/>
      <c r="J25" s="1305"/>
      <c r="K25" s="772">
        <f>(IF(L64=1,L61,0)*I64)+(IF( L65=1,L61,0)*I65)+(IF( L66=1,L61,0)* I66)+(IF( L67=1,L61,0)* I67)+(IF(L68=1,L61,0)*I68)+(IF( L69=1,L61,0)*I69)+(IF( L70=1,L61,0)* I70)+(IF( L71=1,L61,0)* I71)+(IF( L72=1,L61,0)* I72)+(IF( L73=1,L61,0)* I73)+(IF(L74=1,L61,0)*I74)+(IF( L75=1,L61,0)*I75)</f>
        <v>0</v>
      </c>
      <c r="L25" s="1305"/>
      <c r="M25" s="772">
        <f>(IF(L64=0,L62,0)*I64)+(IF(L65=0,L62,0)*I65)+(IF(L66=0,L62,0)*I66)+(IF(L67=0,L62,0)*I67)+(IF(L68=0,L62,0)*I68)+(IF(L69=0,L62,0)*I69)+(IF(L70=0,L62,0)*I70)+(IF(L71=0,L62,0)*I71)+(IF(L72=0,L62,0)*I72)+(IF(L73=0,L62,0)*I73)+(IF(L74=0,L62,0)*I74)+(IF(L75=0,L62,0)*I75)</f>
        <v>0</v>
      </c>
      <c r="N25" s="772"/>
      <c r="O25" s="772">
        <f>IFERROR( K25+M25,0)</f>
        <v>0</v>
      </c>
      <c r="P25" s="772" t="e">
        <f t="shared" si="0"/>
        <v>#DIV/0!</v>
      </c>
      <c r="Q25" s="848" t="e">
        <f>'ورقة أجازة وعدم الأجازة للمختصن'!BA41</f>
        <v>#DIV/0!</v>
      </c>
      <c r="R25" s="773" t="e">
        <f t="shared" si="1"/>
        <v>#DIV/0!</v>
      </c>
      <c r="S25" s="774">
        <f>IF(K25&gt;0,K25,0)</f>
        <v>0</v>
      </c>
      <c r="T25" s="774" t="e">
        <f t="shared" si="11"/>
        <v>#DIV/0!</v>
      </c>
      <c r="U25" s="772">
        <f t="shared" si="3"/>
        <v>0</v>
      </c>
      <c r="V25" s="772">
        <f t="shared" si="4"/>
        <v>0</v>
      </c>
      <c r="W25" s="750">
        <f t="shared" si="5"/>
        <v>0</v>
      </c>
      <c r="X25" s="772">
        <f t="shared" si="6"/>
        <v>0</v>
      </c>
      <c r="Y25" s="775">
        <f t="shared" si="12"/>
        <v>0</v>
      </c>
      <c r="Z25" s="772"/>
      <c r="AA25" s="775">
        <f t="shared" si="13"/>
        <v>0</v>
      </c>
      <c r="AB25" s="775"/>
      <c r="AC25" s="775"/>
      <c r="AD25" s="775"/>
      <c r="AE25" s="775"/>
      <c r="AF25" s="775"/>
      <c r="AG25" s="775"/>
      <c r="AH25" s="775"/>
      <c r="AI25" s="775"/>
      <c r="AJ25" s="775"/>
      <c r="AK25" s="777"/>
      <c r="AL25" s="866">
        <f t="shared" si="8"/>
        <v>0</v>
      </c>
      <c r="AM25" s="293">
        <f t="shared" si="14"/>
        <v>0</v>
      </c>
      <c r="AN25" s="293">
        <f t="shared" si="9"/>
        <v>100</v>
      </c>
      <c r="AO25" s="1" t="e">
        <f t="shared" si="15"/>
        <v>#DIV/0!</v>
      </c>
      <c r="AS25" s="823" t="str">
        <f>IF(AW7=0,"","الموصى له التانى")</f>
        <v/>
      </c>
      <c r="AT25" s="1268"/>
      <c r="AU25" s="1268"/>
      <c r="AV25" s="814">
        <f>(IF(L76=1,AW9,0)*I76)+(IF( L77=1,AW9,0)*I77)+(IF( L78=1,AW9,0)* I78)+(IF( L79=1,AW9,0)* I79)+(IF(L80=1,AW9,0)*I80)+(IF( L81=1,AW9,0)*I81)+(IF( L82=1,AW9,0)* I82)+(IF( L83=1,AW9,0)* I83)+(IF( L84=1,AW9,0)* I84)+(IF( L85=1,AW9,0)* I85)+(IF(L86=1,AW9,0)*I86)+(IF( L87=1,AW9,0)*I87)</f>
        <v>0</v>
      </c>
      <c r="AW25" s="1268"/>
      <c r="AX25" s="814">
        <f>(IF(L76=0,AW10,0)*I76)+(IF(L77=0,AW10,0)*I77)+(IF(L78=0,AW10,0)*I78)+(IF(L79=0,AW10,0)*I79)+(IF(L80=0,AW10,0)*I80)+(IF(L81=0,AW10,0)*I81)+(IF(L82=0,AW10,0)*I82)+(IF(L83=0,AW10,0)*I83)+(IF(L84=0,AW10,0)*I84)+(IF(L85=0,AW10,0)*I85)+(IF(L86=0,AW10,0)*I86)+(IF(L87=0,AW10,0)*I87)</f>
        <v>0</v>
      </c>
      <c r="AY25" s="814"/>
      <c r="BA25" s="823" t="str">
        <f>IF(BE7=0,"","الموصى له التانى")</f>
        <v/>
      </c>
      <c r="BB25" s="1268"/>
      <c r="BC25" s="1268"/>
      <c r="BD25" s="814">
        <f>(IF(L88=1,BE9,0)*I88)+(IF( L89=1,BE9,0)*I89)+(IF( L90=1,BE9,0)* I90)+(IF( L91=1,BE9,0)* I91)+(IF(L92=1,BE9,0)*I92)+(IF( L93=1,BE9,0)*I93)+(IF( L94=1,BE9,0)* I94)+(IF( L95=1,BE9,0)* I95)+(IF( L96=1,BE9,0)* I96)+(IF( L97=1,BE9,0)* I97)+(IF(L98=1,BE9,0)*I98)+(IF( L99=1,BE9,0)*I99)</f>
        <v>0</v>
      </c>
      <c r="BE25" s="1268"/>
      <c r="BF25" s="814">
        <f>(IF(L88=0,BE10,0)*I88)+(IF(L89=0,BE10,0)*I89)+(IF(L90=0,BE10,0)*I90)+(IF(L91=0,BE10,0)*I91)+(IF(L92=0,BE10,0)*I92)+(IF(L93=0,BE10,0)*I93)+(IF(L94=0,BE10,0)*I94)+(IF(L95=0,BE10,0)*I95)+(IF(L96=0,BE10,0)*I96)+(IF(L97=0,BE10,0)*I97)+(IF(L98=0,BE10,0)*I98)+(IF(L99=0,BE10,0)*I99)</f>
        <v>0</v>
      </c>
      <c r="BG25" s="814"/>
      <c r="BI25" s="823" t="str">
        <f>IF(BM7=0,"","الموصى له التانى")</f>
        <v/>
      </c>
      <c r="BJ25" s="1268"/>
      <c r="BK25" s="1268"/>
      <c r="BL25" s="814">
        <f>(IF(L100=1,BM9,0)*I100)+(IF( L101=1,BM9,0)*I101)+(IF( L102=1,BM9,0)* I102)+(IF( L103=1,BM9,0)* I103)+(IF(L104=1,BM9,0)*I104)+(IF( L105=1,BM9,0)*I105)+(IF( L106=1,BM9,0)* I106)+(IF( L107=1,BM9,0)* I107)+(IF( L108=1,BM9,0)* I108)+(IF( L109=1,BM9,0)* I109)+(IF(L110=1,BM9,0)*I110)+(IF( L111=1,BM9,0)*I111)</f>
        <v>0</v>
      </c>
      <c r="BM25" s="1268"/>
      <c r="BN25" s="814">
        <f>(IF(L100=0,BM10,0)*I100)+(IF(L101=0,BM10,0)*I101)+(IF(L102=0,BM10,0)*I102)+(IF(L103=0,BM10,0)*I103)+(IF(L104=0,BM10,0)*I104)+(IF(L105=0,BM10,0)*I105)+(IF(L106=0,BM10,0)*I106)+(IF(L107=0,BM10,0)*I107)+(IF(L108=0,BM10,0)*I108)+(IF(L109=0,BM10,0)*I109)+(IF(L110=0,BM10,0)*I110)+(IF(L111=0,BM10,0)*I111)</f>
        <v>0</v>
      </c>
      <c r="BO25" s="814"/>
      <c r="BQ25" s="689" t="str">
        <f>IF(BU7=0,"","الموصى له التانى")</f>
        <v/>
      </c>
      <c r="BR25" s="1271"/>
      <c r="BS25" s="1274"/>
      <c r="BT25" s="680">
        <f>(IF(L112=1,BU9,0)*I112)+(IF( L113=1,BU9,0)*I113)+(IF( L114=1,BU9,0)* I114)+(IF( L115=1,BU9,0)* I115)+(IF(L116=1,BU9,0)*I116)+(IF( L117=1,BU9,0)*I117)+(IF( L118=1,BU9,0)* I118)+(IF( L119=1,BU9,0)* I119)+(IF( L120=1,BU9,0)* I120)+(IF( L121=1,BU9,0)* I121)+(IF(L122=1,BU9,0)*I122)+(IF( L123=1,BU9,0)*I123)</f>
        <v>0</v>
      </c>
      <c r="BU25" s="1271"/>
      <c r="BV25" s="680">
        <f>(IF(L112=0,BU10,0)*I112)+(IF(L113=0,BU10,0)*I113)+(IF(L114=0,BU10,0)*I114)+(IF(L115=0,BU10,0)*I115)+(IF(L116=0,BU10,0)*I116)+(IF(L117=0,BU10,0)*I117)+(IF(L118=0,BU10,0)*I118)+(IF(L119=0,BU10,0)*I119)+(IF(L120=0,BU10,0)*I120)+(IF(L121=0,BU10,0)*I121)+(IF(L122=0,BU10,0)*I122)+(IF(L123=0,BU10,0)*I123)</f>
        <v>0</v>
      </c>
      <c r="BW25" s="680"/>
      <c r="BY25" s="689" t="str">
        <f>IF(CC7=0,"","الموصى له التانى")</f>
        <v/>
      </c>
      <c r="BZ25" s="1271"/>
      <c r="CA25" s="1274"/>
      <c r="CB25" s="680">
        <f>(IF(L124=1,CC9,0)*I124)+(IF( L125=1,CC9,0)*I125)+(IF( L126=1,CC9,0)* I126)+(IF( L127=1,CC9,0)* I127)+(IF(L128=1,CC9,0)*I128)+(IF( L129=1,CC9,0)*I129)+(IF( L130=1,CC9,0)* I130)+(IF( L131=1,CC9,0)* I131)+(IF( L132=1,CC9,0)* I132)+(IF( L133=1,CC9,0)* I133)+(IF(L134=1,CC9,0)*I134)+(IF( L135=1,CC9,0)*I135)</f>
        <v>0</v>
      </c>
      <c r="CC25" s="1271"/>
      <c r="CD25" s="680">
        <f>(IF(L124=0,CC10,0)*I124)+(IF(L125=0,CC10,0)*I125)+(IF(L126=0,CC10,0)*I126)+(IF(L127=0,CC10,0)*I127)+(IF(L128=0,CC10,0)*I128)+(IF(L129=0,CC10,0)*I129)+(IF(L130=0,CC10,0)*I130)+(IF(L131=0,CC10,0)*I131)+(IF(L132=0,CC10,0)*I132)+(IF(L133=0,CC10,0)*I133)+(IF(L134=0,CC10,0)*I134)+(IF(L135=0,CC10,0)*I135)</f>
        <v>0</v>
      </c>
      <c r="CE25" s="680"/>
      <c r="CG25" s="823" t="str">
        <f>IF(CK7=0,"","الموصى له التانى")</f>
        <v/>
      </c>
      <c r="CH25" s="1268"/>
      <c r="CI25" s="1268"/>
      <c r="CJ25" s="814">
        <f>(IF(L136=1,CK9,0)*I136)+(IF( L137=1,CK9,0)*I137)+(IF( L138=1,CK9,0)* I138)+(IF( L139=1,CK9,0)* I139)+(IF(L140=1,CK9,0)*I140)+(IF( L141=1,CK9,0)*I141)+(IF( L142=1,CK9,0)* I142)+(IF( L143=1,CK9,0)* I143)+(IF( L144=1,CK9,0)* I144)+(IF( L145=1,CK9,0)* I145)+(IF(L146=1,CK9,0)*I146)+(IF( L147=1,CK9,0)*I147)</f>
        <v>0</v>
      </c>
      <c r="CK25" s="1268"/>
      <c r="CL25" s="814">
        <f>(IF(L136=0,CK10,0)*I136)+(IF(L137=0,CK10,0)*I137)+(IF(L138=0,CK10,0)*I138)+(IF(L139=0,CK10,0)*I139)+(IF(L140=0,CK10,0)*I140)+(IF(L141=0,CK10,0)*I141)+(IF(L142=0,CK10,0)*I142)+(IF(L143=0,CK10,0)*I143)+(IF(L144=0,CK10,0)*I144)+(IF(L145=0,CK10,0)*I145)+(IF(L146=0,CK10,0)*I146)+(IF(L147=0,CK10,0)*I147)</f>
        <v>0</v>
      </c>
      <c r="CM25" s="814"/>
    </row>
    <row r="26" spans="3:91" ht="16.5" hidden="1" customHeight="1" thickTop="1" thickBot="1">
      <c r="C26" s="1302"/>
      <c r="D26" s="778">
        <f>M7</f>
        <v>0</v>
      </c>
      <c r="E26" s="734"/>
      <c r="F26" s="734"/>
      <c r="G26" s="734"/>
      <c r="H26" s="781" t="str">
        <f>IF(M7=0,"","الموصى له الثالث")</f>
        <v/>
      </c>
      <c r="I26" s="1305"/>
      <c r="J26" s="1305"/>
      <c r="K26" s="772">
        <f>(IF(M64=1,M61,0)*I64)+(IF( M65=1,M61,0)*I65)+(IF( M66=1,M61,0)* I66)+(IF( M67=1,M61,0)* I67)+(IF(M68=1,M61,0)*I68)+(IF( M69=1,M61,0)*I69)+(IF( M70=1,M61,0)* I70)+(IF( M71=1,M61,0)* I71)+(IF( M72=1,M61,0)* I72)+(IF( M73=1,M61,0)* I73)+(IF(M74=1,M61,0)*I74)+(IF( M75=1,M61,0)*I75)</f>
        <v>0</v>
      </c>
      <c r="L26" s="1305"/>
      <c r="M26" s="772">
        <f>(IF(M64=0,M62,0)*I64)+(IF(M65=0,M62,0)*I65)+(IF(M66=0,M62,0)*I66)+(IF(M67=0,M62,0)*I67)+(IF(M68=0,M62,0)*I68)+(IF(M69=0,M62,0)*I69)+(IF(M70=0,M62,0)*I70)+(IF(M71=0,M62,0)*I71)+(IF(M72=0,M62,0)*I72)+(IF(M73=0,M62,0)*I73)+(IF(M74=0,M62,0)*I74)+(IF(M75=0,M62,0)*I75)</f>
        <v>0</v>
      </c>
      <c r="N26" s="772"/>
      <c r="O26" s="772">
        <f>IFERROR( K26+M26,0)</f>
        <v>0</v>
      </c>
      <c r="P26" s="772" t="e">
        <f t="shared" si="0"/>
        <v>#DIV/0!</v>
      </c>
      <c r="Q26" s="848" t="e">
        <f>'ورقة أجازة وعدم الأجازة للمختصن'!BA42</f>
        <v>#DIV/0!</v>
      </c>
      <c r="R26" s="773" t="e">
        <f t="shared" si="1"/>
        <v>#DIV/0!</v>
      </c>
      <c r="S26" s="774">
        <f>IF(K26&gt;0,K26,0)</f>
        <v>0</v>
      </c>
      <c r="T26" s="774" t="e">
        <f t="shared" si="11"/>
        <v>#DIV/0!</v>
      </c>
      <c r="U26" s="772">
        <f t="shared" si="3"/>
        <v>0</v>
      </c>
      <c r="V26" s="772">
        <f t="shared" si="4"/>
        <v>0</v>
      </c>
      <c r="W26" s="750">
        <f t="shared" si="5"/>
        <v>0</v>
      </c>
      <c r="X26" s="772">
        <f t="shared" si="6"/>
        <v>0</v>
      </c>
      <c r="Y26" s="775">
        <f t="shared" si="12"/>
        <v>0</v>
      </c>
      <c r="Z26" s="772"/>
      <c r="AA26" s="775">
        <f t="shared" si="13"/>
        <v>0</v>
      </c>
      <c r="AB26" s="775"/>
      <c r="AC26" s="775"/>
      <c r="AD26" s="775" t="s">
        <v>114</v>
      </c>
      <c r="AE26" s="775"/>
      <c r="AF26" s="775"/>
      <c r="AG26" s="775"/>
      <c r="AH26" s="775"/>
      <c r="AI26" s="775"/>
      <c r="AJ26" s="775"/>
      <c r="AK26" s="777"/>
      <c r="AL26" s="866">
        <f t="shared" si="8"/>
        <v>0</v>
      </c>
      <c r="AM26" s="293">
        <f t="shared" si="14"/>
        <v>0</v>
      </c>
      <c r="AN26" s="293">
        <f t="shared" si="9"/>
        <v>100</v>
      </c>
      <c r="AO26" s="1" t="e">
        <f t="shared" si="15"/>
        <v>#DIV/0!</v>
      </c>
      <c r="AS26" s="823" t="str">
        <f>IF(AX7=0,"","الموصى له الثالث")</f>
        <v/>
      </c>
      <c r="AT26" s="1268"/>
      <c r="AU26" s="1268"/>
      <c r="AV26" s="814">
        <f>(IF(M76=1,AX9,0)*I76)+(IF( M77=1,AX9,0)*I77)+(IF( M78=1,AX9,0)* I78)+(IF( M79=1,AX9,0)* I79)+(IF(M80=1,AX9,0)*I80)+(IF( M81=1,AX9,0)*I81)+(IF( M82=1,AX9,0)* I82)+(IF( M83=1,AX9,0)* I83)+(IF( M84=1,AX9,0)* I84)+(IF( M85=1,AX9,0)* I85)+(IF(M86=1,AX9,0)*I86)+(IF( M87=1,AX9,0)*I87)</f>
        <v>0</v>
      </c>
      <c r="AW26" s="1268"/>
      <c r="AX26" s="814">
        <f>(IF(M76=0,AX10,0)*I76)+(IF(M77=0,AX10,0)*I77)+(IF(M78=0,AX10,0)*I78)+(IF(M79=0,AX10,0)*I79)+(IF(M80=0,AX10,0)*I80)+(IF(M81=0,AX10,0)*I81)+(IF(M82=0,AX10,0)*I82)+(IF(M83=0,AX10,0)*I83)+(IF(M84=0,AX10,0)*I84)+(IF(M85=0,AX10,0)*I85)+(IF(M86=0,AX10,0)*I86)+(IF(M87=0,AX10,0)*I87)</f>
        <v>0</v>
      </c>
      <c r="AY26" s="814"/>
      <c r="BA26" s="823" t="str">
        <f>IF(BF7=0,"","الموصى له الثالث")</f>
        <v/>
      </c>
      <c r="BB26" s="1268"/>
      <c r="BC26" s="1268"/>
      <c r="BD26" s="814">
        <f>(IF(M88=1,BF9,0)*I88)+(IF( M89=1,BF9,0)*I89)+(IF( M90=1,BF9,0)* I90)+(IF( M91=1,BF9,0)* I91)+(IF(M92=1,BF9,0)*I92)+(IF( M93=1,BF9,0)*I93)+(IF( M94=1,BF9,0)* I94)+(IF( M95=1,BF9,0)* I95)+(IF( M96=1,BF9,0)* I96)+(IF( M97=1,BF9,0)* I97)+(IF(M98=1,BF9,0)*I98)+(IF( M99=1,BF9,0)*I99)</f>
        <v>0</v>
      </c>
      <c r="BE26" s="1268"/>
      <c r="BF26" s="814">
        <f>(IF(M88=0,BF10,0)*I88)+(IF(M89=0,BF10,0)*I89)+(IF(M90=0,BF10,0)*I90)+(IF(M91=0,BF10,0)*I91)+(IF(M92=0,BF10,0)*I92)+(IF(M93=0,BF10,0)*I93)+(IF(M94=0,BF10,0)*I94)+(IF(M95=0,BF10,0)*I95)+(IF(M96=0,BF10,0)*I96)+(IF(M97=0,BF10,0)*I97)+(IF(M98=0,BF10,0)*I98)+(IF(M99=0,BF10,0)*I99)</f>
        <v>0</v>
      </c>
      <c r="BG26" s="814"/>
      <c r="BI26" s="823" t="str">
        <f>IF(BN7=0,"","الموصى له الثالث")</f>
        <v/>
      </c>
      <c r="BJ26" s="1268"/>
      <c r="BK26" s="1268"/>
      <c r="BL26" s="814">
        <f>(IF(M100=1,BN9,0)*I100)+(IF( M101=1,BN9,0)*I101)+(IF( M102=1,BN9,0)* I102)+(IF( M103=1,BN9,0)* I103)+(IF(M104=1,BN9,0)*I104)+(IF( M105=1,BN9,0)*I105)+(IF( M106=1,BN9,0)* I106)+(IF( M107=1,BN9,0)* I107)+(IF( M108=1,BN9,0)* I108)+(IF( M109=1,BN9,0)* I109)+(IF(M110=1,BN9,0)*I110)+(IF( M111=1,BN9,0)*I111)</f>
        <v>0</v>
      </c>
      <c r="BM26" s="1268"/>
      <c r="BN26" s="814">
        <f>(IF(M100=0,BN10,0)*I100)+(IF(M101=0,BN10,0)*I101)+(IF(M102=0,BN10,0)*I102)+(IF(M103=0,BN10,0)*I103)+(IF(M104=0,BN10,0)*I104)+(IF(M105=0,BN10,0)*I105)+(IF(M106=0,BN10,0)*I106)+(IF(M107=0,BN10,0)*I107)+(IF(M108=0,BN10,0)*I108)+(IF(M109=0,BN10,0)*I109)+(IF(M110=0,BN10,0)*I110)+(IF(M111=0,BN10,0)*I111)</f>
        <v>0</v>
      </c>
      <c r="BO26" s="814"/>
      <c r="BQ26" s="689" t="str">
        <f>IF(BV7=0,"","الموصى له الثالث")</f>
        <v/>
      </c>
      <c r="BR26" s="1271"/>
      <c r="BS26" s="1274"/>
      <c r="BT26" s="680">
        <f>(IF(M112=1,BV9,0)*I112)+(IF( M113=1,BV9,0)*I113)+(IF( M114=1,BV9,0)* I114)+(IF( M115=1,BV9,0)* I115)+(IF(M116=1,BV9,0)*I116)+(IF( M117=1,BV9,0)*I117)+(IF( M118=1,BV9,0)* I118)+(IF( M119=1,BV9,0)* I119)+(IF( M120=1,BV9,0)* I120)+(IF( M121=1,BV9,0)* I121)+(IF(M122=1,BV9,0)*I122)+(IF( M123=1,BV9,0)*I123)</f>
        <v>0</v>
      </c>
      <c r="BU26" s="1271"/>
      <c r="BV26" s="680">
        <f>(IF(M112=0,BV10,0)*I112)+(IF(M113=0,BV10,0)*I113)+(IF(M114=0,BV10,0)*I114)+(IF(M115=0,BV10,0)*I115)+(IF(M116=0,BV10,0)*I116)+(IF(M117=0,BV10,0)*I117)+(IF(M118=0,BV10,0)*I118)+(IF(M119=0,BV10,0)*I119)+(IF(M120=0,BV10,0)*I120)+(IF(M121=0,BV10,0)*I121)+(IF(M122=0,BV10,0)*I122)+(IF(M123=0,BV10,0)*I123)</f>
        <v>0</v>
      </c>
      <c r="BW26" s="680"/>
      <c r="BY26" s="689" t="str">
        <f>IF(CD7=0,"","الموصى له الثالث")</f>
        <v/>
      </c>
      <c r="BZ26" s="1271"/>
      <c r="CA26" s="1274"/>
      <c r="CB26" s="680">
        <f>(IF(M124=1,CD9,0)*I124)+(IF( M125=1,CD9,0)*I125)+(IF( M126=1,CD9,0)* I126)+(IF( M127=1,CD9,0)* I127)+(IF(M128=1,CD9,0)*I128)+(IF( M129=1,CD9,0)*I129)+(IF( M130=1,CD9,0)* I130)+(IF( M131=1,CD9,0)* I131)+(IF( M132=1,CD9,0)* I132)+(IF( M133=1,CD9,0)* I133)+(IF(M134=1,CD9,0)*I134)+(IF( M135=1,CD9,0)*I135)</f>
        <v>0</v>
      </c>
      <c r="CC26" s="1271"/>
      <c r="CD26" s="680">
        <f>(IF(M124=0,CD10,0)*I124)+(IF(M125=0,CD10,0)*I125)+(IF(M126=0,CD10,0)*I126)+(IF(M127=0,CD10,0)*I127)+(IF(M128=0,CD10,0)*I128)+(IF(M129=0,CD10,0)*I129)+(IF(M130=0,CD10,0)*I130)+(IF(M131=0,CD10,0)*I131)+(IF(M132=0,CD10,0)*I132)+(IF(M133=0,CD10,0)*I133)+(IF(M134=0,CD10,0)*I134)+(IF(M135=0,CD10,0)*I135)</f>
        <v>0</v>
      </c>
      <c r="CE26" s="680"/>
      <c r="CG26" s="823" t="str">
        <f>IF(CL7=0,"","الموصى له الثالث")</f>
        <v/>
      </c>
      <c r="CH26" s="1268"/>
      <c r="CI26" s="1268"/>
      <c r="CJ26" s="814">
        <f>(IF(M136=1,CL9,0)*I136)+(IF( M137=1,CL9,0)*I137)+(IF( M138=1,CL9,0)* I138)+(IF( M139=1,CL9,0)* I139)+(IF(M140=1,CL9,0)*I140)+(IF( M141=1,CL9,0)*I141)+(IF( M142=1,CL9,0)* I142)+(IF( M143=1,CL9,0)* I143)+(IF( M144=1,CL9,0)* I144)+(IF( M145=1,CL9,0)* I145)+(IF(M146=1,CL9,0)*I146)+(IF( M147=1,CL9,0)*I147)</f>
        <v>0</v>
      </c>
      <c r="CK26" s="1268"/>
      <c r="CL26" s="814">
        <f>(IF(M136=0,CL10,0)*I136)+(IF(M137=0,CL10,0)*I137)+(IF(M138=0,CL10,0)*I138)+(IF(M139=0,CL10,0)*I139)+(IF(M140=0,CL10,0)*I140)+(IF(M141=0,CL10,0)*I141)+(IF(M142=0,CL10,0)*I142)+(IF(M143=0,CL10,0)*I143)+(IF(M144=0,CL10,0)*I144)+(IF(M145=0,CL10,0)*I145)+(IF(M146=0,CL10,0)*I146)+(IF(M147=0,CL10,0)*I147)</f>
        <v>0</v>
      </c>
      <c r="CM26" s="814"/>
    </row>
    <row r="27" spans="3:91" ht="16.5" hidden="1" customHeight="1" thickTop="1" thickBot="1">
      <c r="C27" s="1303"/>
      <c r="D27" s="778">
        <f>N7</f>
        <v>0</v>
      </c>
      <c r="E27" s="734"/>
      <c r="F27" s="734"/>
      <c r="G27" s="734"/>
      <c r="H27" s="782" t="str">
        <f>IF(N7=0,"","الموصى له الرابع")</f>
        <v/>
      </c>
      <c r="I27" s="1306"/>
      <c r="J27" s="1306"/>
      <c r="K27" s="783">
        <f>(IF(N64=1,N61,0)*I64)+(IF(N65=1,N61,0)*I65)+(IF(N66=1,N61,0)*I66)+(IF(N67=1,N61,0)*I67)+(IF(N68=1,N61,0)*I68)+(IF(N69=1,N61,0)*I69)+(IF(N70=1,N61,0)*I70)+(IF(N71=1,N61,0)*I71)+(IF(N72=1,N61,0)*I72)+(IF(N73=1,N61,0)*I73)+(IF(N74=1,N61,0)*I74)+(IF(N75=1,N61,0)*I75)</f>
        <v>0</v>
      </c>
      <c r="L27" s="1306"/>
      <c r="M27" s="783">
        <f>(IF(N64=0,N62,0)*I64)+(IF( N65=0,N62,0)*I65)+(IF( N66=0,N62,0)* I66)+(IF( N67=0,N62,0)* I67)+(IF(N68=0,N62,0)*I68)+(IF( N69=0,N62,0)*I69)+(IF( N70=0,N62,0)*I70)+(IF( N71=0,N62,0)*I71)+(IF( N72=0,N62,0)*I72)+(IF( N73=0,N62,0)* I73)+(IF( N74=0,N62,0)* I74)+(IF(N75=0,N62,0)*I75)</f>
        <v>0</v>
      </c>
      <c r="N27" s="783"/>
      <c r="O27" s="783">
        <f>IFERROR( K27+M27,0)</f>
        <v>0</v>
      </c>
      <c r="P27" s="772" t="e">
        <f t="shared" si="0"/>
        <v>#DIV/0!</v>
      </c>
      <c r="Q27" s="848" t="e">
        <f>'ورقة أجازة وعدم الأجازة للمختصن'!BA43</f>
        <v>#DIV/0!</v>
      </c>
      <c r="R27" s="784" t="e">
        <f t="shared" si="1"/>
        <v>#DIV/0!</v>
      </c>
      <c r="S27" s="785">
        <f>IF(K27&gt;0,K27,0)</f>
        <v>0</v>
      </c>
      <c r="T27" s="785" t="e">
        <f t="shared" si="11"/>
        <v>#DIV/0!</v>
      </c>
      <c r="U27" s="772">
        <f t="shared" si="3"/>
        <v>0</v>
      </c>
      <c r="V27" s="783">
        <f t="shared" si="4"/>
        <v>0</v>
      </c>
      <c r="W27" s="786">
        <f t="shared" si="5"/>
        <v>0</v>
      </c>
      <c r="X27" s="783">
        <f t="shared" si="6"/>
        <v>0</v>
      </c>
      <c r="Y27" s="787">
        <f t="shared" si="12"/>
        <v>0</v>
      </c>
      <c r="Z27" s="783"/>
      <c r="AA27" s="775">
        <f t="shared" si="13"/>
        <v>0</v>
      </c>
      <c r="AB27" s="787"/>
      <c r="AC27" s="787"/>
      <c r="AD27" s="787"/>
      <c r="AE27" s="787"/>
      <c r="AF27" s="787"/>
      <c r="AG27" s="787"/>
      <c r="AH27" s="787"/>
      <c r="AI27" s="787"/>
      <c r="AJ27" s="787"/>
      <c r="AK27" s="788"/>
      <c r="AL27" s="866">
        <f t="shared" si="8"/>
        <v>0</v>
      </c>
      <c r="AM27" s="293">
        <f t="shared" si="14"/>
        <v>0</v>
      </c>
      <c r="AN27" s="293">
        <f t="shared" si="9"/>
        <v>100</v>
      </c>
      <c r="AO27" s="1" t="e">
        <f t="shared" si="15"/>
        <v>#DIV/0!</v>
      </c>
      <c r="AS27" s="824" t="str">
        <f>IF(AY7=0,"","الموصى له الرابع")</f>
        <v/>
      </c>
      <c r="AT27" s="1269"/>
      <c r="AU27" s="1269"/>
      <c r="AV27" s="825">
        <f>(IF(N76=1,AY9,0)*I76)+(IF(N77=1,AY9,0)*I77)+(IF(N78=1,AY9,0)*I78)+(IF(N79=1,AY9,0)*I79)+(IF(N80=1,AY9,0)*I80)+(IF(N81=1,AY9,0)*I81)+(IF(N82=1,AY9,0)*I82)+(IF(N83=1,AY9,0)*I83)+(IF(N84=1,AY9,0)*I84)+(IF(N85=1,AY9,0)*I85)+(IF(N86=1,AY9,0)*I86)+(IF(N87=1,AY9,0)*I87)</f>
        <v>0</v>
      </c>
      <c r="AW27" s="1269"/>
      <c r="AX27" s="825">
        <f>(IF(N76=0,AY10,0)*I76)+(IF( N77=0,AY10,0)*I77)+(IF( N78=0,AY10,0)* I78)+(IF( N79=0,AY10,0)* I79)+(IF(N80=0,AY10,0)*I80)+(IF( N81=0,AY10,0)*I81)+(IF( N82=0,AY10,0)*I82)+(IF( N83=0,AY10,0)*I83)+(IF( N84=0,AY10,0)*I84)+(IF( N85=0,AY10,0)* I85)+(IF( N86=0,AY10,0)* I86)+(IF(N87=0,AY10,0)*I87)</f>
        <v>0</v>
      </c>
      <c r="AY27" s="825"/>
      <c r="BA27" s="824" t="str">
        <f>IF(BG7=0,"","الموصى له الرابع")</f>
        <v/>
      </c>
      <c r="BB27" s="1269"/>
      <c r="BC27" s="1269"/>
      <c r="BD27" s="825">
        <f>(IF(N88=1,BG9,0)*I88)+(IF(N89=1,BG9,0)*I89)+(IF(N90=1,BG9,0)*I90)+(IF(N91=1,BG9,0)*I91)+(IF(N92=1,BG9,0)*I92)+(IF(N93=1,BG9,0)*I93)+(IF(N94=1,BG9,0)*I94)+(IF(N95=1,BG9,0)*I95)+(IF(N96=1,BG9,0)*I96)+(IF(N97=1,BG9,0)*I97)+(IF(N98=1,BG9,0)*I98)+(IF(N99=1,BG9,0)*I99)</f>
        <v>0</v>
      </c>
      <c r="BE27" s="1269"/>
      <c r="BF27" s="825">
        <f>(IF(N88=0,BG10,0)*I88)+(IF( N89=0,BG10,0)*I89)+(IF( N90=0,BG10,0)* I90)+(IF( N91=0,BG10,0)* I91)+(IF(N92=0,BG10,0)*I92)+(IF( N93=0,BG10,0)*I93)+(IF( N94=0,BG10,0)*I94)+(IF( N95=0,BG10,0)*I95)+(IF( N96=0,BG10,0)*I96)+(IF( N97=0,BG10,0)* I97)+(IF( N98=0,BG10,0)* I98)+(IF(N99=0,BG10,0)*I99)</f>
        <v>0</v>
      </c>
      <c r="BG27" s="825"/>
      <c r="BI27" s="824" t="str">
        <f>IF(BO7=0,"","الموصى له الرابع")</f>
        <v/>
      </c>
      <c r="BJ27" s="1269"/>
      <c r="BK27" s="1269"/>
      <c r="BL27" s="825">
        <f>(IF(N100=1,BO9,0)*I100)+(IF(N101=1,BO9,0)*I101)+(IF(N102=1,BO9,0)*I102)+(IF(N103=1,BO9,0)*I103)+(IF(N104=1,BO9,0)*I104)+(IF(N105=1,BO9,0)*I105)+(IF(N106=1,BO9,0)*I106)+(IF(N107=1,BO9,0)*I107)+(IF(N108=1,BO9,0)*I108)+(IF(N109=1,BO9,0)*I109)+(IF(N110=1,BO9,0)*I110)+(IF(N111=1,BO9,0)*I111)</f>
        <v>0</v>
      </c>
      <c r="BM27" s="1269"/>
      <c r="BN27" s="825">
        <f>(IF(N100=0,BO10,0)*I100)+(IF( N101=0,BO10,0)*I101)+(IF( N102=0,BO10,0)* I102)+(IF( N103=0,BO10,0)* I103)+(IF(N104=0,BO10,0)*I104)+(IF( N105=0,BO10,0)*I105)+(IF( N106=0,BO10,0)*I106)+(IF( N107=0,BO10,0)*I107)+(IF( N108=0,BO10,0)*I108)+(IF( N109=0,BO10,0)* I109)+(IF( N110=0,BO10,0)* I110)+(IF(N111=0,BO10,0)*I111)</f>
        <v>0</v>
      </c>
      <c r="BO27" s="825"/>
      <c r="BQ27" s="690" t="str">
        <f>IF(BW7=0,"","الموصى له الرابع")</f>
        <v/>
      </c>
      <c r="BR27" s="1272"/>
      <c r="BS27" s="1275"/>
      <c r="BT27" s="691">
        <f>(IF(N112=1,BW9,0)*I112)+(IF(N113=1,BW9,0)*I113)+(IF(N114=1,BW9,0)*I114)+(IF(N115=1,BW9,0)*I115)+(IF(N116=1,BW9,0)*I116)+(IF(N117=1,BW9,0)*I117)+(IF(N118=1,BW9,0)*I118)+(IF(N119=1,BW9,0)*I119)+(IF(N120=1,BW9,0)*I120)+(IF(N121=1,BW9,0)*I121)+(IF(N122=1,BW9,0)*I122)+(IF(N123=1,BW9,0)*I123)</f>
        <v>0</v>
      </c>
      <c r="BU27" s="1272"/>
      <c r="BV27" s="691">
        <f>(IF(N112=0,BW10,0)*I112)+(IF( N113=0,BW10,0)*I113)+(IF( N114=0,BW10,0)* I114)+(IF( N115=0,BW10,0)* I115)+(IF(N116=0,BW10,0)*I116)+(IF( N117=0,BW10,0)*I117)+(IF( N118=0,BW10,0)*I118)+(IF( N119=0,BW10,0)*I119)+(IF( N120=0,BW10,0)*I120)+(IF( N121=0,BW10,0)* I121)+(IF( N122=0,BW10,0)* I122)+(IF(N123=0,BW10,0)*I123)</f>
        <v>0</v>
      </c>
      <c r="BW27" s="691"/>
      <c r="BY27" s="690" t="str">
        <f>IF(CE7=0,"","الموصى له الرابع")</f>
        <v/>
      </c>
      <c r="BZ27" s="1272"/>
      <c r="CA27" s="1275"/>
      <c r="CB27" s="691">
        <f>(IF(N124=1,CE9,0)*I124)+(IF(N125=1,CE9,0)*I125)+(IF(N126=1,CE9,0)*I126)+(IF(N127=1,CE9,0)*I127)+(IF(N128=1,CE9,0)*I128)+(IF(N129=1,CE9,0)*I129)+(IF(N130=1,CE9,0)*I130)+(IF(N131=1,CE9,0)*I131)+(IF(N132=1,CE9,0)*I132)+(IF(N133=1,CE9,0)*I133)+(IF(N134=1,CE9,0)*I134)+(IF(N135=1,CE9,0)*I135)</f>
        <v>0</v>
      </c>
      <c r="CC27" s="1272"/>
      <c r="CD27" s="691">
        <f>(IF(N124=0,CE10,0)*I124)+(IF( N125=0,CE10,0)*I125)+(IF( N126=0,CE10,0)* I126)+(IF( N127=0,CE10,0)* I127)+(IF(N128=0,CE10,0)*I128)+(IF( N129=0,CE10,0)*I129)+(IF( N130=0,CE10,0)*I130)+(IF( N131=0,CE10,0)*I131)+(IF( N132=0,CE10,0)*I132)+(IF( N133=0,CE10,0)* I133)+(IF( N134=0,CE10,0)* I134)+(IF(N135=0,CE10,0)*I135)</f>
        <v>0</v>
      </c>
      <c r="CE27" s="691"/>
      <c r="CG27" s="824" t="str">
        <f>IF(CM7=0,"","الموصى له الرابع")</f>
        <v/>
      </c>
      <c r="CH27" s="1269"/>
      <c r="CI27" s="1269"/>
      <c r="CJ27" s="825">
        <f>(IF(N136=1,CM9,0)*I136)+(IF(N137=1,CM9,0)*I137)+(IF(N138=1,CM9,0)*I138)+(IF(N139=1,CM9,0)*I139)+(IF(N140=1,CM9,0)*I140)+(IF(N141=1,CM9,0)*I141)+(IF(N142=1,CM9,0)*I142)+(IF(N143=1,CM9,0)*I143)+(IF(N144=1,CM9,0)*I144)+(IF(N145=1,CM9,0)*I145)+(IF(N146=1,CM9,0)*I146)+(IF(N147=1,CM9,0)*I147)</f>
        <v>0</v>
      </c>
      <c r="CK27" s="1269"/>
      <c r="CL27" s="825">
        <f>(IF(N136=0,CM10,0)*I136)+(IF( N137=0,CM10,0)*I137)+(IF( N138=0,CM10,0)* I138)+(IF( N139=0,CM10,0)* I139)+(IF(N140=0,CM10,0)*I140)+(IF( N141=0,CM10,0)*I141)+(IF( N142=0,CM10,0)*I142)+(IF( N143=0,CM10,0)*I143)+(IF( N144=0,CM10,0)*I144)+(IF( N145=0,CM10,0)* I145)+(IF( N146=0,CM10,0)* I146)+(IF(N147=0,CM10,0)*I147)</f>
        <v>0</v>
      </c>
      <c r="CM27" s="825"/>
    </row>
    <row r="28" spans="3:91" ht="15.75" hidden="1" customHeight="1" thickTop="1">
      <c r="C28" s="1"/>
      <c r="D28" s="1"/>
      <c r="H28" s="462" t="s">
        <v>114</v>
      </c>
      <c r="I28" s="462"/>
      <c r="J28" s="463"/>
      <c r="K28" s="464"/>
      <c r="L28" s="464"/>
      <c r="M28" s="464"/>
      <c r="N28" s="465"/>
      <c r="O28" s="465"/>
      <c r="P28" s="465"/>
      <c r="Q28" s="465"/>
      <c r="R28" s="566" t="e">
        <f>SUM(AO12:AO27)</f>
        <v>#DIV/0!</v>
      </c>
      <c r="S28" s="479"/>
      <c r="T28" s="480" t="e">
        <f>SUM(T12:T27)</f>
        <v>#DIV/0!</v>
      </c>
      <c r="U28" s="480"/>
      <c r="V28" s="481"/>
      <c r="W28" s="482"/>
      <c r="X28" s="481">
        <f>SUM(X12:X27)</f>
        <v>0</v>
      </c>
      <c r="Y28" s="483"/>
      <c r="Z28" s="481"/>
      <c r="AA28" s="28"/>
      <c r="AB28" s="478"/>
      <c r="AC28" s="478"/>
      <c r="AD28" s="1"/>
      <c r="AE28" s="1"/>
      <c r="AF28" s="1"/>
      <c r="AG28" s="1"/>
      <c r="AH28" s="1"/>
      <c r="AI28" s="1"/>
      <c r="AJ28" s="1"/>
      <c r="AK28" s="1"/>
      <c r="AL28" s="1"/>
      <c r="AM28" s="1"/>
      <c r="AT28" t="s">
        <v>114</v>
      </c>
    </row>
    <row r="29" spans="3:91" ht="15.75" hidden="1">
      <c r="I29" s="28"/>
      <c r="J29" s="28"/>
      <c r="K29" s="28"/>
      <c r="L29" s="28"/>
      <c r="M29" s="28"/>
      <c r="N29" s="28"/>
      <c r="O29" s="1" t="s">
        <v>114</v>
      </c>
      <c r="P29" s="478" t="e">
        <f>SUM(P12:P27)</f>
        <v>#DIV/0!</v>
      </c>
      <c r="Q29" s="478"/>
      <c r="S29" s="28"/>
      <c r="T29" s="28"/>
      <c r="U29" s="537">
        <f>GCD(U12:U27)</f>
        <v>0</v>
      </c>
      <c r="V29" s="28"/>
      <c r="W29" s="28"/>
      <c r="X29" s="28"/>
      <c r="Y29" s="28"/>
      <c r="Z29" s="28"/>
      <c r="AA29" s="28"/>
      <c r="AB29" s="28"/>
      <c r="AC29" s="28"/>
      <c r="AE29" s="1"/>
    </row>
    <row r="30" spans="3:91" ht="18.75" hidden="1">
      <c r="I30" s="28"/>
      <c r="J30" s="28"/>
      <c r="K30" s="28"/>
      <c r="L30" s="28"/>
      <c r="M30" s="28"/>
      <c r="N30" s="28"/>
      <c r="O30" s="28"/>
      <c r="P30" s="28"/>
      <c r="Q30" s="28"/>
      <c r="R30" s="549" t="e">
        <f>SUM(R12:R27)</f>
        <v>#DIV/0!</v>
      </c>
      <c r="S30" s="28"/>
      <c r="T30" s="28"/>
      <c r="U30" s="478">
        <f t="shared" ref="U30:U47" si="16">$U$29</f>
        <v>0</v>
      </c>
      <c r="V30" s="28"/>
      <c r="W30" s="28"/>
      <c r="X30" s="478">
        <f>ROUNDDOWN(X28,0)</f>
        <v>0</v>
      </c>
      <c r="Y30" s="28"/>
      <c r="Z30" s="28"/>
      <c r="AA30" s="28"/>
      <c r="AB30" s="28"/>
      <c r="AC30" s="28"/>
      <c r="AE30" s="1"/>
    </row>
    <row r="31" spans="3:91" hidden="1">
      <c r="E31">
        <f>N31</f>
        <v>0</v>
      </c>
      <c r="H31" s="1">
        <f t="shared" ref="H31:H42" si="17">J64</f>
        <v>1</v>
      </c>
      <c r="I31" s="478">
        <f t="shared" ref="I31:I42" si="18">H64</f>
        <v>0</v>
      </c>
      <c r="K31" s="478">
        <f t="shared" ref="K31:K42" si="19">J64</f>
        <v>1</v>
      </c>
      <c r="L31" s="28">
        <f>IF(H31&gt;1,O31,0)</f>
        <v>0</v>
      </c>
      <c r="M31" t="e">
        <f>VLOOKUP(1,E31:L42,3,FALSE)</f>
        <v>#N/A</v>
      </c>
      <c r="N31" s="28">
        <f t="shared" ref="N31:N42" si="20">IF(K31&gt;1,1,0)</f>
        <v>0</v>
      </c>
      <c r="O31" s="28">
        <f>VLOOKUP(H31,H31:K40,2,FALSE)</f>
        <v>0</v>
      </c>
      <c r="P31" s="28"/>
      <c r="Q31" s="28"/>
      <c r="R31" s="478">
        <f t="shared" ref="R31:R39" si="21">N31</f>
        <v>0</v>
      </c>
      <c r="S31" s="28"/>
      <c r="T31" s="28"/>
      <c r="U31" s="478">
        <f t="shared" si="16"/>
        <v>0</v>
      </c>
      <c r="V31" s="28"/>
      <c r="W31" s="28"/>
      <c r="X31" s="478">
        <f>X28-X30</f>
        <v>0</v>
      </c>
      <c r="Y31" s="28"/>
      <c r="Z31" s="28"/>
      <c r="AA31" s="28"/>
      <c r="AB31" s="28"/>
      <c r="AC31" s="28"/>
      <c r="AE31" s="1"/>
      <c r="AL31" s="478">
        <f t="shared" ref="AL31:AL42" si="22">I64</f>
        <v>0</v>
      </c>
    </row>
    <row r="32" spans="3:91" hidden="1">
      <c r="E32">
        <f>N32+SUM(N31)</f>
        <v>0</v>
      </c>
      <c r="H32" s="1">
        <f t="shared" si="17"/>
        <v>0</v>
      </c>
      <c r="I32" s="478">
        <f t="shared" si="18"/>
        <v>0</v>
      </c>
      <c r="K32" s="478">
        <f t="shared" si="19"/>
        <v>0</v>
      </c>
      <c r="L32" s="28">
        <f>IF(H32&gt;1,O32,0)</f>
        <v>0</v>
      </c>
      <c r="M32" t="e">
        <f>VLOOKUP(2,E31:L42,3,FALSE)</f>
        <v>#N/A</v>
      </c>
      <c r="N32" s="28">
        <f t="shared" si="20"/>
        <v>0</v>
      </c>
      <c r="O32" s="28">
        <f>VLOOKUP(H32,H31:K40,2,FALSE)</f>
        <v>0</v>
      </c>
      <c r="P32" s="28"/>
      <c r="Q32" s="28"/>
      <c r="R32" s="478">
        <f t="shared" si="21"/>
        <v>0</v>
      </c>
      <c r="S32" s="28"/>
      <c r="T32" s="28"/>
      <c r="U32" s="478">
        <f t="shared" si="16"/>
        <v>0</v>
      </c>
      <c r="V32" s="28"/>
      <c r="W32" s="28"/>
      <c r="X32" s="478" t="s">
        <v>114</v>
      </c>
      <c r="Y32" s="28"/>
      <c r="Z32" s="28"/>
      <c r="AA32" s="28"/>
      <c r="AB32" s="28"/>
      <c r="AC32" s="28"/>
      <c r="AE32" s="1"/>
      <c r="AL32" s="478">
        <f t="shared" si="22"/>
        <v>0</v>
      </c>
    </row>
    <row r="33" spans="5:38" hidden="1">
      <c r="E33">
        <f>N33+SUM(N31:N32)</f>
        <v>0</v>
      </c>
      <c r="H33" s="1">
        <f t="shared" si="17"/>
        <v>-1</v>
      </c>
      <c r="I33" s="478">
        <f t="shared" si="18"/>
        <v>0</v>
      </c>
      <c r="K33" s="478">
        <f t="shared" si="19"/>
        <v>-1</v>
      </c>
      <c r="L33" s="28">
        <f>IF(H33&gt;1,O33,0)</f>
        <v>0</v>
      </c>
      <c r="M33" t="e">
        <f>VLOOKUP(3,E31:L42,3,FALSE)</f>
        <v>#N/A</v>
      </c>
      <c r="N33" s="28">
        <f t="shared" si="20"/>
        <v>0</v>
      </c>
      <c r="O33" s="28">
        <f>VLOOKUP(H33,H31:K40,2,FALSE)</f>
        <v>0</v>
      </c>
      <c r="P33" s="28"/>
      <c r="Q33" s="28"/>
      <c r="R33" s="478">
        <f t="shared" si="21"/>
        <v>0</v>
      </c>
      <c r="S33" s="28"/>
      <c r="T33" s="28"/>
      <c r="U33" s="478">
        <f t="shared" si="16"/>
        <v>0</v>
      </c>
      <c r="V33" s="28"/>
      <c r="W33" s="28"/>
      <c r="X33" s="28"/>
      <c r="Y33" s="28"/>
      <c r="Z33" s="28"/>
      <c r="AA33" s="28"/>
      <c r="AB33" s="28"/>
      <c r="AC33" s="28"/>
      <c r="AE33" s="1"/>
      <c r="AL33" s="478">
        <f t="shared" si="22"/>
        <v>0</v>
      </c>
    </row>
    <row r="34" spans="5:38" hidden="1">
      <c r="E34">
        <f>N34+SUM(N31:N33)</f>
        <v>0</v>
      </c>
      <c r="H34" s="1">
        <f t="shared" si="17"/>
        <v>-2</v>
      </c>
      <c r="I34" s="478">
        <f t="shared" si="18"/>
        <v>0</v>
      </c>
      <c r="K34" s="478">
        <f t="shared" si="19"/>
        <v>-2</v>
      </c>
      <c r="L34" s="28">
        <f>IF(H34&gt;1,O34,0)</f>
        <v>0</v>
      </c>
      <c r="M34" t="e">
        <f>VLOOKUP(4,E31:L42,3,FALSE)</f>
        <v>#N/A</v>
      </c>
      <c r="N34" s="28">
        <f t="shared" si="20"/>
        <v>0</v>
      </c>
      <c r="O34" s="28">
        <f>VLOOKUP(H34,H31:K40,2,FALSE)</f>
        <v>0</v>
      </c>
      <c r="P34" s="28"/>
      <c r="Q34" s="28"/>
      <c r="R34" s="28">
        <f t="shared" si="21"/>
        <v>0</v>
      </c>
      <c r="S34" s="28"/>
      <c r="T34" s="28"/>
      <c r="U34" s="478">
        <f t="shared" si="16"/>
        <v>0</v>
      </c>
      <c r="V34" s="28"/>
      <c r="W34" s="28"/>
      <c r="X34" s="28"/>
      <c r="Y34" s="28"/>
      <c r="Z34" s="28"/>
      <c r="AA34" s="28"/>
      <c r="AB34" s="28"/>
      <c r="AC34" s="28"/>
      <c r="AE34" s="1"/>
      <c r="AL34" s="478">
        <f t="shared" si="22"/>
        <v>0</v>
      </c>
    </row>
    <row r="35" spans="5:38" hidden="1">
      <c r="E35">
        <f>N35+SUM(N31:N34)</f>
        <v>0</v>
      </c>
      <c r="H35" s="1">
        <f t="shared" si="17"/>
        <v>-3</v>
      </c>
      <c r="I35" s="478">
        <f t="shared" si="18"/>
        <v>0</v>
      </c>
      <c r="K35" s="478">
        <f t="shared" si="19"/>
        <v>-3</v>
      </c>
      <c r="L35" s="28">
        <f>IF( H35&gt;1, I35,0)</f>
        <v>0</v>
      </c>
      <c r="M35" t="e">
        <f>VLOOKUP(5,E31:L42,3,FALSE)</f>
        <v>#N/A</v>
      </c>
      <c r="N35" s="28">
        <f t="shared" si="20"/>
        <v>0</v>
      </c>
      <c r="O35" s="28">
        <f>VLOOKUP(H35,H31:K40,2,FALSE)</f>
        <v>0</v>
      </c>
      <c r="P35" s="28"/>
      <c r="Q35" s="28"/>
      <c r="R35" s="28">
        <f t="shared" si="21"/>
        <v>0</v>
      </c>
      <c r="S35" s="28"/>
      <c r="T35" s="28"/>
      <c r="U35" s="478">
        <f t="shared" si="16"/>
        <v>0</v>
      </c>
      <c r="V35" s="28"/>
      <c r="W35" s="28"/>
      <c r="X35" s="28"/>
      <c r="Y35" s="28"/>
      <c r="Z35" s="28"/>
      <c r="AA35" s="28"/>
      <c r="AB35" s="28"/>
      <c r="AC35" s="28"/>
      <c r="AE35" s="1"/>
      <c r="AL35" s="478">
        <f t="shared" si="22"/>
        <v>0</v>
      </c>
    </row>
    <row r="36" spans="5:38" hidden="1">
      <c r="E36">
        <f>N36+SUM(N31:N35)</f>
        <v>0</v>
      </c>
      <c r="H36" s="1">
        <f t="shared" si="17"/>
        <v>-4</v>
      </c>
      <c r="I36" s="478">
        <f t="shared" si="18"/>
        <v>0</v>
      </c>
      <c r="K36" s="478">
        <f t="shared" si="19"/>
        <v>-4</v>
      </c>
      <c r="L36" s="28">
        <f>IF(H36&gt;1, I36,0)</f>
        <v>0</v>
      </c>
      <c r="M36" t="e">
        <f>VLOOKUP(6,E31:L42,3,FALSE)</f>
        <v>#N/A</v>
      </c>
      <c r="N36" s="28">
        <f t="shared" si="20"/>
        <v>0</v>
      </c>
      <c r="O36" s="28"/>
      <c r="P36" s="28"/>
      <c r="Q36" s="28"/>
      <c r="R36" s="28">
        <f t="shared" si="21"/>
        <v>0</v>
      </c>
      <c r="S36" s="28"/>
      <c r="T36" s="28"/>
      <c r="U36" s="478">
        <f t="shared" si="16"/>
        <v>0</v>
      </c>
      <c r="V36" s="28"/>
      <c r="W36" s="28"/>
      <c r="X36" s="28"/>
      <c r="Y36" s="28"/>
      <c r="Z36" s="28"/>
      <c r="AA36" s="28"/>
      <c r="AB36" s="28"/>
      <c r="AC36" s="28"/>
      <c r="AE36" s="1"/>
      <c r="AL36" s="478">
        <f t="shared" si="22"/>
        <v>0</v>
      </c>
    </row>
    <row r="37" spans="5:38" hidden="1">
      <c r="E37">
        <f>N37+SUM(N31:N36)</f>
        <v>0</v>
      </c>
      <c r="H37" s="1">
        <f t="shared" si="17"/>
        <v>-5</v>
      </c>
      <c r="I37" s="478">
        <f t="shared" si="18"/>
        <v>0</v>
      </c>
      <c r="K37" s="478">
        <f t="shared" si="19"/>
        <v>-5</v>
      </c>
      <c r="L37" s="28">
        <f>IF(H37&gt;1,#REF!,0)</f>
        <v>0</v>
      </c>
      <c r="M37" t="e">
        <f>VLOOKUP(7,E31:L42,3,FALSE)</f>
        <v>#N/A</v>
      </c>
      <c r="N37" s="28">
        <f t="shared" si="20"/>
        <v>0</v>
      </c>
      <c r="O37" s="28"/>
      <c r="P37" s="28"/>
      <c r="Q37" s="28"/>
      <c r="R37" s="28">
        <f t="shared" si="21"/>
        <v>0</v>
      </c>
      <c r="S37" s="28"/>
      <c r="T37" s="28"/>
      <c r="U37" s="478">
        <f t="shared" si="16"/>
        <v>0</v>
      </c>
      <c r="V37" s="28"/>
      <c r="W37" s="28"/>
      <c r="X37" s="28"/>
      <c r="Y37" s="28"/>
      <c r="Z37" s="28"/>
      <c r="AA37" s="28"/>
      <c r="AB37" s="28"/>
      <c r="AC37" s="28"/>
      <c r="AE37" s="1"/>
      <c r="AL37" s="478">
        <f t="shared" si="22"/>
        <v>0</v>
      </c>
    </row>
    <row r="38" spans="5:38" hidden="1">
      <c r="E38">
        <f>N38+SUM(N31:N37)</f>
        <v>0</v>
      </c>
      <c r="H38" s="1">
        <f t="shared" si="17"/>
        <v>-6</v>
      </c>
      <c r="I38" s="478">
        <f t="shared" si="18"/>
        <v>0</v>
      </c>
      <c r="K38" s="478">
        <f t="shared" si="19"/>
        <v>-6</v>
      </c>
      <c r="L38" s="28">
        <f>IF(H38&gt;1,#REF!,0)</f>
        <v>0</v>
      </c>
      <c r="M38" t="e">
        <f>VLOOKUP(8,E31:L42,3,FALSE)</f>
        <v>#N/A</v>
      </c>
      <c r="N38" s="28">
        <f t="shared" si="20"/>
        <v>0</v>
      </c>
      <c r="O38" s="28"/>
      <c r="P38" s="28"/>
      <c r="Q38" s="28"/>
      <c r="R38" s="28">
        <f t="shared" si="21"/>
        <v>0</v>
      </c>
      <c r="S38" s="28"/>
      <c r="T38" s="28"/>
      <c r="U38" s="478">
        <f t="shared" si="16"/>
        <v>0</v>
      </c>
      <c r="V38" s="28"/>
      <c r="W38" s="28"/>
      <c r="X38" s="28"/>
      <c r="Y38" s="28"/>
      <c r="Z38" s="28"/>
      <c r="AA38" s="28"/>
      <c r="AB38" s="28"/>
      <c r="AC38" s="28"/>
      <c r="AE38" s="1"/>
      <c r="AL38" s="478">
        <f t="shared" si="22"/>
        <v>0</v>
      </c>
    </row>
    <row r="39" spans="5:38" hidden="1">
      <c r="E39">
        <f>N39+SUM(N30:N38)</f>
        <v>0</v>
      </c>
      <c r="H39" s="1">
        <f t="shared" si="17"/>
        <v>-7</v>
      </c>
      <c r="I39" s="478">
        <f t="shared" si="18"/>
        <v>0</v>
      </c>
      <c r="K39" s="478">
        <f t="shared" si="19"/>
        <v>-7</v>
      </c>
      <c r="L39" s="28">
        <f>IF(H39&gt;1,#REF!,0)</f>
        <v>0</v>
      </c>
      <c r="M39" t="e">
        <f>VLOOKUP(9,E31:L42,3,FALSE)</f>
        <v>#N/A</v>
      </c>
      <c r="N39" s="28">
        <f t="shared" si="20"/>
        <v>0</v>
      </c>
      <c r="O39" s="28"/>
      <c r="P39" s="28"/>
      <c r="Q39" s="28"/>
      <c r="R39" s="28">
        <f t="shared" si="21"/>
        <v>0</v>
      </c>
      <c r="S39" s="28"/>
      <c r="T39" s="28"/>
      <c r="U39" s="478">
        <f t="shared" si="16"/>
        <v>0</v>
      </c>
      <c r="V39" s="28"/>
      <c r="W39" s="28"/>
      <c r="X39" s="28"/>
      <c r="Y39" s="28"/>
      <c r="Z39" s="28"/>
      <c r="AA39" s="28"/>
      <c r="AB39" s="28"/>
      <c r="AC39" s="28"/>
      <c r="AE39" s="1"/>
      <c r="AL39" s="478">
        <f t="shared" si="22"/>
        <v>0</v>
      </c>
    </row>
    <row r="40" spans="5:38" hidden="1">
      <c r="E40">
        <f>N40+SUM(N31:N40)</f>
        <v>0</v>
      </c>
      <c r="H40" s="1">
        <f t="shared" si="17"/>
        <v>-8</v>
      </c>
      <c r="I40" s="478">
        <f t="shared" si="18"/>
        <v>0</v>
      </c>
      <c r="K40" s="478">
        <f t="shared" si="19"/>
        <v>-8</v>
      </c>
      <c r="L40" s="28"/>
      <c r="M40" t="e">
        <f>VLOOKUP(E40,J40:L51,3,FALSE)</f>
        <v>#N/A</v>
      </c>
      <c r="N40" s="28">
        <f t="shared" si="20"/>
        <v>0</v>
      </c>
      <c r="O40" s="28"/>
      <c r="P40" s="28"/>
      <c r="Q40" s="28"/>
      <c r="R40" s="28">
        <f t="shared" ref="R40:R44" si="23">N40</f>
        <v>0</v>
      </c>
      <c r="S40" s="28"/>
      <c r="T40" s="28"/>
      <c r="U40" s="478">
        <f t="shared" si="16"/>
        <v>0</v>
      </c>
      <c r="V40" s="28"/>
      <c r="W40" s="28"/>
      <c r="X40" s="28"/>
      <c r="Y40" s="28"/>
      <c r="Z40" s="28"/>
      <c r="AA40" s="28"/>
      <c r="AB40" s="28"/>
      <c r="AC40" s="28"/>
      <c r="AE40" s="1"/>
      <c r="AL40" s="478">
        <f t="shared" si="22"/>
        <v>0</v>
      </c>
    </row>
    <row r="41" spans="5:38" hidden="1">
      <c r="E41">
        <f>N41+SUM(N30:N41)</f>
        <v>0</v>
      </c>
      <c r="H41" s="1">
        <f t="shared" si="17"/>
        <v>-9</v>
      </c>
      <c r="I41" s="478">
        <f t="shared" si="18"/>
        <v>0</v>
      </c>
      <c r="K41" s="478">
        <f t="shared" si="19"/>
        <v>-9</v>
      </c>
      <c r="L41" s="28"/>
      <c r="M41" t="e">
        <f>VLOOKUP(E41,J41:L52,3,FALSE)</f>
        <v>#N/A</v>
      </c>
      <c r="N41" s="28">
        <f t="shared" si="20"/>
        <v>0</v>
      </c>
      <c r="O41" s="28"/>
      <c r="P41" s="28"/>
      <c r="Q41" s="28"/>
      <c r="R41" s="28">
        <f t="shared" si="23"/>
        <v>0</v>
      </c>
      <c r="S41" s="28"/>
      <c r="T41" s="28"/>
      <c r="U41" s="478">
        <f t="shared" si="16"/>
        <v>0</v>
      </c>
      <c r="V41" s="28"/>
      <c r="W41" s="28"/>
      <c r="X41" s="28"/>
      <c r="Y41" s="28"/>
      <c r="Z41" s="28"/>
      <c r="AA41" s="28"/>
      <c r="AB41" s="28"/>
      <c r="AC41" s="28"/>
      <c r="AE41" s="1"/>
      <c r="AL41" s="478">
        <f t="shared" si="22"/>
        <v>0</v>
      </c>
    </row>
    <row r="42" spans="5:38" hidden="1">
      <c r="E42">
        <f>N42+SUM(N41)</f>
        <v>0</v>
      </c>
      <c r="H42" s="1">
        <f t="shared" si="17"/>
        <v>-10</v>
      </c>
      <c r="I42" s="478">
        <f t="shared" si="18"/>
        <v>0</v>
      </c>
      <c r="K42" s="478">
        <f t="shared" si="19"/>
        <v>-10</v>
      </c>
      <c r="L42" s="28"/>
      <c r="M42" t="e">
        <f>VLOOKUP(E42,J42:L53,3,FALSE)</f>
        <v>#N/A</v>
      </c>
      <c r="N42" s="28">
        <f t="shared" si="20"/>
        <v>0</v>
      </c>
      <c r="O42" s="28"/>
      <c r="P42" s="28"/>
      <c r="Q42" s="28"/>
      <c r="R42" s="28">
        <f t="shared" si="23"/>
        <v>0</v>
      </c>
      <c r="S42" s="28"/>
      <c r="T42" s="28"/>
      <c r="U42" s="478">
        <f t="shared" si="16"/>
        <v>0</v>
      </c>
      <c r="V42" s="28"/>
      <c r="W42" s="28"/>
      <c r="X42" s="28"/>
      <c r="Y42" s="28"/>
      <c r="Z42" s="28"/>
      <c r="AA42" s="28"/>
      <c r="AB42" s="28"/>
      <c r="AC42" s="28"/>
      <c r="AE42" s="1"/>
      <c r="AL42" s="478">
        <f t="shared" si="22"/>
        <v>0</v>
      </c>
    </row>
    <row r="43" spans="5:38" hidden="1">
      <c r="E43">
        <f>N43+N42</f>
        <v>0</v>
      </c>
      <c r="I43" s="28"/>
      <c r="K43" s="28"/>
      <c r="L43" s="28"/>
      <c r="N43" s="28"/>
      <c r="O43" s="28"/>
      <c r="P43" s="28"/>
      <c r="Q43" s="28"/>
      <c r="R43" s="28">
        <f t="shared" si="23"/>
        <v>0</v>
      </c>
      <c r="S43" s="28"/>
      <c r="T43" s="28"/>
      <c r="U43" s="478">
        <f t="shared" si="16"/>
        <v>0</v>
      </c>
      <c r="V43" s="28"/>
      <c r="W43" s="28"/>
      <c r="X43" s="28"/>
      <c r="Y43" s="28"/>
      <c r="Z43" s="28"/>
      <c r="AA43" s="28"/>
      <c r="AB43" s="28"/>
      <c r="AC43" s="28"/>
      <c r="AE43" s="1"/>
    </row>
    <row r="44" spans="5:38" hidden="1">
      <c r="E44" s="28"/>
      <c r="F44" s="28"/>
      <c r="G44" s="28"/>
      <c r="I44" s="28"/>
      <c r="K44" s="28"/>
      <c r="L44" s="28"/>
      <c r="M44" s="28"/>
      <c r="N44" s="28"/>
      <c r="O44" s="478">
        <f>SUM(O24:O25)</f>
        <v>0</v>
      </c>
      <c r="P44" s="28"/>
      <c r="Q44" s="28"/>
      <c r="R44" s="28">
        <f t="shared" si="23"/>
        <v>0</v>
      </c>
      <c r="S44" s="28"/>
      <c r="T44" s="28"/>
      <c r="U44" s="478">
        <f t="shared" si="16"/>
        <v>0</v>
      </c>
      <c r="V44" s="28"/>
      <c r="W44" s="28"/>
      <c r="X44" s="28"/>
      <c r="Y44" s="28"/>
      <c r="Z44" s="28"/>
      <c r="AA44" s="28"/>
      <c r="AB44" s="28"/>
      <c r="AC44" s="28"/>
      <c r="AE44" s="1"/>
    </row>
    <row r="45" spans="5:38" hidden="1">
      <c r="E45" s="28"/>
      <c r="F45" s="28"/>
      <c r="G45" s="28"/>
      <c r="I45" s="28"/>
      <c r="K45" s="28"/>
      <c r="L45" s="28"/>
      <c r="M45" s="28"/>
      <c r="N45" s="28"/>
      <c r="O45" s="478">
        <f>SUM(O29:O44)</f>
        <v>0</v>
      </c>
      <c r="P45" s="28"/>
      <c r="Q45" s="28"/>
      <c r="R45" s="28"/>
      <c r="S45" s="28"/>
      <c r="T45" s="28"/>
      <c r="U45" s="478">
        <f t="shared" si="16"/>
        <v>0</v>
      </c>
      <c r="V45" s="28"/>
      <c r="W45" s="28"/>
      <c r="X45" s="28"/>
      <c r="Y45" s="28"/>
      <c r="Z45" s="28"/>
      <c r="AA45" s="28"/>
      <c r="AB45" s="28"/>
      <c r="AC45" s="28"/>
      <c r="AE45" s="1"/>
    </row>
    <row r="46" spans="5:38" hidden="1">
      <c r="I46" s="28"/>
      <c r="J46" s="28"/>
      <c r="K46" s="28"/>
      <c r="L46" s="28"/>
      <c r="M46" s="28"/>
      <c r="N46" s="28"/>
      <c r="O46" s="28"/>
      <c r="P46" s="28"/>
      <c r="Q46" s="28"/>
      <c r="R46" s="28"/>
      <c r="S46" s="28"/>
      <c r="T46" s="28"/>
      <c r="U46" s="478">
        <f t="shared" si="16"/>
        <v>0</v>
      </c>
      <c r="V46" s="28"/>
      <c r="W46" s="28"/>
      <c r="X46" s="28"/>
      <c r="Y46" s="28"/>
      <c r="Z46" s="28"/>
      <c r="AA46" s="28"/>
      <c r="AB46" s="28"/>
      <c r="AC46" s="28"/>
      <c r="AE46" s="1"/>
    </row>
    <row r="47" spans="5:38" hidden="1">
      <c r="I47" s="28"/>
      <c r="J47" s="28"/>
      <c r="K47" s="28"/>
      <c r="L47" s="28"/>
      <c r="M47" s="28"/>
      <c r="N47" s="28"/>
      <c r="O47" s="28"/>
      <c r="P47" s="28"/>
      <c r="Q47" s="28"/>
      <c r="R47" s="28"/>
      <c r="S47" s="28"/>
      <c r="T47" s="28"/>
      <c r="U47" s="478">
        <f t="shared" si="16"/>
        <v>0</v>
      </c>
      <c r="V47" s="28"/>
      <c r="W47" s="28"/>
      <c r="X47" s="28"/>
      <c r="Y47" s="28"/>
      <c r="Z47" s="28"/>
      <c r="AA47" s="28"/>
      <c r="AB47" s="28"/>
      <c r="AC47" s="28"/>
      <c r="AE47" s="1"/>
    </row>
    <row r="48" spans="5:38" hidden="1">
      <c r="I48" s="28"/>
      <c r="J48" s="28"/>
      <c r="K48" s="28"/>
      <c r="L48" s="28"/>
      <c r="M48" s="28"/>
      <c r="N48" s="28"/>
      <c r="O48" s="28"/>
      <c r="P48" s="28"/>
      <c r="Q48" s="28"/>
      <c r="R48" s="28"/>
      <c r="S48" s="28"/>
      <c r="T48" s="28"/>
      <c r="U48" s="28"/>
      <c r="W48" s="28"/>
      <c r="X48" s="28"/>
      <c r="Y48" s="28"/>
      <c r="Z48" s="28"/>
      <c r="AA48" s="28"/>
      <c r="AB48" s="28"/>
      <c r="AC48" s="28"/>
      <c r="AE48" s="1"/>
    </row>
    <row r="49" spans="3:53" hidden="1">
      <c r="I49" s="28"/>
      <c r="J49" s="28"/>
      <c r="K49" s="28"/>
      <c r="L49" s="28"/>
      <c r="M49" s="28"/>
      <c r="N49" s="28"/>
      <c r="O49" s="28"/>
      <c r="P49" s="28"/>
      <c r="Q49" s="28"/>
      <c r="R49" s="28"/>
      <c r="S49" s="28"/>
      <c r="T49" s="28"/>
      <c r="U49" s="28"/>
      <c r="V49" s="28"/>
      <c r="W49" s="28"/>
      <c r="X49" s="28"/>
      <c r="Y49" s="28"/>
      <c r="Z49" s="28"/>
      <c r="AA49" s="28"/>
      <c r="AB49" s="28"/>
      <c r="AC49" s="28"/>
      <c r="AE49" s="1"/>
    </row>
    <row r="50" spans="3:53" ht="16.5" hidden="1" thickTop="1">
      <c r="I50" s="28"/>
      <c r="J50" s="28"/>
      <c r="K50" s="28"/>
      <c r="L50" s="28"/>
      <c r="M50" s="28"/>
      <c r="N50" s="28"/>
      <c r="O50" s="552" t="s">
        <v>743</v>
      </c>
      <c r="P50" s="551"/>
      <c r="Q50" s="570"/>
      <c r="R50" s="28"/>
      <c r="S50" s="28"/>
      <c r="T50" s="28"/>
      <c r="U50" s="28"/>
      <c r="V50" s="28"/>
      <c r="W50" s="28"/>
      <c r="X50" s="28"/>
      <c r="Y50" s="28"/>
      <c r="Z50" s="28"/>
      <c r="AA50" s="28"/>
      <c r="AB50" s="28"/>
      <c r="AC50" s="28"/>
      <c r="AE50" s="1"/>
    </row>
    <row r="51" spans="3:53" ht="21.75" hidden="1" thickTop="1">
      <c r="I51" s="28"/>
      <c r="J51" s="28"/>
      <c r="K51" s="28"/>
      <c r="L51" s="28"/>
      <c r="M51" s="28"/>
      <c r="N51" s="28"/>
      <c r="O51" s="556" t="s">
        <v>742</v>
      </c>
      <c r="P51" s="494"/>
      <c r="Q51" s="557" t="s">
        <v>114</v>
      </c>
      <c r="R51" s="28"/>
      <c r="S51" s="28"/>
      <c r="T51" s="28"/>
      <c r="U51" s="28"/>
      <c r="V51" s="28"/>
      <c r="W51" s="28"/>
      <c r="X51" s="28"/>
      <c r="Y51" s="28"/>
      <c r="Z51" s="28"/>
      <c r="AA51" s="28"/>
      <c r="AB51" s="28"/>
      <c r="AC51" s="28"/>
      <c r="AE51" s="1"/>
    </row>
    <row r="52" spans="3:53" ht="15.75" hidden="1">
      <c r="I52" s="28"/>
      <c r="J52" s="28"/>
      <c r="K52" s="28"/>
      <c r="L52" s="28"/>
      <c r="M52" s="28"/>
      <c r="N52" s="28"/>
      <c r="O52" s="476" t="s">
        <v>745</v>
      </c>
      <c r="P52" s="28"/>
      <c r="Q52" s="524">
        <v>1</v>
      </c>
      <c r="R52" s="28"/>
      <c r="S52" s="28"/>
      <c r="T52" s="28"/>
      <c r="U52" s="28"/>
      <c r="V52" s="28"/>
      <c r="W52" s="28"/>
      <c r="X52" s="28"/>
      <c r="Y52" s="28"/>
      <c r="Z52" s="28"/>
      <c r="AA52" s="28"/>
      <c r="AB52" s="28"/>
      <c r="AC52" s="28"/>
      <c r="AE52" s="1"/>
    </row>
    <row r="53" spans="3:53" ht="15.75" hidden="1">
      <c r="I53" s="28"/>
      <c r="J53" s="28"/>
      <c r="K53" s="28"/>
      <c r="L53" s="28"/>
      <c r="M53" s="28"/>
      <c r="N53" s="28"/>
      <c r="O53" s="497" t="s">
        <v>746</v>
      </c>
      <c r="P53" s="28"/>
      <c r="Q53" s="524">
        <v>1</v>
      </c>
      <c r="R53" s="28"/>
      <c r="S53" s="28"/>
      <c r="T53" s="28"/>
      <c r="U53" s="28"/>
      <c r="V53" s="28"/>
      <c r="W53" s="28"/>
      <c r="X53" s="28"/>
      <c r="Y53" s="28"/>
      <c r="Z53" s="28"/>
      <c r="AA53" s="28"/>
      <c r="AB53" s="28"/>
      <c r="AC53" s="28"/>
      <c r="AE53" s="1"/>
    </row>
    <row r="54" spans="3:53" hidden="1">
      <c r="I54" s="28"/>
      <c r="J54" s="28"/>
      <c r="K54" s="28"/>
      <c r="L54" s="28"/>
      <c r="M54" s="28"/>
      <c r="N54" s="28"/>
      <c r="O54" s="28"/>
      <c r="P54" s="28"/>
      <c r="Q54" s="28"/>
      <c r="R54" s="28"/>
      <c r="S54" s="28"/>
      <c r="T54" s="28"/>
      <c r="U54" s="28"/>
      <c r="V54" s="28"/>
      <c r="W54" s="28"/>
      <c r="X54" s="28"/>
      <c r="Y54" s="28"/>
      <c r="Z54" s="28"/>
      <c r="AA54" s="28"/>
      <c r="AB54" s="28"/>
      <c r="AC54" s="28"/>
      <c r="AE54" s="1"/>
    </row>
    <row r="55" spans="3:53" ht="15.75" hidden="1" thickTop="1">
      <c r="I55" s="28"/>
      <c r="J55" s="28"/>
      <c r="K55" s="28"/>
      <c r="L55" s="28"/>
      <c r="M55" s="28"/>
      <c r="N55" s="28"/>
      <c r="O55" s="555">
        <f>ROUNDDOWN(X4,0)</f>
        <v>1</v>
      </c>
      <c r="P55" s="28"/>
      <c r="Q55" s="28"/>
      <c r="R55" s="28"/>
      <c r="S55" s="28"/>
      <c r="T55" s="28"/>
      <c r="U55" s="28"/>
      <c r="V55" s="28"/>
      <c r="W55" s="28"/>
      <c r="X55" s="28"/>
      <c r="Y55" s="28"/>
      <c r="Z55" s="28"/>
      <c r="AA55" s="28"/>
      <c r="AB55" s="28"/>
      <c r="AC55" s="28"/>
      <c r="AE55" s="1"/>
    </row>
    <row r="56" spans="3:53" hidden="1">
      <c r="I56" s="28"/>
      <c r="J56" s="28"/>
      <c r="K56" s="28"/>
      <c r="L56" s="28"/>
      <c r="M56" s="28"/>
      <c r="N56" s="28"/>
      <c r="O56" s="28"/>
      <c r="P56" s="28"/>
      <c r="Q56" s="28"/>
      <c r="R56" s="28"/>
      <c r="S56" s="28"/>
      <c r="T56" s="28"/>
      <c r="U56" s="28"/>
      <c r="V56" s="28"/>
      <c r="W56" s="28"/>
      <c r="X56" s="28"/>
      <c r="Y56" s="28"/>
      <c r="Z56" s="28"/>
      <c r="AA56" s="28"/>
      <c r="AB56" s="28"/>
      <c r="AC56" s="28"/>
      <c r="AE56" s="1"/>
    </row>
    <row r="57" spans="3:53" hidden="1">
      <c r="I57" s="28"/>
      <c r="J57" s="28"/>
      <c r="K57" s="28"/>
      <c r="L57" s="28"/>
      <c r="M57" s="28"/>
      <c r="N57" s="28"/>
      <c r="O57" s="28"/>
      <c r="P57" s="28"/>
      <c r="Q57" s="28"/>
      <c r="R57" s="28"/>
      <c r="S57" s="28"/>
      <c r="T57" s="28"/>
      <c r="U57" s="28"/>
      <c r="V57" s="28"/>
      <c r="W57" s="28"/>
      <c r="X57" s="28"/>
      <c r="Y57" s="28"/>
      <c r="Z57" s="28"/>
      <c r="AA57" s="28"/>
      <c r="AB57" s="28"/>
      <c r="AC57" s="28"/>
      <c r="AE57" s="1"/>
    </row>
    <row r="58" spans="3:53" hidden="1">
      <c r="I58" s="28"/>
      <c r="J58" s="28"/>
      <c r="K58" s="28"/>
      <c r="L58" s="28"/>
      <c r="M58" s="28"/>
      <c r="N58" s="28"/>
      <c r="O58" s="28"/>
      <c r="P58" s="28"/>
      <c r="Q58" s="28"/>
      <c r="R58" s="28"/>
      <c r="S58" s="28"/>
      <c r="T58" s="28"/>
      <c r="U58" s="28"/>
      <c r="V58" s="28"/>
      <c r="W58" s="28"/>
      <c r="X58" s="28"/>
      <c r="Y58" s="28"/>
      <c r="Z58" s="28"/>
      <c r="AA58" s="28"/>
      <c r="AB58" s="28"/>
      <c r="AC58" s="28"/>
      <c r="AE58" s="1"/>
    </row>
    <row r="59" spans="3:53" ht="15.75" thickBot="1">
      <c r="I59" s="28"/>
      <c r="J59" s="28"/>
      <c r="K59" s="28"/>
      <c r="L59" s="28"/>
      <c r="M59" s="28"/>
      <c r="N59" s="28"/>
      <c r="O59" s="28"/>
      <c r="P59" s="28"/>
      <c r="Q59" s="28"/>
      <c r="R59" s="28"/>
      <c r="S59" s="28"/>
      <c r="T59" s="28"/>
      <c r="U59" s="28"/>
      <c r="V59" s="28"/>
      <c r="W59" s="28"/>
      <c r="X59" s="28"/>
      <c r="Y59" s="28"/>
      <c r="Z59" s="28"/>
      <c r="AA59" s="28"/>
      <c r="AB59" s="28"/>
      <c r="AC59" s="28"/>
      <c r="AE59" s="1"/>
    </row>
    <row r="60" spans="3:53" ht="18.75" thickTop="1">
      <c r="F60">
        <v>0</v>
      </c>
      <c r="H60" s="1276" t="str">
        <f>IF(O3=FALSE, "الوصية  أجازتها ملزمة فى حق الورثة لعدم تجاوزها الثلث","ضع االأجازة فى الخلايا االمبينة أدناه")</f>
        <v>ضع االأجازة فى الخلايا االمبينة أدناه</v>
      </c>
      <c r="I60" s="1309" t="s">
        <v>828</v>
      </c>
      <c r="J60" s="1310"/>
      <c r="K60" s="1311"/>
      <c r="L60" s="1311"/>
      <c r="M60" s="1311"/>
      <c r="N60" s="1312"/>
      <c r="O60" s="28"/>
      <c r="P60" s="28"/>
      <c r="Q60" s="28"/>
      <c r="R60" s="28"/>
      <c r="S60" s="28"/>
      <c r="T60" s="28"/>
      <c r="U60" s="28"/>
      <c r="V60" s="28"/>
      <c r="W60" s="28"/>
      <c r="X60" s="28"/>
      <c r="Y60" s="28"/>
      <c r="Z60" s="28"/>
      <c r="AA60" s="28"/>
      <c r="AB60" s="28"/>
      <c r="AC60" s="28"/>
      <c r="AE60" s="1"/>
    </row>
    <row r="61" spans="3:53" ht="23.25" customHeight="1">
      <c r="F61">
        <v>1</v>
      </c>
      <c r="G61" s="1080" t="s">
        <v>114</v>
      </c>
      <c r="H61" s="1277"/>
      <c r="I61" s="1282" t="s">
        <v>736</v>
      </c>
      <c r="J61" s="1283"/>
      <c r="K61" s="772">
        <f>K7</f>
        <v>0</v>
      </c>
      <c r="L61" s="747">
        <f>L7</f>
        <v>0</v>
      </c>
      <c r="M61" s="747">
        <f>M7</f>
        <v>0</v>
      </c>
      <c r="N61" s="748">
        <f>N7</f>
        <v>0</v>
      </c>
      <c r="O61" s="28"/>
      <c r="P61" s="28"/>
      <c r="Q61" s="28"/>
      <c r="R61" s="28"/>
      <c r="S61" s="28"/>
      <c r="T61" s="28"/>
      <c r="U61" s="28"/>
      <c r="V61" s="28"/>
      <c r="W61" s="28"/>
      <c r="X61" s="28"/>
      <c r="Y61" s="28"/>
      <c r="Z61" s="28"/>
      <c r="AA61" s="28"/>
      <c r="AB61" s="28"/>
      <c r="AC61" s="28"/>
      <c r="AE61" s="1"/>
    </row>
    <row r="62" spans="3:53" ht="23.25" customHeight="1" thickBot="1">
      <c r="F62" s="1317" t="s">
        <v>114</v>
      </c>
      <c r="G62" s="1318"/>
      <c r="H62" s="1277"/>
      <c r="I62" s="1313" t="s">
        <v>737</v>
      </c>
      <c r="J62" s="1314"/>
      <c r="K62" s="1083">
        <f>IF(K7+L7+M7+N7&lt;=1/3,K7,IF(K7=0,0,K2))</f>
        <v>0</v>
      </c>
      <c r="L62" s="1084">
        <f>IF(K7+L7+M7+N7&lt;=1/3,L7,IF(L7=0,0,L2))</f>
        <v>0</v>
      </c>
      <c r="M62" s="1084">
        <f>IF(K7+L7+M7+N7&lt;=1/3,M7,IF(M7=0,0,M2))</f>
        <v>0</v>
      </c>
      <c r="N62" s="1084">
        <f>IF(K7+L7+M7+N7&lt;=1/3,N7,IF(N7=0,0,N2))</f>
        <v>0</v>
      </c>
      <c r="O62" s="28"/>
      <c r="P62" s="28"/>
      <c r="Q62" s="28"/>
      <c r="R62" s="28"/>
      <c r="S62" s="28"/>
      <c r="T62" s="28"/>
      <c r="U62" s="28"/>
      <c r="V62" s="28"/>
      <c r="W62" s="28"/>
      <c r="X62" s="28"/>
      <c r="Y62" s="28"/>
      <c r="Z62" s="28"/>
      <c r="AA62" s="28"/>
      <c r="AB62" s="28"/>
      <c r="AC62" s="28"/>
      <c r="AE62" s="1"/>
    </row>
    <row r="63" spans="3:53" ht="34.5" customHeight="1" thickBot="1">
      <c r="G63" s="1085" t="str">
        <f>'حساب التركة والوصايا'!Q17</f>
        <v>أسم الوارث</v>
      </c>
      <c r="H63" s="1086" t="s">
        <v>786</v>
      </c>
      <c r="I63" s="1087" t="s">
        <v>749</v>
      </c>
      <c r="J63" s="1088" t="s">
        <v>750</v>
      </c>
      <c r="K63" s="1292" t="s">
        <v>762</v>
      </c>
      <c r="L63" s="1293"/>
      <c r="M63" s="1293"/>
      <c r="N63" s="1294"/>
      <c r="O63" s="28"/>
      <c r="P63" s="28"/>
      <c r="Q63" s="28"/>
      <c r="R63" s="28"/>
      <c r="S63" s="28"/>
      <c r="T63" s="28"/>
      <c r="U63" s="28"/>
      <c r="V63" s="28"/>
      <c r="W63" s="28"/>
      <c r="X63" s="28"/>
      <c r="Y63" s="28"/>
      <c r="Z63" s="28"/>
      <c r="AA63" s="28"/>
      <c r="AB63" s="28"/>
      <c r="AC63" s="28"/>
      <c r="AE63" s="1"/>
    </row>
    <row r="64" spans="3:53" ht="21" customHeight="1" thickTop="1" thickBot="1">
      <c r="C64">
        <f>IF(I64&gt;0, E63+1,E63)</f>
        <v>0</v>
      </c>
      <c r="D64">
        <f>$K$114</f>
        <v>0</v>
      </c>
      <c r="E64">
        <f t="shared" ref="E64:E127" si="24">IFERROR(C64,0)</f>
        <v>0</v>
      </c>
      <c r="G64" s="1089">
        <v>0</v>
      </c>
      <c r="H64" s="1061">
        <f>IFERROR( ('ورقة أجازة وعدم الأجازة للمختصن'!F31),0)</f>
        <v>0</v>
      </c>
      <c r="I64" s="1062">
        <f>(VLOOKUP(C11,'ورقة أجازة وعدم الأجازة للمختصن'!E12:F23,2,FALSE))/ J64</f>
        <v>0</v>
      </c>
      <c r="J64" s="1070">
        <f>(VLOOKUP(C11,'ورقة أجازة وعدم الأجازة للمختصن'!E12:G23,3,FALSE))+IF(D10=0,1,0)</f>
        <v>1</v>
      </c>
      <c r="K64" s="970"/>
      <c r="L64" s="970"/>
      <c r="M64" s="970"/>
      <c r="N64" s="1090"/>
      <c r="O64" s="28"/>
      <c r="P64" s="28"/>
      <c r="Q64" s="28"/>
      <c r="R64" s="28"/>
      <c r="S64" s="28"/>
      <c r="T64" s="28"/>
      <c r="U64" s="28"/>
      <c r="V64" s="28"/>
      <c r="W64" s="28"/>
      <c r="X64" s="28"/>
      <c r="Y64" s="28"/>
      <c r="Z64" s="28"/>
      <c r="AA64" s="28"/>
      <c r="AB64" s="28"/>
      <c r="AC64" s="28"/>
      <c r="AE64" s="1"/>
      <c r="AT64" s="631" t="e">
        <f>VLOOKUP(1,E64:N147,2,FALSE)</f>
        <v>#N/A</v>
      </c>
      <c r="AU64" s="632" t="e">
        <f>VLOOKUP(2,#REF!,3,FALSE)</f>
        <v>#REF!</v>
      </c>
      <c r="AV64" s="632" t="e">
        <f>VLOOKUP(1,E64:N147,3,FALSE)</f>
        <v>#N/A</v>
      </c>
      <c r="AW64" s="632">
        <v>1</v>
      </c>
      <c r="AX64" s="632">
        <v>1</v>
      </c>
      <c r="AY64" s="632"/>
      <c r="AZ64" s="632"/>
      <c r="BA64" s="632" t="e">
        <f>VLOOKUP(1,E64:N147,8,FALSE)</f>
        <v>#N/A</v>
      </c>
    </row>
    <row r="65" spans="3:57" ht="17.25" thickTop="1" thickBot="1">
      <c r="C65">
        <f t="shared" ref="C65:C96" si="25">IF(I65&gt;0, C64+1,C64)</f>
        <v>0</v>
      </c>
      <c r="D65">
        <f t="shared" ref="D65:D128" si="26">$B$18</f>
        <v>0</v>
      </c>
      <c r="E65">
        <f t="shared" si="24"/>
        <v>0</v>
      </c>
      <c r="G65" s="1091"/>
      <c r="H65" s="1063">
        <f t="shared" ref="H65:H75" si="27">IF(J65&gt;0,H64,0)</f>
        <v>0</v>
      </c>
      <c r="I65" s="1064">
        <f>IF(H65=C11, ((VLOOKUP(C11,'ورقة أجازة وعدم الأجازة للمختصن'!E12:F23,2,FALSE)) /J64),0)</f>
        <v>0</v>
      </c>
      <c r="J65" s="1071">
        <f t="shared" ref="J65:J75" si="28">J64-1</f>
        <v>0</v>
      </c>
      <c r="K65" s="971"/>
      <c r="L65" s="971"/>
      <c r="M65" s="971"/>
      <c r="N65" s="1092"/>
      <c r="O65" s="28"/>
      <c r="P65" s="28"/>
      <c r="Q65" s="28"/>
      <c r="R65" s="28"/>
      <c r="S65" s="28"/>
      <c r="T65" s="28"/>
      <c r="U65" s="28"/>
      <c r="V65" s="28"/>
      <c r="W65" s="28"/>
      <c r="X65" s="28"/>
      <c r="Y65" s="28"/>
      <c r="Z65" s="28"/>
      <c r="AA65" s="28"/>
      <c r="AB65" s="28"/>
      <c r="AC65" s="28"/>
      <c r="AE65" s="1"/>
      <c r="AT65" s="631" t="e">
        <f>VLOOKUP(2,E64:N147,2,FALSE)</f>
        <v>#N/A</v>
      </c>
      <c r="AU65" s="632" t="e">
        <f>VLOOKUP(2,#REF!,3,FALSE)</f>
        <v>#REF!</v>
      </c>
      <c r="AV65" s="632" t="e">
        <f>VLOOKUP(2,E64:N147,3,FALSE)</f>
        <v>#N/A</v>
      </c>
      <c r="AW65" s="632"/>
      <c r="AX65" s="632"/>
      <c r="AY65" s="632"/>
      <c r="AZ65" s="632"/>
      <c r="BA65" s="632" t="e">
        <f t="shared" ref="BA65:BA117" si="29">VLOOKUP(1,E65:N148,8,FALSE)</f>
        <v>#N/A</v>
      </c>
    </row>
    <row r="66" spans="3:57" ht="20.25" thickTop="1" thickBot="1">
      <c r="C66">
        <f t="shared" si="25"/>
        <v>0</v>
      </c>
      <c r="D66">
        <f t="shared" si="26"/>
        <v>0</v>
      </c>
      <c r="E66">
        <f t="shared" si="24"/>
        <v>0</v>
      </c>
      <c r="G66" s="1089"/>
      <c r="H66" s="1061">
        <f t="shared" si="27"/>
        <v>0</v>
      </c>
      <c r="I66" s="1062">
        <f>IF(H66=C11, ((VLOOKUP(C11,'ورقة أجازة وعدم الأجازة للمختصن'!E12:F23,2,FALSE))/ J64),0)</f>
        <v>0</v>
      </c>
      <c r="J66" s="1071">
        <f t="shared" si="28"/>
        <v>-1</v>
      </c>
      <c r="K66" s="970"/>
      <c r="L66" s="970"/>
      <c r="M66" s="970"/>
      <c r="N66" s="1090"/>
      <c r="O66" s="28"/>
      <c r="P66" s="28"/>
      <c r="Q66" s="28"/>
      <c r="R66" s="28"/>
      <c r="S66" s="28"/>
      <c r="T66" s="28"/>
      <c r="U66" s="28"/>
      <c r="V66" s="28"/>
      <c r="W66" s="28"/>
      <c r="X66" s="28"/>
      <c r="Y66" s="28"/>
      <c r="Z66" s="28"/>
      <c r="AA66" s="28"/>
      <c r="AB66" s="28"/>
      <c r="AC66" s="28"/>
      <c r="AE66" s="1"/>
      <c r="AT66" s="631" t="e">
        <f>VLOOKUP(3,E64:N147,2,FALSE)</f>
        <v>#N/A</v>
      </c>
      <c r="AU66" s="632" t="e">
        <f>VLOOKUP(2,#REF!,3,FALSE)</f>
        <v>#REF!</v>
      </c>
      <c r="AV66" s="632" t="e">
        <f>VLOOKUP(3,E64:N147,3,FALSE)</f>
        <v>#N/A</v>
      </c>
      <c r="AW66" s="632"/>
      <c r="AX66" s="632"/>
      <c r="AY66" s="632"/>
      <c r="AZ66" s="632"/>
      <c r="BA66" s="632" t="e">
        <f t="shared" si="29"/>
        <v>#N/A</v>
      </c>
      <c r="BB66" s="1041" t="str">
        <f>'حساب التركة والوصايا'!R2</f>
        <v>حصص الورثة مع الوصايا</v>
      </c>
      <c r="BC66" s="1262">
        <f>'حساب التركة والوصايا'!S2</f>
        <v>0</v>
      </c>
      <c r="BD66" s="1263"/>
    </row>
    <row r="67" spans="3:57" ht="17.25" customHeight="1" thickTop="1" thickBot="1">
      <c r="C67">
        <f t="shared" si="25"/>
        <v>0</v>
      </c>
      <c r="D67">
        <f t="shared" si="26"/>
        <v>0</v>
      </c>
      <c r="E67">
        <f t="shared" si="24"/>
        <v>0</v>
      </c>
      <c r="G67" s="1091"/>
      <c r="H67" s="1063">
        <f t="shared" si="27"/>
        <v>0</v>
      </c>
      <c r="I67" s="1064">
        <f>IF(H67=C11, ((VLOOKUP( C11,'ورقة أجازة وعدم الأجازة للمختصن'!E12:F23,2,FALSE))/ J64),0)</f>
        <v>0</v>
      </c>
      <c r="J67" s="1071">
        <f t="shared" si="28"/>
        <v>-2</v>
      </c>
      <c r="K67" s="971"/>
      <c r="L67" s="971"/>
      <c r="M67" s="971"/>
      <c r="N67" s="1092"/>
      <c r="O67" s="28"/>
      <c r="P67" s="28"/>
      <c r="Q67" s="28"/>
      <c r="R67" s="28"/>
      <c r="S67" s="28"/>
      <c r="T67" s="28"/>
      <c r="U67" s="28"/>
      <c r="V67" s="28"/>
      <c r="W67" s="28"/>
      <c r="X67" s="28"/>
      <c r="Y67" s="28"/>
      <c r="Z67" s="28"/>
      <c r="AA67" s="28"/>
      <c r="AB67" s="28"/>
      <c r="AC67" s="28"/>
      <c r="AE67" s="1"/>
      <c r="AT67" s="631" t="e">
        <f>VLOOKUP(4,E64:N147,2,FALSE)</f>
        <v>#N/A</v>
      </c>
      <c r="AU67" s="632" t="e">
        <f>VLOOKUP(2,#REF!,3,FALSE)</f>
        <v>#REF!</v>
      </c>
      <c r="AV67" s="632" t="e">
        <f>VLOOKUP(4,E64:N147,3,FALSE)</f>
        <v>#N/A</v>
      </c>
      <c r="AW67" s="632"/>
      <c r="AX67" s="632">
        <v>1</v>
      </c>
      <c r="AY67" s="632"/>
      <c r="AZ67" s="632"/>
      <c r="BA67" s="632" t="e">
        <f t="shared" si="29"/>
        <v>#N/A</v>
      </c>
    </row>
    <row r="68" spans="3:57" ht="17.25" customHeight="1" thickTop="1" thickBot="1">
      <c r="C68">
        <f t="shared" si="25"/>
        <v>0</v>
      </c>
      <c r="D68">
        <f t="shared" si="26"/>
        <v>0</v>
      </c>
      <c r="E68">
        <f t="shared" si="24"/>
        <v>0</v>
      </c>
      <c r="G68" s="1089"/>
      <c r="H68" s="1061">
        <f t="shared" si="27"/>
        <v>0</v>
      </c>
      <c r="I68" s="1062">
        <f>IF(H68=C11, ((VLOOKUP( C11,'ورقة أجازة وعدم الأجازة للمختصن'!E12:F23,2,FALSE))/  J64),0)</f>
        <v>0</v>
      </c>
      <c r="J68" s="1071">
        <f t="shared" si="28"/>
        <v>-3</v>
      </c>
      <c r="K68" s="970"/>
      <c r="L68" s="970"/>
      <c r="M68" s="970"/>
      <c r="N68" s="1090"/>
      <c r="O68" s="28"/>
      <c r="P68" s="28"/>
      <c r="Q68" s="28"/>
      <c r="R68" s="28"/>
      <c r="S68" s="28"/>
      <c r="T68" s="28"/>
      <c r="U68" s="28"/>
      <c r="V68" s="28"/>
      <c r="W68" s="28"/>
      <c r="X68" s="28"/>
      <c r="Y68" s="28"/>
      <c r="Z68" s="28"/>
      <c r="AA68" s="28"/>
      <c r="AB68" s="28"/>
      <c r="AC68" s="28"/>
      <c r="AE68" s="1"/>
      <c r="AT68" s="631" t="e">
        <f>VLOOKUP(5,E64:N147,2,FALSE)</f>
        <v>#N/A</v>
      </c>
      <c r="AU68" s="632" t="e">
        <f>VLOOKUP(2,#REF!,3,FALSE)</f>
        <v>#REF!</v>
      </c>
      <c r="AV68" s="632" t="e">
        <f>VLOOKUP(5,E64:N147,3,FALSE)</f>
        <v>#N/A</v>
      </c>
      <c r="AW68" s="632"/>
      <c r="AX68" s="632"/>
      <c r="AY68" s="632"/>
      <c r="AZ68" s="632"/>
      <c r="BA68" s="632" t="e">
        <f t="shared" si="29"/>
        <v>#N/A</v>
      </c>
    </row>
    <row r="69" spans="3:57" ht="17.25" thickTop="1" thickBot="1">
      <c r="C69">
        <f t="shared" si="25"/>
        <v>0</v>
      </c>
      <c r="D69">
        <f t="shared" si="26"/>
        <v>0</v>
      </c>
      <c r="E69">
        <f t="shared" si="24"/>
        <v>0</v>
      </c>
      <c r="G69" s="1091"/>
      <c r="H69" s="1063">
        <f t="shared" si="27"/>
        <v>0</v>
      </c>
      <c r="I69" s="1064">
        <f>IF(H69=C11, ((VLOOKUP( C11,'ورقة أجازة وعدم الأجازة للمختصن'!E12:F23,2,FALSE))/ J64),0)</f>
        <v>0</v>
      </c>
      <c r="J69" s="1071">
        <f t="shared" si="28"/>
        <v>-4</v>
      </c>
      <c r="K69" s="971"/>
      <c r="L69" s="971"/>
      <c r="M69" s="971"/>
      <c r="N69" s="1092"/>
      <c r="O69" s="28"/>
      <c r="P69" s="28"/>
      <c r="Q69" s="28"/>
      <c r="R69" s="28"/>
      <c r="S69" s="28"/>
      <c r="T69" s="28"/>
      <c r="U69" s="28"/>
      <c r="V69" s="28"/>
      <c r="W69" s="28"/>
      <c r="X69" s="28"/>
      <c r="Y69" s="28"/>
      <c r="Z69" s="28"/>
      <c r="AA69" s="28"/>
      <c r="AB69" s="28"/>
      <c r="AC69" s="28"/>
      <c r="AE69" s="1"/>
      <c r="AT69" s="631" t="e">
        <f>VLOOKUP(6,E64:N147,2,FALSE)</f>
        <v>#N/A</v>
      </c>
      <c r="AU69" s="632" t="e">
        <f>VLOOKUP(2,#REF!,3,FALSE)</f>
        <v>#REF!</v>
      </c>
      <c r="AV69" s="632" t="e">
        <f>VLOOKUP(6,E64:N147,3,FALSE)</f>
        <v>#N/A</v>
      </c>
      <c r="AW69" s="632"/>
      <c r="AX69" s="632"/>
      <c r="AY69" s="632">
        <v>1</v>
      </c>
      <c r="AZ69" s="632"/>
      <c r="BA69" s="632" t="e">
        <f t="shared" si="29"/>
        <v>#N/A</v>
      </c>
    </row>
    <row r="70" spans="3:57" ht="17.25" customHeight="1" thickTop="1" thickBot="1">
      <c r="C70">
        <f t="shared" si="25"/>
        <v>0</v>
      </c>
      <c r="D70">
        <f t="shared" si="26"/>
        <v>0</v>
      </c>
      <c r="E70">
        <f t="shared" si="24"/>
        <v>0</v>
      </c>
      <c r="G70" s="1089"/>
      <c r="H70" s="1061">
        <f t="shared" si="27"/>
        <v>0</v>
      </c>
      <c r="I70" s="1062">
        <f>IF(H70=C11, ((VLOOKUP(C11,'ورقة أجازة وعدم الأجازة للمختصن'!E12:F23,2,FALSE))/ J64),0)</f>
        <v>0</v>
      </c>
      <c r="J70" s="1071">
        <f t="shared" si="28"/>
        <v>-5</v>
      </c>
      <c r="K70" s="970"/>
      <c r="L70" s="970"/>
      <c r="M70" s="970"/>
      <c r="N70" s="1090"/>
      <c r="O70" s="28"/>
      <c r="P70" s="28"/>
      <c r="Q70" s="28"/>
      <c r="R70" s="28"/>
      <c r="S70" s="28"/>
      <c r="T70" s="28"/>
      <c r="U70" s="28"/>
      <c r="V70" s="28"/>
      <c r="W70" s="28"/>
      <c r="X70" s="28"/>
      <c r="Y70" s="28"/>
      <c r="Z70" s="28"/>
      <c r="AA70" s="28"/>
      <c r="AB70" s="28"/>
      <c r="AC70" s="28"/>
      <c r="AE70" s="1"/>
      <c r="AT70" s="631" t="e">
        <f>VLOOKUP(7,E64:N147,2,FALSE)</f>
        <v>#N/A</v>
      </c>
      <c r="AU70" s="632" t="e">
        <f>VLOOKUP(2,#REF!,3,FALSE)</f>
        <v>#REF!</v>
      </c>
      <c r="AV70" s="632" t="e">
        <f>VLOOKUP(7,E64:N147,3,FALSE)</f>
        <v>#N/A</v>
      </c>
      <c r="AW70" s="632"/>
      <c r="AX70" s="632"/>
      <c r="AY70" s="632"/>
      <c r="AZ70" s="632"/>
      <c r="BA70" s="632" t="e">
        <f t="shared" si="29"/>
        <v>#N/A</v>
      </c>
      <c r="BD70" s="1210" t="str">
        <f>'أدخال  البيانات'!$D$1</f>
        <v>ضع الفريضة من فضلك</v>
      </c>
      <c r="BE70" s="1210"/>
    </row>
    <row r="71" spans="3:57" ht="17.25" customHeight="1" thickTop="1" thickBot="1">
      <c r="C71">
        <f t="shared" si="25"/>
        <v>0</v>
      </c>
      <c r="D71">
        <f t="shared" si="26"/>
        <v>0</v>
      </c>
      <c r="E71">
        <f t="shared" si="24"/>
        <v>0</v>
      </c>
      <c r="G71" s="1091"/>
      <c r="H71" s="1063">
        <f t="shared" si="27"/>
        <v>0</v>
      </c>
      <c r="I71" s="1064">
        <f>IF(H71=C11, ((VLOOKUP( C11,'ورقة أجازة وعدم الأجازة للمختصن'!E12:F23,2,FALSE))/ J64),0)</f>
        <v>0</v>
      </c>
      <c r="J71" s="1071">
        <f t="shared" si="28"/>
        <v>-6</v>
      </c>
      <c r="K71" s="971"/>
      <c r="L71" s="971"/>
      <c r="M71" s="971"/>
      <c r="N71" s="1092"/>
      <c r="O71" s="28"/>
      <c r="P71" s="28"/>
      <c r="Q71" s="28"/>
      <c r="R71" s="28"/>
      <c r="S71" s="28"/>
      <c r="T71" s="28"/>
      <c r="U71" s="28"/>
      <c r="V71" s="28"/>
      <c r="W71" s="28"/>
      <c r="X71" s="28"/>
      <c r="Y71" s="28"/>
      <c r="Z71" s="28"/>
      <c r="AA71" s="28"/>
      <c r="AB71" s="28"/>
      <c r="AC71" s="28"/>
      <c r="AE71" s="1"/>
      <c r="AT71" s="631" t="e">
        <f>VLOOKUP(8,E64:N147,2,FALSE)</f>
        <v>#N/A</v>
      </c>
      <c r="AU71" s="632" t="e">
        <f>VLOOKUP(2,#REF!,3,FALSE)</f>
        <v>#REF!</v>
      </c>
      <c r="AV71" s="632" t="e">
        <f>VLOOKUP(8,E64:N147,3,FALSE)</f>
        <v>#N/A</v>
      </c>
      <c r="AW71" s="632"/>
      <c r="AX71" s="632"/>
      <c r="AY71" s="632"/>
      <c r="AZ71" s="632">
        <v>1</v>
      </c>
      <c r="BA71" s="632" t="e">
        <f t="shared" si="29"/>
        <v>#N/A</v>
      </c>
      <c r="BD71" s="1210"/>
      <c r="BE71" s="1210"/>
    </row>
    <row r="72" spans="3:57" ht="17.25" thickTop="1" thickBot="1">
      <c r="C72">
        <f t="shared" si="25"/>
        <v>0</v>
      </c>
      <c r="D72">
        <f t="shared" si="26"/>
        <v>0</v>
      </c>
      <c r="E72">
        <f t="shared" si="24"/>
        <v>0</v>
      </c>
      <c r="G72" s="1089"/>
      <c r="H72" s="1061">
        <f t="shared" si="27"/>
        <v>0</v>
      </c>
      <c r="I72" s="1062">
        <f>IF(H72=C11, ((VLOOKUP( C11,'ورقة أجازة وعدم الأجازة للمختصن'!E12:F23,2,FALSE))/ J64),0)</f>
        <v>0</v>
      </c>
      <c r="J72" s="1071">
        <f t="shared" si="28"/>
        <v>-7</v>
      </c>
      <c r="K72" s="970"/>
      <c r="L72" s="970"/>
      <c r="M72" s="970"/>
      <c r="N72" s="1090"/>
      <c r="O72" s="28"/>
      <c r="P72" s="28"/>
      <c r="Q72" s="28"/>
      <c r="R72" s="28"/>
      <c r="S72" s="28"/>
      <c r="T72" s="28"/>
      <c r="U72" s="28"/>
      <c r="V72" s="28"/>
      <c r="W72" s="28"/>
      <c r="X72" s="28"/>
      <c r="Y72" s="28"/>
      <c r="Z72" s="28"/>
      <c r="AA72" s="28"/>
      <c r="AB72" s="28"/>
      <c r="AC72" s="28"/>
      <c r="AE72" s="1"/>
      <c r="AT72" s="631" t="e">
        <f>VLOOKUP(9,E64:N147,2,FALSE)</f>
        <v>#N/A</v>
      </c>
      <c r="AU72" s="632" t="e">
        <f>VLOOKUP(2,#REF!,3,FALSE)</f>
        <v>#REF!</v>
      </c>
      <c r="AV72" s="632" t="e">
        <f>VLOOKUP(9,E64:N147,3,FALSE)</f>
        <v>#N/A</v>
      </c>
      <c r="AW72" s="632"/>
      <c r="AX72" s="632"/>
      <c r="AY72" s="632"/>
      <c r="AZ72" s="632"/>
      <c r="BA72" s="632" t="e">
        <f t="shared" si="29"/>
        <v>#N/A</v>
      </c>
    </row>
    <row r="73" spans="3:57" ht="17.25" customHeight="1" thickTop="1" thickBot="1">
      <c r="C73">
        <f t="shared" si="25"/>
        <v>0</v>
      </c>
      <c r="D73">
        <f t="shared" si="26"/>
        <v>0</v>
      </c>
      <c r="E73">
        <f t="shared" si="24"/>
        <v>0</v>
      </c>
      <c r="G73" s="1091"/>
      <c r="H73" s="1063">
        <f t="shared" si="27"/>
        <v>0</v>
      </c>
      <c r="I73" s="1064">
        <f>IF(H73=C11, ((VLOOKUP( C11,'ورقة أجازة وعدم الأجازة للمختصن'!E12:F23,2,FALSE))/ J64),0)</f>
        <v>0</v>
      </c>
      <c r="J73" s="1071">
        <f t="shared" si="28"/>
        <v>-8</v>
      </c>
      <c r="K73" s="971"/>
      <c r="L73" s="971"/>
      <c r="M73" s="971"/>
      <c r="N73" s="1092"/>
      <c r="O73" s="28"/>
      <c r="P73" s="28"/>
      <c r="Q73" s="28"/>
      <c r="R73" s="28"/>
      <c r="S73" s="28"/>
      <c r="T73" s="28"/>
      <c r="U73" s="28"/>
      <c r="V73" s="28"/>
      <c r="W73" s="28"/>
      <c r="X73" s="28"/>
      <c r="Y73" s="28"/>
      <c r="Z73" s="28"/>
      <c r="AA73" s="28"/>
      <c r="AB73" s="28"/>
      <c r="AC73" s="28"/>
      <c r="AE73" s="1"/>
      <c r="AT73" s="631" t="e">
        <f>VLOOKUP(10,E64:N147,2,FALSE)</f>
        <v>#N/A</v>
      </c>
      <c r="AU73" s="632" t="e">
        <f>VLOOKUP(2,#REF!,3,FALSE)</f>
        <v>#REF!</v>
      </c>
      <c r="AV73" s="632" t="e">
        <f>VLOOKUP(10,E64:N147,3,FALSE)</f>
        <v>#N/A</v>
      </c>
      <c r="AW73" s="632"/>
      <c r="AX73" s="632"/>
      <c r="AY73" s="632"/>
      <c r="AZ73" s="632"/>
      <c r="BA73" s="632" t="e">
        <f t="shared" si="29"/>
        <v>#N/A</v>
      </c>
      <c r="BD73" s="1319" t="s">
        <v>114</v>
      </c>
      <c r="BE73" s="1319"/>
    </row>
    <row r="74" spans="3:57" ht="17.25" customHeight="1" thickTop="1" thickBot="1">
      <c r="C74">
        <f t="shared" si="25"/>
        <v>0</v>
      </c>
      <c r="D74">
        <f t="shared" si="26"/>
        <v>0</v>
      </c>
      <c r="E74">
        <f t="shared" si="24"/>
        <v>0</v>
      </c>
      <c r="G74" s="1089"/>
      <c r="H74" s="1061">
        <f t="shared" si="27"/>
        <v>0</v>
      </c>
      <c r="I74" s="1062">
        <f>IF(H74=C11, ((VLOOKUP( C11,'ورقة أجازة وعدم الأجازة للمختصن'!E12:F23,2,FALSE))/ J64),0)</f>
        <v>0</v>
      </c>
      <c r="J74" s="1071">
        <f t="shared" si="28"/>
        <v>-9</v>
      </c>
      <c r="K74" s="970"/>
      <c r="L74" s="970"/>
      <c r="M74" s="970"/>
      <c r="N74" s="1090"/>
      <c r="O74" s="28"/>
      <c r="P74" s="28"/>
      <c r="Q74" s="28"/>
      <c r="R74" s="28"/>
      <c r="S74" s="28"/>
      <c r="T74" s="28"/>
      <c r="U74" s="28"/>
      <c r="V74" s="28"/>
      <c r="W74" s="28"/>
      <c r="X74" s="28"/>
      <c r="Y74" s="28"/>
      <c r="Z74" s="28"/>
      <c r="AA74" s="28"/>
      <c r="AB74" s="28"/>
      <c r="AC74" s="28"/>
      <c r="AE74" s="1"/>
      <c r="AT74" s="631" t="e">
        <f>VLOOKUP(11,E64:N147,2,FALSE)</f>
        <v>#N/A</v>
      </c>
      <c r="AU74" s="632" t="e">
        <f>VLOOKUP(2,#REF!,3,FALSE)</f>
        <v>#REF!</v>
      </c>
      <c r="AV74" s="632" t="e">
        <f>VLOOKUP(11,E64:N147,3,FALSE)</f>
        <v>#N/A</v>
      </c>
      <c r="AW74" s="632"/>
      <c r="AX74" s="632"/>
      <c r="AY74" s="632">
        <v>1</v>
      </c>
      <c r="AZ74" s="632"/>
      <c r="BA74" s="632" t="e">
        <f t="shared" si="29"/>
        <v>#N/A</v>
      </c>
      <c r="BD74" s="1319"/>
      <c r="BE74" s="1319"/>
    </row>
    <row r="75" spans="3:57" ht="17.25" thickTop="1" thickBot="1">
      <c r="C75">
        <f t="shared" si="25"/>
        <v>0</v>
      </c>
      <c r="D75">
        <f t="shared" si="26"/>
        <v>0</v>
      </c>
      <c r="E75">
        <f t="shared" si="24"/>
        <v>0</v>
      </c>
      <c r="G75" s="1091"/>
      <c r="H75" s="1063">
        <f t="shared" si="27"/>
        <v>0</v>
      </c>
      <c r="I75" s="1064">
        <f>IF(H75=C11, ((VLOOKUP( C11,'ورقة أجازة وعدم الأجازة للمختصن'!E12:F23,2,FALSE))/ J64),0)</f>
        <v>0</v>
      </c>
      <c r="J75" s="1072">
        <f t="shared" si="28"/>
        <v>-10</v>
      </c>
      <c r="K75" s="971"/>
      <c r="L75" s="971"/>
      <c r="M75" s="971"/>
      <c r="N75" s="1092"/>
      <c r="O75" s="28"/>
      <c r="P75" s="28"/>
      <c r="Q75" s="28"/>
      <c r="R75" s="28"/>
      <c r="S75" s="28"/>
      <c r="T75" s="28"/>
      <c r="U75" s="28"/>
      <c r="V75" s="28"/>
      <c r="W75" s="28"/>
      <c r="X75" s="28"/>
      <c r="Y75" s="28"/>
      <c r="Z75" s="28"/>
      <c r="AA75" s="28"/>
      <c r="AB75" s="28"/>
      <c r="AC75" s="28"/>
      <c r="AE75" s="1"/>
      <c r="AT75" s="631" t="e">
        <f>VLOOKUP(12,E64:N147,2,FALSE)</f>
        <v>#N/A</v>
      </c>
      <c r="AU75" s="632" t="e">
        <f>VLOOKUP(2,#REF!,3,FALSE)</f>
        <v>#REF!</v>
      </c>
      <c r="AV75" s="632" t="e">
        <f>VLOOKUP(12,E64:N147,3,FALSE)</f>
        <v>#N/A</v>
      </c>
      <c r="AW75" s="632"/>
      <c r="AX75" s="632">
        <v>1</v>
      </c>
      <c r="AY75" s="632"/>
      <c r="AZ75" s="632"/>
      <c r="BA75" s="632" t="e">
        <f t="shared" si="29"/>
        <v>#N/A</v>
      </c>
    </row>
    <row r="76" spans="3:57" ht="17.25" thickTop="1" thickBot="1">
      <c r="C76">
        <f t="shared" si="25"/>
        <v>0</v>
      </c>
      <c r="D76">
        <f t="shared" si="26"/>
        <v>0</v>
      </c>
      <c r="E76">
        <f t="shared" si="24"/>
        <v>0</v>
      </c>
      <c r="G76" s="1089"/>
      <c r="H76" s="1061">
        <f>IFERROR( ('ورقة أجازة وعدم الأجازة للمختصن'!F32),0)</f>
        <v>0</v>
      </c>
      <c r="I76" s="1062">
        <f>(VLOOKUP('(2) '!C11,'ورقة أجازة وعدم الأجازة للمختصن'!E12:F23,2,FALSE))/ J76</f>
        <v>0</v>
      </c>
      <c r="J76" s="1073">
        <f>(VLOOKUP('(2) '!C11,'ورقة أجازة وعدم الأجازة للمختصن'!E12:G23,3,FALSE))+IF('(2) '!D10=0,1,0)</f>
        <v>1</v>
      </c>
      <c r="K76" s="971"/>
      <c r="L76" s="971"/>
      <c r="M76" s="971"/>
      <c r="N76" s="1092"/>
      <c r="O76" s="28"/>
      <c r="P76" s="28"/>
      <c r="Q76" s="28"/>
      <c r="R76" s="28"/>
      <c r="S76" s="28"/>
      <c r="T76" s="28"/>
      <c r="U76" s="28"/>
      <c r="V76" s="28"/>
      <c r="W76" s="28"/>
      <c r="X76" s="28"/>
      <c r="Y76" s="28"/>
      <c r="Z76" s="28"/>
      <c r="AA76" s="28"/>
      <c r="AB76" s="28"/>
      <c r="AC76" s="28"/>
      <c r="AE76" s="1"/>
      <c r="AT76" s="631" t="e">
        <f>VLOOKUP(13,E64:N147,2,FALSE)</f>
        <v>#N/A</v>
      </c>
      <c r="AU76" s="632" t="e">
        <f>VLOOKUP(2,#REF!,3,FALSE)</f>
        <v>#REF!</v>
      </c>
      <c r="AV76" s="632" t="e">
        <f>VLOOKUP(13,E64:N147,3,FALSE)</f>
        <v>#N/A</v>
      </c>
      <c r="AW76" s="632" t="e">
        <f t="shared" ref="AW76:AW107" si="30">VLOOKUP(1,E76:N159,4,FALSE)</f>
        <v>#N/A</v>
      </c>
      <c r="AX76" s="632" t="e">
        <f t="shared" ref="AX76:AX107" si="31">VLOOKUP(1,E76:N159,5,FALSE)</f>
        <v>#N/A</v>
      </c>
      <c r="AY76" s="632" t="e">
        <f t="shared" ref="AY76:AY107" si="32">VLOOKUP(1,E76:N159,6,FALSE)</f>
        <v>#N/A</v>
      </c>
      <c r="AZ76" s="632" t="e">
        <f t="shared" ref="AZ76:AZ107" si="33">VLOOKUP(1,E76:N159,7,FALSE)</f>
        <v>#N/A</v>
      </c>
      <c r="BA76" s="632" t="e">
        <f t="shared" si="29"/>
        <v>#N/A</v>
      </c>
    </row>
    <row r="77" spans="3:57" ht="17.25" thickTop="1" thickBot="1">
      <c r="C77">
        <f t="shared" si="25"/>
        <v>0</v>
      </c>
      <c r="D77">
        <f t="shared" si="26"/>
        <v>0</v>
      </c>
      <c r="E77">
        <f t="shared" si="24"/>
        <v>0</v>
      </c>
      <c r="G77" s="1091"/>
      <c r="H77" s="1063">
        <f t="shared" ref="H77:H87" si="34">IF(J77&gt;0,H76,0)</f>
        <v>0</v>
      </c>
      <c r="I77" s="1064">
        <f>IF(H77='(2) '!C11, ((VLOOKUP('(2) '!C11,'ورقة أجازة وعدم الأجازة للمختصن'!E12:F23,2,FALSE)) /J76),0)</f>
        <v>0</v>
      </c>
      <c r="J77" s="1074">
        <f t="shared" ref="J77:J87" si="35">J76-1</f>
        <v>0</v>
      </c>
      <c r="K77" s="970"/>
      <c r="L77" s="970"/>
      <c r="M77" s="970"/>
      <c r="N77" s="1090"/>
      <c r="O77" s="28"/>
      <c r="P77" s="28"/>
      <c r="Q77" s="28"/>
      <c r="R77" s="28"/>
      <c r="S77" s="28"/>
      <c r="T77" s="28"/>
      <c r="U77" s="28"/>
      <c r="V77" s="28"/>
      <c r="W77" s="28"/>
      <c r="X77" s="28"/>
      <c r="Y77" s="28"/>
      <c r="Z77" s="28"/>
      <c r="AA77" s="28"/>
      <c r="AB77" s="28"/>
      <c r="AC77" s="28"/>
      <c r="AE77" s="1"/>
      <c r="AT77" s="631" t="e">
        <f>VLOOKUP(14,E64:N147,2,FALSE)</f>
        <v>#N/A</v>
      </c>
      <c r="AU77" s="632" t="e">
        <f>VLOOKUP(2,#REF!,3,FALSE)</f>
        <v>#REF!</v>
      </c>
      <c r="AV77" s="632" t="e">
        <f>VLOOKUP(14,E64:N147,3,FALSE)</f>
        <v>#N/A</v>
      </c>
      <c r="AW77" s="632" t="e">
        <f t="shared" si="30"/>
        <v>#N/A</v>
      </c>
      <c r="AX77" s="632" t="e">
        <f t="shared" si="31"/>
        <v>#N/A</v>
      </c>
      <c r="AY77" s="632" t="e">
        <f t="shared" si="32"/>
        <v>#N/A</v>
      </c>
      <c r="AZ77" s="632" t="e">
        <f t="shared" si="33"/>
        <v>#N/A</v>
      </c>
      <c r="BA77" s="632" t="e">
        <f t="shared" si="29"/>
        <v>#N/A</v>
      </c>
      <c r="BB77" s="1129" t="str">
        <f>'أدخال  البيانات'!H18</f>
        <v>الموصى له الأول</v>
      </c>
      <c r="BC77">
        <f>'أدخال  البيانات'!I18</f>
        <v>0</v>
      </c>
      <c r="BD77" s="1217" t="str">
        <f>'أدخال  البيانات'!J18</f>
        <v>___</v>
      </c>
      <c r="BE77" s="1218">
        <f>'أدخال  البيانات'!K18</f>
        <v>0</v>
      </c>
    </row>
    <row r="78" spans="3:57" ht="22.5" customHeight="1" thickTop="1" thickBot="1">
      <c r="C78">
        <f t="shared" si="25"/>
        <v>0</v>
      </c>
      <c r="D78">
        <f t="shared" si="26"/>
        <v>0</v>
      </c>
      <c r="E78">
        <f t="shared" si="24"/>
        <v>0</v>
      </c>
      <c r="G78" s="1089"/>
      <c r="H78" s="1061">
        <f t="shared" si="34"/>
        <v>0</v>
      </c>
      <c r="I78" s="1062">
        <f>IF(H78='(2) '!C11, ((VLOOKUP('(2) '!C11,'ورقة أجازة وعدم الأجازة للمختصن'!E12:F23,2,FALSE))/ J76),0)</f>
        <v>0</v>
      </c>
      <c r="J78" s="1074">
        <f t="shared" si="35"/>
        <v>-1</v>
      </c>
      <c r="K78" s="971"/>
      <c r="L78" s="971"/>
      <c r="M78" s="971"/>
      <c r="N78" s="1092"/>
      <c r="O78" s="28"/>
      <c r="P78" s="28"/>
      <c r="Q78" s="28"/>
      <c r="R78" s="28"/>
      <c r="S78" s="28"/>
      <c r="T78" s="28"/>
      <c r="U78" s="28"/>
      <c r="V78" s="28"/>
      <c r="W78" s="28"/>
      <c r="X78" s="28"/>
      <c r="Y78" s="28"/>
      <c r="Z78" s="28"/>
      <c r="AA78" s="28"/>
      <c r="AB78" s="28"/>
      <c r="AC78" s="28"/>
      <c r="AE78" s="1"/>
      <c r="AT78" s="631" t="e">
        <f>VLOOKUP(15,E64:N147,2,FALSE)</f>
        <v>#N/A</v>
      </c>
      <c r="AU78" s="632" t="e">
        <f>VLOOKUP(2,#REF!,3,FALSE)</f>
        <v>#REF!</v>
      </c>
      <c r="AV78" s="632" t="e">
        <f>VLOOKUP(15,E64:N147,3,FALSE)</f>
        <v>#N/A</v>
      </c>
      <c r="AW78" s="632" t="e">
        <f t="shared" si="30"/>
        <v>#N/A</v>
      </c>
      <c r="AX78" s="632" t="e">
        <f t="shared" si="31"/>
        <v>#N/A</v>
      </c>
      <c r="AY78" s="632" t="e">
        <f t="shared" si="32"/>
        <v>#N/A</v>
      </c>
      <c r="AZ78" s="632" t="e">
        <f t="shared" si="33"/>
        <v>#N/A</v>
      </c>
      <c r="BA78" s="632" t="e">
        <f t="shared" si="29"/>
        <v>#N/A</v>
      </c>
      <c r="BB78" s="1129" t="str">
        <f>'أدخال  البيانات'!H19</f>
        <v>الموصى له االتانى</v>
      </c>
      <c r="BC78">
        <f>'أدخال  البيانات'!I19</f>
        <v>0</v>
      </c>
      <c r="BD78" s="1217" t="str">
        <f>'أدخال  البيانات'!J19</f>
        <v>___</v>
      </c>
      <c r="BE78" s="1218">
        <f>'أدخال  البيانات'!K19</f>
        <v>0</v>
      </c>
    </row>
    <row r="79" spans="3:57" ht="22.5" customHeight="1" thickTop="1" thickBot="1">
      <c r="C79">
        <f t="shared" si="25"/>
        <v>0</v>
      </c>
      <c r="D79">
        <f t="shared" si="26"/>
        <v>0</v>
      </c>
      <c r="E79">
        <f t="shared" si="24"/>
        <v>0</v>
      </c>
      <c r="G79" s="1091"/>
      <c r="H79" s="1063">
        <f t="shared" si="34"/>
        <v>0</v>
      </c>
      <c r="I79" s="1064">
        <f>IF(H79='(2) '!C11, ((VLOOKUP( '(2) '!C11,'ورقة أجازة وعدم الأجازة للمختصن'!E12:F23,2,FALSE))/ J76),0)</f>
        <v>0</v>
      </c>
      <c r="J79" s="1074">
        <f t="shared" si="35"/>
        <v>-2</v>
      </c>
      <c r="K79" s="970"/>
      <c r="L79" s="970"/>
      <c r="M79" s="970"/>
      <c r="N79" s="1090"/>
      <c r="O79" s="28"/>
      <c r="P79" s="28"/>
      <c r="Q79" s="28"/>
      <c r="R79" s="28"/>
      <c r="S79" s="28"/>
      <c r="T79" s="28"/>
      <c r="U79" s="28"/>
      <c r="V79" s="28"/>
      <c r="W79" s="28"/>
      <c r="X79" s="28"/>
      <c r="Y79" s="28"/>
      <c r="Z79" s="28"/>
      <c r="AA79" s="28"/>
      <c r="AB79" s="28"/>
      <c r="AC79" s="28"/>
      <c r="AE79" s="1"/>
      <c r="AT79" s="631" t="e">
        <f t="shared" ref="AT79:AT110" si="36">VLOOKUP(1,E79:N162,2,FALSE)</f>
        <v>#N/A</v>
      </c>
      <c r="AU79" s="632" t="e">
        <f>VLOOKUP(2,#REF!,3,FALSE)</f>
        <v>#REF!</v>
      </c>
      <c r="AV79" s="632" t="e">
        <f>VLOOKUP(1,E64:N147,3,FALSE)</f>
        <v>#N/A</v>
      </c>
      <c r="AW79" s="632" t="e">
        <f t="shared" si="30"/>
        <v>#N/A</v>
      </c>
      <c r="AX79" s="632" t="e">
        <f t="shared" si="31"/>
        <v>#N/A</v>
      </c>
      <c r="AY79" s="632" t="e">
        <f t="shared" si="32"/>
        <v>#N/A</v>
      </c>
      <c r="AZ79" s="632" t="e">
        <f t="shared" si="33"/>
        <v>#N/A</v>
      </c>
      <c r="BA79" s="632" t="e">
        <f t="shared" si="29"/>
        <v>#N/A</v>
      </c>
      <c r="BB79" s="1129" t="str">
        <f>'أدخال  البيانات'!H20</f>
        <v>الموصى له الثالث</v>
      </c>
      <c r="BC79">
        <f>'أدخال  البيانات'!I20</f>
        <v>0</v>
      </c>
      <c r="BD79" s="1217" t="str">
        <f>'أدخال  البيانات'!J20</f>
        <v>___</v>
      </c>
      <c r="BE79" s="1218">
        <f>'أدخال  البيانات'!K20</f>
        <v>0</v>
      </c>
    </row>
    <row r="80" spans="3:57" ht="22.5" customHeight="1" thickTop="1" thickBot="1">
      <c r="C80">
        <f t="shared" si="25"/>
        <v>0</v>
      </c>
      <c r="D80">
        <f t="shared" si="26"/>
        <v>0</v>
      </c>
      <c r="E80">
        <f t="shared" si="24"/>
        <v>0</v>
      </c>
      <c r="G80" s="1089"/>
      <c r="H80" s="1061">
        <f t="shared" si="34"/>
        <v>0</v>
      </c>
      <c r="I80" s="1062">
        <f>IF(H80='(2) '!C11, ((VLOOKUP( '(2) '!C11,'ورقة أجازة وعدم الأجازة للمختصن'!E12:F23,2,FALSE))/  J76),0)</f>
        <v>0</v>
      </c>
      <c r="J80" s="1074">
        <f t="shared" si="35"/>
        <v>-3</v>
      </c>
      <c r="K80" s="971"/>
      <c r="L80" s="971"/>
      <c r="M80" s="971"/>
      <c r="N80" s="1092"/>
      <c r="O80" s="28"/>
      <c r="P80" s="28"/>
      <c r="Q80" s="28"/>
      <c r="R80" s="28"/>
      <c r="S80" s="28"/>
      <c r="T80" s="28"/>
      <c r="U80" s="28"/>
      <c r="V80" s="28"/>
      <c r="W80" s="28"/>
      <c r="X80" s="28"/>
      <c r="Y80" s="28"/>
      <c r="Z80" s="28"/>
      <c r="AA80" s="28"/>
      <c r="AB80" s="28"/>
      <c r="AC80" s="28"/>
      <c r="AE80" s="1"/>
      <c r="AT80" s="631" t="e">
        <f t="shared" si="36"/>
        <v>#N/A</v>
      </c>
      <c r="AU80" s="632" t="e">
        <f>VLOOKUP(2,#REF!,3,FALSE)</f>
        <v>#REF!</v>
      </c>
      <c r="AV80" s="632" t="e">
        <f>VLOOKUP(1,E64:N147,3,FALSE)</f>
        <v>#N/A</v>
      </c>
      <c r="AW80" s="632" t="e">
        <f t="shared" si="30"/>
        <v>#N/A</v>
      </c>
      <c r="AX80" s="632" t="e">
        <f t="shared" si="31"/>
        <v>#N/A</v>
      </c>
      <c r="AY80" s="632" t="e">
        <f t="shared" si="32"/>
        <v>#N/A</v>
      </c>
      <c r="AZ80" s="632" t="e">
        <f t="shared" si="33"/>
        <v>#N/A</v>
      </c>
      <c r="BA80" s="632" t="e">
        <f t="shared" si="29"/>
        <v>#N/A</v>
      </c>
      <c r="BB80" s="1129" t="str">
        <f>'أدخال  البيانات'!H21</f>
        <v>الموصى له الرابع</v>
      </c>
      <c r="BC80">
        <f>'أدخال  البيانات'!I21</f>
        <v>0</v>
      </c>
      <c r="BD80" s="1217" t="str">
        <f>'أدخال  البيانات'!J21</f>
        <v>___</v>
      </c>
      <c r="BE80" s="1218">
        <f>'أدخال  البيانات'!K21</f>
        <v>0</v>
      </c>
    </row>
    <row r="81" spans="3:56" ht="17.25" thickTop="1" thickBot="1">
      <c r="C81">
        <f t="shared" si="25"/>
        <v>0</v>
      </c>
      <c r="D81">
        <f t="shared" si="26"/>
        <v>0</v>
      </c>
      <c r="E81">
        <f t="shared" si="24"/>
        <v>0</v>
      </c>
      <c r="G81" s="1091"/>
      <c r="H81" s="1063">
        <f t="shared" si="34"/>
        <v>0</v>
      </c>
      <c r="I81" s="1064">
        <f>IF(H81='(2) '!C11, ((VLOOKUP( '(2) '!C11,'ورقة أجازة وعدم الأجازة للمختصن'!E12:F23,2,FALSE))/ J76),0)</f>
        <v>0</v>
      </c>
      <c r="J81" s="1074">
        <f t="shared" si="35"/>
        <v>-4</v>
      </c>
      <c r="K81" s="970"/>
      <c r="L81" s="970"/>
      <c r="M81" s="970"/>
      <c r="N81" s="1090"/>
      <c r="O81" s="28"/>
      <c r="P81" s="28"/>
      <c r="Q81" s="28"/>
      <c r="R81" s="28"/>
      <c r="S81" s="28"/>
      <c r="T81" s="28"/>
      <c r="U81" s="28"/>
      <c r="V81" s="28"/>
      <c r="W81" s="28"/>
      <c r="X81" s="28"/>
      <c r="Y81" s="28"/>
      <c r="Z81" s="28"/>
      <c r="AA81" s="28"/>
      <c r="AB81" s="28"/>
      <c r="AC81" s="28"/>
      <c r="AE81" s="1"/>
      <c r="AT81" s="631" t="e">
        <f t="shared" si="36"/>
        <v>#N/A</v>
      </c>
      <c r="AU81" s="632" t="e">
        <f>VLOOKUP(2,#REF!,3,FALSE)</f>
        <v>#REF!</v>
      </c>
      <c r="AV81" s="632" t="e">
        <f>VLOOKUP(1,E64:N147,3,FALSE)</f>
        <v>#N/A</v>
      </c>
      <c r="AW81" s="632" t="e">
        <f t="shared" si="30"/>
        <v>#N/A</v>
      </c>
      <c r="AX81" s="632" t="e">
        <f t="shared" si="31"/>
        <v>#N/A</v>
      </c>
      <c r="AY81" s="632" t="e">
        <f t="shared" si="32"/>
        <v>#N/A</v>
      </c>
      <c r="AZ81" s="632" t="e">
        <f t="shared" si="33"/>
        <v>#N/A</v>
      </c>
      <c r="BA81" s="632" t="e">
        <f t="shared" si="29"/>
        <v>#N/A</v>
      </c>
    </row>
    <row r="82" spans="3:56" ht="17.25" thickTop="1" thickBot="1">
      <c r="C82">
        <f t="shared" si="25"/>
        <v>0</v>
      </c>
      <c r="D82">
        <f t="shared" si="26"/>
        <v>0</v>
      </c>
      <c r="E82">
        <f t="shared" si="24"/>
        <v>0</v>
      </c>
      <c r="G82" s="1089"/>
      <c r="H82" s="1061">
        <f t="shared" si="34"/>
        <v>0</v>
      </c>
      <c r="I82" s="1062">
        <f>IF(H82='(2) '!C11, ((VLOOKUP('(2) '!C11,'ورقة أجازة وعدم الأجازة للمختصن'!E12:F23,2,FALSE))/ J76),0)</f>
        <v>0</v>
      </c>
      <c r="J82" s="1074">
        <f t="shared" si="35"/>
        <v>-5</v>
      </c>
      <c r="K82" s="971"/>
      <c r="L82" s="971"/>
      <c r="M82" s="971"/>
      <c r="N82" s="1092"/>
      <c r="O82" s="28"/>
      <c r="P82" s="28"/>
      <c r="Q82" s="28"/>
      <c r="R82" s="28"/>
      <c r="S82" s="28"/>
      <c r="T82" s="28"/>
      <c r="U82" s="28"/>
      <c r="V82" s="28"/>
      <c r="W82" s="28"/>
      <c r="X82" s="28"/>
      <c r="Y82" s="28"/>
      <c r="Z82" s="28"/>
      <c r="AA82" s="28"/>
      <c r="AB82" s="28"/>
      <c r="AC82" s="28"/>
      <c r="AE82" s="1"/>
      <c r="AT82" s="631" t="e">
        <f t="shared" si="36"/>
        <v>#N/A</v>
      </c>
      <c r="AU82" s="632" t="e">
        <f>VLOOKUP(2,#REF!,3,FALSE)</f>
        <v>#REF!</v>
      </c>
      <c r="AV82" s="632" t="e">
        <f>VLOOKUP(1,E64:N147,3,FALSE)</f>
        <v>#N/A</v>
      </c>
      <c r="AW82" s="632" t="e">
        <f t="shared" si="30"/>
        <v>#N/A</v>
      </c>
      <c r="AX82" s="632" t="e">
        <f t="shared" si="31"/>
        <v>#N/A</v>
      </c>
      <c r="AY82" s="632" t="e">
        <f t="shared" si="32"/>
        <v>#N/A</v>
      </c>
      <c r="AZ82" s="632" t="e">
        <f t="shared" si="33"/>
        <v>#N/A</v>
      </c>
      <c r="BA82" s="632" t="e">
        <f t="shared" si="29"/>
        <v>#N/A</v>
      </c>
    </row>
    <row r="83" spans="3:56" ht="17.25" thickTop="1" thickBot="1">
      <c r="C83">
        <f t="shared" si="25"/>
        <v>0</v>
      </c>
      <c r="D83">
        <f t="shared" si="26"/>
        <v>0</v>
      </c>
      <c r="E83">
        <f t="shared" si="24"/>
        <v>0</v>
      </c>
      <c r="G83" s="1093"/>
      <c r="H83" s="1065">
        <f t="shared" si="34"/>
        <v>0</v>
      </c>
      <c r="I83" s="1066">
        <f>IF(H83='(2) '!C11, ((VLOOKUP( '(2) '!C11,'ورقة أجازة وعدم الأجازة للمختصن'!E12:F23,2,FALSE))/ J76),0)</f>
        <v>0</v>
      </c>
      <c r="J83" s="1074">
        <f t="shared" si="35"/>
        <v>-6</v>
      </c>
      <c r="K83" s="970"/>
      <c r="L83" s="970"/>
      <c r="M83" s="970"/>
      <c r="N83" s="1090"/>
      <c r="O83" s="28"/>
      <c r="P83" s="28"/>
      <c r="Q83" s="28"/>
      <c r="R83" s="28"/>
      <c r="S83" s="28"/>
      <c r="T83" s="28"/>
      <c r="U83" s="28"/>
      <c r="V83" s="28"/>
      <c r="W83" s="28"/>
      <c r="X83" s="28"/>
      <c r="Y83" s="28"/>
      <c r="Z83" s="28"/>
      <c r="AA83" s="28"/>
      <c r="AB83" s="28"/>
      <c r="AC83" s="28"/>
      <c r="AE83" s="1"/>
      <c r="AT83" s="631" t="e">
        <f t="shared" si="36"/>
        <v>#N/A</v>
      </c>
      <c r="AU83" s="632" t="e">
        <f>VLOOKUP(2,#REF!,3,FALSE)</f>
        <v>#REF!</v>
      </c>
      <c r="AV83" s="632" t="e">
        <f>VLOOKUP(1,E64:N147,3,FALSE)</f>
        <v>#N/A</v>
      </c>
      <c r="AW83" s="632" t="e">
        <f t="shared" si="30"/>
        <v>#N/A</v>
      </c>
      <c r="AX83" s="632" t="e">
        <f t="shared" si="31"/>
        <v>#N/A</v>
      </c>
      <c r="AY83" s="632" t="e">
        <f t="shared" si="32"/>
        <v>#N/A</v>
      </c>
      <c r="AZ83" s="632" t="e">
        <f t="shared" si="33"/>
        <v>#N/A</v>
      </c>
      <c r="BA83" s="632" t="e">
        <f t="shared" si="29"/>
        <v>#N/A</v>
      </c>
    </row>
    <row r="84" spans="3:56" ht="17.25" thickTop="1" thickBot="1">
      <c r="C84">
        <f t="shared" si="25"/>
        <v>0</v>
      </c>
      <c r="D84">
        <f t="shared" si="26"/>
        <v>0</v>
      </c>
      <c r="E84">
        <f t="shared" si="24"/>
        <v>0</v>
      </c>
      <c r="G84" s="1089"/>
      <c r="H84" s="1061">
        <f t="shared" si="34"/>
        <v>0</v>
      </c>
      <c r="I84" s="1062">
        <f>IF(H84='(2) '!C11, ((VLOOKUP( '(2) '!C11,'ورقة أجازة وعدم الأجازة للمختصن'!E12:F23,2,FALSE))/ J76),0)</f>
        <v>0</v>
      </c>
      <c r="J84" s="1074">
        <f t="shared" si="35"/>
        <v>-7</v>
      </c>
      <c r="K84" s="971"/>
      <c r="L84" s="971"/>
      <c r="M84" s="971"/>
      <c r="N84" s="1092"/>
      <c r="O84" s="28"/>
      <c r="P84" s="28"/>
      <c r="Q84" s="28"/>
      <c r="R84" s="28"/>
      <c r="S84" s="28"/>
      <c r="T84" s="28"/>
      <c r="U84" s="28"/>
      <c r="V84" s="28"/>
      <c r="W84" s="28"/>
      <c r="X84" s="28"/>
      <c r="Y84" s="28"/>
      <c r="Z84" s="28"/>
      <c r="AA84" s="28"/>
      <c r="AB84" s="28"/>
      <c r="AC84" s="28"/>
      <c r="AE84" s="1"/>
      <c r="AT84" s="631" t="e">
        <f t="shared" si="36"/>
        <v>#N/A</v>
      </c>
      <c r="AU84" s="632" t="e">
        <f>VLOOKUP(2,#REF!,3,FALSE)</f>
        <v>#REF!</v>
      </c>
      <c r="AV84" s="632" t="e">
        <f>VLOOKUP(1,E64:N147,3,FALSE)</f>
        <v>#N/A</v>
      </c>
      <c r="AW84" s="632" t="e">
        <f t="shared" si="30"/>
        <v>#N/A</v>
      </c>
      <c r="AX84" s="632" t="e">
        <f t="shared" si="31"/>
        <v>#N/A</v>
      </c>
      <c r="AY84" s="632" t="e">
        <f t="shared" si="32"/>
        <v>#N/A</v>
      </c>
      <c r="AZ84" s="632" t="e">
        <f t="shared" si="33"/>
        <v>#N/A</v>
      </c>
      <c r="BA84" s="632" t="e">
        <f t="shared" si="29"/>
        <v>#N/A</v>
      </c>
    </row>
    <row r="85" spans="3:56" ht="17.25" thickTop="1" thickBot="1">
      <c r="C85">
        <f t="shared" si="25"/>
        <v>0</v>
      </c>
      <c r="D85">
        <f t="shared" si="26"/>
        <v>0</v>
      </c>
      <c r="E85">
        <f t="shared" si="24"/>
        <v>0</v>
      </c>
      <c r="G85" s="1091"/>
      <c r="H85" s="1063">
        <f t="shared" si="34"/>
        <v>0</v>
      </c>
      <c r="I85" s="1064">
        <f>IF(H85='(2) '!C11, ((VLOOKUP( '(2) '!C11,'ورقة أجازة وعدم الأجازة للمختصن'!E12:F23,2,FALSE))/ J76),0)</f>
        <v>0</v>
      </c>
      <c r="J85" s="1074">
        <f t="shared" si="35"/>
        <v>-8</v>
      </c>
      <c r="K85" s="970"/>
      <c r="L85" s="970"/>
      <c r="M85" s="970"/>
      <c r="N85" s="1090"/>
      <c r="O85" s="28"/>
      <c r="P85" s="28"/>
      <c r="Q85" s="28"/>
      <c r="R85" s="28"/>
      <c r="S85" s="28"/>
      <c r="T85" s="28"/>
      <c r="U85" s="28"/>
      <c r="V85" s="28"/>
      <c r="W85" s="28"/>
      <c r="X85" s="28"/>
      <c r="Y85" s="28"/>
      <c r="Z85" s="28"/>
      <c r="AA85" s="28"/>
      <c r="AB85" s="28"/>
      <c r="AC85" s="28"/>
      <c r="AE85" s="1"/>
      <c r="AT85" s="631" t="e">
        <f t="shared" si="36"/>
        <v>#N/A</v>
      </c>
      <c r="AU85" s="632" t="e">
        <f>VLOOKUP(2,#REF!,3,FALSE)</f>
        <v>#REF!</v>
      </c>
      <c r="AV85" s="632" t="e">
        <f>VLOOKUP(1,E64:N147,3,FALSE)</f>
        <v>#N/A</v>
      </c>
      <c r="AW85" s="632" t="e">
        <f t="shared" si="30"/>
        <v>#N/A</v>
      </c>
      <c r="AX85" s="632" t="e">
        <f t="shared" si="31"/>
        <v>#N/A</v>
      </c>
      <c r="AY85" s="632" t="e">
        <f t="shared" si="32"/>
        <v>#N/A</v>
      </c>
      <c r="AZ85" s="632" t="e">
        <f t="shared" si="33"/>
        <v>#N/A</v>
      </c>
      <c r="BA85" s="632" t="e">
        <f t="shared" si="29"/>
        <v>#N/A</v>
      </c>
    </row>
    <row r="86" spans="3:56" ht="17.25" thickTop="1" thickBot="1">
      <c r="C86">
        <f t="shared" si="25"/>
        <v>0</v>
      </c>
      <c r="D86">
        <f t="shared" si="26"/>
        <v>0</v>
      </c>
      <c r="E86">
        <f t="shared" si="24"/>
        <v>0</v>
      </c>
      <c r="G86" s="1089"/>
      <c r="H86" s="1061">
        <f t="shared" si="34"/>
        <v>0</v>
      </c>
      <c r="I86" s="1062">
        <f>IF(H86='(2) '!C11, ((VLOOKUP( '(2) '!C11,'ورقة أجازة وعدم الأجازة للمختصن'!E12:F23,2,FALSE))/ J76),0)</f>
        <v>0</v>
      </c>
      <c r="J86" s="1074">
        <f t="shared" si="35"/>
        <v>-9</v>
      </c>
      <c r="K86" s="971"/>
      <c r="L86" s="971"/>
      <c r="M86" s="971"/>
      <c r="N86" s="1092"/>
      <c r="O86" s="28"/>
      <c r="P86" s="28"/>
      <c r="Q86" s="28"/>
      <c r="R86" s="28"/>
      <c r="S86" s="28"/>
      <c r="T86" s="28"/>
      <c r="U86" s="28"/>
      <c r="V86" s="28"/>
      <c r="W86" s="28"/>
      <c r="X86" s="28"/>
      <c r="Y86" s="28"/>
      <c r="Z86" s="28"/>
      <c r="AA86" s="28"/>
      <c r="AB86" s="28"/>
      <c r="AC86" s="28"/>
      <c r="AE86" s="1"/>
      <c r="AT86" s="631" t="e">
        <f t="shared" si="36"/>
        <v>#N/A</v>
      </c>
      <c r="AU86" s="632" t="e">
        <f>VLOOKUP(2,#REF!,3,FALSE)</f>
        <v>#REF!</v>
      </c>
      <c r="AV86" s="632" t="e">
        <f>VLOOKUP(1,E64:N147,3,FALSE)</f>
        <v>#N/A</v>
      </c>
      <c r="AW86" s="632" t="e">
        <f t="shared" si="30"/>
        <v>#N/A</v>
      </c>
      <c r="AX86" s="632" t="e">
        <f t="shared" si="31"/>
        <v>#N/A</v>
      </c>
      <c r="AY86" s="632" t="e">
        <f t="shared" si="32"/>
        <v>#N/A</v>
      </c>
      <c r="AZ86" s="632" t="e">
        <f t="shared" si="33"/>
        <v>#N/A</v>
      </c>
      <c r="BA86" s="632" t="e">
        <f t="shared" si="29"/>
        <v>#N/A</v>
      </c>
    </row>
    <row r="87" spans="3:56" ht="17.25" thickTop="1" thickBot="1">
      <c r="C87">
        <f t="shared" si="25"/>
        <v>0</v>
      </c>
      <c r="D87">
        <f t="shared" si="26"/>
        <v>0</v>
      </c>
      <c r="E87">
        <f t="shared" si="24"/>
        <v>0</v>
      </c>
      <c r="G87" s="1091"/>
      <c r="H87" s="1063">
        <f t="shared" si="34"/>
        <v>0</v>
      </c>
      <c r="I87" s="1064">
        <f>IF(H87='(2) '!C11, ((VLOOKUP( '(2) '!C11,'ورقة أجازة وعدم الأجازة للمختصن'!E12:F23,2,FALSE))/ J76),0)</f>
        <v>0</v>
      </c>
      <c r="J87" s="1075">
        <f t="shared" si="35"/>
        <v>-10</v>
      </c>
      <c r="K87" s="970"/>
      <c r="L87" s="970"/>
      <c r="M87" s="970"/>
      <c r="N87" s="1090"/>
      <c r="O87" s="28"/>
      <c r="P87" s="28"/>
      <c r="Q87" s="28"/>
      <c r="R87" s="28"/>
      <c r="S87" s="28"/>
      <c r="T87" s="28"/>
      <c r="U87" s="28"/>
      <c r="V87" s="28"/>
      <c r="W87" s="28"/>
      <c r="X87" s="28"/>
      <c r="Y87" s="28"/>
      <c r="Z87" s="28"/>
      <c r="AA87" s="28"/>
      <c r="AB87" s="28"/>
      <c r="AC87" s="28"/>
      <c r="AE87" s="1"/>
      <c r="AT87" s="631" t="e">
        <f t="shared" si="36"/>
        <v>#N/A</v>
      </c>
      <c r="AU87" s="632" t="e">
        <f>VLOOKUP(2,#REF!,3,FALSE)</f>
        <v>#REF!</v>
      </c>
      <c r="AV87" s="632" t="e">
        <f>VLOOKUP(1,E64:N147,3,FALSE)</f>
        <v>#N/A</v>
      </c>
      <c r="AW87" s="632" t="e">
        <f t="shared" si="30"/>
        <v>#N/A</v>
      </c>
      <c r="AX87" s="632" t="e">
        <f t="shared" si="31"/>
        <v>#N/A</v>
      </c>
      <c r="AY87" s="632" t="e">
        <f t="shared" si="32"/>
        <v>#N/A</v>
      </c>
      <c r="AZ87" s="632" t="e">
        <f t="shared" si="33"/>
        <v>#N/A</v>
      </c>
      <c r="BA87" s="632" t="e">
        <f t="shared" si="29"/>
        <v>#N/A</v>
      </c>
    </row>
    <row r="88" spans="3:56" ht="20.25" thickTop="1" thickBot="1">
      <c r="C88">
        <f t="shared" si="25"/>
        <v>0</v>
      </c>
      <c r="D88">
        <f t="shared" si="26"/>
        <v>0</v>
      </c>
      <c r="E88">
        <f t="shared" si="24"/>
        <v>0</v>
      </c>
      <c r="G88" s="1089"/>
      <c r="H88" s="1061">
        <f>IFERROR( ('ورقة أجازة وعدم الأجازة للمختصن'!F33),0)</f>
        <v>0</v>
      </c>
      <c r="I88" s="1062">
        <f>(VLOOKUP('(3) '!C11,'ورقة أجازة وعدم الأجازة للمختصن'!E12:F23,2,FALSE))/ J88</f>
        <v>0</v>
      </c>
      <c r="J88" s="1073">
        <f>(VLOOKUP('(3) '!C11,'ورقة أجازة وعدم الأجازة للمختصن'!E12:G23,3,FALSE))+IF('(3) '!D10=0,1,0)</f>
        <v>1</v>
      </c>
      <c r="K88" s="971"/>
      <c r="L88" s="971"/>
      <c r="M88" s="971"/>
      <c r="N88" s="1092"/>
      <c r="O88" s="28"/>
      <c r="P88" s="28"/>
      <c r="Q88" s="28"/>
      <c r="R88" s="28"/>
      <c r="S88" s="28"/>
      <c r="T88" s="28"/>
      <c r="U88" s="28"/>
      <c r="V88" s="28"/>
      <c r="W88" s="28"/>
      <c r="X88" s="28"/>
      <c r="Y88" s="28"/>
      <c r="Z88" s="28"/>
      <c r="AA88" s="28"/>
      <c r="AB88" s="28"/>
      <c r="AC88" s="28"/>
      <c r="AE88" s="1"/>
      <c r="AT88" s="631" t="e">
        <f t="shared" si="36"/>
        <v>#N/A</v>
      </c>
      <c r="AU88" s="632" t="e">
        <f>VLOOKUP(2,#REF!,3,FALSE)</f>
        <v>#REF!</v>
      </c>
      <c r="AV88" s="632" t="e">
        <f>VLOOKUP(1,E64:N147,3,FALSE)</f>
        <v>#N/A</v>
      </c>
      <c r="AW88" s="632" t="e">
        <f t="shared" si="30"/>
        <v>#N/A</v>
      </c>
      <c r="AX88" s="632" t="e">
        <f t="shared" si="31"/>
        <v>#N/A</v>
      </c>
      <c r="AY88" s="632" t="e">
        <f t="shared" si="32"/>
        <v>#N/A</v>
      </c>
      <c r="AZ88" s="632" t="e">
        <f t="shared" si="33"/>
        <v>#N/A</v>
      </c>
      <c r="BA88" s="632" t="e">
        <f t="shared" si="29"/>
        <v>#N/A</v>
      </c>
      <c r="BB88" s="1120" t="str">
        <f t="shared" ref="BB88:BC88" si="37">BB66</f>
        <v>حصص الورثة مع الوصايا</v>
      </c>
      <c r="BC88" s="1260">
        <f t="shared" si="37"/>
        <v>0</v>
      </c>
      <c r="BD88" s="1261"/>
    </row>
    <row r="89" spans="3:56" ht="17.25" thickTop="1" thickBot="1">
      <c r="C89">
        <f t="shared" si="25"/>
        <v>0</v>
      </c>
      <c r="D89">
        <f t="shared" si="26"/>
        <v>0</v>
      </c>
      <c r="E89">
        <f t="shared" si="24"/>
        <v>0</v>
      </c>
      <c r="G89" s="1091"/>
      <c r="H89" s="1063">
        <f t="shared" ref="H89:H99" si="38">IF(J89&gt;0,H88,0)</f>
        <v>0</v>
      </c>
      <c r="I89" s="1064">
        <f>IF(H89='(3) '!C11, ((VLOOKUP('(3) '!C11,'ورقة أجازة وعدم الأجازة للمختصن'!E12:F23,2,FALSE)) /J88),0)</f>
        <v>0</v>
      </c>
      <c r="J89" s="1074">
        <f t="shared" ref="J89:J99" si="39">J88-1</f>
        <v>0</v>
      </c>
      <c r="K89" s="970"/>
      <c r="L89" s="970"/>
      <c r="M89" s="970"/>
      <c r="N89" s="1090"/>
      <c r="O89" s="28"/>
      <c r="P89" s="28"/>
      <c r="Q89" s="28"/>
      <c r="R89" s="28"/>
      <c r="S89" s="28"/>
      <c r="T89" s="28"/>
      <c r="U89" s="28"/>
      <c r="V89" s="28"/>
      <c r="W89" s="28"/>
      <c r="X89" s="28"/>
      <c r="Y89" s="28"/>
      <c r="Z89" s="28"/>
      <c r="AA89" s="28"/>
      <c r="AB89" s="28"/>
      <c r="AC89" s="28"/>
      <c r="AE89" s="1"/>
      <c r="AT89" s="631" t="e">
        <f t="shared" si="36"/>
        <v>#N/A</v>
      </c>
      <c r="AU89" s="632" t="e">
        <f>VLOOKUP(2,#REF!,3,FALSE)</f>
        <v>#REF!</v>
      </c>
      <c r="AV89" s="632" t="e">
        <f>VLOOKUP(1,E64:N147,3,FALSE)</f>
        <v>#N/A</v>
      </c>
      <c r="AW89" s="632" t="e">
        <f t="shared" si="30"/>
        <v>#N/A</v>
      </c>
      <c r="AX89" s="632" t="e">
        <f t="shared" si="31"/>
        <v>#N/A</v>
      </c>
      <c r="AY89" s="632" t="e">
        <f t="shared" si="32"/>
        <v>#N/A</v>
      </c>
      <c r="AZ89" s="632" t="e">
        <f t="shared" si="33"/>
        <v>#N/A</v>
      </c>
      <c r="BA89" s="632" t="e">
        <f t="shared" si="29"/>
        <v>#N/A</v>
      </c>
    </row>
    <row r="90" spans="3:56" ht="17.25" thickTop="1" thickBot="1">
      <c r="C90">
        <f t="shared" si="25"/>
        <v>0</v>
      </c>
      <c r="D90">
        <f t="shared" si="26"/>
        <v>0</v>
      </c>
      <c r="E90">
        <f t="shared" si="24"/>
        <v>0</v>
      </c>
      <c r="G90" s="1089"/>
      <c r="H90" s="1061">
        <f t="shared" si="38"/>
        <v>0</v>
      </c>
      <c r="I90" s="1062">
        <f>IF(H90='(3) '!C11, ((VLOOKUP('(3) '!C11,'ورقة أجازة وعدم الأجازة للمختصن'!E12:F23,2,FALSE))/ J88),0)</f>
        <v>0</v>
      </c>
      <c r="J90" s="1074">
        <f t="shared" si="39"/>
        <v>-1</v>
      </c>
      <c r="K90" s="970"/>
      <c r="L90" s="970"/>
      <c r="M90" s="970"/>
      <c r="N90" s="1090"/>
      <c r="O90" s="28"/>
      <c r="P90" s="28"/>
      <c r="Q90" s="28"/>
      <c r="R90" s="28"/>
      <c r="S90" s="28"/>
      <c r="T90" s="28"/>
      <c r="U90" s="28"/>
      <c r="V90" s="28"/>
      <c r="W90" s="28"/>
      <c r="X90" s="28"/>
      <c r="Y90" s="28"/>
      <c r="Z90" s="28"/>
      <c r="AA90" s="28"/>
      <c r="AB90" s="28"/>
      <c r="AC90" s="28"/>
      <c r="AE90" s="1"/>
      <c r="AT90" s="631" t="e">
        <f t="shared" si="36"/>
        <v>#N/A</v>
      </c>
      <c r="AU90" s="632" t="e">
        <f>VLOOKUP(2,#REF!,3,FALSE)</f>
        <v>#REF!</v>
      </c>
      <c r="AV90" s="632" t="e">
        <f>VLOOKUP(1,E64:N147,3,FALSE)</f>
        <v>#N/A</v>
      </c>
      <c r="AW90" s="632" t="e">
        <f t="shared" si="30"/>
        <v>#N/A</v>
      </c>
      <c r="AX90" s="632" t="e">
        <f t="shared" si="31"/>
        <v>#N/A</v>
      </c>
      <c r="AY90" s="632" t="e">
        <f t="shared" si="32"/>
        <v>#N/A</v>
      </c>
      <c r="AZ90" s="632" t="e">
        <f t="shared" si="33"/>
        <v>#N/A</v>
      </c>
      <c r="BA90" s="632" t="e">
        <f t="shared" si="29"/>
        <v>#N/A</v>
      </c>
    </row>
    <row r="91" spans="3:56" ht="17.25" thickTop="1" thickBot="1">
      <c r="C91">
        <f t="shared" si="25"/>
        <v>0</v>
      </c>
      <c r="D91">
        <f t="shared" si="26"/>
        <v>0</v>
      </c>
      <c r="E91">
        <f t="shared" si="24"/>
        <v>0</v>
      </c>
      <c r="G91" s="1091"/>
      <c r="H91" s="1063">
        <f t="shared" si="38"/>
        <v>0</v>
      </c>
      <c r="I91" s="1064">
        <f>IF(H91='(3) '!C11, ((VLOOKUP( '(3) '!C11,'ورقة أجازة وعدم الأجازة للمختصن'!E12:F23,2,FALSE))/ J88),0)</f>
        <v>0</v>
      </c>
      <c r="J91" s="1074">
        <f t="shared" si="39"/>
        <v>-2</v>
      </c>
      <c r="K91" s="971"/>
      <c r="L91" s="971"/>
      <c r="M91" s="971"/>
      <c r="N91" s="1092"/>
      <c r="O91" s="28"/>
      <c r="P91" s="28"/>
      <c r="Q91" s="28"/>
      <c r="R91" s="28"/>
      <c r="S91" s="28"/>
      <c r="T91" s="28"/>
      <c r="U91" s="28"/>
      <c r="V91" s="28"/>
      <c r="W91" s="28"/>
      <c r="X91" s="28"/>
      <c r="Y91" s="28"/>
      <c r="Z91" s="28"/>
      <c r="AA91" s="28"/>
      <c r="AB91" s="28"/>
      <c r="AC91" s="28"/>
      <c r="AE91" s="1"/>
      <c r="AT91" s="631" t="e">
        <f t="shared" si="36"/>
        <v>#N/A</v>
      </c>
      <c r="AU91" s="632" t="e">
        <f>VLOOKUP(2,#REF!,3,FALSE)</f>
        <v>#REF!</v>
      </c>
      <c r="AV91" s="632" t="e">
        <f>VLOOKUP(1,E64:N147,3,FALSE)</f>
        <v>#N/A</v>
      </c>
      <c r="AW91" s="632" t="e">
        <f t="shared" si="30"/>
        <v>#N/A</v>
      </c>
      <c r="AX91" s="632" t="e">
        <f t="shared" si="31"/>
        <v>#N/A</v>
      </c>
      <c r="AY91" s="632" t="e">
        <f t="shared" si="32"/>
        <v>#N/A</v>
      </c>
      <c r="AZ91" s="632" t="e">
        <f t="shared" si="33"/>
        <v>#N/A</v>
      </c>
      <c r="BA91" s="632" t="e">
        <f t="shared" si="29"/>
        <v>#N/A</v>
      </c>
    </row>
    <row r="92" spans="3:56" ht="17.25" thickTop="1" thickBot="1">
      <c r="C92">
        <f t="shared" si="25"/>
        <v>0</v>
      </c>
      <c r="D92">
        <f t="shared" si="26"/>
        <v>0</v>
      </c>
      <c r="E92">
        <f t="shared" si="24"/>
        <v>0</v>
      </c>
      <c r="G92" s="1089"/>
      <c r="H92" s="1061">
        <f t="shared" si="38"/>
        <v>0</v>
      </c>
      <c r="I92" s="1062">
        <f>IF(H92='(3) '!C11, ((VLOOKUP( '(3) '!C11,'ورقة أجازة وعدم الأجازة للمختصن'!E12:F23,2,FALSE))/  J88),0)</f>
        <v>0</v>
      </c>
      <c r="J92" s="1074">
        <f t="shared" si="39"/>
        <v>-3</v>
      </c>
      <c r="K92" s="970"/>
      <c r="L92" s="970"/>
      <c r="M92" s="970"/>
      <c r="N92" s="1090"/>
      <c r="O92" s="28"/>
      <c r="P92" s="28"/>
      <c r="Q92" s="28"/>
      <c r="R92" s="28"/>
      <c r="S92" s="28"/>
      <c r="T92" s="28"/>
      <c r="U92" s="28"/>
      <c r="V92" s="28"/>
      <c r="W92" s="28"/>
      <c r="X92" s="28"/>
      <c r="Y92" s="28"/>
      <c r="Z92" s="28"/>
      <c r="AA92" s="28"/>
      <c r="AB92" s="28"/>
      <c r="AC92" s="28"/>
      <c r="AE92" s="1"/>
      <c r="AT92" s="631" t="e">
        <f t="shared" si="36"/>
        <v>#N/A</v>
      </c>
      <c r="AU92" s="632" t="e">
        <f>VLOOKUP(2,#REF!,3,FALSE)</f>
        <v>#REF!</v>
      </c>
      <c r="AV92" s="632" t="e">
        <f>VLOOKUP(1,E64:N147,3,FALSE)</f>
        <v>#N/A</v>
      </c>
      <c r="AW92" s="632" t="e">
        <f t="shared" si="30"/>
        <v>#N/A</v>
      </c>
      <c r="AX92" s="632" t="e">
        <f t="shared" si="31"/>
        <v>#N/A</v>
      </c>
      <c r="AY92" s="632" t="e">
        <f t="shared" si="32"/>
        <v>#N/A</v>
      </c>
      <c r="AZ92" s="632" t="e">
        <f t="shared" si="33"/>
        <v>#N/A</v>
      </c>
      <c r="BA92" s="632" t="e">
        <f t="shared" si="29"/>
        <v>#N/A</v>
      </c>
    </row>
    <row r="93" spans="3:56" ht="17.25" thickTop="1" thickBot="1">
      <c r="C93">
        <f t="shared" si="25"/>
        <v>0</v>
      </c>
      <c r="D93">
        <f t="shared" si="26"/>
        <v>0</v>
      </c>
      <c r="E93">
        <f t="shared" si="24"/>
        <v>0</v>
      </c>
      <c r="G93" s="1091"/>
      <c r="H93" s="1063">
        <f t="shared" si="38"/>
        <v>0</v>
      </c>
      <c r="I93" s="1064">
        <f>IF(H93='(3) '!C11, ((VLOOKUP( '(3) '!C11,'ورقة أجازة وعدم الأجازة للمختصن'!E12:F23,2,FALSE))/ J88),0)</f>
        <v>0</v>
      </c>
      <c r="J93" s="1074">
        <f t="shared" si="39"/>
        <v>-4</v>
      </c>
      <c r="K93" s="971"/>
      <c r="L93" s="971"/>
      <c r="M93" s="971"/>
      <c r="N93" s="1092"/>
      <c r="O93" s="28"/>
      <c r="P93" s="28"/>
      <c r="Q93" s="28"/>
      <c r="R93" s="28"/>
      <c r="S93" s="28"/>
      <c r="T93" s="28"/>
      <c r="U93" s="28"/>
      <c r="V93" s="28"/>
      <c r="W93" s="28"/>
      <c r="X93" s="28"/>
      <c r="Y93" s="28"/>
      <c r="Z93" s="28"/>
      <c r="AA93" s="28"/>
      <c r="AB93" s="28"/>
      <c r="AC93" s="28"/>
      <c r="AE93" s="1"/>
      <c r="AT93" s="631" t="e">
        <f t="shared" si="36"/>
        <v>#N/A</v>
      </c>
      <c r="AU93" s="632" t="e">
        <f>VLOOKUP(2,#REF!,3,FALSE)</f>
        <v>#REF!</v>
      </c>
      <c r="AV93" s="632" t="e">
        <f>VLOOKUP(1,E64:N147,3,FALSE)</f>
        <v>#N/A</v>
      </c>
      <c r="AW93" s="632" t="e">
        <f t="shared" si="30"/>
        <v>#N/A</v>
      </c>
      <c r="AX93" s="632" t="e">
        <f t="shared" si="31"/>
        <v>#N/A</v>
      </c>
      <c r="AY93" s="632" t="e">
        <f t="shared" si="32"/>
        <v>#N/A</v>
      </c>
      <c r="AZ93" s="632" t="e">
        <f t="shared" si="33"/>
        <v>#N/A</v>
      </c>
      <c r="BA93" s="632" t="e">
        <f t="shared" si="29"/>
        <v>#N/A</v>
      </c>
    </row>
    <row r="94" spans="3:56" ht="17.25" thickTop="1" thickBot="1">
      <c r="C94">
        <f t="shared" si="25"/>
        <v>0</v>
      </c>
      <c r="D94">
        <f t="shared" si="26"/>
        <v>0</v>
      </c>
      <c r="E94">
        <f t="shared" si="24"/>
        <v>0</v>
      </c>
      <c r="G94" s="1089"/>
      <c r="H94" s="1061">
        <f t="shared" si="38"/>
        <v>0</v>
      </c>
      <c r="I94" s="1062">
        <f>IF(H94='(3) '!C11, ((VLOOKUP('(3) '!C11,'ورقة أجازة وعدم الأجازة للمختصن'!E12:F23,2,FALSE))/ J88),0)</f>
        <v>0</v>
      </c>
      <c r="J94" s="1074">
        <f t="shared" si="39"/>
        <v>-5</v>
      </c>
      <c r="K94" s="970"/>
      <c r="L94" s="970"/>
      <c r="M94" s="970"/>
      <c r="N94" s="1090"/>
      <c r="O94" s="28"/>
      <c r="P94" s="28"/>
      <c r="Q94" s="28"/>
      <c r="R94" s="28"/>
      <c r="S94" s="28"/>
      <c r="T94" s="28"/>
      <c r="U94" s="28"/>
      <c r="V94" s="28"/>
      <c r="W94" s="28"/>
      <c r="X94" s="28"/>
      <c r="Y94" s="28"/>
      <c r="Z94" s="28"/>
      <c r="AA94" s="28"/>
      <c r="AB94" s="28"/>
      <c r="AC94" s="28"/>
      <c r="AE94" s="1"/>
      <c r="AT94" s="631" t="e">
        <f t="shared" si="36"/>
        <v>#N/A</v>
      </c>
      <c r="AU94" s="632" t="e">
        <f>VLOOKUP(2,#REF!,3,FALSE)</f>
        <v>#REF!</v>
      </c>
      <c r="AV94" s="632" t="e">
        <f>VLOOKUP(1,E64:N147,3,FALSE)</f>
        <v>#N/A</v>
      </c>
      <c r="AW94" s="632" t="e">
        <f t="shared" si="30"/>
        <v>#N/A</v>
      </c>
      <c r="AX94" s="632" t="e">
        <f t="shared" si="31"/>
        <v>#N/A</v>
      </c>
      <c r="AY94" s="632" t="e">
        <f t="shared" si="32"/>
        <v>#N/A</v>
      </c>
      <c r="AZ94" s="632" t="e">
        <f t="shared" si="33"/>
        <v>#N/A</v>
      </c>
      <c r="BA94" s="632" t="e">
        <f t="shared" si="29"/>
        <v>#N/A</v>
      </c>
    </row>
    <row r="95" spans="3:56" ht="17.25" thickTop="1" thickBot="1">
      <c r="C95">
        <f t="shared" si="25"/>
        <v>0</v>
      </c>
      <c r="D95">
        <f t="shared" si="26"/>
        <v>0</v>
      </c>
      <c r="E95">
        <f t="shared" si="24"/>
        <v>0</v>
      </c>
      <c r="G95" s="1091"/>
      <c r="H95" s="1063">
        <f t="shared" si="38"/>
        <v>0</v>
      </c>
      <c r="I95" s="1064">
        <f>IF(H95='(3) '!C11, ((VLOOKUP( '(3) '!C11,'ورقة أجازة وعدم الأجازة للمختصن'!E12:F23,2,FALSE))/ J88),0)</f>
        <v>0</v>
      </c>
      <c r="J95" s="1074">
        <f t="shared" si="39"/>
        <v>-6</v>
      </c>
      <c r="K95" s="971"/>
      <c r="L95" s="971"/>
      <c r="M95" s="971"/>
      <c r="N95" s="1092"/>
      <c r="O95" s="28"/>
      <c r="P95" s="28"/>
      <c r="Q95" s="28"/>
      <c r="R95" s="28"/>
      <c r="S95" s="28"/>
      <c r="T95" s="28"/>
      <c r="U95" s="28"/>
      <c r="V95" s="28"/>
      <c r="W95" s="28"/>
      <c r="X95" s="28"/>
      <c r="Y95" s="28"/>
      <c r="Z95" s="28"/>
      <c r="AA95" s="28"/>
      <c r="AB95" s="28"/>
      <c r="AC95" s="28"/>
      <c r="AE95" s="1"/>
      <c r="AT95" s="631" t="e">
        <f t="shared" si="36"/>
        <v>#N/A</v>
      </c>
      <c r="AU95" s="632" t="e">
        <f>VLOOKUP(2,#REF!,3,FALSE)</f>
        <v>#REF!</v>
      </c>
      <c r="AV95" s="632" t="e">
        <f>VLOOKUP(1,E64:N147,3,FALSE)</f>
        <v>#N/A</v>
      </c>
      <c r="AW95" s="632" t="e">
        <f t="shared" si="30"/>
        <v>#N/A</v>
      </c>
      <c r="AX95" s="632" t="e">
        <f t="shared" si="31"/>
        <v>#N/A</v>
      </c>
      <c r="AY95" s="632" t="e">
        <f t="shared" si="32"/>
        <v>#N/A</v>
      </c>
      <c r="AZ95" s="632" t="e">
        <f t="shared" si="33"/>
        <v>#N/A</v>
      </c>
      <c r="BA95" s="632" t="e">
        <f t="shared" si="29"/>
        <v>#N/A</v>
      </c>
    </row>
    <row r="96" spans="3:56" ht="17.25" thickTop="1" thickBot="1">
      <c r="C96">
        <f t="shared" si="25"/>
        <v>0</v>
      </c>
      <c r="D96">
        <f t="shared" si="26"/>
        <v>0</v>
      </c>
      <c r="E96">
        <f t="shared" si="24"/>
        <v>0</v>
      </c>
      <c r="G96" s="1089"/>
      <c r="H96" s="1061">
        <f t="shared" si="38"/>
        <v>0</v>
      </c>
      <c r="I96" s="1062">
        <f>IF(H96='(3) '!C11, ((VLOOKUP( '(3) '!C11,'ورقة أجازة وعدم الأجازة للمختصن'!E12:F23,2,FALSE))/ J88),0)</f>
        <v>0</v>
      </c>
      <c r="J96" s="1074">
        <f t="shared" si="39"/>
        <v>-7</v>
      </c>
      <c r="K96" s="970"/>
      <c r="L96" s="970"/>
      <c r="M96" s="970"/>
      <c r="N96" s="1090"/>
      <c r="O96" s="28"/>
      <c r="P96" s="28"/>
      <c r="Q96" s="28"/>
      <c r="R96" s="28"/>
      <c r="S96" s="28"/>
      <c r="T96" s="28"/>
      <c r="U96" s="28"/>
      <c r="V96" s="28"/>
      <c r="W96" s="28"/>
      <c r="X96" s="28"/>
      <c r="Y96" s="28"/>
      <c r="Z96" s="28"/>
      <c r="AA96" s="28"/>
      <c r="AB96" s="28"/>
      <c r="AC96" s="28"/>
      <c r="AE96" s="1"/>
      <c r="AT96" s="631" t="e">
        <f t="shared" si="36"/>
        <v>#N/A</v>
      </c>
      <c r="AU96" s="632" t="e">
        <f>VLOOKUP(2,#REF!,3,FALSE)</f>
        <v>#REF!</v>
      </c>
      <c r="AV96" s="632" t="e">
        <f>VLOOKUP(1,E64:N147,3,FALSE)</f>
        <v>#N/A</v>
      </c>
      <c r="AW96" s="632" t="e">
        <f t="shared" si="30"/>
        <v>#N/A</v>
      </c>
      <c r="AX96" s="632" t="e">
        <f t="shared" si="31"/>
        <v>#N/A</v>
      </c>
      <c r="AY96" s="632" t="e">
        <f t="shared" si="32"/>
        <v>#N/A</v>
      </c>
      <c r="AZ96" s="632" t="e">
        <f t="shared" si="33"/>
        <v>#N/A</v>
      </c>
      <c r="BA96" s="632" t="e">
        <f t="shared" si="29"/>
        <v>#N/A</v>
      </c>
    </row>
    <row r="97" spans="3:53" ht="17.25" thickTop="1" thickBot="1">
      <c r="C97">
        <f t="shared" ref="C97:C128" si="40">IF(I97&gt;0, C96+1,C96)</f>
        <v>0</v>
      </c>
      <c r="D97">
        <f t="shared" si="26"/>
        <v>0</v>
      </c>
      <c r="E97">
        <f t="shared" si="24"/>
        <v>0</v>
      </c>
      <c r="G97" s="1091"/>
      <c r="H97" s="1063">
        <f t="shared" si="38"/>
        <v>0</v>
      </c>
      <c r="I97" s="1064">
        <f>IF(H97='(3) '!C11, ((VLOOKUP( '(3) '!C11,'ورقة أجازة وعدم الأجازة للمختصن'!E12:F23,2,FALSE))/ J88),0)</f>
        <v>0</v>
      </c>
      <c r="J97" s="1074">
        <f t="shared" si="39"/>
        <v>-8</v>
      </c>
      <c r="K97" s="971"/>
      <c r="L97" s="971"/>
      <c r="M97" s="971"/>
      <c r="N97" s="1092"/>
      <c r="O97" s="28"/>
      <c r="P97" s="28"/>
      <c r="Q97" s="28"/>
      <c r="R97" s="28"/>
      <c r="S97" s="28"/>
      <c r="T97" s="28"/>
      <c r="U97" s="28"/>
      <c r="V97" s="28"/>
      <c r="W97" s="28"/>
      <c r="X97" s="28"/>
      <c r="Y97" s="28"/>
      <c r="Z97" s="28"/>
      <c r="AA97" s="28"/>
      <c r="AB97" s="28"/>
      <c r="AC97" s="28"/>
      <c r="AE97" s="1"/>
      <c r="AT97" s="631" t="e">
        <f t="shared" si="36"/>
        <v>#N/A</v>
      </c>
      <c r="AU97" s="632" t="e">
        <f>VLOOKUP(2,#REF!,3,FALSE)</f>
        <v>#REF!</v>
      </c>
      <c r="AV97" s="632" t="e">
        <f>VLOOKUP(1,E64:N147,3,FALSE)</f>
        <v>#N/A</v>
      </c>
      <c r="AW97" s="632" t="e">
        <f t="shared" si="30"/>
        <v>#N/A</v>
      </c>
      <c r="AX97" s="632" t="e">
        <f t="shared" si="31"/>
        <v>#N/A</v>
      </c>
      <c r="AY97" s="632" t="e">
        <f t="shared" si="32"/>
        <v>#N/A</v>
      </c>
      <c r="AZ97" s="632" t="e">
        <f t="shared" si="33"/>
        <v>#N/A</v>
      </c>
      <c r="BA97" s="632" t="e">
        <f t="shared" si="29"/>
        <v>#N/A</v>
      </c>
    </row>
    <row r="98" spans="3:53" ht="17.25" thickTop="1" thickBot="1">
      <c r="C98">
        <f t="shared" si="40"/>
        <v>0</v>
      </c>
      <c r="D98">
        <f t="shared" si="26"/>
        <v>0</v>
      </c>
      <c r="E98">
        <f t="shared" si="24"/>
        <v>0</v>
      </c>
      <c r="G98" s="1089"/>
      <c r="H98" s="1061">
        <f t="shared" si="38"/>
        <v>0</v>
      </c>
      <c r="I98" s="1062">
        <f>IF(H98='(3) '!C11, ((VLOOKUP( '(3) '!C11,'ورقة أجازة وعدم الأجازة للمختصن'!E12:F23,2,FALSE))/ J88),0)</f>
        <v>0</v>
      </c>
      <c r="J98" s="1074">
        <f t="shared" si="39"/>
        <v>-9</v>
      </c>
      <c r="K98" s="970"/>
      <c r="L98" s="970"/>
      <c r="M98" s="970"/>
      <c r="N98" s="1090"/>
      <c r="O98" s="28"/>
      <c r="P98" s="28"/>
      <c r="Q98" s="28"/>
      <c r="R98" s="28"/>
      <c r="S98" s="28"/>
      <c r="T98" s="28"/>
      <c r="U98" s="28"/>
      <c r="V98" s="28"/>
      <c r="W98" s="28"/>
      <c r="X98" s="28"/>
      <c r="Y98" s="28"/>
      <c r="Z98" s="28"/>
      <c r="AA98" s="28"/>
      <c r="AB98" s="28"/>
      <c r="AC98" s="28"/>
      <c r="AE98" s="1"/>
      <c r="AT98" s="631" t="e">
        <f t="shared" si="36"/>
        <v>#N/A</v>
      </c>
      <c r="AU98" s="632" t="e">
        <f>VLOOKUP(2,#REF!,3,FALSE)</f>
        <v>#REF!</v>
      </c>
      <c r="AV98" s="632" t="e">
        <f>VLOOKUP(1,E64:N147,3,FALSE)</f>
        <v>#N/A</v>
      </c>
      <c r="AW98" s="632" t="e">
        <f t="shared" si="30"/>
        <v>#N/A</v>
      </c>
      <c r="AX98" s="632" t="e">
        <f t="shared" si="31"/>
        <v>#N/A</v>
      </c>
      <c r="AY98" s="632" t="e">
        <f t="shared" si="32"/>
        <v>#N/A</v>
      </c>
      <c r="AZ98" s="632" t="e">
        <f t="shared" si="33"/>
        <v>#N/A</v>
      </c>
      <c r="BA98" s="632" t="e">
        <f t="shared" si="29"/>
        <v>#N/A</v>
      </c>
    </row>
    <row r="99" spans="3:53" ht="17.25" thickTop="1" thickBot="1">
      <c r="C99">
        <f t="shared" si="40"/>
        <v>0</v>
      </c>
      <c r="D99">
        <f t="shared" si="26"/>
        <v>0</v>
      </c>
      <c r="E99">
        <f t="shared" si="24"/>
        <v>0</v>
      </c>
      <c r="G99" s="1091"/>
      <c r="H99" s="1063">
        <f t="shared" si="38"/>
        <v>0</v>
      </c>
      <c r="I99" s="1064">
        <f>IF(H99='(3) '!C11, ((VLOOKUP( '(3) '!C11,'ورقة أجازة وعدم الأجازة للمختصن'!E12:F23,2,FALSE))/ J88),0)</f>
        <v>0</v>
      </c>
      <c r="J99" s="1075">
        <f t="shared" si="39"/>
        <v>-10</v>
      </c>
      <c r="K99" s="971"/>
      <c r="L99" s="971"/>
      <c r="M99" s="971"/>
      <c r="N99" s="1092"/>
      <c r="O99" s="28"/>
      <c r="P99" s="28"/>
      <c r="Q99" s="28"/>
      <c r="R99" s="28"/>
      <c r="S99" s="28"/>
      <c r="T99" s="28"/>
      <c r="U99" s="28"/>
      <c r="V99" s="28"/>
      <c r="W99" s="28"/>
      <c r="X99" s="28"/>
      <c r="Y99" s="28"/>
      <c r="Z99" s="28"/>
      <c r="AA99" s="28"/>
      <c r="AB99" s="28"/>
      <c r="AC99" s="28"/>
      <c r="AE99" s="1"/>
      <c r="AT99" s="631" t="e">
        <f t="shared" si="36"/>
        <v>#N/A</v>
      </c>
      <c r="AU99" s="632" t="e">
        <f>VLOOKUP(2,#REF!,3,FALSE)</f>
        <v>#REF!</v>
      </c>
      <c r="AV99" s="632" t="e">
        <f>VLOOKUP(1,E64:N147,3,FALSE)</f>
        <v>#N/A</v>
      </c>
      <c r="AW99" s="632" t="e">
        <f t="shared" si="30"/>
        <v>#N/A</v>
      </c>
      <c r="AX99" s="632" t="e">
        <f t="shared" si="31"/>
        <v>#N/A</v>
      </c>
      <c r="AY99" s="632" t="e">
        <f t="shared" si="32"/>
        <v>#N/A</v>
      </c>
      <c r="AZ99" s="632" t="e">
        <f t="shared" si="33"/>
        <v>#N/A</v>
      </c>
      <c r="BA99" s="632" t="e">
        <f t="shared" si="29"/>
        <v>#N/A</v>
      </c>
    </row>
    <row r="100" spans="3:53" ht="17.25" thickTop="1" thickBot="1">
      <c r="C100">
        <f t="shared" si="40"/>
        <v>0</v>
      </c>
      <c r="D100">
        <f t="shared" si="26"/>
        <v>0</v>
      </c>
      <c r="E100">
        <f t="shared" si="24"/>
        <v>0</v>
      </c>
      <c r="G100" s="1089"/>
      <c r="H100" s="1061">
        <f>IFERROR( ('ورقة أجازة وعدم الأجازة للمختصن'!F34),0)</f>
        <v>0</v>
      </c>
      <c r="I100" s="1062">
        <f>(VLOOKUP('(4) '!C11,'ورقة أجازة وعدم الأجازة للمختصن'!E12:F23,2,FALSE))/ J100</f>
        <v>0</v>
      </c>
      <c r="J100" s="1073">
        <f>(VLOOKUP('(4) '!C11,'ورقة أجازة وعدم الأجازة للمختصن'!E12:G23,3,FALSE))+IF('(4) '!D10=0,1,0)</f>
        <v>1</v>
      </c>
      <c r="K100" s="970"/>
      <c r="L100" s="970"/>
      <c r="M100" s="970"/>
      <c r="N100" s="1090"/>
      <c r="O100" s="28"/>
      <c r="P100" s="28"/>
      <c r="Q100" s="28"/>
      <c r="R100" s="28"/>
      <c r="S100" s="28"/>
      <c r="T100" s="28"/>
      <c r="U100" s="28"/>
      <c r="V100" s="28"/>
      <c r="W100" s="28"/>
      <c r="X100" s="28"/>
      <c r="Y100" s="28"/>
      <c r="Z100" s="28"/>
      <c r="AA100" s="28"/>
      <c r="AB100" s="28"/>
      <c r="AC100" s="28"/>
      <c r="AE100" s="1"/>
      <c r="AT100" s="631" t="e">
        <f t="shared" si="36"/>
        <v>#N/A</v>
      </c>
      <c r="AU100" s="632" t="e">
        <f>VLOOKUP(2,#REF!,3,FALSE)</f>
        <v>#REF!</v>
      </c>
      <c r="AV100" s="632" t="e">
        <f>VLOOKUP(1,E64:N147,3,FALSE)</f>
        <v>#N/A</v>
      </c>
      <c r="AW100" s="632" t="e">
        <f t="shared" si="30"/>
        <v>#N/A</v>
      </c>
      <c r="AX100" s="632" t="e">
        <f t="shared" si="31"/>
        <v>#N/A</v>
      </c>
      <c r="AY100" s="632" t="e">
        <f t="shared" si="32"/>
        <v>#N/A</v>
      </c>
      <c r="AZ100" s="632" t="e">
        <f t="shared" si="33"/>
        <v>#N/A</v>
      </c>
      <c r="BA100" s="632" t="e">
        <f t="shared" si="29"/>
        <v>#N/A</v>
      </c>
    </row>
    <row r="101" spans="3:53" ht="17.25" thickTop="1" thickBot="1">
      <c r="C101">
        <f t="shared" si="40"/>
        <v>0</v>
      </c>
      <c r="D101">
        <f t="shared" si="26"/>
        <v>0</v>
      </c>
      <c r="E101">
        <f t="shared" si="24"/>
        <v>0</v>
      </c>
      <c r="G101" s="1091"/>
      <c r="H101" s="1063">
        <f t="shared" ref="H101:H111" si="41">IF(J101&gt;0,H100,0)</f>
        <v>0</v>
      </c>
      <c r="I101" s="1064">
        <f>IF(H101='(4) '!C11, ((VLOOKUP('(4) '!C11,'ورقة أجازة وعدم الأجازة للمختصن'!E12:F23,2,FALSE)) /J100),0)</f>
        <v>0</v>
      </c>
      <c r="J101" s="1074">
        <f t="shared" ref="J101:J111" si="42">J100-1</f>
        <v>0</v>
      </c>
      <c r="K101" s="971"/>
      <c r="L101" s="971"/>
      <c r="M101" s="971"/>
      <c r="N101" s="1092"/>
      <c r="AE101" s="1"/>
      <c r="AT101" s="631" t="e">
        <f t="shared" si="36"/>
        <v>#N/A</v>
      </c>
      <c r="AU101" s="632" t="e">
        <f>VLOOKUP(2,#REF!,3,FALSE)</f>
        <v>#REF!</v>
      </c>
      <c r="AV101" s="632" t="e">
        <f>VLOOKUP(1,E64:N147,3,FALSE)</f>
        <v>#N/A</v>
      </c>
      <c r="AW101" s="632" t="e">
        <f t="shared" si="30"/>
        <v>#N/A</v>
      </c>
      <c r="AX101" s="632" t="e">
        <f t="shared" si="31"/>
        <v>#N/A</v>
      </c>
      <c r="AY101" s="632" t="e">
        <f t="shared" si="32"/>
        <v>#N/A</v>
      </c>
      <c r="AZ101" s="632" t="e">
        <f t="shared" si="33"/>
        <v>#N/A</v>
      </c>
      <c r="BA101" s="632" t="e">
        <f t="shared" si="29"/>
        <v>#N/A</v>
      </c>
    </row>
    <row r="102" spans="3:53" ht="17.25" thickTop="1" thickBot="1">
      <c r="C102">
        <f t="shared" si="40"/>
        <v>0</v>
      </c>
      <c r="D102">
        <f t="shared" si="26"/>
        <v>0</v>
      </c>
      <c r="E102">
        <f t="shared" si="24"/>
        <v>0</v>
      </c>
      <c r="G102" s="1089"/>
      <c r="H102" s="1061">
        <f t="shared" si="41"/>
        <v>0</v>
      </c>
      <c r="I102" s="1062">
        <f>IF(H102='(4) '!C11, ((VLOOKUP('(4) '!C11,'ورقة أجازة وعدم الأجازة للمختصن'!E12:F23,2,FALSE))/ J100),0)</f>
        <v>0</v>
      </c>
      <c r="J102" s="1074">
        <f t="shared" si="42"/>
        <v>-1</v>
      </c>
      <c r="K102" s="970"/>
      <c r="L102" s="970"/>
      <c r="M102" s="970"/>
      <c r="N102" s="1090"/>
      <c r="AE102" s="1"/>
      <c r="AT102" s="631" t="e">
        <f t="shared" si="36"/>
        <v>#N/A</v>
      </c>
      <c r="AU102" s="632" t="e">
        <f>VLOOKUP(2,#REF!,3,FALSE)</f>
        <v>#REF!</v>
      </c>
      <c r="AV102" s="632" t="e">
        <f>VLOOKUP(1,E64:N147,3,FALSE)</f>
        <v>#N/A</v>
      </c>
      <c r="AW102" s="632" t="e">
        <f t="shared" si="30"/>
        <v>#N/A</v>
      </c>
      <c r="AX102" s="632" t="e">
        <f t="shared" si="31"/>
        <v>#N/A</v>
      </c>
      <c r="AY102" s="632" t="e">
        <f t="shared" si="32"/>
        <v>#N/A</v>
      </c>
      <c r="AZ102" s="632" t="e">
        <f t="shared" si="33"/>
        <v>#N/A</v>
      </c>
      <c r="BA102" s="632" t="e">
        <f t="shared" si="29"/>
        <v>#N/A</v>
      </c>
    </row>
    <row r="103" spans="3:53" ht="17.25" thickTop="1" thickBot="1">
      <c r="C103">
        <f t="shared" si="40"/>
        <v>0</v>
      </c>
      <c r="D103">
        <f t="shared" si="26"/>
        <v>0</v>
      </c>
      <c r="E103">
        <f t="shared" si="24"/>
        <v>0</v>
      </c>
      <c r="G103" s="1093"/>
      <c r="H103" s="1065">
        <f t="shared" si="41"/>
        <v>0</v>
      </c>
      <c r="I103" s="1066">
        <f>IF(H103='(4) '!C11, ((VLOOKUP( '(4) '!C11,'ورقة أجازة وعدم الأجازة للمختصن'!E12:F23,2,FALSE))/ J100),0)</f>
        <v>0</v>
      </c>
      <c r="J103" s="1074">
        <f t="shared" si="42"/>
        <v>-2</v>
      </c>
      <c r="K103" s="970"/>
      <c r="L103" s="970"/>
      <c r="M103" s="970"/>
      <c r="N103" s="1090"/>
      <c r="AE103" s="1"/>
      <c r="AT103" s="631" t="e">
        <f t="shared" si="36"/>
        <v>#N/A</v>
      </c>
      <c r="AU103" s="632" t="e">
        <f>VLOOKUP(2,#REF!,3,FALSE)</f>
        <v>#REF!</v>
      </c>
      <c r="AV103" s="632" t="e">
        <f>VLOOKUP(1,E64:N147,3,FALSE)</f>
        <v>#N/A</v>
      </c>
      <c r="AW103" s="632" t="e">
        <f t="shared" si="30"/>
        <v>#N/A</v>
      </c>
      <c r="AX103" s="632" t="e">
        <f t="shared" si="31"/>
        <v>#N/A</v>
      </c>
      <c r="AY103" s="632" t="e">
        <f t="shared" si="32"/>
        <v>#N/A</v>
      </c>
      <c r="AZ103" s="632" t="e">
        <f t="shared" si="33"/>
        <v>#N/A</v>
      </c>
      <c r="BA103" s="632" t="e">
        <f t="shared" si="29"/>
        <v>#N/A</v>
      </c>
    </row>
    <row r="104" spans="3:53" ht="17.25" thickTop="1" thickBot="1">
      <c r="C104">
        <f t="shared" si="40"/>
        <v>0</v>
      </c>
      <c r="D104">
        <f t="shared" si="26"/>
        <v>0</v>
      </c>
      <c r="E104">
        <f t="shared" si="24"/>
        <v>0</v>
      </c>
      <c r="G104" s="1089"/>
      <c r="H104" s="1061">
        <f t="shared" si="41"/>
        <v>0</v>
      </c>
      <c r="I104" s="1062">
        <f>IF(H104='(4) '!C11, ((VLOOKUP( '(4) '!C11,'ورقة أجازة وعدم الأجازة للمختصن'!E12:F23,2,FALSE))/  J100),0)</f>
        <v>0</v>
      </c>
      <c r="J104" s="1074">
        <f t="shared" si="42"/>
        <v>-3</v>
      </c>
      <c r="K104" s="971"/>
      <c r="L104" s="971"/>
      <c r="M104" s="971"/>
      <c r="N104" s="1092"/>
      <c r="AE104" s="1"/>
      <c r="AT104" s="631" t="e">
        <f t="shared" si="36"/>
        <v>#N/A</v>
      </c>
      <c r="AU104" s="632" t="e">
        <f>VLOOKUP(2,#REF!,3,FALSE)</f>
        <v>#REF!</v>
      </c>
      <c r="AV104" s="632" t="e">
        <f>VLOOKUP(1,E64:N147,3,FALSE)</f>
        <v>#N/A</v>
      </c>
      <c r="AW104" s="632" t="e">
        <f t="shared" si="30"/>
        <v>#N/A</v>
      </c>
      <c r="AX104" s="632" t="e">
        <f t="shared" si="31"/>
        <v>#N/A</v>
      </c>
      <c r="AY104" s="632" t="e">
        <f t="shared" si="32"/>
        <v>#N/A</v>
      </c>
      <c r="AZ104" s="632" t="e">
        <f t="shared" si="33"/>
        <v>#N/A</v>
      </c>
      <c r="BA104" s="632" t="e">
        <f t="shared" si="29"/>
        <v>#N/A</v>
      </c>
    </row>
    <row r="105" spans="3:53" ht="17.25" thickTop="1" thickBot="1">
      <c r="C105">
        <f t="shared" si="40"/>
        <v>0</v>
      </c>
      <c r="D105">
        <f t="shared" si="26"/>
        <v>0</v>
      </c>
      <c r="E105">
        <f t="shared" si="24"/>
        <v>0</v>
      </c>
      <c r="G105" s="1091"/>
      <c r="H105" s="1063">
        <f t="shared" si="41"/>
        <v>0</v>
      </c>
      <c r="I105" s="1064">
        <f>IF(H105='(4) '!C11, ((VLOOKUP( '(4) '!C11,'ورقة أجازة وعدم الأجازة للمختصن'!E12:F23,2,FALSE))/ J100),0)</f>
        <v>0</v>
      </c>
      <c r="J105" s="1074">
        <f t="shared" si="42"/>
        <v>-4</v>
      </c>
      <c r="K105" s="970"/>
      <c r="L105" s="970"/>
      <c r="M105" s="970"/>
      <c r="N105" s="1090"/>
      <c r="AE105" s="1"/>
      <c r="AT105" s="631" t="e">
        <f t="shared" si="36"/>
        <v>#N/A</v>
      </c>
      <c r="AU105" s="632" t="e">
        <f>VLOOKUP(2,#REF!,3,FALSE)</f>
        <v>#REF!</v>
      </c>
      <c r="AV105" s="632" t="e">
        <f>VLOOKUP(1,E64:N147,3,FALSE)</f>
        <v>#N/A</v>
      </c>
      <c r="AW105" s="632" t="e">
        <f t="shared" si="30"/>
        <v>#N/A</v>
      </c>
      <c r="AX105" s="632" t="e">
        <f t="shared" si="31"/>
        <v>#N/A</v>
      </c>
      <c r="AY105" s="632" t="e">
        <f t="shared" si="32"/>
        <v>#N/A</v>
      </c>
      <c r="AZ105" s="632" t="e">
        <f t="shared" si="33"/>
        <v>#N/A</v>
      </c>
      <c r="BA105" s="632" t="e">
        <f t="shared" si="29"/>
        <v>#N/A</v>
      </c>
    </row>
    <row r="106" spans="3:53" ht="17.25" thickTop="1" thickBot="1">
      <c r="C106">
        <f t="shared" si="40"/>
        <v>0</v>
      </c>
      <c r="D106">
        <f t="shared" si="26"/>
        <v>0</v>
      </c>
      <c r="E106">
        <f t="shared" si="24"/>
        <v>0</v>
      </c>
      <c r="G106" s="1089"/>
      <c r="H106" s="1061">
        <f t="shared" si="41"/>
        <v>0</v>
      </c>
      <c r="I106" s="1062">
        <f>IF(H106='(4) '!C11, ((VLOOKUP('(4) '!C11,'ورقة أجازة وعدم الأجازة للمختصن'!E12:F23,2,FALSE))/ J100),0)</f>
        <v>0</v>
      </c>
      <c r="J106" s="1074">
        <f t="shared" si="42"/>
        <v>-5</v>
      </c>
      <c r="K106" s="971"/>
      <c r="L106" s="971"/>
      <c r="M106" s="971"/>
      <c r="N106" s="1092"/>
      <c r="AE106" s="1"/>
      <c r="AT106" s="631" t="e">
        <f t="shared" si="36"/>
        <v>#N/A</v>
      </c>
      <c r="AU106" s="632" t="e">
        <f>VLOOKUP(2,#REF!,3,FALSE)</f>
        <v>#REF!</v>
      </c>
      <c r="AV106" s="632" t="e">
        <f>VLOOKUP(1,E64:N147,3,FALSE)</f>
        <v>#N/A</v>
      </c>
      <c r="AW106" s="632" t="e">
        <f t="shared" si="30"/>
        <v>#N/A</v>
      </c>
      <c r="AX106" s="632" t="e">
        <f t="shared" si="31"/>
        <v>#N/A</v>
      </c>
      <c r="AY106" s="632" t="e">
        <f t="shared" si="32"/>
        <v>#N/A</v>
      </c>
      <c r="AZ106" s="632" t="e">
        <f t="shared" si="33"/>
        <v>#N/A</v>
      </c>
      <c r="BA106" s="632" t="e">
        <f t="shared" si="29"/>
        <v>#N/A</v>
      </c>
    </row>
    <row r="107" spans="3:53" ht="17.25" thickTop="1" thickBot="1">
      <c r="C107">
        <f t="shared" si="40"/>
        <v>0</v>
      </c>
      <c r="D107">
        <f t="shared" si="26"/>
        <v>0</v>
      </c>
      <c r="E107">
        <f t="shared" si="24"/>
        <v>0</v>
      </c>
      <c r="G107" s="1091"/>
      <c r="H107" s="1063">
        <f t="shared" si="41"/>
        <v>0</v>
      </c>
      <c r="I107" s="1064">
        <f>IF(H107='(4) '!C11, ((VLOOKUP( '(4) '!C11,'ورقة أجازة وعدم الأجازة للمختصن'!E12:F23,2,FALSE))/ J100),0)</f>
        <v>0</v>
      </c>
      <c r="J107" s="1074">
        <f t="shared" si="42"/>
        <v>-6</v>
      </c>
      <c r="K107" s="970"/>
      <c r="L107" s="970"/>
      <c r="M107" s="970"/>
      <c r="N107" s="1090"/>
      <c r="AE107" s="1"/>
      <c r="AT107" s="631" t="e">
        <f t="shared" si="36"/>
        <v>#N/A</v>
      </c>
      <c r="AU107" s="632" t="e">
        <f>VLOOKUP(2,#REF!,3,FALSE)</f>
        <v>#REF!</v>
      </c>
      <c r="AV107" s="632" t="e">
        <f>VLOOKUP(1,E64:N147,3,FALSE)</f>
        <v>#N/A</v>
      </c>
      <c r="AW107" s="632" t="e">
        <f t="shared" si="30"/>
        <v>#N/A</v>
      </c>
      <c r="AX107" s="632" t="e">
        <f t="shared" si="31"/>
        <v>#N/A</v>
      </c>
      <c r="AY107" s="632" t="e">
        <f t="shared" si="32"/>
        <v>#N/A</v>
      </c>
      <c r="AZ107" s="632" t="e">
        <f t="shared" si="33"/>
        <v>#N/A</v>
      </c>
      <c r="BA107" s="632" t="e">
        <f t="shared" si="29"/>
        <v>#N/A</v>
      </c>
    </row>
    <row r="108" spans="3:53" ht="17.25" thickTop="1" thickBot="1">
      <c r="C108">
        <f t="shared" si="40"/>
        <v>0</v>
      </c>
      <c r="D108">
        <f t="shared" si="26"/>
        <v>0</v>
      </c>
      <c r="E108">
        <f t="shared" si="24"/>
        <v>0</v>
      </c>
      <c r="G108" s="1089"/>
      <c r="H108" s="1061">
        <f t="shared" si="41"/>
        <v>0</v>
      </c>
      <c r="I108" s="1062">
        <f>IF(H108='(4) '!C11, ((VLOOKUP( '(4) '!C11,'ورقة أجازة وعدم الأجازة للمختصن'!E12:F23,2,FALSE))/ J100),0)</f>
        <v>0</v>
      </c>
      <c r="J108" s="1074">
        <f t="shared" si="42"/>
        <v>-7</v>
      </c>
      <c r="K108" s="971"/>
      <c r="L108" s="971"/>
      <c r="M108" s="971"/>
      <c r="N108" s="1092"/>
      <c r="AT108" s="631" t="e">
        <f t="shared" si="36"/>
        <v>#N/A</v>
      </c>
      <c r="AU108" s="632" t="e">
        <f>VLOOKUP(2,#REF!,3,FALSE)</f>
        <v>#REF!</v>
      </c>
      <c r="AV108" s="632" t="e">
        <f>VLOOKUP(1,E64:N147,3,FALSE)</f>
        <v>#N/A</v>
      </c>
      <c r="AW108" s="632" t="e">
        <f t="shared" ref="AW108:AW139" si="43">VLOOKUP(1,E108:N191,4,FALSE)</f>
        <v>#N/A</v>
      </c>
      <c r="AX108" s="632" t="e">
        <f t="shared" ref="AX108:AX139" si="44">VLOOKUP(1,E108:N191,5,FALSE)</f>
        <v>#N/A</v>
      </c>
      <c r="AY108" s="632" t="e">
        <f t="shared" ref="AY108:AY139" si="45">VLOOKUP(1,E108:N191,6,FALSE)</f>
        <v>#N/A</v>
      </c>
      <c r="AZ108" s="632" t="e">
        <f t="shared" ref="AZ108:AZ139" si="46">VLOOKUP(1,E108:N191,7,FALSE)</f>
        <v>#N/A</v>
      </c>
      <c r="BA108" s="632" t="e">
        <f t="shared" si="29"/>
        <v>#N/A</v>
      </c>
    </row>
    <row r="109" spans="3:53" ht="17.25" thickTop="1" thickBot="1">
      <c r="C109">
        <f t="shared" si="40"/>
        <v>0</v>
      </c>
      <c r="D109">
        <f t="shared" si="26"/>
        <v>0</v>
      </c>
      <c r="E109">
        <f t="shared" si="24"/>
        <v>0</v>
      </c>
      <c r="G109" s="1091"/>
      <c r="H109" s="1063">
        <f t="shared" si="41"/>
        <v>0</v>
      </c>
      <c r="I109" s="1064">
        <f>IF(H109='(4) '!C11, ((VLOOKUP( '(4) '!C11,'ورقة أجازة وعدم الأجازة للمختصن'!E12:F23,2,FALSE))/ J100),0)</f>
        <v>0</v>
      </c>
      <c r="J109" s="1074">
        <f t="shared" si="42"/>
        <v>-8</v>
      </c>
      <c r="K109" s="970"/>
      <c r="L109" s="970"/>
      <c r="M109" s="970"/>
      <c r="N109" s="1090"/>
      <c r="AT109" s="631" t="e">
        <f t="shared" si="36"/>
        <v>#N/A</v>
      </c>
      <c r="AU109" s="632" t="e">
        <f>VLOOKUP(2,#REF!,3,FALSE)</f>
        <v>#REF!</v>
      </c>
      <c r="AV109" s="632" t="e">
        <f>VLOOKUP(1,E64:N147,3,FALSE)</f>
        <v>#N/A</v>
      </c>
      <c r="AW109" s="632" t="e">
        <f t="shared" si="43"/>
        <v>#N/A</v>
      </c>
      <c r="AX109" s="632" t="e">
        <f t="shared" si="44"/>
        <v>#N/A</v>
      </c>
      <c r="AY109" s="632" t="e">
        <f t="shared" si="45"/>
        <v>#N/A</v>
      </c>
      <c r="AZ109" s="632" t="e">
        <f t="shared" si="46"/>
        <v>#N/A</v>
      </c>
      <c r="BA109" s="632" t="e">
        <f t="shared" si="29"/>
        <v>#N/A</v>
      </c>
    </row>
    <row r="110" spans="3:53" ht="17.25" thickTop="1" thickBot="1">
      <c r="C110">
        <f t="shared" si="40"/>
        <v>0</v>
      </c>
      <c r="D110">
        <f t="shared" si="26"/>
        <v>0</v>
      </c>
      <c r="E110">
        <f t="shared" si="24"/>
        <v>0</v>
      </c>
      <c r="G110" s="1089"/>
      <c r="H110" s="1061">
        <f t="shared" si="41"/>
        <v>0</v>
      </c>
      <c r="I110" s="1062">
        <f>IF(H110='(4) '!C11, ((VLOOKUP( '(4) '!C11,'ورقة أجازة وعدم الأجازة للمختصن'!E12:F23,2,FALSE))/ J100),0)</f>
        <v>0</v>
      </c>
      <c r="J110" s="1074">
        <f t="shared" si="42"/>
        <v>-9</v>
      </c>
      <c r="K110" s="971"/>
      <c r="L110" s="971"/>
      <c r="M110" s="971"/>
      <c r="N110" s="1092"/>
      <c r="AT110" s="631" t="e">
        <f t="shared" si="36"/>
        <v>#N/A</v>
      </c>
      <c r="AU110" s="632" t="e">
        <f>VLOOKUP(2,#REF!,3,FALSE)</f>
        <v>#REF!</v>
      </c>
      <c r="AV110" s="632" t="e">
        <f>VLOOKUP(1,E64:N147,3,FALSE)</f>
        <v>#N/A</v>
      </c>
      <c r="AW110" s="632" t="e">
        <f t="shared" si="43"/>
        <v>#N/A</v>
      </c>
      <c r="AX110" s="632" t="e">
        <f t="shared" si="44"/>
        <v>#N/A</v>
      </c>
      <c r="AY110" s="632" t="e">
        <f t="shared" si="45"/>
        <v>#N/A</v>
      </c>
      <c r="AZ110" s="632" t="e">
        <f t="shared" si="46"/>
        <v>#N/A</v>
      </c>
      <c r="BA110" s="632" t="e">
        <f t="shared" si="29"/>
        <v>#N/A</v>
      </c>
    </row>
    <row r="111" spans="3:53" ht="17.25" thickTop="1" thickBot="1">
      <c r="C111">
        <f t="shared" si="40"/>
        <v>0</v>
      </c>
      <c r="D111">
        <f t="shared" si="26"/>
        <v>0</v>
      </c>
      <c r="E111">
        <f t="shared" si="24"/>
        <v>0</v>
      </c>
      <c r="G111" s="1091"/>
      <c r="H111" s="1063">
        <f t="shared" si="41"/>
        <v>0</v>
      </c>
      <c r="I111" s="1064">
        <f>IF(H111='(4) '!C11, ((VLOOKUP( '(4) '!C11,'ورقة أجازة وعدم الأجازة للمختصن'!E12:F23,2,FALSE))/ J100),0)</f>
        <v>0</v>
      </c>
      <c r="J111" s="1075">
        <f t="shared" si="42"/>
        <v>-10</v>
      </c>
      <c r="K111" s="970"/>
      <c r="L111" s="970"/>
      <c r="M111" s="970"/>
      <c r="N111" s="1090"/>
      <c r="AT111" s="631" t="e">
        <f t="shared" ref="AT111:AT142" si="47">VLOOKUP(1,E111:N194,2,FALSE)</f>
        <v>#N/A</v>
      </c>
      <c r="AU111" s="632" t="e">
        <f>VLOOKUP(2,#REF!,3,FALSE)</f>
        <v>#REF!</v>
      </c>
      <c r="AV111" s="632" t="e">
        <f>VLOOKUP(1,E64:N147,3,FALSE)</f>
        <v>#N/A</v>
      </c>
      <c r="AW111" s="632" t="e">
        <f t="shared" si="43"/>
        <v>#N/A</v>
      </c>
      <c r="AX111" s="632" t="e">
        <f t="shared" si="44"/>
        <v>#N/A</v>
      </c>
      <c r="AY111" s="632" t="e">
        <f t="shared" si="45"/>
        <v>#N/A</v>
      </c>
      <c r="AZ111" s="632" t="e">
        <f t="shared" si="46"/>
        <v>#N/A</v>
      </c>
      <c r="BA111" s="632" t="e">
        <f t="shared" si="29"/>
        <v>#N/A</v>
      </c>
    </row>
    <row r="112" spans="3:53" ht="17.25" thickTop="1" thickBot="1">
      <c r="C112">
        <f t="shared" si="40"/>
        <v>0</v>
      </c>
      <c r="D112">
        <f t="shared" si="26"/>
        <v>0</v>
      </c>
      <c r="E112">
        <f t="shared" si="24"/>
        <v>0</v>
      </c>
      <c r="G112" s="1089"/>
      <c r="H112" s="1061">
        <f>IFERROR( ('ورقة أجازة وعدم الأجازة للمختصن'!F35),0)</f>
        <v>0</v>
      </c>
      <c r="I112" s="1062">
        <f>(VLOOKUP('(5) '!C11,'ورقة أجازة وعدم الأجازة للمختصن'!E12:F23,2,FALSE))/ J112</f>
        <v>0</v>
      </c>
      <c r="J112" s="1076">
        <f>(VLOOKUP('(5) '!C11,'ورقة أجازة وعدم الأجازة للمختصن'!E12:G23,3,FALSE))+IF('(5) '!D10=0,1,0)</f>
        <v>1</v>
      </c>
      <c r="K112" s="971"/>
      <c r="L112" s="971"/>
      <c r="M112" s="971"/>
      <c r="N112" s="1092"/>
      <c r="AT112" s="631" t="e">
        <f t="shared" si="47"/>
        <v>#N/A</v>
      </c>
      <c r="AU112" s="632" t="e">
        <f>VLOOKUP(2,#REF!,3,FALSE)</f>
        <v>#REF!</v>
      </c>
      <c r="AV112" s="632" t="e">
        <f>VLOOKUP(1,E64:N147,3,FALSE)</f>
        <v>#N/A</v>
      </c>
      <c r="AW112" s="632" t="e">
        <f t="shared" si="43"/>
        <v>#N/A</v>
      </c>
      <c r="AX112" s="632" t="e">
        <f t="shared" si="44"/>
        <v>#N/A</v>
      </c>
      <c r="AY112" s="632" t="e">
        <f t="shared" si="45"/>
        <v>#N/A</v>
      </c>
      <c r="AZ112" s="632" t="e">
        <f t="shared" si="46"/>
        <v>#N/A</v>
      </c>
      <c r="BA112" s="632" t="e">
        <f t="shared" si="29"/>
        <v>#N/A</v>
      </c>
    </row>
    <row r="113" spans="3:53" ht="17.25" thickTop="1" thickBot="1">
      <c r="C113">
        <f t="shared" si="40"/>
        <v>0</v>
      </c>
      <c r="D113">
        <f t="shared" si="26"/>
        <v>0</v>
      </c>
      <c r="E113">
        <f t="shared" si="24"/>
        <v>0</v>
      </c>
      <c r="G113" s="1091"/>
      <c r="H113" s="1063">
        <f t="shared" ref="H113:H123" si="48">IF(J113&gt;0,H112,0)</f>
        <v>0</v>
      </c>
      <c r="I113" s="1064">
        <f>IF(H113='(5) '!C11, ((VLOOKUP('(5) '!C11,'ورقة أجازة وعدم الأجازة للمختصن'!E12:F23,2,FALSE)) /J112),0)</f>
        <v>0</v>
      </c>
      <c r="J113" s="1077">
        <f t="shared" ref="J113:J123" si="49">J112-1</f>
        <v>0</v>
      </c>
      <c r="K113" s="970"/>
      <c r="L113" s="970"/>
      <c r="M113" s="970"/>
      <c r="N113" s="1090"/>
      <c r="AT113" s="631" t="e">
        <f t="shared" si="47"/>
        <v>#N/A</v>
      </c>
      <c r="AU113" s="632" t="e">
        <f>VLOOKUP(2,#REF!,3,FALSE)</f>
        <v>#REF!</v>
      </c>
      <c r="AV113" s="632" t="e">
        <f>VLOOKUP(1,E64:N147,3,FALSE)</f>
        <v>#N/A</v>
      </c>
      <c r="AW113" s="632" t="e">
        <f t="shared" si="43"/>
        <v>#N/A</v>
      </c>
      <c r="AX113" s="632" t="e">
        <f t="shared" si="44"/>
        <v>#N/A</v>
      </c>
      <c r="AY113" s="632" t="e">
        <f t="shared" si="45"/>
        <v>#N/A</v>
      </c>
      <c r="AZ113" s="632" t="e">
        <f t="shared" si="46"/>
        <v>#N/A</v>
      </c>
      <c r="BA113" s="632" t="e">
        <f t="shared" si="29"/>
        <v>#N/A</v>
      </c>
    </row>
    <row r="114" spans="3:53" ht="17.25" thickTop="1" thickBot="1">
      <c r="C114">
        <f t="shared" si="40"/>
        <v>0</v>
      </c>
      <c r="D114">
        <f t="shared" si="26"/>
        <v>0</v>
      </c>
      <c r="E114">
        <f t="shared" si="24"/>
        <v>0</v>
      </c>
      <c r="G114" s="1089"/>
      <c r="H114" s="1061">
        <f t="shared" si="48"/>
        <v>0</v>
      </c>
      <c r="I114" s="1062">
        <f>IF(H114='(5) '!C11, ((VLOOKUP('(5) '!C11,'ورقة أجازة وعدم الأجازة للمختصن'!E12:F23,2,FALSE))/ J112),0)</f>
        <v>0</v>
      </c>
      <c r="J114" s="1077">
        <f t="shared" si="49"/>
        <v>-1</v>
      </c>
      <c r="K114" s="971"/>
      <c r="L114" s="971"/>
      <c r="M114" s="971"/>
      <c r="N114" s="1092"/>
      <c r="AT114" s="631" t="e">
        <f t="shared" si="47"/>
        <v>#N/A</v>
      </c>
      <c r="AU114" s="632" t="e">
        <f>VLOOKUP(2,#REF!,3,FALSE)</f>
        <v>#REF!</v>
      </c>
      <c r="AV114" s="632" t="e">
        <f>VLOOKUP(1,E64:N147,3,FALSE)</f>
        <v>#N/A</v>
      </c>
      <c r="AW114" s="632" t="e">
        <f t="shared" si="43"/>
        <v>#N/A</v>
      </c>
      <c r="AX114" s="632" t="e">
        <f t="shared" si="44"/>
        <v>#N/A</v>
      </c>
      <c r="AY114" s="632" t="e">
        <f t="shared" si="45"/>
        <v>#N/A</v>
      </c>
      <c r="AZ114" s="632" t="e">
        <f t="shared" si="46"/>
        <v>#N/A</v>
      </c>
      <c r="BA114" s="632" t="e">
        <f t="shared" si="29"/>
        <v>#N/A</v>
      </c>
    </row>
    <row r="115" spans="3:53" ht="17.25" thickTop="1" thickBot="1">
      <c r="C115">
        <f t="shared" si="40"/>
        <v>0</v>
      </c>
      <c r="D115">
        <f t="shared" si="26"/>
        <v>0</v>
      </c>
      <c r="E115">
        <f t="shared" si="24"/>
        <v>0</v>
      </c>
      <c r="G115" s="1091"/>
      <c r="H115" s="1063">
        <f t="shared" si="48"/>
        <v>0</v>
      </c>
      <c r="I115" s="1064">
        <f>IF(H115='(5) '!C11, ((VLOOKUP( '(5) '!C11,'ورقة أجازة وعدم الأجازة للمختصن'!E12:F23,2,FALSE))/ J112),0)</f>
        <v>0</v>
      </c>
      <c r="J115" s="1077">
        <f t="shared" si="49"/>
        <v>-2</v>
      </c>
      <c r="K115" s="970"/>
      <c r="L115" s="970"/>
      <c r="M115" s="970"/>
      <c r="N115" s="1090"/>
      <c r="AT115" s="631" t="e">
        <f t="shared" si="47"/>
        <v>#N/A</v>
      </c>
      <c r="AU115" s="632" t="e">
        <f>VLOOKUP(2,#REF!,3,FALSE)</f>
        <v>#REF!</v>
      </c>
      <c r="AV115" s="632" t="e">
        <f>VLOOKUP(1,E64:N147,3,FALSE)</f>
        <v>#N/A</v>
      </c>
      <c r="AW115" s="632" t="e">
        <f t="shared" si="43"/>
        <v>#N/A</v>
      </c>
      <c r="AX115" s="632" t="e">
        <f t="shared" si="44"/>
        <v>#N/A</v>
      </c>
      <c r="AY115" s="632" t="e">
        <f t="shared" si="45"/>
        <v>#N/A</v>
      </c>
      <c r="AZ115" s="632" t="e">
        <f t="shared" si="46"/>
        <v>#N/A</v>
      </c>
      <c r="BA115" s="632" t="e">
        <f t="shared" si="29"/>
        <v>#N/A</v>
      </c>
    </row>
    <row r="116" spans="3:53" ht="17.25" thickTop="1" thickBot="1">
      <c r="C116">
        <f t="shared" si="40"/>
        <v>0</v>
      </c>
      <c r="D116">
        <f t="shared" si="26"/>
        <v>0</v>
      </c>
      <c r="E116">
        <f t="shared" si="24"/>
        <v>0</v>
      </c>
      <c r="G116" s="1089"/>
      <c r="H116" s="1061">
        <f t="shared" si="48"/>
        <v>0</v>
      </c>
      <c r="I116" s="1062">
        <f>IF(H116='(5) '!C11, ((VLOOKUP( '(5) '!C11,'ورقة أجازة وعدم الأجازة للمختصن'!E12:F23,2,FALSE))/  J112),0)</f>
        <v>0</v>
      </c>
      <c r="J116" s="1077">
        <f t="shared" si="49"/>
        <v>-3</v>
      </c>
      <c r="K116" s="970"/>
      <c r="L116" s="970"/>
      <c r="M116" s="970"/>
      <c r="N116" s="1090"/>
      <c r="AT116" s="631" t="e">
        <f t="shared" si="47"/>
        <v>#N/A</v>
      </c>
      <c r="AU116" s="632" t="e">
        <f>VLOOKUP(2,#REF!,3,FALSE)</f>
        <v>#REF!</v>
      </c>
      <c r="AV116" s="632" t="e">
        <f>VLOOKUP(1,E64:N147,3,FALSE)</f>
        <v>#N/A</v>
      </c>
      <c r="AW116" s="632" t="e">
        <f t="shared" si="43"/>
        <v>#N/A</v>
      </c>
      <c r="AX116" s="632" t="e">
        <f t="shared" si="44"/>
        <v>#N/A</v>
      </c>
      <c r="AY116" s="632" t="e">
        <f t="shared" si="45"/>
        <v>#N/A</v>
      </c>
      <c r="AZ116" s="632" t="e">
        <f t="shared" si="46"/>
        <v>#N/A</v>
      </c>
      <c r="BA116" s="632" t="e">
        <f t="shared" si="29"/>
        <v>#N/A</v>
      </c>
    </row>
    <row r="117" spans="3:53" ht="17.25" thickTop="1" thickBot="1">
      <c r="C117">
        <f t="shared" si="40"/>
        <v>0</v>
      </c>
      <c r="D117">
        <f t="shared" si="26"/>
        <v>0</v>
      </c>
      <c r="E117">
        <f t="shared" si="24"/>
        <v>0</v>
      </c>
      <c r="G117" s="1091"/>
      <c r="H117" s="1063">
        <f t="shared" si="48"/>
        <v>0</v>
      </c>
      <c r="I117" s="1064">
        <f>IF(H117='(5) '!C11, ((VLOOKUP( '(5) '!C11,'ورقة أجازة وعدم الأجازة للمختصن'!E12:F23,2,FALSE))/ J112),0)</f>
        <v>0</v>
      </c>
      <c r="J117" s="1077">
        <f t="shared" si="49"/>
        <v>-4</v>
      </c>
      <c r="K117" s="971"/>
      <c r="L117" s="971"/>
      <c r="M117" s="971"/>
      <c r="N117" s="1092"/>
      <c r="AT117" s="631" t="e">
        <f t="shared" si="47"/>
        <v>#N/A</v>
      </c>
      <c r="AU117" s="632" t="e">
        <f>VLOOKUP(2,#REF!,3,FALSE)</f>
        <v>#REF!</v>
      </c>
      <c r="AV117" s="632" t="e">
        <f>VLOOKUP(1,E64:N147,3,FALSE)</f>
        <v>#N/A</v>
      </c>
      <c r="AW117" s="632" t="e">
        <f t="shared" si="43"/>
        <v>#N/A</v>
      </c>
      <c r="AX117" s="632" t="e">
        <f t="shared" si="44"/>
        <v>#N/A</v>
      </c>
      <c r="AY117" s="632" t="e">
        <f t="shared" si="45"/>
        <v>#N/A</v>
      </c>
      <c r="AZ117" s="632" t="e">
        <f t="shared" si="46"/>
        <v>#N/A</v>
      </c>
      <c r="BA117" s="632" t="e">
        <f t="shared" si="29"/>
        <v>#N/A</v>
      </c>
    </row>
    <row r="118" spans="3:53" ht="17.25" thickTop="1" thickBot="1">
      <c r="C118">
        <f t="shared" si="40"/>
        <v>0</v>
      </c>
      <c r="D118">
        <f t="shared" si="26"/>
        <v>0</v>
      </c>
      <c r="E118">
        <f t="shared" si="24"/>
        <v>0</v>
      </c>
      <c r="G118" s="1089"/>
      <c r="H118" s="1061">
        <f t="shared" si="48"/>
        <v>0</v>
      </c>
      <c r="I118" s="1062">
        <f>IF(H118='(5) '!C11, ((VLOOKUP('(5) '!C11,'ورقة أجازة وعدم الأجازة للمختصن'!E12:F23,2,FALSE))/ J112),0)</f>
        <v>0</v>
      </c>
      <c r="J118" s="1077">
        <f t="shared" si="49"/>
        <v>-5</v>
      </c>
      <c r="K118" s="970"/>
      <c r="L118" s="970"/>
      <c r="M118" s="970"/>
      <c r="N118" s="1090"/>
      <c r="AT118" s="631" t="e">
        <f t="shared" si="47"/>
        <v>#N/A</v>
      </c>
      <c r="AU118" s="632" t="e">
        <f>VLOOKUP(2,#REF!,3,FALSE)</f>
        <v>#REF!</v>
      </c>
      <c r="AV118" s="632" t="e">
        <f>VLOOKUP(1,E64:N147,3,FALSE)</f>
        <v>#N/A</v>
      </c>
      <c r="AW118" s="632" t="e">
        <f t="shared" si="43"/>
        <v>#N/A</v>
      </c>
      <c r="AX118" s="632" t="e">
        <f t="shared" si="44"/>
        <v>#N/A</v>
      </c>
      <c r="AY118" s="632" t="e">
        <f t="shared" si="45"/>
        <v>#N/A</v>
      </c>
      <c r="AZ118" s="632" t="e">
        <f t="shared" si="46"/>
        <v>#N/A</v>
      </c>
      <c r="BA118" s="632" t="e">
        <f t="shared" ref="BA118:BA147" si="50">VLOOKUP(1,E118:N201,8,FALSE)</f>
        <v>#N/A</v>
      </c>
    </row>
    <row r="119" spans="3:53" ht="17.25" thickTop="1" thickBot="1">
      <c r="C119">
        <f t="shared" si="40"/>
        <v>0</v>
      </c>
      <c r="D119">
        <f t="shared" si="26"/>
        <v>0</v>
      </c>
      <c r="E119">
        <f t="shared" si="24"/>
        <v>0</v>
      </c>
      <c r="G119" s="1091"/>
      <c r="H119" s="1063">
        <f t="shared" si="48"/>
        <v>0</v>
      </c>
      <c r="I119" s="1064">
        <f>IF(H119='(5) '!C11, ((VLOOKUP( '(5) '!C11,'ورقة أجازة وعدم الأجازة للمختصن'!E12:F23,2,FALSE))/ J112),0)</f>
        <v>0</v>
      </c>
      <c r="J119" s="1077">
        <f t="shared" si="49"/>
        <v>-6</v>
      </c>
      <c r="K119" s="971"/>
      <c r="L119" s="971"/>
      <c r="M119" s="971"/>
      <c r="N119" s="1092"/>
      <c r="AT119" s="631" t="e">
        <f t="shared" si="47"/>
        <v>#N/A</v>
      </c>
      <c r="AU119" s="632" t="e">
        <f>VLOOKUP(2,#REF!,3,FALSE)</f>
        <v>#REF!</v>
      </c>
      <c r="AV119" s="632" t="e">
        <f>VLOOKUP(1,E64:N147,3,FALSE)</f>
        <v>#N/A</v>
      </c>
      <c r="AW119" s="632" t="e">
        <f t="shared" si="43"/>
        <v>#N/A</v>
      </c>
      <c r="AX119" s="632" t="e">
        <f t="shared" si="44"/>
        <v>#N/A</v>
      </c>
      <c r="AY119" s="632" t="e">
        <f t="shared" si="45"/>
        <v>#N/A</v>
      </c>
      <c r="AZ119" s="632" t="e">
        <f t="shared" si="46"/>
        <v>#N/A</v>
      </c>
      <c r="BA119" s="632" t="e">
        <f t="shared" si="50"/>
        <v>#N/A</v>
      </c>
    </row>
    <row r="120" spans="3:53" ht="17.25" thickTop="1" thickBot="1">
      <c r="C120">
        <f t="shared" si="40"/>
        <v>0</v>
      </c>
      <c r="D120">
        <f t="shared" si="26"/>
        <v>0</v>
      </c>
      <c r="E120">
        <f t="shared" si="24"/>
        <v>0</v>
      </c>
      <c r="G120" s="1089"/>
      <c r="H120" s="1061">
        <f t="shared" si="48"/>
        <v>0</v>
      </c>
      <c r="I120" s="1062">
        <f>IF(H120='(5) '!C11, ((VLOOKUP( '(5) '!C11,'ورقة أجازة وعدم الأجازة للمختصن'!E12:F23,2,FALSE))/ J112),0)</f>
        <v>0</v>
      </c>
      <c r="J120" s="1077">
        <f t="shared" si="49"/>
        <v>-7</v>
      </c>
      <c r="K120" s="970"/>
      <c r="L120" s="970"/>
      <c r="M120" s="970"/>
      <c r="N120" s="1090"/>
      <c r="AT120" s="631" t="e">
        <f t="shared" si="47"/>
        <v>#N/A</v>
      </c>
      <c r="AU120" s="632" t="e">
        <f>VLOOKUP(2,#REF!,3,FALSE)</f>
        <v>#REF!</v>
      </c>
      <c r="AV120" s="632" t="e">
        <f>VLOOKUP(1,E64:N147,3,FALSE)</f>
        <v>#N/A</v>
      </c>
      <c r="AW120" s="632" t="e">
        <f t="shared" si="43"/>
        <v>#N/A</v>
      </c>
      <c r="AX120" s="632" t="e">
        <f t="shared" si="44"/>
        <v>#N/A</v>
      </c>
      <c r="AY120" s="632" t="e">
        <f t="shared" si="45"/>
        <v>#N/A</v>
      </c>
      <c r="AZ120" s="632" t="e">
        <f t="shared" si="46"/>
        <v>#N/A</v>
      </c>
      <c r="BA120" s="632" t="e">
        <f t="shared" si="50"/>
        <v>#N/A</v>
      </c>
    </row>
    <row r="121" spans="3:53" ht="17.25" thickTop="1" thickBot="1">
      <c r="C121">
        <f t="shared" si="40"/>
        <v>0</v>
      </c>
      <c r="D121">
        <f t="shared" si="26"/>
        <v>0</v>
      </c>
      <c r="E121">
        <f t="shared" si="24"/>
        <v>0</v>
      </c>
      <c r="G121" s="1091"/>
      <c r="H121" s="1063">
        <f t="shared" si="48"/>
        <v>0</v>
      </c>
      <c r="I121" s="1064">
        <f>IF(H121='(5) '!C11, ((VLOOKUP( '(5) '!C11,'ورقة أجازة وعدم الأجازة للمختصن'!E12:F23,2,FALSE))/ J112),0)</f>
        <v>0</v>
      </c>
      <c r="J121" s="1077">
        <f t="shared" si="49"/>
        <v>-8</v>
      </c>
      <c r="K121" s="971"/>
      <c r="L121" s="971"/>
      <c r="M121" s="971"/>
      <c r="N121" s="1092"/>
      <c r="AT121" s="631" t="e">
        <f t="shared" si="47"/>
        <v>#N/A</v>
      </c>
      <c r="AU121" s="632" t="e">
        <f>VLOOKUP(2,#REF!,3,FALSE)</f>
        <v>#REF!</v>
      </c>
      <c r="AV121" s="632" t="e">
        <f>VLOOKUP(1,E64:N147,3,FALSE)</f>
        <v>#N/A</v>
      </c>
      <c r="AW121" s="632" t="e">
        <f t="shared" si="43"/>
        <v>#N/A</v>
      </c>
      <c r="AX121" s="632" t="e">
        <f t="shared" si="44"/>
        <v>#N/A</v>
      </c>
      <c r="AY121" s="632" t="e">
        <f t="shared" si="45"/>
        <v>#N/A</v>
      </c>
      <c r="AZ121" s="632" t="e">
        <f t="shared" si="46"/>
        <v>#N/A</v>
      </c>
      <c r="BA121" s="632" t="e">
        <f t="shared" si="50"/>
        <v>#N/A</v>
      </c>
    </row>
    <row r="122" spans="3:53" ht="17.25" thickTop="1" thickBot="1">
      <c r="C122">
        <f t="shared" si="40"/>
        <v>0</v>
      </c>
      <c r="D122">
        <f t="shared" si="26"/>
        <v>0</v>
      </c>
      <c r="E122">
        <f t="shared" si="24"/>
        <v>0</v>
      </c>
      <c r="G122" s="1089"/>
      <c r="H122" s="1061">
        <f t="shared" si="48"/>
        <v>0</v>
      </c>
      <c r="I122" s="1067">
        <f>IF(H122='(5) '!C11, ((VLOOKUP( '(5) '!C11,'ورقة أجازة وعدم الأجازة للمختصن'!E12:F23,2,FALSE))/ J112),0)</f>
        <v>0</v>
      </c>
      <c r="J122" s="1077">
        <f t="shared" si="49"/>
        <v>-9</v>
      </c>
      <c r="K122" s="970"/>
      <c r="L122" s="970"/>
      <c r="M122" s="970"/>
      <c r="N122" s="1090"/>
      <c r="AT122" s="631" t="e">
        <f t="shared" si="47"/>
        <v>#N/A</v>
      </c>
      <c r="AU122" s="632" t="e">
        <f>VLOOKUP(2,#REF!,3,FALSE)</f>
        <v>#REF!</v>
      </c>
      <c r="AV122" s="632" t="e">
        <f>VLOOKUP(1,E64:N147,3,FALSE)</f>
        <v>#N/A</v>
      </c>
      <c r="AW122" s="632" t="e">
        <f t="shared" si="43"/>
        <v>#N/A</v>
      </c>
      <c r="AX122" s="632" t="e">
        <f t="shared" si="44"/>
        <v>#N/A</v>
      </c>
      <c r="AY122" s="632" t="e">
        <f t="shared" si="45"/>
        <v>#N/A</v>
      </c>
      <c r="AZ122" s="632" t="e">
        <f t="shared" si="46"/>
        <v>#N/A</v>
      </c>
      <c r="BA122" s="632" t="e">
        <f t="shared" si="50"/>
        <v>#N/A</v>
      </c>
    </row>
    <row r="123" spans="3:53" ht="17.25" thickTop="1" thickBot="1">
      <c r="C123">
        <f t="shared" si="40"/>
        <v>0</v>
      </c>
      <c r="D123">
        <f t="shared" si="26"/>
        <v>0</v>
      </c>
      <c r="E123">
        <f t="shared" si="24"/>
        <v>0</v>
      </c>
      <c r="G123" s="1091"/>
      <c r="H123" s="1063">
        <f t="shared" si="48"/>
        <v>0</v>
      </c>
      <c r="I123" s="1068">
        <f>IF(H123='(5) '!C11, ((VLOOKUP( '(5) '!C11,'ورقة أجازة وعدم الأجازة للمختصن'!E12:F23,2,FALSE))/ J112),0)</f>
        <v>0</v>
      </c>
      <c r="J123" s="1078">
        <f t="shared" si="49"/>
        <v>-10</v>
      </c>
      <c r="K123" s="971"/>
      <c r="L123" s="971"/>
      <c r="M123" s="971"/>
      <c r="N123" s="1092"/>
      <c r="AT123" s="631" t="e">
        <f t="shared" si="47"/>
        <v>#N/A</v>
      </c>
      <c r="AU123" s="632" t="e">
        <f>VLOOKUP(2,#REF!,3,FALSE)</f>
        <v>#REF!</v>
      </c>
      <c r="AV123" s="632" t="e">
        <f>VLOOKUP(1,E64:N147,3,FALSE)</f>
        <v>#N/A</v>
      </c>
      <c r="AW123" s="632" t="e">
        <f t="shared" si="43"/>
        <v>#N/A</v>
      </c>
      <c r="AX123" s="632" t="e">
        <f t="shared" si="44"/>
        <v>#N/A</v>
      </c>
      <c r="AY123" s="632" t="e">
        <f t="shared" si="45"/>
        <v>#N/A</v>
      </c>
      <c r="AZ123" s="632" t="e">
        <f t="shared" si="46"/>
        <v>#N/A</v>
      </c>
      <c r="BA123" s="632" t="e">
        <f t="shared" si="50"/>
        <v>#N/A</v>
      </c>
    </row>
    <row r="124" spans="3:53" ht="17.25" thickTop="1" thickBot="1">
      <c r="C124">
        <f t="shared" si="40"/>
        <v>0</v>
      </c>
      <c r="D124">
        <f t="shared" si="26"/>
        <v>0</v>
      </c>
      <c r="E124">
        <f t="shared" si="24"/>
        <v>0</v>
      </c>
      <c r="G124" s="1089"/>
      <c r="H124" s="1061">
        <f>IFERROR( ('ورقة أجازة وعدم الأجازة للمختصن'!F36),0)</f>
        <v>0</v>
      </c>
      <c r="I124" s="1067">
        <f>(VLOOKUP('(6) '!C11,'ورقة أجازة وعدم الأجازة للمختصن'!E12:F23,2,FALSE))/ J124</f>
        <v>0</v>
      </c>
      <c r="J124" s="1076">
        <f>(VLOOKUP('(6) '!C11,'ورقة أجازة وعدم الأجازة للمختصن'!E12:G23,3,FALSE))+IF('(6) '!D10=0,1,0)</f>
        <v>1</v>
      </c>
      <c r="K124" s="970"/>
      <c r="L124" s="970"/>
      <c r="M124" s="970"/>
      <c r="N124" s="1090"/>
      <c r="AT124" s="631" t="e">
        <f t="shared" si="47"/>
        <v>#N/A</v>
      </c>
      <c r="AU124" s="632" t="e">
        <f>VLOOKUP(2,#REF!,3,FALSE)</f>
        <v>#REF!</v>
      </c>
      <c r="AV124" s="632" t="e">
        <f>VLOOKUP(1,E64:N147,3,FALSE)</f>
        <v>#N/A</v>
      </c>
      <c r="AW124" s="632" t="e">
        <f t="shared" si="43"/>
        <v>#N/A</v>
      </c>
      <c r="AX124" s="632" t="e">
        <f t="shared" si="44"/>
        <v>#N/A</v>
      </c>
      <c r="AY124" s="632" t="e">
        <f t="shared" si="45"/>
        <v>#N/A</v>
      </c>
      <c r="AZ124" s="632" t="e">
        <f t="shared" si="46"/>
        <v>#N/A</v>
      </c>
      <c r="BA124" s="632" t="e">
        <f t="shared" si="50"/>
        <v>#N/A</v>
      </c>
    </row>
    <row r="125" spans="3:53" ht="17.25" thickTop="1" thickBot="1">
      <c r="C125">
        <f t="shared" si="40"/>
        <v>0</v>
      </c>
      <c r="D125">
        <f t="shared" si="26"/>
        <v>0</v>
      </c>
      <c r="E125">
        <f t="shared" si="24"/>
        <v>0</v>
      </c>
      <c r="G125" s="1091"/>
      <c r="H125" s="1063">
        <f t="shared" ref="H125:H135" si="51">IF(J125&gt;0,H124,0)</f>
        <v>0</v>
      </c>
      <c r="I125" s="1068">
        <f>IF(H125='(6) '!C11, ((VLOOKUP('(6) '!C11,'ورقة أجازة وعدم الأجازة للمختصن'!E12:F23,2,FALSE)) /J124),0)</f>
        <v>0</v>
      </c>
      <c r="J125" s="1077">
        <f t="shared" ref="J125:J135" si="52">J124-1</f>
        <v>0</v>
      </c>
      <c r="K125" s="971"/>
      <c r="L125" s="971"/>
      <c r="M125" s="971"/>
      <c r="N125" s="1092"/>
      <c r="AT125" s="631" t="e">
        <f t="shared" si="47"/>
        <v>#N/A</v>
      </c>
      <c r="AU125" s="632" t="e">
        <f>VLOOKUP(2,#REF!,3,FALSE)</f>
        <v>#REF!</v>
      </c>
      <c r="AV125" s="632" t="e">
        <f>VLOOKUP(1,E64:N147,3,FALSE)</f>
        <v>#N/A</v>
      </c>
      <c r="AW125" s="632" t="e">
        <f t="shared" si="43"/>
        <v>#N/A</v>
      </c>
      <c r="AX125" s="632" t="e">
        <f t="shared" si="44"/>
        <v>#N/A</v>
      </c>
      <c r="AY125" s="632" t="e">
        <f t="shared" si="45"/>
        <v>#N/A</v>
      </c>
      <c r="AZ125" s="632" t="e">
        <f t="shared" si="46"/>
        <v>#N/A</v>
      </c>
      <c r="BA125" s="632" t="e">
        <f t="shared" si="50"/>
        <v>#N/A</v>
      </c>
    </row>
    <row r="126" spans="3:53" ht="17.25" thickTop="1" thickBot="1">
      <c r="C126">
        <f t="shared" si="40"/>
        <v>0</v>
      </c>
      <c r="D126">
        <f t="shared" si="26"/>
        <v>0</v>
      </c>
      <c r="E126">
        <f t="shared" si="24"/>
        <v>0</v>
      </c>
      <c r="G126" s="1089"/>
      <c r="H126" s="1061">
        <f t="shared" si="51"/>
        <v>0</v>
      </c>
      <c r="I126" s="1067">
        <f>IF(H126='(6) '!C11, ((VLOOKUP('(6) '!C11,'ورقة أجازة وعدم الأجازة للمختصن'!E12:F23,2,FALSE))/ J124),0)</f>
        <v>0</v>
      </c>
      <c r="J126" s="1077">
        <f t="shared" si="52"/>
        <v>-1</v>
      </c>
      <c r="K126" s="970"/>
      <c r="L126" s="970"/>
      <c r="M126" s="970"/>
      <c r="N126" s="1090"/>
      <c r="AT126" s="631" t="e">
        <f t="shared" si="47"/>
        <v>#N/A</v>
      </c>
      <c r="AU126" s="632" t="e">
        <f>VLOOKUP(2,#REF!,3,FALSE)</f>
        <v>#REF!</v>
      </c>
      <c r="AV126" s="632" t="e">
        <f>VLOOKUP(1,E64:N147,3,FALSE)</f>
        <v>#N/A</v>
      </c>
      <c r="AW126" s="632" t="e">
        <f t="shared" si="43"/>
        <v>#N/A</v>
      </c>
      <c r="AX126" s="632" t="e">
        <f t="shared" si="44"/>
        <v>#N/A</v>
      </c>
      <c r="AY126" s="632" t="e">
        <f t="shared" si="45"/>
        <v>#N/A</v>
      </c>
      <c r="AZ126" s="632" t="e">
        <f t="shared" si="46"/>
        <v>#N/A</v>
      </c>
      <c r="BA126" s="632" t="e">
        <f t="shared" si="50"/>
        <v>#N/A</v>
      </c>
    </row>
    <row r="127" spans="3:53" ht="17.25" thickTop="1" thickBot="1">
      <c r="C127">
        <f t="shared" si="40"/>
        <v>0</v>
      </c>
      <c r="D127">
        <f t="shared" si="26"/>
        <v>0</v>
      </c>
      <c r="E127">
        <f t="shared" si="24"/>
        <v>0</v>
      </c>
      <c r="G127" s="1091"/>
      <c r="H127" s="1063">
        <f t="shared" si="51"/>
        <v>0</v>
      </c>
      <c r="I127" s="1068">
        <f>IF(H127='(6) '!C11, ((VLOOKUP( '(6) '!C11,'ورقة أجازة وعدم الأجازة للمختصن'!E12:F23,2,FALSE))/ J124),0)</f>
        <v>0</v>
      </c>
      <c r="J127" s="1077">
        <f t="shared" si="52"/>
        <v>-2</v>
      </c>
      <c r="K127" s="971"/>
      <c r="L127" s="971"/>
      <c r="M127" s="971"/>
      <c r="N127" s="1092"/>
      <c r="AT127" s="631" t="e">
        <f t="shared" si="47"/>
        <v>#N/A</v>
      </c>
      <c r="AU127" s="632" t="e">
        <f>VLOOKUP(2,#REF!,3,FALSE)</f>
        <v>#REF!</v>
      </c>
      <c r="AV127" s="632" t="e">
        <f>VLOOKUP(1,E64:N147,3,FALSE)</f>
        <v>#N/A</v>
      </c>
      <c r="AW127" s="632" t="e">
        <f t="shared" si="43"/>
        <v>#N/A</v>
      </c>
      <c r="AX127" s="632" t="e">
        <f t="shared" si="44"/>
        <v>#N/A</v>
      </c>
      <c r="AY127" s="632" t="e">
        <f t="shared" si="45"/>
        <v>#N/A</v>
      </c>
      <c r="AZ127" s="632" t="e">
        <f t="shared" si="46"/>
        <v>#N/A</v>
      </c>
      <c r="BA127" s="632" t="e">
        <f t="shared" si="50"/>
        <v>#N/A</v>
      </c>
    </row>
    <row r="128" spans="3:53" ht="17.25" thickTop="1" thickBot="1">
      <c r="C128">
        <f t="shared" si="40"/>
        <v>0</v>
      </c>
      <c r="D128">
        <f t="shared" si="26"/>
        <v>0</v>
      </c>
      <c r="E128">
        <f t="shared" ref="E128:E153" si="53">IFERROR(C128,0)</f>
        <v>0</v>
      </c>
      <c r="G128" s="1089"/>
      <c r="H128" s="1061">
        <f t="shared" si="51"/>
        <v>0</v>
      </c>
      <c r="I128" s="1067">
        <f>IF(H128='(6) '!C11, ((VLOOKUP( '(6) '!C11,'ورقة أجازة وعدم الأجازة للمختصن'!E12:F23,2,FALSE))/  J124),0)</f>
        <v>0</v>
      </c>
      <c r="J128" s="1077">
        <f t="shared" si="52"/>
        <v>-3</v>
      </c>
      <c r="K128" s="970"/>
      <c r="L128" s="970"/>
      <c r="M128" s="970"/>
      <c r="N128" s="1090"/>
      <c r="AT128" s="631" t="e">
        <f t="shared" si="47"/>
        <v>#N/A</v>
      </c>
      <c r="AU128" s="632" t="e">
        <f>VLOOKUP(2,#REF!,3,FALSE)</f>
        <v>#REF!</v>
      </c>
      <c r="AV128" s="632" t="e">
        <f>VLOOKUP(1,E64:N147,3,FALSE)</f>
        <v>#N/A</v>
      </c>
      <c r="AW128" s="632" t="e">
        <f t="shared" si="43"/>
        <v>#N/A</v>
      </c>
      <c r="AX128" s="632" t="e">
        <f t="shared" si="44"/>
        <v>#N/A</v>
      </c>
      <c r="AY128" s="632" t="e">
        <f t="shared" si="45"/>
        <v>#N/A</v>
      </c>
      <c r="AZ128" s="632" t="e">
        <f t="shared" si="46"/>
        <v>#N/A</v>
      </c>
      <c r="BA128" s="632" t="e">
        <f t="shared" si="50"/>
        <v>#N/A</v>
      </c>
    </row>
    <row r="129" spans="3:53" ht="17.25" thickTop="1" thickBot="1">
      <c r="C129">
        <f t="shared" ref="C129:C153" si="54">IF(I129&gt;0, C128+1,C128)</f>
        <v>0</v>
      </c>
      <c r="D129">
        <f t="shared" ref="D129:D153" si="55">$B$18</f>
        <v>0</v>
      </c>
      <c r="E129">
        <f t="shared" si="53"/>
        <v>0</v>
      </c>
      <c r="G129" s="1091"/>
      <c r="H129" s="1063">
        <f t="shared" si="51"/>
        <v>0</v>
      </c>
      <c r="I129" s="1068">
        <f>IF(H129='(6) '!C11, ((VLOOKUP( '(6) '!C11,'ورقة أجازة وعدم الأجازة للمختصن'!E12:F23,2,FALSE))/ J124),0)</f>
        <v>0</v>
      </c>
      <c r="J129" s="1077">
        <f t="shared" si="52"/>
        <v>-4</v>
      </c>
      <c r="K129" s="970"/>
      <c r="L129" s="970"/>
      <c r="M129" s="970"/>
      <c r="N129" s="1090"/>
      <c r="AT129" s="631" t="e">
        <f t="shared" si="47"/>
        <v>#N/A</v>
      </c>
      <c r="AU129" s="632" t="e">
        <f>VLOOKUP(2,#REF!,3,FALSE)</f>
        <v>#REF!</v>
      </c>
      <c r="AV129" s="632" t="e">
        <f>VLOOKUP(1,E64:N147,3,FALSE)</f>
        <v>#N/A</v>
      </c>
      <c r="AW129" s="632" t="e">
        <f t="shared" si="43"/>
        <v>#N/A</v>
      </c>
      <c r="AX129" s="632" t="e">
        <f t="shared" si="44"/>
        <v>#N/A</v>
      </c>
      <c r="AY129" s="632" t="e">
        <f t="shared" si="45"/>
        <v>#N/A</v>
      </c>
      <c r="AZ129" s="632" t="e">
        <f t="shared" si="46"/>
        <v>#N/A</v>
      </c>
      <c r="BA129" s="632" t="e">
        <f t="shared" si="50"/>
        <v>#N/A</v>
      </c>
    </row>
    <row r="130" spans="3:53" ht="17.25" thickTop="1" thickBot="1">
      <c r="C130">
        <f t="shared" si="54"/>
        <v>0</v>
      </c>
      <c r="D130">
        <f t="shared" si="55"/>
        <v>0</v>
      </c>
      <c r="E130">
        <f t="shared" si="53"/>
        <v>0</v>
      </c>
      <c r="G130" s="1089"/>
      <c r="H130" s="1061">
        <f t="shared" si="51"/>
        <v>0</v>
      </c>
      <c r="I130" s="1067">
        <f>IF(H130='(6) '!C11, ((VLOOKUP('(6) '!C11,'ورقة أجازة وعدم الأجازة للمختصن'!E12:F23,2,FALSE))/ J124),0)</f>
        <v>0</v>
      </c>
      <c r="J130" s="1077">
        <f t="shared" si="52"/>
        <v>-5</v>
      </c>
      <c r="K130" s="971"/>
      <c r="L130" s="971"/>
      <c r="M130" s="971"/>
      <c r="N130" s="1092"/>
      <c r="AT130" s="631" t="e">
        <f t="shared" si="47"/>
        <v>#N/A</v>
      </c>
      <c r="AU130" s="632" t="e">
        <f>VLOOKUP(2,#REF!,3,FALSE)</f>
        <v>#REF!</v>
      </c>
      <c r="AV130" s="632" t="e">
        <f>VLOOKUP(1,E64:N147,3,FALSE)</f>
        <v>#N/A</v>
      </c>
      <c r="AW130" s="632" t="e">
        <f t="shared" si="43"/>
        <v>#N/A</v>
      </c>
      <c r="AX130" s="632" t="e">
        <f t="shared" si="44"/>
        <v>#N/A</v>
      </c>
      <c r="AY130" s="632" t="e">
        <f t="shared" si="45"/>
        <v>#N/A</v>
      </c>
      <c r="AZ130" s="632" t="e">
        <f t="shared" si="46"/>
        <v>#N/A</v>
      </c>
      <c r="BA130" s="632" t="e">
        <f t="shared" si="50"/>
        <v>#N/A</v>
      </c>
    </row>
    <row r="131" spans="3:53" ht="17.25" thickTop="1" thickBot="1">
      <c r="C131">
        <f t="shared" si="54"/>
        <v>0</v>
      </c>
      <c r="D131">
        <f t="shared" si="55"/>
        <v>0</v>
      </c>
      <c r="E131">
        <f t="shared" si="53"/>
        <v>0</v>
      </c>
      <c r="G131" s="1091"/>
      <c r="H131" s="1063">
        <f t="shared" si="51"/>
        <v>0</v>
      </c>
      <c r="I131" s="1068">
        <f>IF(H131='(6) '!C11, ((VLOOKUP( '(6) '!C11,'ورقة أجازة وعدم الأجازة للمختصن'!E12:F23,2,FALSE))/ J124),0)</f>
        <v>0</v>
      </c>
      <c r="J131" s="1077">
        <f t="shared" si="52"/>
        <v>-6</v>
      </c>
      <c r="K131" s="970"/>
      <c r="L131" s="970"/>
      <c r="M131" s="970"/>
      <c r="N131" s="1090"/>
      <c r="AT131" s="631" t="e">
        <f t="shared" si="47"/>
        <v>#N/A</v>
      </c>
      <c r="AU131" s="632" t="e">
        <f>VLOOKUP(2,#REF!,3,FALSE)</f>
        <v>#REF!</v>
      </c>
      <c r="AV131" s="632" t="e">
        <f>VLOOKUP(1,E64:N147,3,FALSE)</f>
        <v>#N/A</v>
      </c>
      <c r="AW131" s="632" t="e">
        <f t="shared" si="43"/>
        <v>#N/A</v>
      </c>
      <c r="AX131" s="632" t="e">
        <f t="shared" si="44"/>
        <v>#N/A</v>
      </c>
      <c r="AY131" s="632" t="e">
        <f t="shared" si="45"/>
        <v>#N/A</v>
      </c>
      <c r="AZ131" s="632" t="e">
        <f t="shared" si="46"/>
        <v>#N/A</v>
      </c>
      <c r="BA131" s="632" t="e">
        <f t="shared" si="50"/>
        <v>#N/A</v>
      </c>
    </row>
    <row r="132" spans="3:53" ht="17.25" thickTop="1" thickBot="1">
      <c r="C132">
        <f t="shared" si="54"/>
        <v>0</v>
      </c>
      <c r="D132">
        <f t="shared" si="55"/>
        <v>0</v>
      </c>
      <c r="E132">
        <f t="shared" si="53"/>
        <v>0</v>
      </c>
      <c r="G132" s="1089"/>
      <c r="H132" s="1061">
        <f t="shared" si="51"/>
        <v>0</v>
      </c>
      <c r="I132" s="1067">
        <f>IF(H132='(6) '!C11, ((VLOOKUP( '(6) '!C11,'ورقة أجازة وعدم الأجازة للمختصن'!E12:F23,2,FALSE))/ J124),0)</f>
        <v>0</v>
      </c>
      <c r="J132" s="1077">
        <f t="shared" si="52"/>
        <v>-7</v>
      </c>
      <c r="K132" s="971"/>
      <c r="L132" s="971"/>
      <c r="M132" s="971"/>
      <c r="N132" s="1092"/>
      <c r="AT132" s="631" t="e">
        <f t="shared" si="47"/>
        <v>#N/A</v>
      </c>
      <c r="AU132" s="632" t="e">
        <f>VLOOKUP(2,#REF!,3,FALSE)</f>
        <v>#REF!</v>
      </c>
      <c r="AV132" s="632" t="e">
        <f>VLOOKUP(1,E64:N147,3,FALSE)</f>
        <v>#N/A</v>
      </c>
      <c r="AW132" s="632" t="e">
        <f t="shared" si="43"/>
        <v>#N/A</v>
      </c>
      <c r="AX132" s="632" t="e">
        <f t="shared" si="44"/>
        <v>#N/A</v>
      </c>
      <c r="AY132" s="632" t="e">
        <f t="shared" si="45"/>
        <v>#N/A</v>
      </c>
      <c r="AZ132" s="632" t="e">
        <f t="shared" si="46"/>
        <v>#N/A</v>
      </c>
      <c r="BA132" s="632" t="e">
        <f t="shared" si="50"/>
        <v>#N/A</v>
      </c>
    </row>
    <row r="133" spans="3:53" ht="17.25" thickTop="1" thickBot="1">
      <c r="C133">
        <f t="shared" si="54"/>
        <v>0</v>
      </c>
      <c r="D133">
        <f t="shared" si="55"/>
        <v>0</v>
      </c>
      <c r="E133">
        <f t="shared" si="53"/>
        <v>0</v>
      </c>
      <c r="G133" s="1091"/>
      <c r="H133" s="1063">
        <f t="shared" si="51"/>
        <v>0</v>
      </c>
      <c r="I133" s="1068">
        <f>IF(H133='(6) '!C11, ((VLOOKUP( '(6) '!C11,'ورقة أجازة وعدم الأجازة للمختصن'!E12:F23,2,FALSE))/ J124),0)</f>
        <v>0</v>
      </c>
      <c r="J133" s="1077">
        <f t="shared" si="52"/>
        <v>-8</v>
      </c>
      <c r="K133" s="970"/>
      <c r="L133" s="970"/>
      <c r="M133" s="970"/>
      <c r="N133" s="1090"/>
      <c r="AT133" s="631" t="e">
        <f t="shared" si="47"/>
        <v>#N/A</v>
      </c>
      <c r="AU133" s="632" t="e">
        <f>VLOOKUP(2,#REF!,3,FALSE)</f>
        <v>#REF!</v>
      </c>
      <c r="AV133" s="632" t="e">
        <f>VLOOKUP(1,E64:N147,3,FALSE)</f>
        <v>#N/A</v>
      </c>
      <c r="AW133" s="632" t="e">
        <f t="shared" si="43"/>
        <v>#N/A</v>
      </c>
      <c r="AX133" s="632" t="e">
        <f t="shared" si="44"/>
        <v>#N/A</v>
      </c>
      <c r="AY133" s="632" t="e">
        <f t="shared" si="45"/>
        <v>#N/A</v>
      </c>
      <c r="AZ133" s="632" t="e">
        <f t="shared" si="46"/>
        <v>#N/A</v>
      </c>
      <c r="BA133" s="632" t="e">
        <f t="shared" si="50"/>
        <v>#N/A</v>
      </c>
    </row>
    <row r="134" spans="3:53" ht="17.25" thickTop="1" thickBot="1">
      <c r="C134">
        <f t="shared" si="54"/>
        <v>0</v>
      </c>
      <c r="D134">
        <f t="shared" si="55"/>
        <v>0</v>
      </c>
      <c r="E134">
        <f t="shared" si="53"/>
        <v>0</v>
      </c>
      <c r="G134" s="1089"/>
      <c r="H134" s="1061">
        <f t="shared" si="51"/>
        <v>0</v>
      </c>
      <c r="I134" s="1067">
        <f>IF(H134='(6) '!C11, ((VLOOKUP( '(6) '!C11,'ورقة أجازة وعدم الأجازة للمختصن'!E12:F23,2,FALSE))/ J124),0)</f>
        <v>0</v>
      </c>
      <c r="J134" s="1077">
        <f t="shared" si="52"/>
        <v>-9</v>
      </c>
      <c r="K134" s="971"/>
      <c r="L134" s="971"/>
      <c r="M134" s="971"/>
      <c r="N134" s="1092"/>
      <c r="AT134" s="631" t="e">
        <f t="shared" si="47"/>
        <v>#N/A</v>
      </c>
      <c r="AU134" s="632" t="e">
        <f>VLOOKUP(2,#REF!,3,FALSE)</f>
        <v>#REF!</v>
      </c>
      <c r="AV134" s="632" t="e">
        <f>VLOOKUP(1,E64:N147,3,FALSE)</f>
        <v>#N/A</v>
      </c>
      <c r="AW134" s="632" t="e">
        <f t="shared" si="43"/>
        <v>#N/A</v>
      </c>
      <c r="AX134" s="632" t="e">
        <f t="shared" si="44"/>
        <v>#N/A</v>
      </c>
      <c r="AY134" s="632" t="e">
        <f t="shared" si="45"/>
        <v>#N/A</v>
      </c>
      <c r="AZ134" s="632" t="e">
        <f t="shared" si="46"/>
        <v>#N/A</v>
      </c>
      <c r="BA134" s="632" t="e">
        <f t="shared" si="50"/>
        <v>#N/A</v>
      </c>
    </row>
    <row r="135" spans="3:53" ht="17.25" thickTop="1" thickBot="1">
      <c r="C135">
        <f t="shared" si="54"/>
        <v>0</v>
      </c>
      <c r="D135">
        <f t="shared" si="55"/>
        <v>0</v>
      </c>
      <c r="E135">
        <f t="shared" si="53"/>
        <v>0</v>
      </c>
      <c r="G135" s="1091"/>
      <c r="H135" s="1063">
        <f t="shared" si="51"/>
        <v>0</v>
      </c>
      <c r="I135" s="1068">
        <f>IF(H135='(6) '!C11, ((VLOOKUP( '(6) '!C11,'ورقة أجازة وعدم الأجازة للمختصن'!E12:F23,2,FALSE))/ J124),0)</f>
        <v>0</v>
      </c>
      <c r="J135" s="1078">
        <f t="shared" si="52"/>
        <v>-10</v>
      </c>
      <c r="K135" s="970"/>
      <c r="L135" s="970"/>
      <c r="M135" s="970"/>
      <c r="N135" s="1090"/>
      <c r="AT135" s="631" t="e">
        <f t="shared" si="47"/>
        <v>#N/A</v>
      </c>
      <c r="AU135" s="632" t="e">
        <f>VLOOKUP(2,#REF!,3,FALSE)</f>
        <v>#REF!</v>
      </c>
      <c r="AV135" s="632" t="e">
        <f>VLOOKUP(1,E64:N147,3,FALSE)</f>
        <v>#N/A</v>
      </c>
      <c r="AW135" s="632" t="e">
        <f t="shared" si="43"/>
        <v>#N/A</v>
      </c>
      <c r="AX135" s="632" t="e">
        <f t="shared" si="44"/>
        <v>#N/A</v>
      </c>
      <c r="AY135" s="632" t="e">
        <f t="shared" si="45"/>
        <v>#N/A</v>
      </c>
      <c r="AZ135" s="632" t="e">
        <f t="shared" si="46"/>
        <v>#N/A</v>
      </c>
      <c r="BA135" s="632" t="e">
        <f t="shared" si="50"/>
        <v>#N/A</v>
      </c>
    </row>
    <row r="136" spans="3:53" ht="17.25" thickTop="1" thickBot="1">
      <c r="C136">
        <f t="shared" si="54"/>
        <v>0</v>
      </c>
      <c r="D136">
        <f t="shared" si="55"/>
        <v>0</v>
      </c>
      <c r="E136">
        <f t="shared" si="53"/>
        <v>0</v>
      </c>
      <c r="G136" s="1089"/>
      <c r="H136" s="1061">
        <f>IFERROR( ('ورقة أجازة وعدم الأجازة للمختصن'!F37),0)</f>
        <v>0</v>
      </c>
      <c r="I136" s="1067">
        <f>(VLOOKUP('(7) '!C11,'ورقة أجازة وعدم الأجازة للمختصن'!E12:F23,2,FALSE))/ J136</f>
        <v>0</v>
      </c>
      <c r="J136" s="1073">
        <f>(VLOOKUP('(7) '!C11,'ورقة أجازة وعدم الأجازة للمختصن'!E12:G23,3,FALSE))+IF('(7) '!D10=0,1,0)</f>
        <v>1</v>
      </c>
      <c r="K136" s="971"/>
      <c r="L136" s="971"/>
      <c r="M136" s="971"/>
      <c r="N136" s="1092"/>
      <c r="AT136" s="631" t="e">
        <f t="shared" si="47"/>
        <v>#N/A</v>
      </c>
      <c r="AU136" s="632" t="e">
        <f>VLOOKUP(2,#REF!,3,FALSE)</f>
        <v>#REF!</v>
      </c>
      <c r="AV136" s="632" t="e">
        <f>VLOOKUP(1,E64:N147,3,FALSE)</f>
        <v>#N/A</v>
      </c>
      <c r="AW136" s="632" t="e">
        <f t="shared" si="43"/>
        <v>#N/A</v>
      </c>
      <c r="AX136" s="632" t="e">
        <f t="shared" si="44"/>
        <v>#N/A</v>
      </c>
      <c r="AY136" s="632" t="e">
        <f t="shared" si="45"/>
        <v>#N/A</v>
      </c>
      <c r="AZ136" s="632" t="e">
        <f t="shared" si="46"/>
        <v>#N/A</v>
      </c>
      <c r="BA136" s="632" t="e">
        <f t="shared" si="50"/>
        <v>#N/A</v>
      </c>
    </row>
    <row r="137" spans="3:53" ht="17.25" thickTop="1" thickBot="1">
      <c r="C137">
        <f t="shared" si="54"/>
        <v>0</v>
      </c>
      <c r="D137">
        <f t="shared" si="55"/>
        <v>0</v>
      </c>
      <c r="E137">
        <f t="shared" si="53"/>
        <v>0</v>
      </c>
      <c r="G137" s="1091"/>
      <c r="H137" s="1063">
        <f t="shared" ref="H137:H147" si="56">IF(J137&gt;0,H136,0)</f>
        <v>0</v>
      </c>
      <c r="I137" s="1068">
        <f>IF(H137='(7) '!C11, ((VLOOKUP('(7) '!C11,'ورقة أجازة وعدم الأجازة للمختصن'!E12:F23,2,FALSE)) /J136),0)</f>
        <v>0</v>
      </c>
      <c r="J137" s="1074">
        <f t="shared" ref="J137:J147" si="57">J136-1</f>
        <v>0</v>
      </c>
      <c r="K137" s="970"/>
      <c r="L137" s="970"/>
      <c r="M137" s="970"/>
      <c r="N137" s="1090"/>
      <c r="AT137" s="631" t="e">
        <f t="shared" si="47"/>
        <v>#N/A</v>
      </c>
      <c r="AU137" s="632" t="e">
        <f>VLOOKUP(2,#REF!,3,FALSE)</f>
        <v>#REF!</v>
      </c>
      <c r="AV137" s="632" t="e">
        <f>VLOOKUP(1,E64:N147,3,FALSE)</f>
        <v>#N/A</v>
      </c>
      <c r="AW137" s="632" t="e">
        <f t="shared" si="43"/>
        <v>#N/A</v>
      </c>
      <c r="AX137" s="632" t="e">
        <f t="shared" si="44"/>
        <v>#N/A</v>
      </c>
      <c r="AY137" s="632" t="e">
        <f t="shared" si="45"/>
        <v>#N/A</v>
      </c>
      <c r="AZ137" s="632" t="e">
        <f t="shared" si="46"/>
        <v>#N/A</v>
      </c>
      <c r="BA137" s="632" t="e">
        <f t="shared" si="50"/>
        <v>#N/A</v>
      </c>
    </row>
    <row r="138" spans="3:53" ht="17.25" thickTop="1" thickBot="1">
      <c r="C138">
        <f t="shared" si="54"/>
        <v>0</v>
      </c>
      <c r="D138">
        <f t="shared" si="55"/>
        <v>0</v>
      </c>
      <c r="E138">
        <f t="shared" si="53"/>
        <v>0</v>
      </c>
      <c r="G138" s="1089"/>
      <c r="H138" s="1061">
        <f t="shared" si="56"/>
        <v>0</v>
      </c>
      <c r="I138" s="1067">
        <f>IF(H138='(7) '!C11, ((VLOOKUP('(7) '!C11,'ورقة أجازة وعدم الأجازة للمختصن'!E12:F23,2,FALSE))/ J136),0)</f>
        <v>0</v>
      </c>
      <c r="J138" s="1074">
        <f t="shared" si="57"/>
        <v>-1</v>
      </c>
      <c r="K138" s="971"/>
      <c r="L138" s="971"/>
      <c r="M138" s="971"/>
      <c r="N138" s="1092"/>
      <c r="AT138" s="631" t="e">
        <f t="shared" si="47"/>
        <v>#N/A</v>
      </c>
      <c r="AU138" s="632" t="e">
        <f>VLOOKUP(2,#REF!,3,FALSE)</f>
        <v>#REF!</v>
      </c>
      <c r="AV138" s="632" t="e">
        <f>VLOOKUP(1,E64:N147,3,FALSE)</f>
        <v>#N/A</v>
      </c>
      <c r="AW138" s="632" t="e">
        <f t="shared" si="43"/>
        <v>#N/A</v>
      </c>
      <c r="AX138" s="632" t="e">
        <f t="shared" si="44"/>
        <v>#N/A</v>
      </c>
      <c r="AY138" s="632" t="e">
        <f t="shared" si="45"/>
        <v>#N/A</v>
      </c>
      <c r="AZ138" s="632" t="e">
        <f t="shared" si="46"/>
        <v>#N/A</v>
      </c>
      <c r="BA138" s="632" t="e">
        <f t="shared" si="50"/>
        <v>#N/A</v>
      </c>
    </row>
    <row r="139" spans="3:53" ht="23.25" customHeight="1" thickTop="1" thickBot="1">
      <c r="C139">
        <f t="shared" si="54"/>
        <v>0</v>
      </c>
      <c r="D139">
        <f t="shared" si="55"/>
        <v>0</v>
      </c>
      <c r="E139">
        <f t="shared" si="53"/>
        <v>0</v>
      </c>
      <c r="G139" s="1091"/>
      <c r="H139" s="1063">
        <f t="shared" si="56"/>
        <v>0</v>
      </c>
      <c r="I139" s="1068">
        <f>IF(H139='(7) '!C11, ((VLOOKUP( '(7) '!C11,'ورقة أجازة وعدم الأجازة للمختصن'!E12:F23,2,FALSE))/ J136),0)</f>
        <v>0</v>
      </c>
      <c r="J139" s="1074">
        <f t="shared" si="57"/>
        <v>-2</v>
      </c>
      <c r="K139" s="970"/>
      <c r="L139" s="970"/>
      <c r="M139" s="970"/>
      <c r="N139" s="1090"/>
      <c r="AT139" s="631" t="e">
        <f t="shared" si="47"/>
        <v>#N/A</v>
      </c>
      <c r="AU139" s="632" t="e">
        <f>VLOOKUP(2,#REF!,3,FALSE)</f>
        <v>#REF!</v>
      </c>
      <c r="AV139" s="632" t="e">
        <f>VLOOKUP(1,E64:N147,3,FALSE)</f>
        <v>#N/A</v>
      </c>
      <c r="AW139" s="632" t="e">
        <f t="shared" si="43"/>
        <v>#N/A</v>
      </c>
      <c r="AX139" s="632" t="e">
        <f t="shared" si="44"/>
        <v>#N/A</v>
      </c>
      <c r="AY139" s="632" t="e">
        <f t="shared" si="45"/>
        <v>#N/A</v>
      </c>
      <c r="AZ139" s="632" t="e">
        <f t="shared" si="46"/>
        <v>#N/A</v>
      </c>
      <c r="BA139" s="632" t="e">
        <f t="shared" si="50"/>
        <v>#N/A</v>
      </c>
    </row>
    <row r="140" spans="3:53" ht="17.25" thickTop="1" thickBot="1">
      <c r="C140">
        <f t="shared" si="54"/>
        <v>0</v>
      </c>
      <c r="D140">
        <f t="shared" si="55"/>
        <v>0</v>
      </c>
      <c r="E140">
        <f t="shared" si="53"/>
        <v>0</v>
      </c>
      <c r="G140" s="1089"/>
      <c r="H140" s="1061">
        <f t="shared" si="56"/>
        <v>0</v>
      </c>
      <c r="I140" s="1067">
        <f>IF(H140='(7) '!C11, ((VLOOKUP( '(7) '!C11,'ورقة أجازة وعدم الأجازة للمختصن'!E12:F23,2,FALSE))/  J136),0)</f>
        <v>0</v>
      </c>
      <c r="J140" s="1074">
        <f t="shared" si="57"/>
        <v>-3</v>
      </c>
      <c r="K140" s="971"/>
      <c r="L140" s="971"/>
      <c r="M140" s="971"/>
      <c r="N140" s="1092"/>
      <c r="AT140" s="631" t="e">
        <f t="shared" si="47"/>
        <v>#N/A</v>
      </c>
      <c r="AU140" s="632" t="e">
        <f>VLOOKUP(2,#REF!,3,FALSE)</f>
        <v>#REF!</v>
      </c>
      <c r="AV140" s="632" t="e">
        <f>VLOOKUP(1,E64:N147,3,FALSE)</f>
        <v>#N/A</v>
      </c>
      <c r="AW140" s="632" t="e">
        <f t="shared" ref="AW140:AW147" si="58">VLOOKUP(1,E140:N223,4,FALSE)</f>
        <v>#N/A</v>
      </c>
      <c r="AX140" s="632" t="e">
        <f t="shared" ref="AX140:AX147" si="59">VLOOKUP(1,E140:N223,5,FALSE)</f>
        <v>#N/A</v>
      </c>
      <c r="AY140" s="632" t="e">
        <f t="shared" ref="AY140:AY147" si="60">VLOOKUP(1,E140:N223,6,FALSE)</f>
        <v>#N/A</v>
      </c>
      <c r="AZ140" s="632" t="e">
        <f t="shared" ref="AZ140:AZ147" si="61">VLOOKUP(1,E140:N223,7,FALSE)</f>
        <v>#N/A</v>
      </c>
      <c r="BA140" s="632" t="e">
        <f t="shared" si="50"/>
        <v>#N/A</v>
      </c>
    </row>
    <row r="141" spans="3:53" ht="17.25" thickTop="1" thickBot="1">
      <c r="C141">
        <f t="shared" si="54"/>
        <v>0</v>
      </c>
      <c r="D141">
        <f t="shared" si="55"/>
        <v>0</v>
      </c>
      <c r="E141">
        <f t="shared" si="53"/>
        <v>0</v>
      </c>
      <c r="G141" s="1093"/>
      <c r="H141" s="1065">
        <f t="shared" si="56"/>
        <v>0</v>
      </c>
      <c r="I141" s="1069">
        <f>IF(H141='(7) '!C11, ((VLOOKUP( '(7) '!C11,'ورقة أجازة وعدم الأجازة للمختصن'!E12:F23,2,FALSE))/ J136),0)</f>
        <v>0</v>
      </c>
      <c r="J141" s="1074">
        <f t="shared" si="57"/>
        <v>-4</v>
      </c>
      <c r="K141" s="970"/>
      <c r="L141" s="970"/>
      <c r="M141" s="970"/>
      <c r="N141" s="1090"/>
      <c r="AT141" s="631" t="e">
        <f t="shared" si="47"/>
        <v>#N/A</v>
      </c>
      <c r="AU141" s="632" t="e">
        <f>VLOOKUP(2,#REF!,3,FALSE)</f>
        <v>#REF!</v>
      </c>
      <c r="AV141" s="632" t="e">
        <f>VLOOKUP(1,E64:N147,3,FALSE)</f>
        <v>#N/A</v>
      </c>
      <c r="AW141" s="632" t="e">
        <f t="shared" si="58"/>
        <v>#N/A</v>
      </c>
      <c r="AX141" s="632" t="e">
        <f t="shared" si="59"/>
        <v>#N/A</v>
      </c>
      <c r="AY141" s="632" t="e">
        <f t="shared" si="60"/>
        <v>#N/A</v>
      </c>
      <c r="AZ141" s="632" t="e">
        <f t="shared" si="61"/>
        <v>#N/A</v>
      </c>
      <c r="BA141" s="632" t="e">
        <f t="shared" si="50"/>
        <v>#N/A</v>
      </c>
    </row>
    <row r="142" spans="3:53" ht="17.25" thickTop="1" thickBot="1">
      <c r="C142">
        <f t="shared" si="54"/>
        <v>0</v>
      </c>
      <c r="D142">
        <f t="shared" si="55"/>
        <v>0</v>
      </c>
      <c r="E142">
        <f t="shared" si="53"/>
        <v>0</v>
      </c>
      <c r="G142" s="1089"/>
      <c r="H142" s="1061">
        <f t="shared" si="56"/>
        <v>0</v>
      </c>
      <c r="I142" s="1067">
        <f>IF(H142='(7) '!C11, ((VLOOKUP('(7) '!C11,'ورقة أجازة وعدم الأجازة للمختصن'!E12:F23,2,FALSE))/ J136),0)</f>
        <v>0</v>
      </c>
      <c r="J142" s="1074">
        <f t="shared" si="57"/>
        <v>-5</v>
      </c>
      <c r="K142" s="970"/>
      <c r="L142" s="970"/>
      <c r="M142" s="970"/>
      <c r="N142" s="1090"/>
      <c r="AT142" s="631" t="e">
        <f t="shared" si="47"/>
        <v>#N/A</v>
      </c>
      <c r="AU142" s="632" t="e">
        <f>VLOOKUP(2,#REF!,3,FALSE)</f>
        <v>#REF!</v>
      </c>
      <c r="AV142" s="632" t="e">
        <f>VLOOKUP(1,E64:N147,3,FALSE)</f>
        <v>#N/A</v>
      </c>
      <c r="AW142" s="632" t="e">
        <f t="shared" si="58"/>
        <v>#N/A</v>
      </c>
      <c r="AX142" s="632" t="e">
        <f t="shared" si="59"/>
        <v>#N/A</v>
      </c>
      <c r="AY142" s="632" t="e">
        <f t="shared" si="60"/>
        <v>#N/A</v>
      </c>
      <c r="AZ142" s="632" t="e">
        <f t="shared" si="61"/>
        <v>#N/A</v>
      </c>
      <c r="BA142" s="632" t="e">
        <f t="shared" si="50"/>
        <v>#N/A</v>
      </c>
    </row>
    <row r="143" spans="3:53" ht="17.25" thickTop="1" thickBot="1">
      <c r="C143">
        <f t="shared" si="54"/>
        <v>0</v>
      </c>
      <c r="D143">
        <f t="shared" si="55"/>
        <v>0</v>
      </c>
      <c r="E143">
        <f t="shared" si="53"/>
        <v>0</v>
      </c>
      <c r="G143" s="1091"/>
      <c r="H143" s="1063">
        <f t="shared" si="56"/>
        <v>0</v>
      </c>
      <c r="I143" s="1068">
        <f>IF(H143='(7) '!C11, ((VLOOKUP( '(7) '!C11,'ورقة أجازة وعدم الأجازة للمختصن'!E12:F23,2,FALSE))/ J136),0)</f>
        <v>0</v>
      </c>
      <c r="J143" s="1074">
        <f t="shared" si="57"/>
        <v>-6</v>
      </c>
      <c r="K143" s="971"/>
      <c r="L143" s="971"/>
      <c r="M143" s="971"/>
      <c r="N143" s="1092"/>
      <c r="AT143" s="631" t="e">
        <f t="shared" ref="AT143:AT147" si="62">VLOOKUP(1,E143:N226,2,FALSE)</f>
        <v>#N/A</v>
      </c>
      <c r="AU143" s="632" t="e">
        <f>VLOOKUP(2,#REF!,3,FALSE)</f>
        <v>#REF!</v>
      </c>
      <c r="AV143" s="632" t="e">
        <f>VLOOKUP(1,E64:N147,3,FALSE)</f>
        <v>#N/A</v>
      </c>
      <c r="AW143" s="632" t="e">
        <f t="shared" si="58"/>
        <v>#N/A</v>
      </c>
      <c r="AX143" s="632" t="e">
        <f t="shared" si="59"/>
        <v>#N/A</v>
      </c>
      <c r="AY143" s="632" t="e">
        <f t="shared" si="60"/>
        <v>#N/A</v>
      </c>
      <c r="AZ143" s="632" t="e">
        <f t="shared" si="61"/>
        <v>#N/A</v>
      </c>
      <c r="BA143" s="632" t="e">
        <f t="shared" si="50"/>
        <v>#N/A</v>
      </c>
    </row>
    <row r="144" spans="3:53" ht="17.25" thickTop="1" thickBot="1">
      <c r="C144">
        <f t="shared" si="54"/>
        <v>0</v>
      </c>
      <c r="D144">
        <f t="shared" si="55"/>
        <v>0</v>
      </c>
      <c r="E144">
        <f t="shared" si="53"/>
        <v>0</v>
      </c>
      <c r="G144" s="1089"/>
      <c r="H144" s="1061">
        <f t="shared" si="56"/>
        <v>0</v>
      </c>
      <c r="I144" s="1067">
        <f>IF(H144='(7) '!C11, ((VLOOKUP( '(7) '!C11,'ورقة أجازة وعدم الأجازة للمختصن'!E12:F23,2,FALSE))/ J136),0)</f>
        <v>0</v>
      </c>
      <c r="J144" s="1074">
        <f t="shared" si="57"/>
        <v>-7</v>
      </c>
      <c r="K144" s="970"/>
      <c r="L144" s="970"/>
      <c r="M144" s="970"/>
      <c r="N144" s="1090"/>
      <c r="AT144" s="631" t="e">
        <f t="shared" si="62"/>
        <v>#N/A</v>
      </c>
      <c r="AU144" s="632" t="e">
        <f>VLOOKUP(2,#REF!,3,FALSE)</f>
        <v>#REF!</v>
      </c>
      <c r="AV144" s="632" t="e">
        <f>VLOOKUP(1,E64:N147,3,FALSE)</f>
        <v>#N/A</v>
      </c>
      <c r="AW144" s="632" t="e">
        <f t="shared" si="58"/>
        <v>#N/A</v>
      </c>
      <c r="AX144" s="632" t="e">
        <f t="shared" si="59"/>
        <v>#N/A</v>
      </c>
      <c r="AY144" s="632" t="e">
        <f t="shared" si="60"/>
        <v>#N/A</v>
      </c>
      <c r="AZ144" s="632" t="e">
        <f t="shared" si="61"/>
        <v>#N/A</v>
      </c>
      <c r="BA144" s="632" t="e">
        <f t="shared" si="50"/>
        <v>#N/A</v>
      </c>
    </row>
    <row r="145" spans="3:53" ht="17.25" thickTop="1" thickBot="1">
      <c r="C145">
        <f t="shared" si="54"/>
        <v>0</v>
      </c>
      <c r="D145">
        <f t="shared" si="55"/>
        <v>0</v>
      </c>
      <c r="E145">
        <f t="shared" si="53"/>
        <v>0</v>
      </c>
      <c r="G145" s="1091"/>
      <c r="H145" s="1063">
        <f t="shared" si="56"/>
        <v>0</v>
      </c>
      <c r="I145" s="1068">
        <f>IF(H145='(7) '!C11, ((VLOOKUP( '(7) '!C11,'ورقة أجازة وعدم الأجازة للمختصن'!E12:F23,2,FALSE))/ J136),0)</f>
        <v>0</v>
      </c>
      <c r="J145" s="1074">
        <f t="shared" si="57"/>
        <v>-8</v>
      </c>
      <c r="K145" s="971"/>
      <c r="L145" s="971"/>
      <c r="M145" s="971"/>
      <c r="N145" s="1092"/>
      <c r="AT145" s="631" t="e">
        <f t="shared" si="62"/>
        <v>#N/A</v>
      </c>
      <c r="AU145" s="632" t="e">
        <f>VLOOKUP(2,#REF!,3,FALSE)</f>
        <v>#REF!</v>
      </c>
      <c r="AV145" s="632" t="e">
        <f>VLOOKUP(1,E64:N147,3,FALSE)</f>
        <v>#N/A</v>
      </c>
      <c r="AW145" s="632" t="e">
        <f t="shared" si="58"/>
        <v>#N/A</v>
      </c>
      <c r="AX145" s="632" t="e">
        <f t="shared" si="59"/>
        <v>#N/A</v>
      </c>
      <c r="AY145" s="632" t="e">
        <f t="shared" si="60"/>
        <v>#N/A</v>
      </c>
      <c r="AZ145" s="632" t="e">
        <f t="shared" si="61"/>
        <v>#N/A</v>
      </c>
      <c r="BA145" s="632" t="e">
        <f t="shared" si="50"/>
        <v>#N/A</v>
      </c>
    </row>
    <row r="146" spans="3:53" ht="17.25" thickTop="1" thickBot="1">
      <c r="C146">
        <f t="shared" si="54"/>
        <v>0</v>
      </c>
      <c r="D146">
        <f t="shared" si="55"/>
        <v>0</v>
      </c>
      <c r="E146">
        <f t="shared" si="53"/>
        <v>0</v>
      </c>
      <c r="G146" s="1089"/>
      <c r="H146" s="1061">
        <f t="shared" si="56"/>
        <v>0</v>
      </c>
      <c r="I146" s="1067">
        <f>IF(H146='(7) '!C11, ((VLOOKUP( '(7) '!C11,'ورقة أجازة وعدم الأجازة للمختصن'!E12:F23,2,FALSE))/ J136),0)</f>
        <v>0</v>
      </c>
      <c r="J146" s="1074">
        <f t="shared" si="57"/>
        <v>-9</v>
      </c>
      <c r="K146" s="970"/>
      <c r="L146" s="970"/>
      <c r="M146" s="970"/>
      <c r="N146" s="1090"/>
      <c r="AT146" s="631" t="e">
        <f t="shared" si="62"/>
        <v>#N/A</v>
      </c>
      <c r="AU146" s="632" t="e">
        <f>VLOOKUP(2,#REF!,3,FALSE)</f>
        <v>#REF!</v>
      </c>
      <c r="AV146" s="632" t="e">
        <f>VLOOKUP(1,E64:N147,3,FALSE)</f>
        <v>#N/A</v>
      </c>
      <c r="AW146" s="632" t="e">
        <f t="shared" si="58"/>
        <v>#N/A</v>
      </c>
      <c r="AX146" s="632" t="e">
        <f t="shared" si="59"/>
        <v>#N/A</v>
      </c>
      <c r="AY146" s="632" t="e">
        <f t="shared" si="60"/>
        <v>#N/A</v>
      </c>
      <c r="AZ146" s="632" t="e">
        <f t="shared" si="61"/>
        <v>#N/A</v>
      </c>
      <c r="BA146" s="632" t="e">
        <f t="shared" si="50"/>
        <v>#N/A</v>
      </c>
    </row>
    <row r="147" spans="3:53" ht="17.25" thickTop="1" thickBot="1">
      <c r="C147">
        <f t="shared" si="54"/>
        <v>0</v>
      </c>
      <c r="D147">
        <f t="shared" si="55"/>
        <v>0</v>
      </c>
      <c r="E147">
        <f t="shared" si="53"/>
        <v>0</v>
      </c>
      <c r="G147" s="1094"/>
      <c r="H147" s="1095">
        <f t="shared" si="56"/>
        <v>0</v>
      </c>
      <c r="I147" s="1096">
        <f>IF(H147='(7) '!C11, ((VLOOKUP( '(7) '!C11,'ورقة أجازة وعدم الأجازة للمختصن'!E12:F23,2,FALSE))/ J136),0)</f>
        <v>0</v>
      </c>
      <c r="J147" s="1097">
        <f t="shared" si="57"/>
        <v>-10</v>
      </c>
      <c r="K147" s="1098"/>
      <c r="L147" s="1098"/>
      <c r="M147" s="1098"/>
      <c r="N147" s="1099"/>
      <c r="AT147" s="631" t="e">
        <f t="shared" si="62"/>
        <v>#N/A</v>
      </c>
      <c r="AU147" s="632" t="e">
        <f>VLOOKUP(2,#REF!,3,FALSE)</f>
        <v>#REF!</v>
      </c>
      <c r="AV147" s="632" t="e">
        <f>VLOOKUP(1,E64:N147,3,FALSE)</f>
        <v>#N/A</v>
      </c>
      <c r="AW147" s="632" t="e">
        <f t="shared" si="58"/>
        <v>#N/A</v>
      </c>
      <c r="AX147" s="632" t="e">
        <f t="shared" si="59"/>
        <v>#N/A</v>
      </c>
      <c r="AY147" s="632" t="e">
        <f t="shared" si="60"/>
        <v>#N/A</v>
      </c>
      <c r="AZ147" s="632" t="e">
        <f t="shared" si="61"/>
        <v>#N/A</v>
      </c>
      <c r="BA147" s="632" t="e">
        <f t="shared" si="50"/>
        <v>#N/A</v>
      </c>
    </row>
    <row r="148" spans="3:53">
      <c r="C148">
        <f t="shared" si="54"/>
        <v>0</v>
      </c>
      <c r="D148">
        <f t="shared" si="55"/>
        <v>0</v>
      </c>
      <c r="E148">
        <f t="shared" si="53"/>
        <v>0</v>
      </c>
    </row>
    <row r="149" spans="3:53">
      <c r="C149">
        <f t="shared" si="54"/>
        <v>0</v>
      </c>
      <c r="D149">
        <f t="shared" si="55"/>
        <v>0</v>
      </c>
      <c r="E149">
        <f t="shared" si="53"/>
        <v>0</v>
      </c>
    </row>
    <row r="150" spans="3:53">
      <c r="C150">
        <f t="shared" si="54"/>
        <v>0</v>
      </c>
      <c r="D150">
        <f t="shared" si="55"/>
        <v>0</v>
      </c>
      <c r="E150">
        <f t="shared" si="53"/>
        <v>0</v>
      </c>
    </row>
    <row r="151" spans="3:53">
      <c r="C151">
        <f t="shared" si="54"/>
        <v>0</v>
      </c>
      <c r="D151">
        <f t="shared" si="55"/>
        <v>0</v>
      </c>
      <c r="E151">
        <f t="shared" si="53"/>
        <v>0</v>
      </c>
    </row>
    <row r="152" spans="3:53">
      <c r="C152">
        <f t="shared" si="54"/>
        <v>0</v>
      </c>
      <c r="D152">
        <f t="shared" si="55"/>
        <v>0</v>
      </c>
      <c r="E152">
        <f t="shared" si="53"/>
        <v>0</v>
      </c>
    </row>
    <row r="153" spans="3:53">
      <c r="C153">
        <f t="shared" si="54"/>
        <v>0</v>
      </c>
      <c r="D153">
        <f t="shared" si="55"/>
        <v>0</v>
      </c>
      <c r="E153">
        <f t="shared" si="53"/>
        <v>0</v>
      </c>
    </row>
    <row r="185" spans="57:57">
      <c r="BE185" t="s">
        <v>114</v>
      </c>
    </row>
    <row r="201" spans="8:9">
      <c r="H201" s="1">
        <f>(COUNTIF(I64:I147,0)+H202)-30</f>
        <v>58</v>
      </c>
      <c r="I201">
        <f>COUNTIF('حساب التركة والوصايا'!S18:S75,0)</f>
        <v>58</v>
      </c>
    </row>
    <row r="202" spans="8:9">
      <c r="H202">
        <f>COUNTIF( K61:N61,0)</f>
        <v>4</v>
      </c>
    </row>
  </sheetData>
  <sheetProtection password="EF73" sheet="1" objects="1" scenarios="1" formatCells="0" autoFilter="0"/>
  <protectedRanges>
    <protectedRange sqref="G64:G147" name="Range2"/>
    <protectedRange sqref="K64:N147" name="Range1"/>
  </protectedRanges>
  <autoFilter ref="H63:N153">
    <filterColumn colId="3" showButton="0"/>
    <filterColumn colId="4" showButton="0"/>
    <filterColumn colId="5" showButton="0"/>
  </autoFilter>
  <customSheetViews>
    <customSheetView guid="{D786A5C0-FBC0-4F24-9F75-D436CA99DC6C}" zeroValues="0" showAutoFilter="1" hiddenRows="1" hiddenColumns="1" topLeftCell="F59">
      <selection activeCell="BB77" sqref="BB77"/>
      <pageMargins left="0.7" right="0.7" top="0.75" bottom="0.75" header="0.3" footer="0.3"/>
      <pageSetup orientation="landscape" r:id="rId1"/>
      <autoFilter ref="H63:N153">
        <filterColumn colId="3" showButton="0"/>
        <filterColumn colId="4" showButton="0"/>
        <filterColumn colId="5" showButton="0"/>
      </autoFilter>
    </customSheetView>
  </customSheetViews>
  <mergeCells count="70">
    <mergeCell ref="BD80:BE80"/>
    <mergeCell ref="BD70:BE71"/>
    <mergeCell ref="BD73:BE74"/>
    <mergeCell ref="BD77:BE77"/>
    <mergeCell ref="BD78:BE78"/>
    <mergeCell ref="BD79:BE79"/>
    <mergeCell ref="C7:C8"/>
    <mergeCell ref="H60:H62"/>
    <mergeCell ref="I60:N60"/>
    <mergeCell ref="I61:J61"/>
    <mergeCell ref="I62:J62"/>
    <mergeCell ref="C11:D11"/>
    <mergeCell ref="F62:G62"/>
    <mergeCell ref="K63:N63"/>
    <mergeCell ref="C12:D21"/>
    <mergeCell ref="C24:C27"/>
    <mergeCell ref="I24:I27"/>
    <mergeCell ref="J24:J27"/>
    <mergeCell ref="L24:L27"/>
    <mergeCell ref="AS8:AS10"/>
    <mergeCell ref="AT24:AT27"/>
    <mergeCell ref="AU24:AU27"/>
    <mergeCell ref="AW24:AW27"/>
    <mergeCell ref="BA8:BA10"/>
    <mergeCell ref="AV11:AY11"/>
    <mergeCell ref="AT10:AU10"/>
    <mergeCell ref="AT9:AU9"/>
    <mergeCell ref="AT8:AY8"/>
    <mergeCell ref="BB8:BG8"/>
    <mergeCell ref="BB9:BC9"/>
    <mergeCell ref="BB10:BC10"/>
    <mergeCell ref="BD11:BG11"/>
    <mergeCell ref="BB24:BB27"/>
    <mergeCell ref="BC24:BC27"/>
    <mergeCell ref="BE24:BE27"/>
    <mergeCell ref="BI8:BI10"/>
    <mergeCell ref="BJ8:BO8"/>
    <mergeCell ref="BJ9:BK9"/>
    <mergeCell ref="BJ10:BK10"/>
    <mergeCell ref="BI7:BJ7"/>
    <mergeCell ref="BM24:BM27"/>
    <mergeCell ref="CG8:CG10"/>
    <mergeCell ref="CH8:CM8"/>
    <mergeCell ref="CH9:CI9"/>
    <mergeCell ref="CH10:CI10"/>
    <mergeCell ref="CB11:CE11"/>
    <mergeCell ref="BY8:BY10"/>
    <mergeCell ref="BZ8:CE8"/>
    <mergeCell ref="BZ9:CA9"/>
    <mergeCell ref="BZ10:CA10"/>
    <mergeCell ref="BR8:BW8"/>
    <mergeCell ref="BR9:BS9"/>
    <mergeCell ref="BR10:BS10"/>
    <mergeCell ref="BQ8:BQ10"/>
    <mergeCell ref="BC88:BD88"/>
    <mergeCell ref="BC66:BD66"/>
    <mergeCell ref="CJ11:CM11"/>
    <mergeCell ref="CH24:CH27"/>
    <mergeCell ref="CI24:CI27"/>
    <mergeCell ref="CK24:CK27"/>
    <mergeCell ref="BZ24:BZ27"/>
    <mergeCell ref="CA24:CA27"/>
    <mergeCell ref="CC24:CC27"/>
    <mergeCell ref="BT11:BW11"/>
    <mergeCell ref="BR24:BR27"/>
    <mergeCell ref="BS24:BS27"/>
    <mergeCell ref="BU24:BU27"/>
    <mergeCell ref="BL11:BO11"/>
    <mergeCell ref="BJ24:BJ27"/>
    <mergeCell ref="BK24:BK27"/>
  </mergeCells>
  <dataValidations xWindow="705" yWindow="358" count="10">
    <dataValidation type="decimal" allowBlank="1" showInputMessage="1" showErrorMessage="1" error="أدخال غير صحيح" promptTitle="أجاز الوصية ضع 1 غير ذلك ضع 0  " prompt=" " sqref="IT12:IW23 K65527:N65536">
      <formula1>0</formula1>
      <formula2>1</formula2>
    </dataValidation>
    <dataValidation type="decimal" allowBlank="1" showInputMessage="1" showErrorMessage="1" error="أدخال غير صحيح" prompt="هذه الخلية مخصصة لتصحيح المسألة  ضع مقام الكسر أعلاه هنا" sqref="Q52:Q53 R65524:R65525">
      <formula1>0</formula1>
      <formula2>1000</formula2>
    </dataValidation>
    <dataValidation type="decimal" allowBlank="1" showInputMessage="1" showErrorMessage="1" error="أدخال غير صحيح" prompt="ضع بسط الفريضة أن لزم الأمر " sqref="IS12:IS23 J65527:J65536">
      <formula1>1</formula1>
      <formula2>100</formula2>
    </dataValidation>
    <dataValidation type="decimal" allowBlank="1" showInputMessage="1" showErrorMessage="1" error="أدخال غير صحيح (تأكد من الكسر)" promptTitle=" " prompt="وصى المتوفى (ضع الوصية الرابعة)" sqref="N65522">
      <formula1>0</formula1>
      <formula2>99/100</formula2>
    </dataValidation>
    <dataValidation type="textLength" operator="lessThan" allowBlank="1" showInputMessage="1" showErrorMessage="1" error="أدخال غير صحيح" prompt="ضع أسم الوارث فى هذه الخلية" sqref="IQ12:IQ23 H65527:H65536">
      <formula1>20</formula1>
    </dataValidation>
    <dataValidation type="decimal" allowBlank="1" showInputMessage="1" showErrorMessage="1" error="أدخال غير صحيح (ضع صفر ان لم يوصى)" promptTitle=" " prompt="وصى المتوفى  (ضع الوصية الأولى)" sqref="K65522">
      <formula1>0</formula1>
      <formula2>99/100</formula2>
    </dataValidation>
    <dataValidation type="decimal" allowBlank="1" showInputMessage="1" showErrorMessage="1" error="أدخال غير صحيح (تأكد من الكسر)" promptTitle=" " prompt="وصى المتوفى (ضع الوصية التانية)" sqref="L65522">
      <formula1>0</formula1>
      <formula2>99/100</formula2>
    </dataValidation>
    <dataValidation type="decimal" allowBlank="1" showInputMessage="1" showErrorMessage="1" error="أدخال غير صحيح (تأكد من الكسر)" promptTitle=" " prompt="وصى المتوفى (ضع الوصية التالثة)" sqref="M65522">
      <formula1>0</formula1>
      <formula2>99/100</formula2>
    </dataValidation>
    <dataValidation type="decimal" allowBlank="1" showInputMessage="1" showErrorMessage="1" error="أدخال غير صحيح" prompt="ضع فريضة الوارث فى هذه الخلية" sqref="IR12:IR23 I65527:I65536">
      <formula1>0</formula1>
      <formula2>1</formula2>
    </dataValidation>
    <dataValidation type="list" allowBlank="1" showInputMessage="1" showErrorMessage="1" error="أدخال غير صحيح" promptTitle=" للأجازة ضع رقم 1" prompt=" " sqref="K64:N147">
      <formula1>$F$60:$F$61</formula1>
    </dataValidation>
  </dataValidations>
  <hyperlinks>
    <hyperlink ref="H7" location="'الوصايا والتركة'!A1" display=" أضغط للرجوع الى ورقة التقرير النهائى"/>
    <hyperlink ref="AS7" location="'الوصايا والتركة'!A1" display=" أضغط للرجوع الى ورقة التقرير النهائى"/>
    <hyperlink ref="BI7:BJ7" location="'التقرير التهائى والوصايا'!A1" display=" أضغط للرجوع الى ورقة التقرير النهائى"/>
    <hyperlink ref="BQ7" location="'الوصايا والتركة'!A1" display=" أضغط للرجوع الى ورقة التقرير النهائى"/>
    <hyperlink ref="BY7" location="'الوصايا والتركة'!A1" display=" أضغط للرجوع الى ورقة التقرير النهائى"/>
    <hyperlink ref="CG7" location="'الوصايا والتركة'!A1" display=" أضغط للرجوع الى ورقة التقرير النهائى"/>
    <hyperlink ref="BA7" location="'الوصايا والتركة'!A1" display=" أضغط للرجوع الى ورقة التقرير النهائى"/>
  </hyperlinks>
  <pageMargins left="0.7" right="0.7" top="0.75" bottom="0.75" header="0.3" footer="0.3"/>
  <pageSetup orientation="landscape" r:id="rId2"/>
  <drawing r:id="rId3"/>
  <extLst>
    <ext xmlns:x14="http://schemas.microsoft.com/office/spreadsheetml/2009/9/main" uri="{CCE6A557-97BC-4b89-ADB6-D9C93CAAB3DF}">
      <x14:dataValidations xmlns:xm="http://schemas.microsoft.com/office/excel/2006/main" xWindow="705" yWindow="358" count="21">
        <x14:dataValidation type="custom" allowBlank="1" showInputMessage="1" showErrorMessage="1" error="غير مخول بأدخال البيانات ضع الوصية فى ورقة &quot;الوصايا والتركة&quot;" promptTitle=" " prompt=" أنتقل الى ورقة الوصايا  (ضع الوصية الرابعة )">
          <x14:formula1>
            <xm:f>'ورقة أجازة وعدم الأجازة للمختصن'!K7</xm:f>
          </x14:formula1>
          <xm:sqref>N7</xm:sqref>
        </x14:dataValidation>
        <x14:dataValidation type="custom" allowBlank="1" showInputMessage="1" showErrorMessage="1" error="غير مخول بأدخال البيانات ضع الوصية فى ورقة &quot;الوصايا والتركة&quot;" promptTitle=" " prompt=" أنتقل الى ورقة الوصايا  (ضع الوصية الرابعة )">
          <x14:formula1>
            <xm:f>'ورقة أجازة وعدم الأجازة للمختصن'!K7</xm:f>
          </x14:formula1>
          <xm:sqref>CM7</xm:sqref>
        </x14:dataValidation>
        <x14:dataValidation type="custom" allowBlank="1" showInputMessage="1" showErrorMessage="1" error="غير مخول بأدخال البيانات ضع الوصية فى ورقة &quot;الوصايا والتركة&quot;" promptTitle=" " prompt=" أنتقل الى ورقة الوصايا  (ضع الوصية الرابعة )">
          <x14:formula1>
            <xm:f>'ورقة أجازة وعدم الأجازة للمختصن'!K7</xm:f>
          </x14:formula1>
          <xm:sqref>CE7</xm:sqref>
        </x14:dataValidation>
        <x14:dataValidation type="custom" allowBlank="1" showInputMessage="1" showErrorMessage="1" error="غير مخول بأدخال البيانات ضع الوصية فى ورقة &quot;الوصايا والتركة&quot;" promptTitle=" " prompt=" أنتقل الى ورقة الوصايا  (ضع الوصية الرابعة )">
          <x14:formula1>
            <xm:f>'ورقة أجازة وعدم الأجازة للمختصن'!K7</xm:f>
          </x14:formula1>
          <xm:sqref>BW7</xm:sqref>
        </x14:dataValidation>
        <x14:dataValidation type="custom" allowBlank="1" showInputMessage="1" showErrorMessage="1" error="غير مخول بأدخال البيانات ضع الوصية فى ورقة &quot;الوصايا والتركة&quot;" promptTitle=" " prompt=" أنتقل الى ورقة الوصايا  (ضع الوصية الرابعة )">
          <x14:formula1>
            <xm:f>'ورقة أجازة وعدم الأجازة للمختصن'!K7</xm:f>
          </x14:formula1>
          <xm:sqref>BO7</xm:sqref>
        </x14:dataValidation>
        <x14:dataValidation type="custom" allowBlank="1" showInputMessage="1" showErrorMessage="1" error="غير مخول بأدخال البيانات ضع الوصية فى ورقة &quot;الوصايا والتركة&quot;" promptTitle=" " prompt=" أنتقل الى ورقة الوصايا  (ضع الوصية الرابعة )">
          <x14:formula1>
            <xm:f>'ورقة أجازة وعدم الأجازة للمختصن'!K7</xm:f>
          </x14:formula1>
          <xm:sqref>BG7</xm:sqref>
        </x14:dataValidation>
        <x14:dataValidation type="custom" allowBlank="1" showInputMessage="1" showErrorMessage="1" error="غير مخول بأدخال البيانات ضع الوصية فى ورقة &quot;الوصايا والتركة&quot;" promptTitle=" " prompt=" أنتقل الى ورقة الوصايا  (ضع الوصية الرابعة )">
          <x14:formula1>
            <xm:f>'ورقة أجازة وعدم الأجازة للمختصن'!K7</xm:f>
          </x14:formula1>
          <xm:sqref>AY7</xm:sqref>
        </x14:dataValidation>
        <x14:dataValidation type="custom" allowBlank="1" showInputMessage="1" showErrorMessage="1" error="غير مخول بأدخال البيانات ضع الوصية فى ورقة &quot;الوصايا والتركة&quot;" promptTitle=" " prompt=" أنتقل الى ورقة الوصايا  (ضع الوصية الثالثة )">
          <x14:formula1>
            <xm:f>'ورقة أجازة وعدم الأجازة للمختصن'!J7</xm:f>
          </x14:formula1>
          <xm:sqref>M7</xm:sqref>
        </x14:dataValidation>
        <x14:dataValidation type="custom" allowBlank="1" showInputMessage="1" showErrorMessage="1" error="غير مخول بأدخال البيانات ضع الوصية فى ورقة &quot;الوصايا والتركة&quot;" promptTitle=" " prompt=" أنتقل الى ورقة الوصايا  (ضع الوصية الثالثة )">
          <x14:formula1>
            <xm:f>'ورقة أجازة وعدم الأجازة للمختصن'!J7</xm:f>
          </x14:formula1>
          <xm:sqref>CL7</xm:sqref>
        </x14:dataValidation>
        <x14:dataValidation type="custom" allowBlank="1" showInputMessage="1" showErrorMessage="1" error="غير مخول بأدخال البيانات ضع الوصية فى ورقة &quot;الوصايا والتركة&quot;" promptTitle=" " prompt=" أنتقل الى ورقة الوصايا  (ضع الوصية الثالثة )">
          <x14:formula1>
            <xm:f>'ورقة أجازة وعدم الأجازة للمختصن'!J7</xm:f>
          </x14:formula1>
          <xm:sqref>CD7</xm:sqref>
        </x14:dataValidation>
        <x14:dataValidation type="custom" allowBlank="1" showInputMessage="1" showErrorMessage="1" error="غير مخول بأدخال البيانات ضع الوصية فى ورقة &quot;الوصايا والتركة&quot;" promptTitle=" " prompt=" أنتقل الى ورقة الوصايا  (ضع الوصية الثالثة )">
          <x14:formula1>
            <xm:f>'ورقة أجازة وعدم الأجازة للمختصن'!J7</xm:f>
          </x14:formula1>
          <xm:sqref>BV7</xm:sqref>
        </x14:dataValidation>
        <x14:dataValidation type="custom" allowBlank="1" showInputMessage="1" showErrorMessage="1" error="غير مخول بأدخال البيانات ضع الوصية فى ورقة &quot;الوصايا والتركة&quot;" promptTitle=" " prompt=" أنتقل الى ورقة الوصايا  (ضع الوصية الثالثة )">
          <x14:formula1>
            <xm:f>'ورقة أجازة وعدم الأجازة للمختصن'!J7</xm:f>
          </x14:formula1>
          <xm:sqref>BN7</xm:sqref>
        </x14:dataValidation>
        <x14:dataValidation type="custom" allowBlank="1" showInputMessage="1" showErrorMessage="1" error="غير مخول بأدخال البيانات ضع الوصية فى ورقة &quot;الوصايا والتركة&quot;" promptTitle=" " prompt=" أنتقل الى ورقة الوصايا  (ضع الوصية الثالثة )">
          <x14:formula1>
            <xm:f>'ورقة أجازة وعدم الأجازة للمختصن'!J7</xm:f>
          </x14:formula1>
          <xm:sqref>BF7</xm:sqref>
        </x14:dataValidation>
        <x14:dataValidation type="custom" allowBlank="1" showInputMessage="1" showErrorMessage="1" error="غير مخول بأدخال البيانات ضع الوصية فى ورقة &quot;الوصايا والتركة&quot;" promptTitle=" " prompt=" أنتقل الى ورقة الوصايا  (ضع الوصية الثالثة )">
          <x14:formula1>
            <xm:f>'ورقة أجازة وعدم الأجازة للمختصن'!J7</xm:f>
          </x14:formula1>
          <xm:sqref>AX7</xm:sqref>
        </x14:dataValidation>
        <x14:dataValidation type="custom" allowBlank="1" showInputMessage="1" showErrorMessage="1" error="غير مخول بأدخال البيانات ضع الوصية فى ورقة &quot;الوصايا والتركة&quot;" promptTitle=" " prompt=" أنتقل الى ورقة الوصايا  (ضع الوصية الثانية  )">
          <x14:formula1>
            <xm:f>'ورقة أجازة وعدم الأجازة للمختصن'!H7</xm:f>
          </x14:formula1>
          <xm:sqref>K7:L7</xm:sqref>
        </x14:dataValidation>
        <x14:dataValidation type="custom" allowBlank="1" showInputMessage="1" showErrorMessage="1" error="غير مخول بأدخال البيانات ضع الوصية فى ورقة &quot;الوصايا والتركة&quot;" promptTitle=" " prompt=" أنتقل الى ورقة الوصايا  (ضع الوصية الثانية  )">
          <x14:formula1>
            <xm:f>'ورقة أجازة وعدم الأجازة للمختصن'!H7</xm:f>
          </x14:formula1>
          <xm:sqref>CJ7:CK7</xm:sqref>
        </x14:dataValidation>
        <x14:dataValidation type="custom" allowBlank="1" showInputMessage="1" showErrorMessage="1" error="غير مخول بأدخال البيانات ضع الوصية فى ورقة &quot;الوصايا والتركة&quot;" promptTitle=" " prompt=" أنتقل الى ورقة الوصايا  (ضع الوصية الثانية  )">
          <x14:formula1>
            <xm:f>'ورقة أجازة وعدم الأجازة للمختصن'!H7</xm:f>
          </x14:formula1>
          <xm:sqref>CB7:CC7</xm:sqref>
        </x14:dataValidation>
        <x14:dataValidation type="custom" allowBlank="1" showInputMessage="1" showErrorMessage="1" error="غير مخول بأدخال البيانات ضع الوصية فى ورقة &quot;الوصايا والتركة&quot;" promptTitle=" " prompt=" أنتقل الى ورقة الوصايا  (ضع الوصية الثانية  )">
          <x14:formula1>
            <xm:f>'ورقة أجازة وعدم الأجازة للمختصن'!H7</xm:f>
          </x14:formula1>
          <xm:sqref>BT7:BU7</xm:sqref>
        </x14:dataValidation>
        <x14:dataValidation type="custom" allowBlank="1" showInputMessage="1" showErrorMessage="1" error="غير مخول بأدخال البيانات ضع الوصية فى ورقة &quot;الوصايا والتركة&quot;" promptTitle=" " prompt=" أنتقل الى ورقة الوصايا  (ضع الوصية الثانية  )">
          <x14:formula1>
            <xm:f>'ورقة أجازة وعدم الأجازة للمختصن'!H7</xm:f>
          </x14:formula1>
          <xm:sqref>BL7:BM7</xm:sqref>
        </x14:dataValidation>
        <x14:dataValidation type="custom" allowBlank="1" showInputMessage="1" showErrorMessage="1" error="غير مخول بأدخال البيانات ضع الوصية فى ورقة &quot;الوصايا والتركة&quot;" promptTitle=" " prompt=" أنتقل الى ورقة الوصايا  (ضع الوصية الثانية  )">
          <x14:formula1>
            <xm:f>'ورقة أجازة وعدم الأجازة للمختصن'!H7</xm:f>
          </x14:formula1>
          <xm:sqref>BD7:BE7</xm:sqref>
        </x14:dataValidation>
        <x14:dataValidation type="custom" allowBlank="1" showInputMessage="1" showErrorMessage="1" error="غير مخول بأدخال البيانات ضع الوصية فى ورقة &quot;الوصايا والتركة&quot;" promptTitle=" " prompt=" أنتقل الى ورقة الوصايا  (ضع الوصية الثانية  )">
          <x14:formula1>
            <xm:f>'ورقة أجازة وعدم الأجازة للمختصن'!H7</xm:f>
          </x14:formula1>
          <xm:sqref>AV7:AW7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3:G790"/>
  <sheetViews>
    <sheetView showZeros="0" rightToLeft="1" showOutlineSymbols="0" zoomScaleNormal="82" workbookViewId="0">
      <selection activeCell="C128" sqref="C128"/>
    </sheetView>
  </sheetViews>
  <sheetFormatPr defaultRowHeight="15"/>
  <cols>
    <col min="1" max="2" width="8.125" style="38" customWidth="1"/>
    <col min="3" max="3" width="116" style="38" customWidth="1"/>
    <col min="4" max="4" width="9" style="38"/>
    <col min="5" max="5" width="18.375" style="38" customWidth="1"/>
    <col min="6" max="16384" width="9" style="38"/>
  </cols>
  <sheetData>
    <row r="3" spans="1:3" ht="38.25">
      <c r="C3" s="1014" t="s">
        <v>206</v>
      </c>
    </row>
    <row r="4" spans="1:3" ht="23.25">
      <c r="A4" s="39"/>
      <c r="B4" s="39"/>
      <c r="C4" s="104"/>
    </row>
    <row r="5" spans="1:3" ht="38.25">
      <c r="A5" s="39"/>
      <c r="B5" s="39"/>
      <c r="C5" s="128" t="s">
        <v>461</v>
      </c>
    </row>
    <row r="6" spans="1:3" ht="24.75">
      <c r="A6" s="39"/>
      <c r="B6" s="39"/>
      <c r="C6" s="129" t="s">
        <v>462</v>
      </c>
    </row>
    <row r="7" spans="1:3">
      <c r="A7" s="39"/>
      <c r="B7" s="39"/>
      <c r="C7" s="39"/>
    </row>
    <row r="8" spans="1:3" ht="24.75">
      <c r="A8" s="39"/>
      <c r="B8" s="39"/>
      <c r="C8" s="130" t="s">
        <v>456</v>
      </c>
    </row>
    <row r="9" spans="1:3" ht="24.75">
      <c r="A9" s="39"/>
      <c r="B9" s="39"/>
      <c r="C9" s="130"/>
    </row>
    <row r="10" spans="1:3" ht="24.75">
      <c r="A10" s="39"/>
      <c r="B10" s="39"/>
      <c r="C10" s="1015" t="s">
        <v>463</v>
      </c>
    </row>
    <row r="11" spans="1:3" ht="24.75">
      <c r="A11" s="39"/>
      <c r="B11" s="39"/>
      <c r="C11" s="130"/>
    </row>
    <row r="12" spans="1:3" ht="24.75">
      <c r="A12" s="39"/>
      <c r="B12" s="39"/>
      <c r="C12" s="130" t="s">
        <v>457</v>
      </c>
    </row>
    <row r="13" spans="1:3" ht="24.75">
      <c r="A13" s="39"/>
      <c r="B13" s="39"/>
      <c r="C13" s="130"/>
    </row>
    <row r="14" spans="1:3" ht="24.75">
      <c r="A14" s="39"/>
      <c r="B14" s="39"/>
      <c r="C14" s="1015" t="s">
        <v>464</v>
      </c>
    </row>
    <row r="15" spans="1:3" ht="24.75">
      <c r="A15" s="39"/>
      <c r="B15" s="39"/>
      <c r="C15" s="130"/>
    </row>
    <row r="16" spans="1:3" ht="24.75">
      <c r="A16" s="39"/>
      <c r="B16" s="39"/>
      <c r="C16" s="130" t="s">
        <v>458</v>
      </c>
    </row>
    <row r="17" spans="1:3" ht="24.75">
      <c r="A17" s="39"/>
      <c r="B17" s="39"/>
      <c r="C17" s="130" t="s">
        <v>459</v>
      </c>
    </row>
    <row r="18" spans="1:3" ht="24.75">
      <c r="A18" s="39"/>
      <c r="B18" s="39"/>
      <c r="C18" s="130" t="s">
        <v>460</v>
      </c>
    </row>
    <row r="19" spans="1:3" ht="24.75">
      <c r="A19" s="39"/>
      <c r="B19" s="39"/>
      <c r="C19" s="130"/>
    </row>
    <row r="20" spans="1:3" ht="24.75">
      <c r="A20" s="39"/>
      <c r="B20" s="39"/>
      <c r="C20" s="130" t="s">
        <v>465</v>
      </c>
    </row>
    <row r="21" spans="1:3" ht="24.75">
      <c r="A21" s="39"/>
      <c r="B21" s="39"/>
      <c r="C21" s="130"/>
    </row>
    <row r="22" spans="1:3" ht="24.75">
      <c r="A22" s="39"/>
      <c r="B22" s="39"/>
      <c r="C22" s="130"/>
    </row>
    <row r="23" spans="1:3" ht="24.75">
      <c r="A23" s="39"/>
      <c r="B23" s="39"/>
      <c r="C23" s="1015" t="s">
        <v>466</v>
      </c>
    </row>
    <row r="24" spans="1:3" ht="24.75">
      <c r="A24" s="39"/>
      <c r="B24" s="39"/>
      <c r="C24" s="130"/>
    </row>
    <row r="25" spans="1:3" ht="24.75">
      <c r="A25" s="39"/>
      <c r="B25" s="39"/>
      <c r="C25" s="130" t="s">
        <v>475</v>
      </c>
    </row>
    <row r="26" spans="1:3" ht="24.75">
      <c r="A26" s="39"/>
      <c r="B26" s="39"/>
      <c r="C26" s="130" t="s">
        <v>467</v>
      </c>
    </row>
    <row r="27" spans="1:3" ht="24.75" hidden="1">
      <c r="A27" s="39"/>
      <c r="B27" s="39"/>
      <c r="C27" s="130"/>
    </row>
    <row r="28" spans="1:3" ht="24.75">
      <c r="A28" s="39"/>
      <c r="B28" s="39"/>
      <c r="C28" s="130" t="s">
        <v>476</v>
      </c>
    </row>
    <row r="29" spans="1:3" ht="24.75">
      <c r="A29" s="39"/>
      <c r="B29" s="39"/>
      <c r="C29" s="130" t="s">
        <v>468</v>
      </c>
    </row>
    <row r="30" spans="1:3" ht="24.75" hidden="1">
      <c r="A30" s="39"/>
      <c r="B30" s="39"/>
      <c r="C30" s="130"/>
    </row>
    <row r="31" spans="1:3" ht="24.75">
      <c r="A31" s="39"/>
      <c r="B31" s="39"/>
      <c r="C31" s="130" t="s">
        <v>477</v>
      </c>
    </row>
    <row r="32" spans="1:3" ht="49.5">
      <c r="A32" s="39"/>
      <c r="B32" s="39"/>
      <c r="C32" s="130" t="s">
        <v>469</v>
      </c>
    </row>
    <row r="33" spans="1:3" ht="24.75" hidden="1">
      <c r="A33" s="39"/>
      <c r="B33" s="39"/>
      <c r="C33" s="130"/>
    </row>
    <row r="34" spans="1:3" ht="24.75">
      <c r="A34" s="39"/>
      <c r="B34" s="39"/>
      <c r="C34" s="1015" t="s">
        <v>470</v>
      </c>
    </row>
    <row r="35" spans="1:3" ht="24.75" hidden="1">
      <c r="A35" s="39"/>
      <c r="B35" s="39"/>
      <c r="C35" s="130"/>
    </row>
    <row r="36" spans="1:3" ht="24.75">
      <c r="A36" s="39"/>
      <c r="B36" s="39"/>
      <c r="C36" s="130" t="s">
        <v>471</v>
      </c>
    </row>
    <row r="37" spans="1:3" ht="24.75">
      <c r="A37" s="39"/>
      <c r="B37" s="39"/>
      <c r="C37" s="130" t="s">
        <v>472</v>
      </c>
    </row>
    <row r="38" spans="1:3" ht="24.75" hidden="1">
      <c r="A38" s="39"/>
      <c r="B38" s="39"/>
      <c r="C38" s="130"/>
    </row>
    <row r="39" spans="1:3" ht="24.75">
      <c r="A39" s="39"/>
      <c r="B39" s="39"/>
      <c r="C39" s="130" t="s">
        <v>473</v>
      </c>
    </row>
    <row r="40" spans="1:3" ht="49.5">
      <c r="A40" s="39"/>
      <c r="B40" s="39"/>
      <c r="C40" s="130" t="s">
        <v>474</v>
      </c>
    </row>
    <row r="41" spans="1:3" ht="24.75" hidden="1">
      <c r="A41" s="39"/>
      <c r="B41" s="39"/>
      <c r="C41" s="130"/>
    </row>
    <row r="42" spans="1:3" ht="24.75" hidden="1">
      <c r="A42" s="39"/>
      <c r="B42" s="39"/>
      <c r="C42" s="130"/>
    </row>
    <row r="43" spans="1:3" ht="24.75">
      <c r="A43" s="39"/>
      <c r="B43" s="39"/>
      <c r="C43" s="130"/>
    </row>
    <row r="44" spans="1:3" ht="29.25">
      <c r="A44" s="39"/>
      <c r="B44" s="39"/>
      <c r="C44" s="1016" t="s">
        <v>478</v>
      </c>
    </row>
    <row r="45" spans="1:3" ht="24.75">
      <c r="A45" s="39"/>
      <c r="B45" s="39"/>
      <c r="C45" s="1015" t="s">
        <v>479</v>
      </c>
    </row>
    <row r="46" spans="1:3" ht="24.75">
      <c r="A46" s="39"/>
      <c r="B46" s="39"/>
      <c r="C46" s="130"/>
    </row>
    <row r="47" spans="1:3" ht="49.5">
      <c r="A47" s="39"/>
      <c r="B47" s="39"/>
      <c r="C47" s="130" t="s">
        <v>480</v>
      </c>
    </row>
    <row r="48" spans="1:3" ht="24.75">
      <c r="A48" s="39"/>
      <c r="B48" s="39"/>
      <c r="C48" s="130" t="s">
        <v>498</v>
      </c>
    </row>
    <row r="49" spans="1:3" ht="49.5">
      <c r="A49" s="39"/>
      <c r="B49" s="39"/>
      <c r="C49" s="130" t="s">
        <v>481</v>
      </c>
    </row>
    <row r="50" spans="1:3" ht="24.75">
      <c r="A50" s="39"/>
      <c r="B50" s="39"/>
      <c r="C50" s="130" t="s">
        <v>499</v>
      </c>
    </row>
    <row r="51" spans="1:3" ht="24.75">
      <c r="A51" s="39"/>
      <c r="B51" s="39"/>
      <c r="C51" s="130" t="s">
        <v>482</v>
      </c>
    </row>
    <row r="52" spans="1:3" ht="24.75">
      <c r="A52" s="39"/>
      <c r="B52" s="39"/>
      <c r="C52" s="130" t="s">
        <v>500</v>
      </c>
    </row>
    <row r="53" spans="1:3" ht="49.5">
      <c r="A53" s="39"/>
      <c r="B53" s="39"/>
      <c r="C53" s="130" t="s">
        <v>483</v>
      </c>
    </row>
    <row r="54" spans="1:3" ht="49.5">
      <c r="A54" s="39"/>
      <c r="B54" s="39"/>
      <c r="C54" s="130" t="s">
        <v>484</v>
      </c>
    </row>
    <row r="55" spans="1:3" ht="24.75">
      <c r="A55" s="39"/>
      <c r="B55" s="39"/>
      <c r="C55" s="130"/>
    </row>
    <row r="56" spans="1:3" ht="29.25">
      <c r="A56" s="39"/>
      <c r="B56" s="39"/>
      <c r="C56" s="1017" t="s">
        <v>485</v>
      </c>
    </row>
    <row r="57" spans="1:3" ht="24.75" hidden="1">
      <c r="A57" s="39"/>
      <c r="B57" s="39"/>
      <c r="C57" s="130"/>
    </row>
    <row r="58" spans="1:3" ht="24.75">
      <c r="A58" s="39"/>
      <c r="B58" s="39"/>
      <c r="C58" s="130" t="s">
        <v>486</v>
      </c>
    </row>
    <row r="59" spans="1:3" ht="24.75" hidden="1">
      <c r="A59" s="39"/>
      <c r="B59" s="39"/>
      <c r="C59" s="130"/>
    </row>
    <row r="60" spans="1:3" ht="24.75">
      <c r="A60" s="39"/>
      <c r="B60" s="39"/>
      <c r="C60" s="130" t="s">
        <v>501</v>
      </c>
    </row>
    <row r="61" spans="1:3" ht="24.75">
      <c r="A61" s="39"/>
      <c r="B61" s="39"/>
      <c r="C61" s="130" t="s">
        <v>487</v>
      </c>
    </row>
    <row r="62" spans="1:3" ht="24.75" hidden="1">
      <c r="A62" s="39"/>
      <c r="B62" s="39"/>
      <c r="C62" s="130"/>
    </row>
    <row r="63" spans="1:3" ht="24.75">
      <c r="A63" s="39"/>
      <c r="B63" s="39"/>
      <c r="C63" s="130" t="s">
        <v>502</v>
      </c>
    </row>
    <row r="64" spans="1:3" ht="24.75">
      <c r="A64" s="39"/>
      <c r="B64" s="39"/>
      <c r="C64" s="130" t="s">
        <v>488</v>
      </c>
    </row>
    <row r="65" spans="1:3" ht="24.75">
      <c r="A65" s="39"/>
      <c r="B65" s="39"/>
      <c r="C65" s="130" t="s">
        <v>489</v>
      </c>
    </row>
    <row r="66" spans="1:3" ht="24.75" hidden="1">
      <c r="A66" s="39"/>
      <c r="B66" s="39"/>
      <c r="C66" s="130"/>
    </row>
    <row r="67" spans="1:3" ht="24.75">
      <c r="A67" s="39"/>
      <c r="B67" s="39"/>
      <c r="C67" s="130" t="s">
        <v>503</v>
      </c>
    </row>
    <row r="68" spans="1:3" ht="24.75">
      <c r="A68" s="39"/>
      <c r="B68" s="39"/>
      <c r="C68" s="130" t="s">
        <v>490</v>
      </c>
    </row>
    <row r="69" spans="1:3" ht="24.75">
      <c r="A69" s="39"/>
      <c r="B69" s="39"/>
      <c r="C69" s="130" t="s">
        <v>491</v>
      </c>
    </row>
    <row r="70" spans="1:3" ht="24.75" hidden="1">
      <c r="A70" s="39"/>
      <c r="B70" s="39"/>
      <c r="C70" s="130"/>
    </row>
    <row r="71" spans="1:3" ht="24.75">
      <c r="A71" s="39"/>
      <c r="B71" s="39"/>
      <c r="C71" s="130" t="s">
        <v>504</v>
      </c>
    </row>
    <row r="72" spans="1:3" ht="24.75">
      <c r="A72" s="39"/>
      <c r="B72" s="39"/>
      <c r="C72" s="130" t="s">
        <v>492</v>
      </c>
    </row>
    <row r="73" spans="1:3" ht="24.75">
      <c r="A73" s="39"/>
      <c r="B73" s="39"/>
      <c r="C73" s="130" t="s">
        <v>493</v>
      </c>
    </row>
    <row r="74" spans="1:3" ht="24.75" hidden="1">
      <c r="A74" s="39"/>
      <c r="B74" s="39"/>
      <c r="C74" s="130"/>
    </row>
    <row r="75" spans="1:3" ht="24.75">
      <c r="A75" s="39"/>
      <c r="B75" s="39"/>
      <c r="C75" s="130" t="s">
        <v>505</v>
      </c>
    </row>
    <row r="76" spans="1:3" ht="24.75">
      <c r="A76" s="39"/>
      <c r="B76" s="39"/>
      <c r="C76" s="130" t="s">
        <v>494</v>
      </c>
    </row>
    <row r="77" spans="1:3" ht="24.75" hidden="1">
      <c r="A77" s="39"/>
      <c r="B77" s="39"/>
      <c r="C77" s="130"/>
    </row>
    <row r="78" spans="1:3" ht="24.75">
      <c r="A78" s="39"/>
      <c r="B78" s="39"/>
      <c r="C78" s="130" t="s">
        <v>506</v>
      </c>
    </row>
    <row r="79" spans="1:3" ht="24.75">
      <c r="A79" s="39"/>
      <c r="B79" s="39"/>
      <c r="C79" s="130" t="s">
        <v>495</v>
      </c>
    </row>
    <row r="80" spans="1:3" ht="24.75" hidden="1">
      <c r="A80" s="39"/>
      <c r="B80" s="39"/>
      <c r="C80" s="130"/>
    </row>
    <row r="81" spans="1:3" ht="24.75">
      <c r="A81" s="39"/>
      <c r="B81" s="39"/>
      <c r="C81" s="130" t="s">
        <v>577</v>
      </c>
    </row>
    <row r="82" spans="1:3" ht="24.75">
      <c r="A82" s="39"/>
      <c r="B82" s="39"/>
      <c r="C82" s="130" t="s">
        <v>578</v>
      </c>
    </row>
    <row r="83" spans="1:3" ht="24.75" hidden="1">
      <c r="A83" s="39"/>
      <c r="B83" s="39"/>
      <c r="C83" s="130"/>
    </row>
    <row r="84" spans="1:3" ht="24.75">
      <c r="A84" s="39"/>
      <c r="B84" s="39"/>
      <c r="C84" s="130" t="s">
        <v>496</v>
      </c>
    </row>
    <row r="85" spans="1:3" ht="24.75" hidden="1">
      <c r="A85" s="39"/>
      <c r="B85" s="39"/>
      <c r="C85" s="130"/>
    </row>
    <row r="86" spans="1:3" ht="24.75">
      <c r="A86" s="39"/>
      <c r="B86" s="39"/>
      <c r="C86" s="130" t="s">
        <v>497</v>
      </c>
    </row>
    <row r="87" spans="1:3" ht="24.75" hidden="1">
      <c r="A87" s="39"/>
      <c r="B87" s="39"/>
      <c r="C87" s="130"/>
    </row>
    <row r="88" spans="1:3" ht="36.75">
      <c r="A88" s="39"/>
      <c r="B88" s="39"/>
      <c r="C88" s="1018" t="s">
        <v>507</v>
      </c>
    </row>
    <row r="89" spans="1:3" ht="24.75" hidden="1">
      <c r="A89" s="39"/>
      <c r="B89" s="39"/>
      <c r="C89" s="130"/>
    </row>
    <row r="90" spans="1:3" ht="24.75">
      <c r="A90" s="39"/>
      <c r="B90" s="39"/>
      <c r="C90" s="130" t="s">
        <v>508</v>
      </c>
    </row>
    <row r="91" spans="1:3" ht="24.75" hidden="1">
      <c r="A91" s="39"/>
      <c r="B91" s="39"/>
      <c r="C91" s="130"/>
    </row>
    <row r="92" spans="1:3" ht="24.75">
      <c r="A92" s="39"/>
      <c r="B92" s="39"/>
      <c r="C92" s="1015" t="s">
        <v>522</v>
      </c>
    </row>
    <row r="93" spans="1:3" ht="49.5">
      <c r="A93" s="39"/>
      <c r="B93" s="39"/>
      <c r="C93" s="130" t="s">
        <v>509</v>
      </c>
    </row>
    <row r="94" spans="1:3" ht="24.75">
      <c r="A94" s="39"/>
      <c r="B94" s="39"/>
      <c r="C94" s="130" t="s">
        <v>510</v>
      </c>
    </row>
    <row r="95" spans="1:3" ht="24.75">
      <c r="A95" s="39"/>
      <c r="B95" s="39"/>
      <c r="C95" s="130" t="s">
        <v>511</v>
      </c>
    </row>
    <row r="96" spans="1:3" ht="24.75">
      <c r="A96" s="39"/>
      <c r="B96" s="39"/>
      <c r="C96" s="130"/>
    </row>
    <row r="97" spans="1:3" ht="24.75">
      <c r="A97" s="39"/>
      <c r="B97" s="39"/>
      <c r="C97" s="1015" t="s">
        <v>523</v>
      </c>
    </row>
    <row r="98" spans="1:3" ht="49.5">
      <c r="A98" s="39"/>
      <c r="B98" s="39"/>
      <c r="C98" s="130" t="s">
        <v>512</v>
      </c>
    </row>
    <row r="99" spans="1:3" ht="24.75">
      <c r="A99" s="39"/>
      <c r="B99" s="39"/>
      <c r="C99" s="130" t="s">
        <v>513</v>
      </c>
    </row>
    <row r="100" spans="1:3" ht="24.75">
      <c r="A100" s="39"/>
      <c r="B100" s="39"/>
      <c r="C100" s="130"/>
    </row>
    <row r="101" spans="1:3" ht="24.75">
      <c r="A101" s="39"/>
      <c r="B101" s="39"/>
      <c r="C101" s="1015" t="s">
        <v>524</v>
      </c>
    </row>
    <row r="102" spans="1:3" ht="49.5">
      <c r="A102" s="39"/>
      <c r="B102" s="39"/>
      <c r="C102" s="130" t="s">
        <v>514</v>
      </c>
    </row>
    <row r="103" spans="1:3" ht="24.75">
      <c r="A103" s="39"/>
      <c r="B103" s="39"/>
      <c r="C103" s="130" t="s">
        <v>515</v>
      </c>
    </row>
    <row r="104" spans="1:3" ht="24.75">
      <c r="A104" s="39"/>
      <c r="B104" s="39"/>
      <c r="C104" s="130"/>
    </row>
    <row r="105" spans="1:3" ht="36.75">
      <c r="A105" s="39"/>
      <c r="B105" s="39"/>
      <c r="C105" s="1018" t="s">
        <v>516</v>
      </c>
    </row>
    <row r="106" spans="1:3" ht="24.75">
      <c r="A106" s="39"/>
      <c r="B106" s="39"/>
      <c r="C106" s="130"/>
    </row>
    <row r="107" spans="1:3" ht="24.75">
      <c r="A107" s="39"/>
      <c r="B107" s="39"/>
      <c r="C107" s="130" t="s">
        <v>517</v>
      </c>
    </row>
    <row r="108" spans="1:3" ht="24.75">
      <c r="A108" s="39"/>
      <c r="B108" s="39"/>
      <c r="C108" s="130"/>
    </row>
    <row r="109" spans="1:3" ht="24.75">
      <c r="A109" s="39"/>
      <c r="B109" s="39"/>
      <c r="C109" s="1015" t="s">
        <v>525</v>
      </c>
    </row>
    <row r="110" spans="1:3" ht="49.5">
      <c r="A110" s="39"/>
      <c r="B110" s="39"/>
      <c r="C110" s="130" t="s">
        <v>518</v>
      </c>
    </row>
    <row r="111" spans="1:3" ht="24.75" hidden="1">
      <c r="A111" s="39"/>
      <c r="B111" s="39"/>
      <c r="C111" s="130"/>
    </row>
    <row r="112" spans="1:3" ht="24.75">
      <c r="A112" s="39"/>
      <c r="B112" s="39"/>
      <c r="C112" s="1015" t="s">
        <v>526</v>
      </c>
    </row>
    <row r="113" spans="1:3" ht="24.75">
      <c r="A113" s="39"/>
      <c r="B113" s="39"/>
      <c r="C113" s="130" t="s">
        <v>519</v>
      </c>
    </row>
    <row r="114" spans="1:3" ht="24.75" hidden="1">
      <c r="A114" s="39"/>
      <c r="B114" s="39"/>
      <c r="C114" s="130"/>
    </row>
    <row r="115" spans="1:3" ht="24.75">
      <c r="A115" s="39"/>
      <c r="B115" s="39"/>
      <c r="C115" s="1015" t="s">
        <v>527</v>
      </c>
    </row>
    <row r="116" spans="1:3" ht="68.25" customHeight="1">
      <c r="A116" s="39"/>
      <c r="B116" s="39"/>
      <c r="C116" s="130" t="s">
        <v>520</v>
      </c>
    </row>
    <row r="117" spans="1:3" ht="24.75">
      <c r="A117" s="39"/>
      <c r="B117" s="39"/>
      <c r="C117" s="130"/>
    </row>
    <row r="118" spans="1:3" ht="24.75">
      <c r="A118" s="39"/>
      <c r="B118" s="39"/>
      <c r="C118" s="1015" t="s">
        <v>528</v>
      </c>
    </row>
    <row r="119" spans="1:3" ht="49.5">
      <c r="A119" s="39"/>
      <c r="B119" s="39"/>
      <c r="C119" s="130" t="s">
        <v>521</v>
      </c>
    </row>
    <row r="120" spans="1:3">
      <c r="A120" s="39"/>
      <c r="B120" s="39"/>
      <c r="C120" s="39"/>
    </row>
    <row r="121" spans="1:3">
      <c r="A121" s="39"/>
      <c r="B121" s="39"/>
      <c r="C121" s="39"/>
    </row>
    <row r="122" spans="1:3" ht="33">
      <c r="C122" s="131" t="s">
        <v>207</v>
      </c>
    </row>
    <row r="123" spans="1:3" ht="24.75">
      <c r="C123" s="132" t="s">
        <v>199</v>
      </c>
    </row>
    <row r="124" spans="1:3" ht="15.75" thickBot="1"/>
    <row r="125" spans="1:3" ht="69.75" customHeight="1" thickBot="1">
      <c r="B125" s="133">
        <v>1</v>
      </c>
      <c r="C125" s="256" t="s">
        <v>208</v>
      </c>
    </row>
    <row r="126" spans="1:3" ht="69.75" customHeight="1" thickBot="1">
      <c r="B126" s="134">
        <f>B125+1</f>
        <v>2</v>
      </c>
      <c r="C126" s="256" t="s">
        <v>209</v>
      </c>
    </row>
    <row r="127" spans="1:3" ht="111" customHeight="1" thickBot="1">
      <c r="B127" s="134">
        <f>B126+1</f>
        <v>3</v>
      </c>
      <c r="C127" s="256" t="s">
        <v>233</v>
      </c>
    </row>
    <row r="128" spans="1:3" ht="172.5" customHeight="1" thickBot="1">
      <c r="B128" s="134">
        <f>B127+1</f>
        <v>4</v>
      </c>
      <c r="C128" s="256" t="s">
        <v>210</v>
      </c>
    </row>
    <row r="129" spans="2:3" ht="111" customHeight="1" thickBot="1">
      <c r="B129" s="134">
        <f>B128+1</f>
        <v>5</v>
      </c>
      <c r="C129" s="256" t="s">
        <v>211</v>
      </c>
    </row>
    <row r="130" spans="2:3" ht="69.75" customHeight="1" thickBot="1">
      <c r="B130" s="134"/>
      <c r="C130" s="256" t="s">
        <v>200</v>
      </c>
    </row>
    <row r="131" spans="2:3" ht="100.5" customHeight="1" thickBot="1">
      <c r="B131" s="134">
        <v>1</v>
      </c>
      <c r="C131" s="256" t="s">
        <v>212</v>
      </c>
    </row>
    <row r="132" spans="2:3" ht="141" customHeight="1" thickBot="1">
      <c r="B132" s="134">
        <f t="shared" ref="B132:B152" si="0">1+B131</f>
        <v>2</v>
      </c>
      <c r="C132" s="256" t="s">
        <v>201</v>
      </c>
    </row>
    <row r="133" spans="2:3" ht="93.75" customHeight="1" thickBot="1">
      <c r="B133" s="134">
        <f t="shared" si="0"/>
        <v>3</v>
      </c>
      <c r="C133" s="256" t="s">
        <v>213</v>
      </c>
    </row>
    <row r="134" spans="2:3" ht="105.75" customHeight="1" thickBot="1">
      <c r="B134" s="134">
        <f t="shared" si="0"/>
        <v>4</v>
      </c>
      <c r="C134" s="256" t="s">
        <v>214</v>
      </c>
    </row>
    <row r="135" spans="2:3" ht="69.75" customHeight="1" thickBot="1">
      <c r="B135" s="134">
        <f t="shared" si="0"/>
        <v>5</v>
      </c>
      <c r="C135" s="256" t="s">
        <v>215</v>
      </c>
    </row>
    <row r="136" spans="2:3" ht="100.5" customHeight="1" thickBot="1">
      <c r="B136" s="134">
        <f t="shared" si="0"/>
        <v>6</v>
      </c>
      <c r="C136" s="256" t="s">
        <v>216</v>
      </c>
    </row>
    <row r="137" spans="2:3" ht="69.75" customHeight="1" thickBot="1">
      <c r="B137" s="134">
        <f t="shared" si="0"/>
        <v>7</v>
      </c>
      <c r="C137" s="256" t="s">
        <v>217</v>
      </c>
    </row>
    <row r="138" spans="2:3" ht="156.75" customHeight="1" thickBot="1">
      <c r="B138" s="134">
        <f t="shared" si="0"/>
        <v>8</v>
      </c>
      <c r="C138" s="256" t="s">
        <v>218</v>
      </c>
    </row>
    <row r="139" spans="2:3" ht="81.75" customHeight="1" thickBot="1">
      <c r="B139" s="134">
        <f t="shared" si="0"/>
        <v>9</v>
      </c>
      <c r="C139" s="256" t="s">
        <v>219</v>
      </c>
    </row>
    <row r="140" spans="2:3" ht="69.75" customHeight="1" thickBot="1">
      <c r="B140" s="134">
        <f t="shared" si="0"/>
        <v>10</v>
      </c>
      <c r="C140" s="256" t="s">
        <v>220</v>
      </c>
    </row>
    <row r="141" spans="2:3" ht="92.25" customHeight="1" thickBot="1">
      <c r="B141" s="134">
        <f t="shared" si="0"/>
        <v>11</v>
      </c>
      <c r="C141" s="256" t="s">
        <v>221</v>
      </c>
    </row>
    <row r="142" spans="2:3" ht="100.5" customHeight="1" thickBot="1">
      <c r="B142" s="134">
        <f t="shared" si="0"/>
        <v>12</v>
      </c>
      <c r="C142" s="256" t="s">
        <v>222</v>
      </c>
    </row>
    <row r="143" spans="2:3" ht="69.75" customHeight="1" thickBot="1">
      <c r="B143" s="134">
        <f t="shared" si="0"/>
        <v>13</v>
      </c>
      <c r="C143" s="256" t="s">
        <v>223</v>
      </c>
    </row>
    <row r="144" spans="2:3" ht="105.75" customHeight="1" thickBot="1">
      <c r="B144" s="134">
        <f t="shared" si="0"/>
        <v>14</v>
      </c>
      <c r="C144" s="256" t="s">
        <v>225</v>
      </c>
    </row>
    <row r="145" spans="2:3" ht="99" customHeight="1" thickBot="1">
      <c r="B145" s="134">
        <f t="shared" si="0"/>
        <v>15</v>
      </c>
      <c r="C145" s="256" t="s">
        <v>224</v>
      </c>
    </row>
    <row r="146" spans="2:3" ht="69.75" customHeight="1" thickBot="1">
      <c r="B146" s="134">
        <f t="shared" si="0"/>
        <v>16</v>
      </c>
      <c r="C146" s="256" t="s">
        <v>226</v>
      </c>
    </row>
    <row r="147" spans="2:3" ht="69.75" customHeight="1" thickBot="1">
      <c r="B147" s="134">
        <f t="shared" si="0"/>
        <v>17</v>
      </c>
      <c r="C147" s="256" t="s">
        <v>227</v>
      </c>
    </row>
    <row r="148" spans="2:3" ht="69.75" customHeight="1" thickBot="1">
      <c r="B148" s="134">
        <f t="shared" si="0"/>
        <v>18</v>
      </c>
      <c r="C148" s="256" t="s">
        <v>228</v>
      </c>
    </row>
    <row r="149" spans="2:3" ht="69.75" customHeight="1" thickBot="1">
      <c r="B149" s="134">
        <f t="shared" si="0"/>
        <v>19</v>
      </c>
      <c r="C149" s="256" t="s">
        <v>229</v>
      </c>
    </row>
    <row r="150" spans="2:3" ht="69.75" customHeight="1" thickBot="1">
      <c r="B150" s="134">
        <f t="shared" si="0"/>
        <v>20</v>
      </c>
      <c r="C150" s="256" t="s">
        <v>230</v>
      </c>
    </row>
    <row r="151" spans="2:3" ht="114.75" customHeight="1" thickBot="1">
      <c r="B151" s="134">
        <f t="shared" si="0"/>
        <v>21</v>
      </c>
      <c r="C151" s="256" t="s">
        <v>231</v>
      </c>
    </row>
    <row r="152" spans="2:3" ht="69.75" customHeight="1" thickBot="1">
      <c r="B152" s="134">
        <f t="shared" si="0"/>
        <v>22</v>
      </c>
      <c r="C152" s="256" t="s">
        <v>232</v>
      </c>
    </row>
    <row r="153" spans="2:3" ht="69.75" customHeight="1" thickBot="1">
      <c r="B153" s="135"/>
      <c r="C153" s="256" t="s">
        <v>202</v>
      </c>
    </row>
    <row r="154" spans="2:3" ht="69.75" customHeight="1" thickBot="1">
      <c r="B154" s="135">
        <v>1</v>
      </c>
      <c r="C154" s="256" t="s">
        <v>203</v>
      </c>
    </row>
    <row r="155" spans="2:3" ht="69.75" customHeight="1" thickBot="1">
      <c r="B155" s="135">
        <v>2</v>
      </c>
      <c r="C155" s="256" t="s">
        <v>204</v>
      </c>
    </row>
    <row r="156" spans="2:3" ht="69.75" customHeight="1" thickBot="1">
      <c r="B156" s="135">
        <v>3</v>
      </c>
      <c r="C156" s="256" t="s">
        <v>205</v>
      </c>
    </row>
    <row r="160" spans="2:3" ht="24.75">
      <c r="C160" s="136" t="s">
        <v>234</v>
      </c>
    </row>
    <row r="161" spans="3:3" ht="24.75">
      <c r="C161" s="136" t="s">
        <v>235</v>
      </c>
    </row>
    <row r="162" spans="3:3" ht="24.75">
      <c r="C162" s="136" t="s">
        <v>236</v>
      </c>
    </row>
    <row r="164" spans="3:3" ht="24.75">
      <c r="C164" s="137" t="s">
        <v>237</v>
      </c>
    </row>
    <row r="166" spans="3:3" ht="24.75">
      <c r="C166" s="136" t="s">
        <v>238</v>
      </c>
    </row>
    <row r="168" spans="3:3" ht="24.75">
      <c r="C168" s="138" t="s">
        <v>239</v>
      </c>
    </row>
    <row r="170" spans="3:3" ht="24.75">
      <c r="C170" s="136" t="s">
        <v>240</v>
      </c>
    </row>
    <row r="171" spans="3:3" ht="24.75">
      <c r="C171" s="136" t="s">
        <v>241</v>
      </c>
    </row>
    <row r="172" spans="3:3" ht="24.75">
      <c r="C172" s="136" t="s">
        <v>242</v>
      </c>
    </row>
    <row r="174" spans="3:3" ht="24.75">
      <c r="C174" s="138" t="s">
        <v>243</v>
      </c>
    </row>
    <row r="176" spans="3:3" ht="24.75">
      <c r="C176" s="136" t="s">
        <v>244</v>
      </c>
    </row>
    <row r="177" spans="3:3" ht="24.75">
      <c r="C177" s="136" t="s">
        <v>245</v>
      </c>
    </row>
    <row r="178" spans="3:3" ht="24.75">
      <c r="C178" s="136" t="s">
        <v>246</v>
      </c>
    </row>
    <row r="180" spans="3:3" ht="24.75">
      <c r="C180" s="137" t="s">
        <v>247</v>
      </c>
    </row>
    <row r="182" spans="3:3" ht="24.75">
      <c r="C182" s="138" t="s">
        <v>146</v>
      </c>
    </row>
    <row r="184" spans="3:3" ht="24.75">
      <c r="C184" s="136" t="s">
        <v>248</v>
      </c>
    </row>
    <row r="185" spans="3:3" ht="24.75">
      <c r="C185" s="136" t="s">
        <v>350</v>
      </c>
    </row>
    <row r="186" spans="3:3" ht="24.75">
      <c r="C186" s="136" t="s">
        <v>351</v>
      </c>
    </row>
    <row r="188" spans="3:3" ht="24.75">
      <c r="C188" s="138" t="s">
        <v>59</v>
      </c>
    </row>
    <row r="190" spans="3:3" ht="24.75">
      <c r="C190" s="136" t="s">
        <v>249</v>
      </c>
    </row>
    <row r="191" spans="3:3" ht="24.75">
      <c r="C191" s="136" t="s">
        <v>352</v>
      </c>
    </row>
    <row r="192" spans="3:3" ht="24.75">
      <c r="C192" s="136" t="s">
        <v>353</v>
      </c>
    </row>
    <row r="193" spans="3:3" ht="24.75">
      <c r="C193" s="136" t="s">
        <v>250</v>
      </c>
    </row>
    <row r="195" spans="3:3" ht="24.75">
      <c r="C195" s="138" t="s">
        <v>4</v>
      </c>
    </row>
    <row r="197" spans="3:3" ht="24.75">
      <c r="C197" s="136" t="s">
        <v>251</v>
      </c>
    </row>
    <row r="198" spans="3:3" ht="24.75">
      <c r="C198" s="136" t="s">
        <v>354</v>
      </c>
    </row>
    <row r="199" spans="3:3" ht="24.75">
      <c r="C199" s="136" t="s">
        <v>355</v>
      </c>
    </row>
    <row r="200" spans="3:3" ht="24.75">
      <c r="C200" s="136" t="s">
        <v>356</v>
      </c>
    </row>
    <row r="202" spans="3:3" ht="24.75">
      <c r="C202" s="138" t="s">
        <v>106</v>
      </c>
    </row>
    <row r="204" spans="3:3" ht="24.75">
      <c r="C204" s="136" t="s">
        <v>252</v>
      </c>
    </row>
    <row r="205" spans="3:3" ht="24.75">
      <c r="C205" s="136" t="s">
        <v>357</v>
      </c>
    </row>
    <row r="206" spans="3:3" ht="24.75">
      <c r="C206" s="136" t="s">
        <v>358</v>
      </c>
    </row>
    <row r="207" spans="3:3" ht="24.75">
      <c r="C207" s="136" t="s">
        <v>359</v>
      </c>
    </row>
    <row r="208" spans="3:3" ht="24.75">
      <c r="C208" s="136" t="s">
        <v>360</v>
      </c>
    </row>
    <row r="209" spans="3:3" ht="24.75">
      <c r="C209" s="136" t="s">
        <v>531</v>
      </c>
    </row>
    <row r="211" spans="3:3" ht="24.75">
      <c r="C211" s="138" t="s">
        <v>253</v>
      </c>
    </row>
    <row r="213" spans="3:3" ht="24.75">
      <c r="C213" s="136" t="s">
        <v>254</v>
      </c>
    </row>
    <row r="214" spans="3:3" ht="24.75">
      <c r="C214" s="136" t="s">
        <v>361</v>
      </c>
    </row>
    <row r="215" spans="3:3" ht="24.75">
      <c r="C215" s="136" t="s">
        <v>362</v>
      </c>
    </row>
    <row r="217" spans="3:3" ht="24.75">
      <c r="C217" s="138" t="s">
        <v>154</v>
      </c>
    </row>
    <row r="219" spans="3:3" ht="24.75">
      <c r="C219" s="136" t="s">
        <v>255</v>
      </c>
    </row>
    <row r="220" spans="3:3" ht="24.75">
      <c r="C220" s="136" t="s">
        <v>363</v>
      </c>
    </row>
    <row r="221" spans="3:3" ht="24.75">
      <c r="C221" s="136" t="s">
        <v>364</v>
      </c>
    </row>
    <row r="222" spans="3:3" ht="24.75">
      <c r="C222" s="136" t="s">
        <v>365</v>
      </c>
    </row>
    <row r="224" spans="3:3" ht="24.75">
      <c r="C224" s="138" t="s">
        <v>256</v>
      </c>
    </row>
    <row r="226" spans="3:3" ht="24.75">
      <c r="C226" s="136" t="s">
        <v>257</v>
      </c>
    </row>
    <row r="227" spans="3:3" ht="24.75">
      <c r="C227" s="136" t="s">
        <v>366</v>
      </c>
    </row>
    <row r="228" spans="3:3" ht="24.75">
      <c r="C228" s="136" t="s">
        <v>367</v>
      </c>
    </row>
    <row r="230" spans="3:3" ht="24.75">
      <c r="C230" s="138" t="s">
        <v>258</v>
      </c>
    </row>
    <row r="232" spans="3:3" ht="24.75">
      <c r="C232" s="136" t="s">
        <v>259</v>
      </c>
    </row>
    <row r="233" spans="3:3" ht="24.75">
      <c r="C233" s="136" t="s">
        <v>368</v>
      </c>
    </row>
    <row r="234" spans="3:3" ht="24.75">
      <c r="C234" s="136" t="s">
        <v>367</v>
      </c>
    </row>
    <row r="236" spans="3:3" ht="24.75">
      <c r="C236" s="138" t="s">
        <v>260</v>
      </c>
    </row>
    <row r="238" spans="3:3" ht="24.75">
      <c r="C238" s="136" t="s">
        <v>255</v>
      </c>
    </row>
    <row r="239" spans="3:3" ht="24.75">
      <c r="C239" s="136" t="s">
        <v>369</v>
      </c>
    </row>
    <row r="240" spans="3:3" ht="24.75">
      <c r="C240" s="136" t="s">
        <v>370</v>
      </c>
    </row>
    <row r="241" spans="3:3" ht="24.75">
      <c r="C241" s="136" t="s">
        <v>371</v>
      </c>
    </row>
    <row r="243" spans="3:3" ht="24.75">
      <c r="C243" s="138" t="s">
        <v>261</v>
      </c>
    </row>
    <row r="245" spans="3:3" ht="24.75">
      <c r="C245" s="136" t="s">
        <v>262</v>
      </c>
    </row>
    <row r="246" spans="3:3" ht="24.75">
      <c r="C246" s="136" t="s">
        <v>372</v>
      </c>
    </row>
    <row r="247" spans="3:3" ht="24.75">
      <c r="C247" s="136" t="s">
        <v>373</v>
      </c>
    </row>
    <row r="248" spans="3:3" ht="24.75">
      <c r="C248" s="136" t="s">
        <v>374</v>
      </c>
    </row>
    <row r="249" spans="3:3" ht="24.75">
      <c r="C249" s="136" t="s">
        <v>375</v>
      </c>
    </row>
    <row r="251" spans="3:3" ht="24.75">
      <c r="C251" s="138" t="s">
        <v>263</v>
      </c>
    </row>
    <row r="253" spans="3:3" ht="24.75">
      <c r="C253" s="136" t="s">
        <v>723</v>
      </c>
    </row>
    <row r="254" spans="3:3" ht="24.75">
      <c r="C254" s="136" t="s">
        <v>376</v>
      </c>
    </row>
    <row r="255" spans="3:3" ht="24.75">
      <c r="C255" s="136" t="s">
        <v>377</v>
      </c>
    </row>
    <row r="256" spans="3:3" ht="24.75">
      <c r="C256" s="136" t="s">
        <v>378</v>
      </c>
    </row>
    <row r="257" spans="3:3" ht="24.75">
      <c r="C257" s="136" t="s">
        <v>379</v>
      </c>
    </row>
    <row r="259" spans="3:3" ht="24.75">
      <c r="C259" s="138" t="s">
        <v>264</v>
      </c>
    </row>
    <row r="261" spans="3:3" ht="30.75" customHeight="1">
      <c r="C261" s="136" t="s">
        <v>563</v>
      </c>
    </row>
    <row r="262" spans="3:3" ht="24.75">
      <c r="C262" s="136" t="s">
        <v>380</v>
      </c>
    </row>
    <row r="263" spans="3:3" ht="24.75">
      <c r="C263" s="136" t="s">
        <v>370</v>
      </c>
    </row>
    <row r="264" spans="3:3" ht="24.75">
      <c r="C264" s="136" t="s">
        <v>381</v>
      </c>
    </row>
    <row r="265" spans="3:3" ht="24.75">
      <c r="C265" s="136" t="s">
        <v>382</v>
      </c>
    </row>
    <row r="266" spans="3:3" ht="24.75">
      <c r="C266" s="136" t="s">
        <v>383</v>
      </c>
    </row>
    <row r="268" spans="3:3" ht="24.75">
      <c r="C268" s="138" t="s">
        <v>253</v>
      </c>
    </row>
    <row r="270" spans="3:3" ht="24.75">
      <c r="C270" s="136" t="s">
        <v>254</v>
      </c>
    </row>
    <row r="271" spans="3:3" ht="24.75">
      <c r="C271" s="136" t="s">
        <v>361</v>
      </c>
    </row>
    <row r="272" spans="3:3" ht="24.75">
      <c r="C272" s="136" t="s">
        <v>362</v>
      </c>
    </row>
    <row r="274" spans="3:3" ht="24.75">
      <c r="C274" s="137" t="s">
        <v>265</v>
      </c>
    </row>
    <row r="276" spans="3:3" ht="24.75">
      <c r="C276" s="136" t="s">
        <v>266</v>
      </c>
    </row>
    <row r="277" spans="3:3" ht="24.75">
      <c r="C277" s="136" t="s">
        <v>267</v>
      </c>
    </row>
    <row r="279" spans="3:3" ht="24.75">
      <c r="C279" s="138" t="s">
        <v>268</v>
      </c>
    </row>
    <row r="281" spans="3:3" ht="24.75">
      <c r="C281" s="137" t="s">
        <v>269</v>
      </c>
    </row>
    <row r="283" spans="3:3" ht="24.75">
      <c r="C283" s="136" t="s">
        <v>270</v>
      </c>
    </row>
    <row r="285" spans="3:3" ht="24.75">
      <c r="C285" s="136" t="s">
        <v>271</v>
      </c>
    </row>
    <row r="287" spans="3:3" ht="74.25">
      <c r="C287" s="139" t="s">
        <v>272</v>
      </c>
    </row>
    <row r="288" spans="3:3" ht="74.25">
      <c r="C288" s="139" t="s">
        <v>273</v>
      </c>
    </row>
    <row r="290" spans="3:3" ht="24.75">
      <c r="C290" s="136" t="s">
        <v>274</v>
      </c>
    </row>
    <row r="292" spans="3:3" ht="24.75">
      <c r="C292" s="136" t="s">
        <v>384</v>
      </c>
    </row>
    <row r="294" spans="3:3" ht="24.75">
      <c r="C294" s="136" t="s">
        <v>275</v>
      </c>
    </row>
    <row r="296" spans="3:3" ht="24.75">
      <c r="C296" s="136" t="s">
        <v>385</v>
      </c>
    </row>
    <row r="298" spans="3:3" ht="24.75">
      <c r="C298" s="136" t="s">
        <v>276</v>
      </c>
    </row>
    <row r="300" spans="3:3" ht="24.75">
      <c r="C300" s="136" t="s">
        <v>386</v>
      </c>
    </row>
    <row r="302" spans="3:3" ht="24.75">
      <c r="C302" s="136" t="s">
        <v>277</v>
      </c>
    </row>
    <row r="304" spans="3:3" ht="24.75">
      <c r="C304" s="136" t="s">
        <v>387</v>
      </c>
    </row>
    <row r="306" spans="3:3" ht="24.75">
      <c r="C306" s="136" t="s">
        <v>278</v>
      </c>
    </row>
    <row r="308" spans="3:3" ht="24.75">
      <c r="C308" s="137" t="s">
        <v>279</v>
      </c>
    </row>
    <row r="310" spans="3:3" ht="24.75">
      <c r="C310" s="136" t="s">
        <v>280</v>
      </c>
    </row>
    <row r="312" spans="3:3" ht="24.75">
      <c r="C312" s="136" t="s">
        <v>388</v>
      </c>
    </row>
    <row r="314" spans="3:3" ht="24.75">
      <c r="C314" s="136" t="s">
        <v>281</v>
      </c>
    </row>
    <row r="316" spans="3:3" ht="24.75">
      <c r="C316" s="136" t="s">
        <v>389</v>
      </c>
    </row>
    <row r="318" spans="3:3" ht="24.75">
      <c r="C318" s="136" t="s">
        <v>282</v>
      </c>
    </row>
    <row r="320" spans="3:3" ht="24.75">
      <c r="C320" s="136" t="s">
        <v>390</v>
      </c>
    </row>
    <row r="322" spans="3:3" ht="24.75">
      <c r="C322" s="136" t="s">
        <v>283</v>
      </c>
    </row>
    <row r="324" spans="3:3" ht="24.75">
      <c r="C324" s="136" t="s">
        <v>391</v>
      </c>
    </row>
    <row r="326" spans="3:3" ht="24.75">
      <c r="C326" s="136" t="s">
        <v>284</v>
      </c>
    </row>
    <row r="328" spans="3:3" ht="24.75">
      <c r="C328" s="137" t="s">
        <v>285</v>
      </c>
    </row>
    <row r="330" spans="3:3" ht="24.75">
      <c r="C330" s="136" t="s">
        <v>286</v>
      </c>
    </row>
    <row r="332" spans="3:3" ht="24.75">
      <c r="C332" s="136" t="s">
        <v>390</v>
      </c>
    </row>
    <row r="334" spans="3:3" ht="24.75">
      <c r="C334" s="136" t="s">
        <v>287</v>
      </c>
    </row>
    <row r="336" spans="3:3" ht="24.75">
      <c r="C336" s="136" t="s">
        <v>391</v>
      </c>
    </row>
    <row r="338" spans="3:3" ht="24.75">
      <c r="C338" s="136" t="s">
        <v>288</v>
      </c>
    </row>
    <row r="340" spans="3:3" ht="33">
      <c r="C340" s="131" t="s">
        <v>289</v>
      </c>
    </row>
    <row r="342" spans="3:3" ht="24.75">
      <c r="C342" s="136" t="s">
        <v>290</v>
      </c>
    </row>
    <row r="343" spans="3:3" ht="24.75">
      <c r="C343" s="136" t="s">
        <v>291</v>
      </c>
    </row>
    <row r="345" spans="3:3" ht="24.75">
      <c r="C345" s="136" t="s">
        <v>292</v>
      </c>
    </row>
    <row r="347" spans="3:3" ht="24.75">
      <c r="C347" s="136" t="s">
        <v>392</v>
      </c>
    </row>
    <row r="348" spans="3:3" ht="24.75">
      <c r="C348" s="136" t="s">
        <v>393</v>
      </c>
    </row>
    <row r="349" spans="3:3" ht="24.75">
      <c r="C349" s="136" t="s">
        <v>394</v>
      </c>
    </row>
    <row r="350" spans="3:3" ht="24.75">
      <c r="C350" s="136" t="s">
        <v>395</v>
      </c>
    </row>
    <row r="351" spans="3:3" ht="24.75">
      <c r="C351" s="136" t="s">
        <v>396</v>
      </c>
    </row>
    <row r="352" spans="3:3" ht="24.75">
      <c r="C352" s="136" t="s">
        <v>397</v>
      </c>
    </row>
    <row r="353" spans="3:3" ht="24.75">
      <c r="C353" s="136" t="s">
        <v>398</v>
      </c>
    </row>
    <row r="354" spans="3:3" ht="24.75">
      <c r="C354" s="136" t="s">
        <v>399</v>
      </c>
    </row>
    <row r="355" spans="3:3" ht="24.75">
      <c r="C355" s="136" t="s">
        <v>400</v>
      </c>
    </row>
    <row r="357" spans="3:3" ht="24.75">
      <c r="C357" s="136" t="s">
        <v>293</v>
      </c>
    </row>
    <row r="359" spans="3:3" ht="24.75">
      <c r="C359" s="136" t="s">
        <v>294</v>
      </c>
    </row>
    <row r="361" spans="3:3" ht="24.75">
      <c r="C361" s="136" t="s">
        <v>295</v>
      </c>
    </row>
    <row r="363" spans="3:3" ht="24.75">
      <c r="C363" s="136" t="s">
        <v>401</v>
      </c>
    </row>
    <row r="364" spans="3:3" ht="24.75">
      <c r="C364" s="136" t="s">
        <v>402</v>
      </c>
    </row>
    <row r="366" spans="3:3" ht="24.75">
      <c r="C366" s="136" t="s">
        <v>296</v>
      </c>
    </row>
    <row r="368" spans="3:3" ht="49.5">
      <c r="C368" s="139" t="s">
        <v>297</v>
      </c>
    </row>
    <row r="369" spans="3:3" ht="74.25">
      <c r="C369" s="139" t="s">
        <v>298</v>
      </c>
    </row>
    <row r="371" spans="3:3" ht="33">
      <c r="C371" s="131" t="s">
        <v>299</v>
      </c>
    </row>
    <row r="373" spans="3:3" ht="24.75">
      <c r="C373" s="136" t="s">
        <v>300</v>
      </c>
    </row>
    <row r="374" spans="3:3" ht="24.75">
      <c r="C374" s="136" t="s">
        <v>301</v>
      </c>
    </row>
    <row r="376" spans="3:3" ht="24.75">
      <c r="C376" s="136" t="s">
        <v>403</v>
      </c>
    </row>
    <row r="378" spans="3:3" ht="24.75">
      <c r="C378" s="136" t="s">
        <v>302</v>
      </c>
    </row>
    <row r="379" spans="3:3" ht="24.75">
      <c r="C379" s="136" t="s">
        <v>404</v>
      </c>
    </row>
    <row r="380" spans="3:3" ht="24.75">
      <c r="C380" s="136" t="s">
        <v>405</v>
      </c>
    </row>
    <row r="381" spans="3:3" ht="24.75">
      <c r="C381" s="136" t="s">
        <v>406</v>
      </c>
    </row>
    <row r="382" spans="3:3" ht="24.75">
      <c r="C382" s="136" t="s">
        <v>407</v>
      </c>
    </row>
    <row r="384" spans="3:3" ht="24.75">
      <c r="C384" s="136" t="s">
        <v>408</v>
      </c>
    </row>
    <row r="386" spans="3:3" ht="24.75">
      <c r="C386" s="136" t="s">
        <v>409</v>
      </c>
    </row>
    <row r="387" spans="3:3" ht="24.75">
      <c r="C387" s="136" t="s">
        <v>410</v>
      </c>
    </row>
    <row r="388" spans="3:3" ht="24.75">
      <c r="C388" s="136" t="s">
        <v>411</v>
      </c>
    </row>
    <row r="389" spans="3:3" ht="24.75">
      <c r="C389" s="136" t="s">
        <v>412</v>
      </c>
    </row>
    <row r="390" spans="3:3" ht="24.75">
      <c r="C390" s="136" t="s">
        <v>413</v>
      </c>
    </row>
    <row r="391" spans="3:3" ht="24.75">
      <c r="C391" s="136" t="s">
        <v>414</v>
      </c>
    </row>
    <row r="393" spans="3:3" ht="24.75">
      <c r="C393" s="136" t="s">
        <v>303</v>
      </c>
    </row>
    <row r="395" spans="3:3" ht="24.75">
      <c r="C395" s="137" t="s">
        <v>415</v>
      </c>
    </row>
    <row r="397" spans="3:3" ht="24.75">
      <c r="C397" s="136" t="s">
        <v>304</v>
      </c>
    </row>
    <row r="399" spans="3:3" ht="24.75">
      <c r="C399" s="136" t="s">
        <v>305</v>
      </c>
    </row>
    <row r="401" spans="3:3" ht="24.75">
      <c r="C401" s="136" t="s">
        <v>416</v>
      </c>
    </row>
    <row r="402" spans="3:3" ht="24.75">
      <c r="C402" s="136" t="s">
        <v>417</v>
      </c>
    </row>
    <row r="403" spans="3:3" ht="24.75">
      <c r="C403" s="136" t="s">
        <v>418</v>
      </c>
    </row>
    <row r="405" spans="3:3" ht="24.75">
      <c r="C405" s="137" t="s">
        <v>419</v>
      </c>
    </row>
    <row r="407" spans="3:3" ht="24.75">
      <c r="C407" s="136" t="s">
        <v>306</v>
      </c>
    </row>
    <row r="409" spans="3:3" ht="24.75">
      <c r="C409" s="136" t="s">
        <v>307</v>
      </c>
    </row>
    <row r="411" spans="3:3" ht="24.75">
      <c r="C411" s="136" t="s">
        <v>420</v>
      </c>
    </row>
    <row r="412" spans="3:3" ht="24.75">
      <c r="C412" s="136" t="s">
        <v>421</v>
      </c>
    </row>
    <row r="413" spans="3:3" ht="24.75">
      <c r="C413" s="136" t="s">
        <v>422</v>
      </c>
    </row>
    <row r="414" spans="3:3" ht="24.75">
      <c r="C414" s="136" t="s">
        <v>423</v>
      </c>
    </row>
    <row r="415" spans="3:3" ht="24.75">
      <c r="C415" s="136" t="s">
        <v>424</v>
      </c>
    </row>
    <row r="417" spans="3:3" ht="24.75">
      <c r="C417" s="137" t="s">
        <v>425</v>
      </c>
    </row>
    <row r="419" spans="3:3" ht="24.75">
      <c r="C419" s="136" t="s">
        <v>308</v>
      </c>
    </row>
    <row r="420" spans="3:3" ht="24.75">
      <c r="C420" s="136" t="s">
        <v>426</v>
      </c>
    </row>
    <row r="421" spans="3:3" ht="24.75">
      <c r="C421" s="136" t="s">
        <v>427</v>
      </c>
    </row>
    <row r="423" spans="3:3" ht="24.75">
      <c r="C423" s="136" t="s">
        <v>309</v>
      </c>
    </row>
    <row r="425" spans="3:3" ht="24.75">
      <c r="C425" s="136" t="s">
        <v>310</v>
      </c>
    </row>
    <row r="426" spans="3:3" ht="24.75">
      <c r="C426" s="136" t="s">
        <v>428</v>
      </c>
    </row>
    <row r="427" spans="3:3" ht="24.75">
      <c r="C427" s="136" t="s">
        <v>429</v>
      </c>
    </row>
    <row r="428" spans="3:3" ht="49.5">
      <c r="C428" s="139" t="s">
        <v>430</v>
      </c>
    </row>
    <row r="429" spans="3:3" ht="49.5">
      <c r="C429" s="139" t="s">
        <v>431</v>
      </c>
    </row>
    <row r="430" spans="3:3" ht="24.75">
      <c r="C430" s="139" t="s">
        <v>432</v>
      </c>
    </row>
    <row r="431" spans="3:3" ht="49.5">
      <c r="C431" s="139" t="s">
        <v>433</v>
      </c>
    </row>
    <row r="432" spans="3:3" ht="24.75">
      <c r="C432" s="139" t="s">
        <v>434</v>
      </c>
    </row>
    <row r="433" spans="3:3" ht="24.75">
      <c r="C433" s="139" t="s">
        <v>435</v>
      </c>
    </row>
    <row r="434" spans="3:3" ht="24.75">
      <c r="C434" s="139" t="s">
        <v>436</v>
      </c>
    </row>
    <row r="435" spans="3:3" ht="49.5">
      <c r="C435" s="139" t="s">
        <v>437</v>
      </c>
    </row>
    <row r="437" spans="3:3" ht="24.75">
      <c r="C437" s="137" t="s">
        <v>438</v>
      </c>
    </row>
    <row r="439" spans="3:3" ht="24.75">
      <c r="C439" s="136" t="s">
        <v>311</v>
      </c>
    </row>
    <row r="441" spans="3:3" ht="24.75">
      <c r="C441" s="136" t="s">
        <v>312</v>
      </c>
    </row>
    <row r="443" spans="3:3" ht="24.75">
      <c r="C443" s="136" t="s">
        <v>313</v>
      </c>
    </row>
    <row r="444" spans="3:3" ht="24.75">
      <c r="C444" s="136" t="s">
        <v>314</v>
      </c>
    </row>
    <row r="445" spans="3:3" ht="24.75">
      <c r="C445" s="136" t="s">
        <v>315</v>
      </c>
    </row>
    <row r="447" spans="3:3" ht="24.75">
      <c r="C447" s="136" t="s">
        <v>316</v>
      </c>
    </row>
    <row r="449" spans="3:3" ht="24.75">
      <c r="C449" s="136" t="s">
        <v>317</v>
      </c>
    </row>
    <row r="450" spans="3:3" ht="24.75">
      <c r="C450" s="136" t="s">
        <v>318</v>
      </c>
    </row>
    <row r="451" spans="3:3" ht="24.75">
      <c r="C451" s="136" t="s">
        <v>319</v>
      </c>
    </row>
    <row r="452" spans="3:3" ht="24.75">
      <c r="C452" s="136" t="s">
        <v>320</v>
      </c>
    </row>
    <row r="453" spans="3:3" ht="24.75">
      <c r="C453" s="136" t="s">
        <v>321</v>
      </c>
    </row>
    <row r="454" spans="3:3" ht="24.75">
      <c r="C454" s="136" t="s">
        <v>322</v>
      </c>
    </row>
    <row r="455" spans="3:3" ht="24.75">
      <c r="C455" s="136" t="s">
        <v>323</v>
      </c>
    </row>
    <row r="457" spans="3:3" ht="24.75">
      <c r="C457" s="136" t="s">
        <v>324</v>
      </c>
    </row>
    <row r="459" spans="3:3" ht="24.75">
      <c r="C459" s="136" t="s">
        <v>325</v>
      </c>
    </row>
    <row r="460" spans="3:3" ht="24.75">
      <c r="C460" s="136" t="s">
        <v>318</v>
      </c>
    </row>
    <row r="461" spans="3:3" ht="24.75">
      <c r="C461" s="136" t="s">
        <v>326</v>
      </c>
    </row>
    <row r="462" spans="3:3" ht="24.75">
      <c r="C462" s="136" t="s">
        <v>320</v>
      </c>
    </row>
    <row r="463" spans="3:3" ht="24.75">
      <c r="C463" s="136" t="s">
        <v>327</v>
      </c>
    </row>
    <row r="464" spans="3:3" ht="24.75">
      <c r="C464" s="136" t="s">
        <v>322</v>
      </c>
    </row>
    <row r="465" spans="3:3" ht="24.75">
      <c r="C465" s="136" t="s">
        <v>328</v>
      </c>
    </row>
    <row r="467" spans="3:3" ht="24.75">
      <c r="C467" s="136" t="s">
        <v>329</v>
      </c>
    </row>
    <row r="469" spans="3:3" ht="24.75">
      <c r="C469" s="136" t="s">
        <v>330</v>
      </c>
    </row>
    <row r="470" spans="3:3" ht="24.75">
      <c r="C470" s="136" t="s">
        <v>320</v>
      </c>
    </row>
    <row r="471" spans="3:3" ht="24.75">
      <c r="C471" s="136" t="s">
        <v>331</v>
      </c>
    </row>
    <row r="472" spans="3:3" ht="24.75">
      <c r="C472" s="136" t="s">
        <v>322</v>
      </c>
    </row>
    <row r="473" spans="3:3" ht="24.75">
      <c r="C473" s="136" t="s">
        <v>332</v>
      </c>
    </row>
    <row r="475" spans="3:3" ht="33">
      <c r="C475" s="131" t="s">
        <v>333</v>
      </c>
    </row>
    <row r="477" spans="3:3" ht="24.75">
      <c r="C477" s="136" t="s">
        <v>334</v>
      </c>
    </row>
    <row r="479" spans="3:3" ht="24.75">
      <c r="C479" s="136" t="s">
        <v>335</v>
      </c>
    </row>
    <row r="480" spans="3:3" ht="24.75">
      <c r="C480" s="136" t="s">
        <v>336</v>
      </c>
    </row>
    <row r="481" spans="3:3" ht="24.75">
      <c r="C481" s="136" t="s">
        <v>439</v>
      </c>
    </row>
    <row r="482" spans="3:3" ht="24.75">
      <c r="C482" s="136" t="s">
        <v>440</v>
      </c>
    </row>
    <row r="483" spans="3:3" ht="24.75">
      <c r="C483" s="136" t="s">
        <v>441</v>
      </c>
    </row>
    <row r="484" spans="3:3" ht="24.75">
      <c r="C484" s="136" t="s">
        <v>337</v>
      </c>
    </row>
    <row r="486" spans="3:3" ht="33">
      <c r="C486" s="131" t="s">
        <v>338</v>
      </c>
    </row>
    <row r="488" spans="3:3" ht="24.75">
      <c r="C488" s="136" t="s">
        <v>339</v>
      </c>
    </row>
    <row r="489" spans="3:3" ht="24.75">
      <c r="C489" s="136" t="s">
        <v>442</v>
      </c>
    </row>
    <row r="490" spans="3:3" ht="24.75">
      <c r="C490" s="136" t="s">
        <v>340</v>
      </c>
    </row>
    <row r="491" spans="3:3" ht="24.75">
      <c r="C491" s="136" t="s">
        <v>443</v>
      </c>
    </row>
    <row r="492" spans="3:3" ht="24.75">
      <c r="C492" s="136" t="s">
        <v>341</v>
      </c>
    </row>
    <row r="493" spans="3:3" ht="24.75">
      <c r="C493" s="136" t="s">
        <v>444</v>
      </c>
    </row>
    <row r="494" spans="3:3" ht="24.75">
      <c r="C494" s="136" t="s">
        <v>342</v>
      </c>
    </row>
    <row r="495" spans="3:3" ht="24.75">
      <c r="C495" s="136" t="s">
        <v>445</v>
      </c>
    </row>
    <row r="496" spans="3:3" ht="24.75">
      <c r="C496" s="136" t="s">
        <v>446</v>
      </c>
    </row>
    <row r="497" spans="3:3" ht="24.75">
      <c r="C497" s="136" t="s">
        <v>447</v>
      </c>
    </row>
    <row r="498" spans="3:3" ht="24.75">
      <c r="C498" s="136" t="s">
        <v>448</v>
      </c>
    </row>
    <row r="499" spans="3:3" ht="24.75">
      <c r="C499" s="136" t="s">
        <v>449</v>
      </c>
    </row>
    <row r="500" spans="3:3" ht="24.75">
      <c r="C500" s="136" t="s">
        <v>343</v>
      </c>
    </row>
    <row r="502" spans="3:3" ht="33">
      <c r="C502" s="131" t="s">
        <v>344</v>
      </c>
    </row>
    <row r="504" spans="3:3" ht="24.75">
      <c r="C504" s="136" t="s">
        <v>345</v>
      </c>
    </row>
    <row r="505" spans="3:3" ht="24.75">
      <c r="C505" s="136" t="s">
        <v>346</v>
      </c>
    </row>
    <row r="506" spans="3:3" ht="24.75">
      <c r="C506" s="136" t="s">
        <v>347</v>
      </c>
    </row>
    <row r="508" spans="3:3" ht="33">
      <c r="C508" s="131" t="s">
        <v>348</v>
      </c>
    </row>
    <row r="510" spans="3:3" ht="24.75">
      <c r="C510" s="136" t="s">
        <v>450</v>
      </c>
    </row>
    <row r="511" spans="3:3" ht="24.75">
      <c r="C511" s="136" t="s">
        <v>451</v>
      </c>
    </row>
    <row r="512" spans="3:3" ht="24.75">
      <c r="C512" s="136" t="s">
        <v>349</v>
      </c>
    </row>
    <row r="513" spans="3:3" ht="24.75">
      <c r="C513" s="136" t="s">
        <v>452</v>
      </c>
    </row>
    <row r="514" spans="3:3" ht="24.75">
      <c r="C514" s="136" t="s">
        <v>453</v>
      </c>
    </row>
    <row r="515" spans="3:3" ht="24.75">
      <c r="C515" s="136" t="s">
        <v>454</v>
      </c>
    </row>
    <row r="516" spans="3:3" ht="24.75">
      <c r="C516" s="136" t="s">
        <v>455</v>
      </c>
    </row>
    <row r="525" spans="3:3" ht="24.75">
      <c r="C525" s="429" t="s">
        <v>701</v>
      </c>
    </row>
    <row r="526" spans="3:3" ht="25.5" thickBot="1">
      <c r="C526" s="430"/>
    </row>
    <row r="527" spans="3:3" ht="26.25" thickTop="1" thickBot="1">
      <c r="C527" s="436" t="s">
        <v>702</v>
      </c>
    </row>
    <row r="528" spans="3:3" ht="25.5" thickTop="1">
      <c r="C528" s="435" t="s">
        <v>703</v>
      </c>
    </row>
    <row r="529" spans="3:3" ht="24.75">
      <c r="C529" s="433" t="s">
        <v>704</v>
      </c>
    </row>
    <row r="530" spans="3:3" ht="24.75">
      <c r="C530" s="433" t="s">
        <v>705</v>
      </c>
    </row>
    <row r="531" spans="3:3" ht="24.75">
      <c r="C531" s="433" t="s">
        <v>706</v>
      </c>
    </row>
    <row r="532" spans="3:3" ht="24.75">
      <c r="C532" s="433" t="s">
        <v>707</v>
      </c>
    </row>
    <row r="533" spans="3:3" ht="24.75">
      <c r="C533" s="433" t="s">
        <v>708</v>
      </c>
    </row>
    <row r="534" spans="3:3" ht="24.75">
      <c r="C534" s="433" t="s">
        <v>709</v>
      </c>
    </row>
    <row r="535" spans="3:3" ht="24.75">
      <c r="C535" s="433" t="s">
        <v>710</v>
      </c>
    </row>
    <row r="536" spans="3:3" ht="24.75">
      <c r="C536" s="433" t="s">
        <v>711</v>
      </c>
    </row>
    <row r="537" spans="3:3" ht="25.5" thickBot="1">
      <c r="C537" s="434" t="s">
        <v>712</v>
      </c>
    </row>
    <row r="538" spans="3:3" ht="24.75">
      <c r="C538" s="430"/>
    </row>
    <row r="541" spans="3:3" ht="24.75">
      <c r="C541" s="431" t="s">
        <v>713</v>
      </c>
    </row>
    <row r="542" spans="3:3" ht="24.75">
      <c r="C542" s="430" t="s">
        <v>714</v>
      </c>
    </row>
    <row r="543" spans="3:3" ht="24.75">
      <c r="C543" s="430" t="s">
        <v>732</v>
      </c>
    </row>
    <row r="544" spans="3:3" ht="24.75">
      <c r="C544" s="430" t="s">
        <v>715</v>
      </c>
    </row>
    <row r="545" spans="2:7" ht="24.75">
      <c r="C545" s="430"/>
    </row>
    <row r="546" spans="2:7" ht="24.75">
      <c r="C546" s="431" t="s">
        <v>716</v>
      </c>
    </row>
    <row r="547" spans="2:7" ht="24.75">
      <c r="C547" s="430" t="s">
        <v>717</v>
      </c>
    </row>
    <row r="548" spans="2:7" ht="24.75">
      <c r="C548" s="430" t="s">
        <v>718</v>
      </c>
    </row>
    <row r="558" spans="2:7" ht="18.75">
      <c r="B558"/>
      <c r="C558" s="421" t="s">
        <v>583</v>
      </c>
      <c r="D558" s="422"/>
      <c r="E558"/>
      <c r="F558" s="19"/>
      <c r="G558" s="19"/>
    </row>
    <row r="559" spans="2:7" ht="18.75">
      <c r="B559"/>
      <c r="C559" s="423"/>
      <c r="D559" s="422"/>
      <c r="E559"/>
      <c r="F559" s="19"/>
      <c r="G559" s="19"/>
    </row>
    <row r="560" spans="2:7" ht="18.75">
      <c r="B560"/>
      <c r="C560" s="424" t="s">
        <v>685</v>
      </c>
      <c r="D560" s="422"/>
      <c r="E560"/>
      <c r="F560" s="19"/>
      <c r="G560" s="19"/>
    </row>
    <row r="561" spans="2:7" ht="18.75">
      <c r="B561"/>
      <c r="C561" s="424" t="s">
        <v>584</v>
      </c>
      <c r="D561" s="422"/>
      <c r="E561"/>
      <c r="F561" s="19"/>
      <c r="G561" s="19"/>
    </row>
    <row r="562" spans="2:7" ht="18.75">
      <c r="B562"/>
      <c r="C562" s="425"/>
      <c r="D562" s="422"/>
      <c r="E562"/>
      <c r="F562" s="19"/>
      <c r="G562" s="19"/>
    </row>
    <row r="563" spans="2:7" ht="18.75">
      <c r="B563"/>
      <c r="C563" s="426" t="s">
        <v>585</v>
      </c>
      <c r="D563" s="422"/>
      <c r="E563"/>
      <c r="F563" s="19"/>
      <c r="G563" s="19"/>
    </row>
    <row r="564" spans="2:7" ht="18.75">
      <c r="B564"/>
      <c r="C564" s="424" t="s">
        <v>586</v>
      </c>
      <c r="D564" s="422"/>
      <c r="E564"/>
      <c r="F564" s="19"/>
      <c r="G564" s="19"/>
    </row>
    <row r="565" spans="2:7" ht="18.75">
      <c r="B565"/>
      <c r="C565" s="424" t="s">
        <v>587</v>
      </c>
      <c r="D565" s="422"/>
      <c r="E565"/>
      <c r="F565" s="19"/>
      <c r="G565" s="19"/>
    </row>
    <row r="566" spans="2:7" ht="18.75">
      <c r="B566"/>
      <c r="C566" s="424" t="s">
        <v>588</v>
      </c>
      <c r="D566" s="422"/>
      <c r="E566"/>
      <c r="F566" s="19"/>
      <c r="G566" s="19"/>
    </row>
    <row r="567" spans="2:7" ht="18.75">
      <c r="B567"/>
      <c r="C567" s="425"/>
      <c r="D567" s="422"/>
      <c r="E567"/>
      <c r="F567" s="19"/>
      <c r="G567" s="19"/>
    </row>
    <row r="568" spans="2:7" ht="18.75">
      <c r="B568"/>
      <c r="C568" s="426" t="s">
        <v>589</v>
      </c>
      <c r="D568" s="422"/>
      <c r="E568"/>
      <c r="F568" s="19"/>
      <c r="G568" s="19"/>
    </row>
    <row r="569" spans="2:7" ht="18.75">
      <c r="B569"/>
      <c r="C569" s="424" t="s">
        <v>590</v>
      </c>
      <c r="D569" s="422"/>
      <c r="E569"/>
      <c r="F569" s="19"/>
      <c r="G569" s="19"/>
    </row>
    <row r="570" spans="2:7" ht="18.75">
      <c r="B570"/>
      <c r="C570" s="424" t="s">
        <v>591</v>
      </c>
      <c r="D570" s="422"/>
      <c r="E570"/>
      <c r="F570" s="19"/>
      <c r="G570" s="19"/>
    </row>
    <row r="571" spans="2:7" ht="18.75">
      <c r="B571"/>
      <c r="C571" s="425"/>
      <c r="D571" s="422"/>
      <c r="E571"/>
      <c r="F571" s="19"/>
      <c r="G571" s="19"/>
    </row>
    <row r="572" spans="2:7" ht="18.75">
      <c r="B572"/>
      <c r="C572" s="424" t="s">
        <v>592</v>
      </c>
      <c r="D572" s="422"/>
      <c r="E572"/>
      <c r="F572" s="19"/>
      <c r="G572" s="19"/>
    </row>
    <row r="573" spans="2:7" ht="18.75">
      <c r="B573"/>
      <c r="C573" s="424" t="s">
        <v>593</v>
      </c>
      <c r="D573" s="422"/>
      <c r="E573"/>
      <c r="F573" s="19"/>
      <c r="G573" s="19"/>
    </row>
    <row r="574" spans="2:7" ht="18.75">
      <c r="B574"/>
      <c r="C574" s="424"/>
      <c r="D574" s="422"/>
      <c r="E574"/>
      <c r="F574" s="19"/>
      <c r="G574" s="19"/>
    </row>
    <row r="575" spans="2:7" ht="18.75">
      <c r="B575"/>
      <c r="C575" s="423"/>
      <c r="D575" s="422"/>
      <c r="E575"/>
      <c r="F575" s="19"/>
      <c r="G575" s="19"/>
    </row>
    <row r="576" spans="2:7" ht="18.75">
      <c r="B576"/>
      <c r="C576" s="424" t="s">
        <v>684</v>
      </c>
      <c r="D576" s="422"/>
      <c r="E576"/>
      <c r="F576" s="19"/>
      <c r="G576" s="19"/>
    </row>
    <row r="577" spans="2:7" ht="18.75">
      <c r="B577"/>
      <c r="C577" s="424" t="s">
        <v>594</v>
      </c>
      <c r="D577" s="422"/>
      <c r="E577"/>
      <c r="F577" s="19"/>
      <c r="G577" s="19"/>
    </row>
    <row r="578" spans="2:7" ht="18.75">
      <c r="B578"/>
      <c r="C578" s="424" t="s">
        <v>595</v>
      </c>
      <c r="D578" s="422"/>
      <c r="E578"/>
      <c r="F578" s="19"/>
      <c r="G578" s="19"/>
    </row>
    <row r="579" spans="2:7" ht="18.75">
      <c r="B579"/>
      <c r="C579" s="424" t="s">
        <v>596</v>
      </c>
      <c r="D579" s="422"/>
      <c r="E579"/>
      <c r="F579" s="19"/>
      <c r="G579" s="19"/>
    </row>
    <row r="580" spans="2:7" ht="18.75">
      <c r="B580"/>
      <c r="C580" s="424" t="s">
        <v>597</v>
      </c>
      <c r="D580" s="422"/>
      <c r="E580"/>
      <c r="F580" s="19"/>
      <c r="G580" s="19"/>
    </row>
    <row r="581" spans="2:7" ht="18.75">
      <c r="B581"/>
      <c r="C581" s="425"/>
      <c r="D581" s="422"/>
      <c r="E581"/>
      <c r="F581" s="19"/>
      <c r="G581" s="19"/>
    </row>
    <row r="582" spans="2:7" ht="18.75">
      <c r="B582"/>
      <c r="C582" s="426" t="s">
        <v>585</v>
      </c>
      <c r="D582" s="422"/>
      <c r="E582"/>
      <c r="F582" s="19"/>
      <c r="G582" s="19"/>
    </row>
    <row r="583" spans="2:7" ht="18.75">
      <c r="B583"/>
      <c r="C583" s="424" t="s">
        <v>598</v>
      </c>
      <c r="D583" s="422"/>
      <c r="E583"/>
      <c r="F583" s="19"/>
      <c r="G583" s="19"/>
    </row>
    <row r="584" spans="2:7" ht="18.75">
      <c r="B584"/>
      <c r="C584" s="425"/>
      <c r="D584" s="422"/>
      <c r="E584"/>
      <c r="F584" s="19"/>
      <c r="G584" s="19"/>
    </row>
    <row r="585" spans="2:7" ht="18.75">
      <c r="B585"/>
      <c r="C585" s="426" t="s">
        <v>589</v>
      </c>
      <c r="D585" s="422"/>
      <c r="E585"/>
      <c r="F585" s="19"/>
      <c r="G585" s="19"/>
    </row>
    <row r="586" spans="2:7" ht="18.75">
      <c r="B586"/>
      <c r="C586" s="424" t="s">
        <v>599</v>
      </c>
      <c r="D586" s="422"/>
      <c r="E586"/>
      <c r="F586" s="19"/>
      <c r="G586" s="19"/>
    </row>
    <row r="587" spans="2:7" ht="18.75">
      <c r="B587"/>
      <c r="C587" s="424" t="s">
        <v>600</v>
      </c>
      <c r="D587" s="422"/>
      <c r="E587"/>
      <c r="F587" s="19"/>
      <c r="G587" s="19"/>
    </row>
    <row r="588" spans="2:7" ht="18.75">
      <c r="B588"/>
      <c r="C588" s="424" t="s">
        <v>601</v>
      </c>
      <c r="D588" s="422"/>
      <c r="E588"/>
      <c r="F588" s="19"/>
      <c r="G588" s="19"/>
    </row>
    <row r="589" spans="2:7" ht="18.75">
      <c r="B589"/>
      <c r="C589" s="425"/>
      <c r="D589" s="422"/>
      <c r="E589"/>
      <c r="F589" s="19"/>
      <c r="G589" s="19"/>
    </row>
    <row r="590" spans="2:7" ht="18.75">
      <c r="B590"/>
      <c r="C590" s="424" t="s">
        <v>602</v>
      </c>
      <c r="D590" s="422"/>
      <c r="E590"/>
      <c r="F590" s="19"/>
      <c r="G590" s="19"/>
    </row>
    <row r="591" spans="2:7" ht="18.75">
      <c r="B591"/>
      <c r="C591" s="424" t="s">
        <v>603</v>
      </c>
      <c r="D591" s="422"/>
      <c r="E591"/>
      <c r="F591" s="19"/>
      <c r="G591" s="19"/>
    </row>
    <row r="592" spans="2:7" ht="18.75">
      <c r="B592"/>
      <c r="C592" s="424" t="s">
        <v>604</v>
      </c>
      <c r="D592" s="422"/>
      <c r="E592"/>
      <c r="F592" s="19"/>
      <c r="G592" s="19"/>
    </row>
    <row r="593" spans="2:7" ht="18.75">
      <c r="B593"/>
      <c r="C593" s="424"/>
      <c r="D593" s="422"/>
      <c r="E593"/>
      <c r="F593" s="19"/>
      <c r="G593" s="19"/>
    </row>
    <row r="594" spans="2:7" ht="18.75">
      <c r="B594"/>
      <c r="C594" s="423"/>
      <c r="D594" s="422"/>
      <c r="E594"/>
      <c r="F594" s="19"/>
      <c r="G594" s="19"/>
    </row>
    <row r="595" spans="2:7" ht="18.75">
      <c r="B595"/>
      <c r="C595" s="424" t="s">
        <v>683</v>
      </c>
      <c r="D595" s="422"/>
      <c r="E595"/>
      <c r="F595" s="19"/>
      <c r="G595" s="19"/>
    </row>
    <row r="596" spans="2:7" ht="18.75">
      <c r="B596"/>
      <c r="C596" s="424" t="s">
        <v>605</v>
      </c>
      <c r="D596" s="422"/>
      <c r="E596"/>
      <c r="F596" s="19"/>
      <c r="G596" s="19"/>
    </row>
    <row r="597" spans="2:7" ht="18.75">
      <c r="B597"/>
      <c r="C597" s="424" t="s">
        <v>606</v>
      </c>
      <c r="D597" s="422"/>
      <c r="E597"/>
      <c r="F597" s="19"/>
      <c r="G597" s="19"/>
    </row>
    <row r="598" spans="2:7" ht="18.75">
      <c r="B598"/>
      <c r="C598" s="425"/>
      <c r="D598" s="422"/>
      <c r="E598"/>
      <c r="F598" s="19"/>
      <c r="G598" s="19"/>
    </row>
    <row r="599" spans="2:7" ht="18.75">
      <c r="B599"/>
      <c r="C599" s="426" t="s">
        <v>585</v>
      </c>
      <c r="D599" s="422"/>
      <c r="E599"/>
      <c r="F599" s="19"/>
      <c r="G599" s="19"/>
    </row>
    <row r="600" spans="2:7" ht="18.75">
      <c r="B600"/>
      <c r="C600" s="424" t="s">
        <v>607</v>
      </c>
      <c r="D600" s="422"/>
      <c r="E600"/>
      <c r="F600" s="19"/>
      <c r="G600" s="19"/>
    </row>
    <row r="601" spans="2:7" ht="18.75">
      <c r="B601"/>
      <c r="C601" s="424" t="s">
        <v>608</v>
      </c>
      <c r="D601" s="422"/>
      <c r="E601"/>
      <c r="F601" s="19"/>
      <c r="G601" s="19"/>
    </row>
    <row r="602" spans="2:7" ht="18.75">
      <c r="B602"/>
      <c r="C602" s="425"/>
      <c r="D602" s="422"/>
      <c r="E602"/>
      <c r="F602" s="19"/>
      <c r="G602" s="19"/>
    </row>
    <row r="603" spans="2:7" ht="18.75">
      <c r="B603"/>
      <c r="C603" s="426" t="s">
        <v>589</v>
      </c>
      <c r="D603" s="422"/>
      <c r="E603"/>
      <c r="F603" s="19"/>
      <c r="G603" s="19"/>
    </row>
    <row r="604" spans="2:7" ht="18.75">
      <c r="B604"/>
      <c r="C604" s="424" t="s">
        <v>609</v>
      </c>
      <c r="D604" s="422"/>
      <c r="E604"/>
      <c r="F604" s="19"/>
      <c r="G604" s="19"/>
    </row>
    <row r="605" spans="2:7" ht="18.75">
      <c r="B605"/>
      <c r="C605" s="424"/>
      <c r="D605" s="422"/>
      <c r="E605"/>
      <c r="F605" s="19"/>
      <c r="G605" s="19"/>
    </row>
    <row r="606" spans="2:7" ht="18.75">
      <c r="B606"/>
      <c r="C606" s="423"/>
      <c r="D606" s="422"/>
      <c r="E606"/>
      <c r="F606" s="19"/>
      <c r="G606" s="19"/>
    </row>
    <row r="607" spans="2:7" ht="25.5">
      <c r="B607"/>
      <c r="C607" s="428" t="s">
        <v>682</v>
      </c>
      <c r="D607" s="422"/>
      <c r="E607"/>
      <c r="F607" s="19"/>
      <c r="G607" s="19"/>
    </row>
    <row r="608" spans="2:7" ht="18.75">
      <c r="B608"/>
      <c r="C608" s="424" t="s">
        <v>610</v>
      </c>
      <c r="D608" s="422"/>
      <c r="E608"/>
      <c r="F608" s="19"/>
      <c r="G608" s="19"/>
    </row>
    <row r="609" spans="2:7" ht="18.75">
      <c r="B609"/>
      <c r="C609" s="425"/>
      <c r="D609" s="422"/>
      <c r="E609"/>
      <c r="F609" s="19"/>
      <c r="G609" s="19"/>
    </row>
    <row r="610" spans="2:7" ht="18.75">
      <c r="B610"/>
      <c r="C610" s="426" t="s">
        <v>585</v>
      </c>
      <c r="D610" s="422"/>
      <c r="E610"/>
      <c r="F610" s="19"/>
      <c r="G610" s="19"/>
    </row>
    <row r="611" spans="2:7" ht="18.75">
      <c r="B611"/>
      <c r="C611" s="424" t="s">
        <v>611</v>
      </c>
      <c r="D611" s="422"/>
      <c r="E611"/>
      <c r="F611" s="19"/>
      <c r="G611" s="19"/>
    </row>
    <row r="612" spans="2:7" ht="18.75">
      <c r="B612"/>
      <c r="C612" s="425"/>
      <c r="D612" s="422"/>
      <c r="E612"/>
      <c r="F612" s="19"/>
      <c r="G612" s="19"/>
    </row>
    <row r="613" spans="2:7" ht="18.75">
      <c r="B613"/>
      <c r="C613" s="426" t="s">
        <v>589</v>
      </c>
      <c r="D613" s="422"/>
      <c r="E613"/>
      <c r="F613" s="19"/>
      <c r="G613" s="19"/>
    </row>
    <row r="614" spans="2:7" ht="18.75">
      <c r="B614"/>
      <c r="C614" s="424" t="s">
        <v>612</v>
      </c>
      <c r="D614" s="422"/>
      <c r="E614"/>
      <c r="F614" s="19"/>
      <c r="G614" s="19"/>
    </row>
    <row r="615" spans="2:7" ht="18.75">
      <c r="B615"/>
      <c r="C615" s="424" t="s">
        <v>613</v>
      </c>
      <c r="D615" s="422"/>
      <c r="E615"/>
      <c r="F615" s="19"/>
      <c r="G615" s="19"/>
    </row>
    <row r="616" spans="2:7" ht="18.75">
      <c r="B616"/>
      <c r="C616" s="424"/>
      <c r="D616" s="422"/>
      <c r="E616"/>
      <c r="F616" s="19"/>
      <c r="G616" s="19"/>
    </row>
    <row r="617" spans="2:7" ht="18.75">
      <c r="B617"/>
      <c r="C617" s="423"/>
      <c r="D617" s="422"/>
      <c r="E617"/>
      <c r="F617" s="19"/>
      <c r="G617" s="19"/>
    </row>
    <row r="618" spans="2:7" ht="18.75">
      <c r="B618"/>
      <c r="C618" s="424" t="s">
        <v>686</v>
      </c>
      <c r="D618" s="422"/>
      <c r="E618"/>
      <c r="F618" s="19"/>
      <c r="G618" s="19"/>
    </row>
    <row r="619" spans="2:7" ht="18.75">
      <c r="B619"/>
      <c r="C619" s="424" t="s">
        <v>614</v>
      </c>
      <c r="D619" s="422"/>
      <c r="E619"/>
      <c r="F619" s="19"/>
      <c r="G619" s="19"/>
    </row>
    <row r="620" spans="2:7" ht="18.75">
      <c r="B620"/>
      <c r="C620" s="425"/>
      <c r="D620" s="422"/>
      <c r="E620"/>
      <c r="F620" s="19"/>
      <c r="G620" s="19"/>
    </row>
    <row r="621" spans="2:7" ht="18.75">
      <c r="B621"/>
      <c r="C621" s="426" t="s">
        <v>585</v>
      </c>
      <c r="D621" s="422"/>
      <c r="E621"/>
      <c r="F621" s="19"/>
      <c r="G621" s="19"/>
    </row>
    <row r="622" spans="2:7" ht="18.75">
      <c r="B622"/>
      <c r="C622" s="424" t="s">
        <v>615</v>
      </c>
      <c r="D622" s="422"/>
      <c r="E622"/>
      <c r="F622" s="19"/>
      <c r="G622" s="19"/>
    </row>
    <row r="623" spans="2:7" ht="18.75">
      <c r="B623"/>
      <c r="C623" s="424" t="s">
        <v>616</v>
      </c>
      <c r="D623" s="422"/>
      <c r="E623"/>
      <c r="F623" s="19"/>
      <c r="G623" s="19"/>
    </row>
    <row r="624" spans="2:7" ht="18.75">
      <c r="B624"/>
      <c r="C624" s="424" t="s">
        <v>617</v>
      </c>
      <c r="D624" s="422"/>
      <c r="E624"/>
      <c r="F624" s="19"/>
      <c r="G624" s="19"/>
    </row>
    <row r="625" spans="2:7" ht="18.75">
      <c r="B625"/>
      <c r="C625" s="425"/>
      <c r="D625" s="422"/>
      <c r="E625"/>
      <c r="F625" s="19"/>
      <c r="G625" s="19"/>
    </row>
    <row r="626" spans="2:7" ht="18.75">
      <c r="B626"/>
      <c r="C626" s="426" t="s">
        <v>589</v>
      </c>
      <c r="D626" s="422"/>
      <c r="E626"/>
      <c r="F626" s="19"/>
      <c r="G626" s="19"/>
    </row>
    <row r="627" spans="2:7" ht="18.75">
      <c r="B627"/>
      <c r="C627" s="424" t="s">
        <v>618</v>
      </c>
      <c r="D627" s="422"/>
      <c r="E627"/>
      <c r="F627" s="19"/>
      <c r="G627" s="19"/>
    </row>
    <row r="628" spans="2:7" ht="18.75">
      <c r="B628"/>
      <c r="C628" s="424" t="s">
        <v>619</v>
      </c>
      <c r="D628" s="422"/>
      <c r="E628"/>
      <c r="F628" s="19"/>
      <c r="G628" s="19"/>
    </row>
    <row r="629" spans="2:7" ht="18.75">
      <c r="B629"/>
      <c r="C629" s="424" t="s">
        <v>620</v>
      </c>
      <c r="D629" s="422"/>
      <c r="E629"/>
      <c r="F629" s="19"/>
      <c r="G629" s="19"/>
    </row>
    <row r="630" spans="2:7" ht="18.75">
      <c r="B630"/>
      <c r="C630" s="424" t="s">
        <v>621</v>
      </c>
      <c r="D630" s="422"/>
      <c r="E630"/>
      <c r="F630" s="19"/>
      <c r="G630" s="19"/>
    </row>
    <row r="631" spans="2:7" ht="18.75">
      <c r="B631"/>
      <c r="C631" s="424" t="s">
        <v>622</v>
      </c>
      <c r="D631" s="422"/>
      <c r="E631"/>
      <c r="F631" s="19"/>
      <c r="G631" s="19"/>
    </row>
    <row r="632" spans="2:7" ht="18.75">
      <c r="B632"/>
      <c r="C632" s="424" t="s">
        <v>623</v>
      </c>
      <c r="D632" s="422"/>
      <c r="E632"/>
      <c r="F632" s="19"/>
      <c r="G632" s="19"/>
    </row>
    <row r="633" spans="2:7" ht="18.75">
      <c r="B633"/>
      <c r="C633" s="424" t="s">
        <v>624</v>
      </c>
      <c r="D633" s="422"/>
      <c r="E633"/>
      <c r="F633" s="19"/>
      <c r="G633" s="19"/>
    </row>
    <row r="634" spans="2:7" ht="18.75">
      <c r="B634"/>
      <c r="C634" s="424"/>
      <c r="D634" s="422"/>
      <c r="E634"/>
      <c r="F634" s="19"/>
      <c r="G634" s="19"/>
    </row>
    <row r="635" spans="2:7" ht="18.75">
      <c r="B635"/>
      <c r="C635" s="423"/>
      <c r="D635" s="422"/>
      <c r="E635"/>
      <c r="F635" s="19"/>
      <c r="G635" s="19"/>
    </row>
    <row r="636" spans="2:7" ht="18.75">
      <c r="B636"/>
      <c r="C636" s="424" t="s">
        <v>687</v>
      </c>
      <c r="D636" s="422"/>
      <c r="E636"/>
      <c r="F636" s="19"/>
      <c r="G636" s="19"/>
    </row>
    <row r="637" spans="2:7" ht="18.75">
      <c r="B637"/>
      <c r="C637" s="424" t="s">
        <v>625</v>
      </c>
      <c r="D637" s="422"/>
      <c r="E637"/>
      <c r="F637" s="19"/>
      <c r="G637" s="19"/>
    </row>
    <row r="638" spans="2:7" ht="18.75">
      <c r="B638"/>
      <c r="C638" s="424" t="s">
        <v>626</v>
      </c>
      <c r="D638" s="422"/>
      <c r="E638"/>
      <c r="F638" s="19"/>
      <c r="G638" s="19"/>
    </row>
    <row r="639" spans="2:7" ht="18.75">
      <c r="B639"/>
      <c r="C639" s="424" t="s">
        <v>627</v>
      </c>
      <c r="D639" s="422"/>
      <c r="E639"/>
      <c r="F639" s="19"/>
      <c r="G639" s="19"/>
    </row>
    <row r="640" spans="2:7" ht="18.75">
      <c r="B640"/>
      <c r="C640" s="425"/>
      <c r="D640" s="422"/>
      <c r="E640"/>
      <c r="F640" s="19"/>
      <c r="G640" s="19"/>
    </row>
    <row r="641" spans="2:7" ht="18.75">
      <c r="B641"/>
      <c r="C641" s="426" t="s">
        <v>585</v>
      </c>
      <c r="D641" s="422"/>
      <c r="E641"/>
      <c r="F641" s="19"/>
      <c r="G641" s="19"/>
    </row>
    <row r="642" spans="2:7" ht="18.75">
      <c r="B642"/>
      <c r="C642" s="424" t="s">
        <v>628</v>
      </c>
      <c r="D642" s="422"/>
      <c r="E642"/>
      <c r="F642" s="19"/>
      <c r="G642" s="19"/>
    </row>
    <row r="643" spans="2:7" ht="18.75">
      <c r="B643"/>
      <c r="C643" s="424" t="s">
        <v>613</v>
      </c>
      <c r="D643" s="422"/>
      <c r="E643"/>
      <c r="F643" s="19"/>
      <c r="G643" s="19"/>
    </row>
    <row r="644" spans="2:7" ht="18.75">
      <c r="B644"/>
      <c r="C644" s="424"/>
      <c r="D644" s="422"/>
      <c r="E644"/>
      <c r="F644" s="19"/>
      <c r="G644" s="19"/>
    </row>
    <row r="645" spans="2:7" ht="18.75">
      <c r="B645"/>
      <c r="C645" s="423"/>
      <c r="D645" s="422"/>
      <c r="E645"/>
      <c r="F645" s="19"/>
      <c r="G645" s="19"/>
    </row>
    <row r="646" spans="2:7" ht="18.75">
      <c r="B646"/>
      <c r="C646" s="424" t="s">
        <v>688</v>
      </c>
      <c r="D646" s="422"/>
      <c r="E646"/>
      <c r="F646" s="19"/>
      <c r="G646" s="19"/>
    </row>
    <row r="647" spans="2:7" ht="18.75">
      <c r="B647"/>
      <c r="C647" s="424" t="s">
        <v>629</v>
      </c>
      <c r="D647" s="422"/>
      <c r="E647"/>
      <c r="F647" s="19"/>
      <c r="G647" s="19"/>
    </row>
    <row r="648" spans="2:7" ht="18.75">
      <c r="B648"/>
      <c r="C648" s="425"/>
      <c r="D648" s="422"/>
      <c r="E648"/>
      <c r="F648" s="19"/>
      <c r="G648" s="19"/>
    </row>
    <row r="649" spans="2:7" ht="18.75">
      <c r="B649"/>
      <c r="C649" s="426" t="s">
        <v>585</v>
      </c>
      <c r="D649" s="422"/>
      <c r="E649"/>
      <c r="F649" s="19"/>
      <c r="G649" s="19"/>
    </row>
    <row r="650" spans="2:7" ht="18.75">
      <c r="B650"/>
      <c r="C650" s="424" t="s">
        <v>630</v>
      </c>
      <c r="D650" s="422"/>
      <c r="E650"/>
      <c r="F650" s="19"/>
      <c r="G650" s="19"/>
    </row>
    <row r="651" spans="2:7" ht="18.75">
      <c r="B651"/>
      <c r="C651" s="424" t="s">
        <v>631</v>
      </c>
      <c r="D651" s="422"/>
      <c r="E651"/>
      <c r="F651" s="19"/>
      <c r="G651" s="19"/>
    </row>
    <row r="652" spans="2:7" ht="18.75">
      <c r="B652"/>
      <c r="C652" s="425"/>
      <c r="D652" s="422"/>
      <c r="E652"/>
      <c r="F652" s="19"/>
      <c r="G652" s="19"/>
    </row>
    <row r="653" spans="2:7" ht="18.75">
      <c r="B653"/>
      <c r="C653" s="426" t="s">
        <v>589</v>
      </c>
      <c r="D653" s="422"/>
      <c r="E653"/>
      <c r="F653" s="19"/>
      <c r="G653" s="19"/>
    </row>
    <row r="654" spans="2:7" ht="18.75">
      <c r="B654"/>
      <c r="C654" s="424" t="s">
        <v>632</v>
      </c>
      <c r="D654" s="422"/>
      <c r="E654"/>
      <c r="F654" s="19"/>
      <c r="G654" s="19"/>
    </row>
    <row r="655" spans="2:7" ht="18.75">
      <c r="B655"/>
      <c r="C655" s="424" t="s">
        <v>613</v>
      </c>
      <c r="D655" s="422"/>
      <c r="E655"/>
      <c r="F655" s="19"/>
      <c r="G655" s="19"/>
    </row>
    <row r="656" spans="2:7" ht="18.75">
      <c r="B656"/>
      <c r="C656" s="424"/>
      <c r="D656" s="422"/>
      <c r="E656"/>
      <c r="F656" s="19"/>
      <c r="G656" s="19"/>
    </row>
    <row r="657" spans="2:7" ht="18.75">
      <c r="B657"/>
      <c r="C657" s="423"/>
      <c r="D657" s="422"/>
      <c r="E657"/>
      <c r="F657" s="19"/>
      <c r="G657" s="19"/>
    </row>
    <row r="658" spans="2:7" ht="18.75">
      <c r="B658"/>
      <c r="C658" s="424" t="s">
        <v>689</v>
      </c>
      <c r="D658" s="422"/>
      <c r="E658"/>
      <c r="F658" s="19"/>
      <c r="G658" s="19"/>
    </row>
    <row r="659" spans="2:7" ht="18.75">
      <c r="B659"/>
      <c r="C659" s="424" t="s">
        <v>633</v>
      </c>
      <c r="D659" s="422"/>
      <c r="E659"/>
      <c r="F659" s="19"/>
      <c r="G659" s="19"/>
    </row>
    <row r="660" spans="2:7" ht="18.75">
      <c r="B660"/>
      <c r="C660" s="425"/>
      <c r="D660" s="422"/>
      <c r="E660"/>
      <c r="F660" s="19"/>
      <c r="G660" s="19"/>
    </row>
    <row r="661" spans="2:7" ht="18.75">
      <c r="B661"/>
      <c r="C661" s="426" t="s">
        <v>585</v>
      </c>
      <c r="D661" s="422"/>
      <c r="E661"/>
      <c r="F661" s="19"/>
      <c r="G661" s="19"/>
    </row>
    <row r="662" spans="2:7" ht="18.75">
      <c r="B662"/>
      <c r="C662" s="424" t="s">
        <v>634</v>
      </c>
      <c r="D662" s="422"/>
      <c r="E662"/>
      <c r="F662" s="19"/>
      <c r="G662" s="19"/>
    </row>
    <row r="663" spans="2:7" ht="18.75">
      <c r="B663"/>
      <c r="C663" s="424" t="s">
        <v>635</v>
      </c>
      <c r="D663" s="422"/>
      <c r="E663"/>
      <c r="F663" s="19"/>
      <c r="G663" s="19"/>
    </row>
    <row r="664" spans="2:7" ht="18.75">
      <c r="B664"/>
      <c r="C664" s="424" t="s">
        <v>636</v>
      </c>
      <c r="D664" s="422"/>
      <c r="E664"/>
      <c r="F664" s="19"/>
      <c r="G664" s="19"/>
    </row>
    <row r="665" spans="2:7" ht="18.75">
      <c r="B665"/>
      <c r="C665" s="424" t="s">
        <v>637</v>
      </c>
      <c r="D665" s="422"/>
      <c r="E665"/>
      <c r="F665" s="19"/>
      <c r="G665" s="19"/>
    </row>
    <row r="666" spans="2:7" ht="18.75">
      <c r="B666"/>
      <c r="C666" s="425"/>
      <c r="D666" s="422"/>
      <c r="E666"/>
      <c r="F666" s="19"/>
      <c r="G666" s="19"/>
    </row>
    <row r="667" spans="2:7" ht="18.75">
      <c r="B667"/>
      <c r="C667" s="426" t="s">
        <v>589</v>
      </c>
      <c r="D667" s="422"/>
      <c r="E667"/>
      <c r="F667" s="19"/>
      <c r="G667" s="19"/>
    </row>
    <row r="668" spans="2:7" ht="18.75">
      <c r="B668"/>
      <c r="C668" s="424" t="s">
        <v>638</v>
      </c>
      <c r="D668" s="422"/>
      <c r="E668"/>
      <c r="F668" s="19"/>
      <c r="G668" s="19"/>
    </row>
    <row r="669" spans="2:7" ht="18.75">
      <c r="B669"/>
      <c r="C669" s="424" t="s">
        <v>639</v>
      </c>
      <c r="D669" s="422"/>
      <c r="E669"/>
      <c r="F669" s="19"/>
      <c r="G669" s="19"/>
    </row>
    <row r="670" spans="2:7" ht="18.75">
      <c r="B670"/>
      <c r="C670" s="424" t="s">
        <v>640</v>
      </c>
      <c r="D670" s="422"/>
      <c r="E670"/>
      <c r="F670" s="19"/>
      <c r="G670" s="19"/>
    </row>
    <row r="671" spans="2:7" ht="18.75">
      <c r="B671"/>
      <c r="C671" s="424" t="s">
        <v>826</v>
      </c>
      <c r="D671" s="422"/>
      <c r="E671"/>
      <c r="F671" s="19"/>
      <c r="G671" s="19"/>
    </row>
    <row r="672" spans="2:7" ht="18.75">
      <c r="B672"/>
      <c r="C672" s="424"/>
      <c r="D672" s="422"/>
      <c r="E672"/>
      <c r="F672" s="19"/>
      <c r="G672" s="19"/>
    </row>
    <row r="673" spans="2:7" ht="18.75">
      <c r="B673"/>
      <c r="C673" s="423"/>
      <c r="D673" s="422"/>
      <c r="E673"/>
      <c r="F673" s="19"/>
      <c r="G673" s="19"/>
    </row>
    <row r="674" spans="2:7" ht="18.75">
      <c r="B674"/>
      <c r="C674" s="424" t="s">
        <v>690</v>
      </c>
      <c r="D674" s="422"/>
      <c r="E674"/>
      <c r="F674" s="19"/>
      <c r="G674" s="19"/>
    </row>
    <row r="675" spans="2:7" ht="18.75">
      <c r="B675"/>
      <c r="C675" s="424" t="s">
        <v>642</v>
      </c>
      <c r="D675" s="422"/>
      <c r="E675"/>
      <c r="F675" s="19"/>
      <c r="G675" s="19"/>
    </row>
    <row r="676" spans="2:7" ht="18.75">
      <c r="B676"/>
      <c r="C676" s="425"/>
      <c r="D676" s="422"/>
      <c r="E676"/>
      <c r="F676" s="19"/>
      <c r="G676" s="19"/>
    </row>
    <row r="677" spans="2:7" ht="18.75">
      <c r="B677"/>
      <c r="C677" s="426" t="s">
        <v>585</v>
      </c>
      <c r="D677" s="422"/>
      <c r="E677"/>
      <c r="F677" s="19"/>
      <c r="G677" s="19"/>
    </row>
    <row r="678" spans="2:7" ht="18.75">
      <c r="B678"/>
      <c r="C678" s="424" t="s">
        <v>643</v>
      </c>
      <c r="D678" s="422"/>
      <c r="E678"/>
      <c r="F678" s="19"/>
      <c r="G678" s="19"/>
    </row>
    <row r="679" spans="2:7" ht="18.75">
      <c r="B679"/>
      <c r="C679" s="425"/>
      <c r="D679" s="422"/>
      <c r="E679"/>
      <c r="F679" s="19"/>
      <c r="G679" s="19"/>
    </row>
    <row r="680" spans="2:7" ht="18.75">
      <c r="B680"/>
      <c r="C680" s="426" t="s">
        <v>589</v>
      </c>
      <c r="D680" s="422"/>
      <c r="E680"/>
      <c r="F680" s="19"/>
      <c r="G680" s="19"/>
    </row>
    <row r="681" spans="2:7" ht="18.75">
      <c r="B681"/>
      <c r="C681" s="424" t="s">
        <v>644</v>
      </c>
      <c r="D681" s="422"/>
      <c r="E681"/>
      <c r="F681" s="19"/>
      <c r="G681" s="19"/>
    </row>
    <row r="682" spans="2:7" ht="18.75">
      <c r="B682"/>
      <c r="C682" s="424"/>
      <c r="D682" s="422"/>
      <c r="E682"/>
      <c r="F682" s="19"/>
      <c r="G682" s="19"/>
    </row>
    <row r="683" spans="2:7" ht="18.75">
      <c r="B683"/>
      <c r="C683" s="423"/>
      <c r="D683" s="422"/>
      <c r="E683"/>
      <c r="F683" s="19"/>
      <c r="G683" s="19"/>
    </row>
    <row r="684" spans="2:7" ht="18.75">
      <c r="B684"/>
      <c r="C684" s="424" t="s">
        <v>691</v>
      </c>
      <c r="D684" s="422"/>
      <c r="E684"/>
      <c r="F684" s="19"/>
      <c r="G684" s="19"/>
    </row>
    <row r="685" spans="2:7" ht="18.75">
      <c r="B685"/>
      <c r="C685" s="424" t="s">
        <v>645</v>
      </c>
      <c r="D685" s="422"/>
      <c r="E685"/>
      <c r="F685" s="19"/>
      <c r="G685" s="19"/>
    </row>
    <row r="686" spans="2:7" ht="18.75">
      <c r="B686"/>
      <c r="C686" s="425"/>
      <c r="D686" s="422"/>
      <c r="E686"/>
      <c r="F686" s="19"/>
      <c r="G686" s="19"/>
    </row>
    <row r="687" spans="2:7" ht="18.75">
      <c r="B687"/>
      <c r="C687" s="426" t="s">
        <v>585</v>
      </c>
      <c r="D687" s="422"/>
      <c r="E687"/>
      <c r="F687" s="19"/>
      <c r="G687" s="19"/>
    </row>
    <row r="688" spans="2:7" ht="18.75">
      <c r="B688"/>
      <c r="C688" s="424" t="s">
        <v>646</v>
      </c>
      <c r="D688" s="422"/>
      <c r="E688"/>
      <c r="F688" s="19"/>
      <c r="G688" s="19"/>
    </row>
    <row r="689" spans="2:7" ht="18.75">
      <c r="B689"/>
      <c r="C689" s="424" t="s">
        <v>647</v>
      </c>
      <c r="D689" s="422"/>
      <c r="E689"/>
      <c r="F689" s="19"/>
      <c r="G689" s="19"/>
    </row>
    <row r="690" spans="2:7" ht="18.75">
      <c r="B690"/>
      <c r="C690" s="425"/>
      <c r="D690" s="422"/>
      <c r="E690"/>
      <c r="F690" s="19"/>
      <c r="G690" s="19"/>
    </row>
    <row r="691" spans="2:7" ht="18.75">
      <c r="B691"/>
      <c r="C691" s="426" t="s">
        <v>589</v>
      </c>
      <c r="D691" s="422"/>
      <c r="E691"/>
      <c r="F691" s="19"/>
      <c r="G691" s="19"/>
    </row>
    <row r="692" spans="2:7" ht="18.75">
      <c r="B692"/>
      <c r="C692" s="424" t="s">
        <v>648</v>
      </c>
      <c r="D692" s="422"/>
      <c r="E692"/>
      <c r="F692" s="19"/>
      <c r="G692" s="19"/>
    </row>
    <row r="693" spans="2:7" ht="18.75">
      <c r="B693"/>
      <c r="C693" s="424"/>
      <c r="D693" s="422"/>
      <c r="E693"/>
      <c r="F693" s="19"/>
      <c r="G693" s="19"/>
    </row>
    <row r="694" spans="2:7" ht="18.75">
      <c r="B694"/>
      <c r="C694" s="424"/>
      <c r="D694" s="422"/>
      <c r="E694"/>
      <c r="F694" s="19"/>
      <c r="G694" s="19"/>
    </row>
    <row r="695" spans="2:7" ht="18.75">
      <c r="B695"/>
      <c r="C695" s="423"/>
      <c r="D695" s="422"/>
      <c r="E695"/>
      <c r="F695" s="19"/>
      <c r="G695" s="19"/>
    </row>
    <row r="696" spans="2:7" ht="18.75">
      <c r="B696"/>
      <c r="C696" s="424" t="s">
        <v>692</v>
      </c>
      <c r="D696" s="422"/>
      <c r="E696"/>
      <c r="F696" s="19"/>
      <c r="G696" s="19"/>
    </row>
    <row r="697" spans="2:7" ht="18.75">
      <c r="B697"/>
      <c r="C697" s="424" t="s">
        <v>649</v>
      </c>
      <c r="D697" s="422"/>
      <c r="E697"/>
      <c r="F697" s="19"/>
      <c r="G697" s="19"/>
    </row>
    <row r="698" spans="2:7" ht="18.75">
      <c r="B698"/>
      <c r="C698" s="425"/>
      <c r="D698" s="422"/>
      <c r="E698"/>
      <c r="F698" s="19"/>
      <c r="G698" s="19"/>
    </row>
    <row r="699" spans="2:7" ht="18.75">
      <c r="B699"/>
      <c r="C699" s="426" t="s">
        <v>585</v>
      </c>
      <c r="D699" s="422"/>
      <c r="E699"/>
      <c r="F699" s="19"/>
      <c r="G699" s="19"/>
    </row>
    <row r="700" spans="2:7" ht="18.75">
      <c r="B700"/>
      <c r="C700" s="424" t="s">
        <v>650</v>
      </c>
      <c r="D700" s="422"/>
      <c r="E700"/>
      <c r="F700" s="19"/>
      <c r="G700" s="19"/>
    </row>
    <row r="701" spans="2:7" ht="18.75">
      <c r="B701"/>
      <c r="C701" s="425"/>
      <c r="D701" s="422"/>
      <c r="E701"/>
      <c r="F701" s="19"/>
      <c r="G701" s="19"/>
    </row>
    <row r="702" spans="2:7" ht="18.75">
      <c r="B702"/>
      <c r="C702" s="426" t="s">
        <v>589</v>
      </c>
      <c r="D702" s="422"/>
      <c r="E702"/>
      <c r="F702" s="19"/>
      <c r="G702" s="19"/>
    </row>
    <row r="703" spans="2:7" ht="18.75">
      <c r="B703"/>
      <c r="C703" s="424" t="s">
        <v>651</v>
      </c>
      <c r="D703" s="422"/>
      <c r="E703"/>
      <c r="F703" s="19"/>
      <c r="G703" s="19"/>
    </row>
    <row r="704" spans="2:7" ht="18.75">
      <c r="B704"/>
      <c r="C704" s="424" t="s">
        <v>652</v>
      </c>
      <c r="D704" s="422"/>
      <c r="E704"/>
      <c r="F704" s="19"/>
      <c r="G704" s="19"/>
    </row>
    <row r="705" spans="2:7" ht="18.75">
      <c r="B705"/>
      <c r="C705" s="424"/>
      <c r="D705" s="422"/>
      <c r="E705"/>
      <c r="F705" s="19"/>
      <c r="G705" s="19"/>
    </row>
    <row r="706" spans="2:7" ht="18.75">
      <c r="B706"/>
      <c r="C706" s="423"/>
      <c r="D706" s="422"/>
      <c r="E706"/>
      <c r="F706" s="19"/>
      <c r="G706" s="19"/>
    </row>
    <row r="707" spans="2:7" ht="18.75">
      <c r="B707"/>
      <c r="C707" s="424" t="s">
        <v>693</v>
      </c>
      <c r="D707" s="422"/>
      <c r="E707"/>
      <c r="F707" s="19"/>
      <c r="G707" s="19"/>
    </row>
    <row r="708" spans="2:7" ht="18.75">
      <c r="B708"/>
      <c r="C708" s="424" t="s">
        <v>653</v>
      </c>
      <c r="D708" s="422"/>
      <c r="E708"/>
      <c r="F708" s="19"/>
      <c r="G708" s="19"/>
    </row>
    <row r="709" spans="2:7" ht="18.75">
      <c r="B709"/>
      <c r="C709" s="424" t="s">
        <v>654</v>
      </c>
      <c r="D709" s="422"/>
      <c r="E709"/>
      <c r="F709" s="19"/>
      <c r="G709" s="19"/>
    </row>
    <row r="710" spans="2:7" ht="18.75">
      <c r="B710"/>
      <c r="C710" s="425"/>
      <c r="D710" s="422"/>
      <c r="E710"/>
      <c r="F710" s="19"/>
      <c r="G710" s="19"/>
    </row>
    <row r="711" spans="2:7" ht="18.75">
      <c r="B711"/>
      <c r="C711" s="426" t="s">
        <v>585</v>
      </c>
      <c r="D711" s="422"/>
      <c r="E711"/>
      <c r="F711" s="19"/>
      <c r="G711" s="19"/>
    </row>
    <row r="712" spans="2:7" ht="18.75">
      <c r="B712"/>
      <c r="C712" s="424" t="s">
        <v>655</v>
      </c>
      <c r="D712" s="422"/>
      <c r="E712"/>
      <c r="F712" s="19"/>
      <c r="G712" s="19"/>
    </row>
    <row r="713" spans="2:7" ht="18.75">
      <c r="B713"/>
      <c r="C713" s="425"/>
      <c r="D713" s="422"/>
      <c r="E713"/>
      <c r="F713" s="19"/>
      <c r="G713" s="19"/>
    </row>
    <row r="714" spans="2:7" ht="18.75">
      <c r="B714"/>
      <c r="C714" s="426" t="s">
        <v>589</v>
      </c>
      <c r="D714" s="422"/>
      <c r="E714"/>
      <c r="F714" s="19"/>
      <c r="G714" s="19"/>
    </row>
    <row r="715" spans="2:7" ht="18.75">
      <c r="B715"/>
      <c r="C715" s="424" t="s">
        <v>681</v>
      </c>
      <c r="D715" s="422"/>
      <c r="E715"/>
      <c r="F715" s="19"/>
      <c r="G715" s="19"/>
    </row>
    <row r="716" spans="2:7" ht="18.75">
      <c r="B716"/>
      <c r="C716" s="424" t="s">
        <v>827</v>
      </c>
      <c r="D716" s="422"/>
      <c r="E716"/>
      <c r="F716" s="19"/>
      <c r="G716" s="19"/>
    </row>
    <row r="717" spans="2:7" ht="18.75">
      <c r="B717"/>
      <c r="C717" s="424"/>
      <c r="D717" s="422"/>
      <c r="E717"/>
      <c r="F717" s="19"/>
      <c r="G717" s="19"/>
    </row>
    <row r="718" spans="2:7" ht="18.75">
      <c r="B718"/>
      <c r="C718" s="423"/>
      <c r="D718" s="422"/>
      <c r="E718"/>
      <c r="F718" s="19"/>
      <c r="G718" s="19"/>
    </row>
    <row r="719" spans="2:7" ht="18.75">
      <c r="B719"/>
      <c r="C719" s="424" t="s">
        <v>694</v>
      </c>
      <c r="D719" s="422"/>
      <c r="E719"/>
      <c r="F719" s="19"/>
      <c r="G719" s="19"/>
    </row>
    <row r="720" spans="2:7" ht="18.75">
      <c r="B720"/>
      <c r="C720" s="424" t="s">
        <v>657</v>
      </c>
      <c r="D720" s="422"/>
      <c r="E720"/>
      <c r="F720" s="19"/>
      <c r="G720" s="19"/>
    </row>
    <row r="721" spans="2:7" ht="18.75">
      <c r="B721"/>
      <c r="C721" s="425"/>
      <c r="D721" s="422"/>
      <c r="E721"/>
      <c r="F721" s="19"/>
      <c r="G721" s="19"/>
    </row>
    <row r="722" spans="2:7" ht="18.75">
      <c r="B722"/>
      <c r="C722" s="426" t="s">
        <v>585</v>
      </c>
      <c r="D722" s="422"/>
      <c r="E722"/>
      <c r="F722" s="19"/>
      <c r="G722" s="19"/>
    </row>
    <row r="723" spans="2:7" ht="18.75">
      <c r="B723"/>
      <c r="C723" s="424" t="s">
        <v>658</v>
      </c>
      <c r="D723" s="422"/>
      <c r="E723"/>
      <c r="F723" s="19"/>
      <c r="G723" s="19"/>
    </row>
    <row r="724" spans="2:7" ht="18.75">
      <c r="B724"/>
      <c r="C724" s="425"/>
      <c r="D724" s="422"/>
      <c r="E724"/>
      <c r="F724" s="19"/>
      <c r="G724" s="19"/>
    </row>
    <row r="725" spans="2:7" ht="18.75">
      <c r="B725"/>
      <c r="C725" s="426" t="s">
        <v>589</v>
      </c>
      <c r="D725" s="422"/>
      <c r="E725"/>
      <c r="F725" s="19"/>
      <c r="G725" s="19"/>
    </row>
    <row r="726" spans="2:7" ht="18.75">
      <c r="B726"/>
      <c r="C726" s="424" t="s">
        <v>659</v>
      </c>
      <c r="D726" s="422"/>
      <c r="E726"/>
      <c r="F726" s="19"/>
      <c r="G726" s="19"/>
    </row>
    <row r="727" spans="2:7" ht="18.75">
      <c r="B727"/>
      <c r="C727" s="424" t="s">
        <v>660</v>
      </c>
      <c r="D727" s="422"/>
      <c r="E727"/>
      <c r="F727" s="19"/>
      <c r="G727" s="19"/>
    </row>
    <row r="728" spans="2:7" ht="18.75">
      <c r="B728"/>
      <c r="C728" s="424"/>
      <c r="D728" s="422"/>
      <c r="E728"/>
      <c r="F728" s="19"/>
      <c r="G728" s="19"/>
    </row>
    <row r="729" spans="2:7" ht="18.75">
      <c r="B729"/>
      <c r="C729" s="423"/>
      <c r="D729" s="422"/>
      <c r="E729"/>
      <c r="F729" s="19"/>
      <c r="G729" s="19"/>
    </row>
    <row r="730" spans="2:7" ht="18.75">
      <c r="B730"/>
      <c r="C730" s="424" t="s">
        <v>695</v>
      </c>
      <c r="D730" s="422"/>
      <c r="E730"/>
      <c r="F730" s="19"/>
      <c r="G730" s="19"/>
    </row>
    <row r="731" spans="2:7" ht="18.75">
      <c r="B731"/>
      <c r="C731" s="424" t="s">
        <v>661</v>
      </c>
      <c r="D731" s="422"/>
      <c r="E731"/>
      <c r="F731" s="19"/>
      <c r="G731" s="19"/>
    </row>
    <row r="732" spans="2:7" ht="18.75">
      <c r="B732"/>
      <c r="C732" s="425"/>
      <c r="D732" s="422"/>
      <c r="E732"/>
      <c r="F732" s="19"/>
      <c r="G732" s="19"/>
    </row>
    <row r="733" spans="2:7" ht="18.75">
      <c r="B733"/>
      <c r="C733" s="426" t="s">
        <v>585</v>
      </c>
      <c r="D733" s="422"/>
      <c r="E733"/>
      <c r="F733" s="19"/>
      <c r="G733" s="19"/>
    </row>
    <row r="734" spans="2:7" ht="18.75">
      <c r="B734"/>
      <c r="C734" s="424" t="s">
        <v>662</v>
      </c>
      <c r="D734" s="422"/>
      <c r="E734"/>
      <c r="F734" s="19"/>
      <c r="G734" s="19"/>
    </row>
    <row r="735" spans="2:7" ht="18.75">
      <c r="B735"/>
      <c r="C735" s="425"/>
      <c r="D735" s="422"/>
      <c r="E735"/>
      <c r="F735" s="19"/>
      <c r="G735" s="19"/>
    </row>
    <row r="736" spans="2:7" ht="18.75">
      <c r="B736"/>
      <c r="C736" s="426" t="s">
        <v>589</v>
      </c>
      <c r="D736" s="422"/>
      <c r="E736"/>
      <c r="F736" s="19"/>
      <c r="G736" s="19"/>
    </row>
    <row r="737" spans="2:7" ht="18.75">
      <c r="B737"/>
      <c r="C737" s="424" t="s">
        <v>663</v>
      </c>
      <c r="D737" s="422"/>
      <c r="E737"/>
      <c r="F737" s="19"/>
      <c r="G737" s="19"/>
    </row>
    <row r="738" spans="2:7" ht="18.75">
      <c r="B738"/>
      <c r="C738" s="424" t="s">
        <v>664</v>
      </c>
      <c r="D738" s="422"/>
      <c r="E738"/>
      <c r="F738" s="19"/>
      <c r="G738" s="19"/>
    </row>
    <row r="739" spans="2:7" ht="18.75">
      <c r="B739"/>
      <c r="C739" s="424"/>
      <c r="D739" s="422"/>
      <c r="E739"/>
      <c r="F739" s="19"/>
      <c r="G739" s="19"/>
    </row>
    <row r="740" spans="2:7" ht="18.75">
      <c r="B740"/>
      <c r="C740" s="423"/>
      <c r="D740" s="422"/>
      <c r="E740"/>
      <c r="F740" s="19"/>
      <c r="G740" s="19"/>
    </row>
    <row r="741" spans="2:7" ht="18.75">
      <c r="B741"/>
      <c r="C741" s="424" t="s">
        <v>696</v>
      </c>
      <c r="D741" s="422"/>
      <c r="E741"/>
      <c r="F741" s="19"/>
      <c r="G741" s="19"/>
    </row>
    <row r="742" spans="2:7" ht="18.75">
      <c r="B742"/>
      <c r="C742" s="424" t="s">
        <v>665</v>
      </c>
      <c r="D742" s="422"/>
      <c r="E742"/>
      <c r="F742" s="19"/>
      <c r="G742" s="19"/>
    </row>
    <row r="743" spans="2:7" ht="18.75">
      <c r="B743"/>
      <c r="C743" s="425"/>
      <c r="D743" s="422"/>
      <c r="E743"/>
      <c r="F743" s="19"/>
      <c r="G743" s="19"/>
    </row>
    <row r="744" spans="2:7" ht="18.75">
      <c r="B744"/>
      <c r="C744" s="426" t="s">
        <v>585</v>
      </c>
      <c r="D744" s="422"/>
      <c r="E744"/>
      <c r="F744" s="19"/>
      <c r="G744" s="19"/>
    </row>
    <row r="745" spans="2:7" ht="18.75">
      <c r="B745"/>
      <c r="C745" s="424" t="s">
        <v>666</v>
      </c>
      <c r="D745" s="422"/>
      <c r="E745"/>
      <c r="F745" s="19"/>
      <c r="G745" s="19"/>
    </row>
    <row r="746" spans="2:7" ht="18.75">
      <c r="B746"/>
      <c r="C746" s="425"/>
      <c r="D746" s="422"/>
      <c r="E746"/>
      <c r="F746" s="19"/>
      <c r="G746" s="19"/>
    </row>
    <row r="747" spans="2:7" ht="18.75">
      <c r="B747"/>
      <c r="C747" s="426" t="s">
        <v>589</v>
      </c>
      <c r="D747" s="422"/>
      <c r="E747"/>
      <c r="F747" s="19"/>
      <c r="G747" s="19"/>
    </row>
    <row r="748" spans="2:7" ht="18.75">
      <c r="B748"/>
      <c r="C748" s="424" t="s">
        <v>667</v>
      </c>
      <c r="D748" s="422"/>
      <c r="E748"/>
      <c r="F748" s="19"/>
      <c r="G748" s="19"/>
    </row>
    <row r="749" spans="2:7" ht="18.75">
      <c r="B749"/>
      <c r="C749" s="424"/>
      <c r="D749" s="422"/>
      <c r="E749"/>
      <c r="F749" s="19"/>
      <c r="G749" s="19"/>
    </row>
    <row r="750" spans="2:7" ht="18.75">
      <c r="B750"/>
      <c r="C750" s="423"/>
      <c r="D750" s="422"/>
      <c r="E750"/>
      <c r="F750" s="19"/>
      <c r="G750" s="19"/>
    </row>
    <row r="751" spans="2:7" ht="18.75">
      <c r="B751"/>
      <c r="C751" s="424" t="s">
        <v>697</v>
      </c>
      <c r="D751" s="422"/>
      <c r="E751"/>
      <c r="F751" s="19"/>
      <c r="G751" s="19"/>
    </row>
    <row r="752" spans="2:7" ht="18.75">
      <c r="B752"/>
      <c r="C752" s="424" t="s">
        <v>668</v>
      </c>
      <c r="D752" s="422"/>
      <c r="E752"/>
      <c r="F752" s="19"/>
      <c r="G752" s="19"/>
    </row>
    <row r="753" spans="2:7" ht="18.75">
      <c r="B753"/>
      <c r="C753" s="425"/>
      <c r="D753" s="422"/>
      <c r="E753"/>
      <c r="F753" s="19"/>
      <c r="G753" s="19"/>
    </row>
    <row r="754" spans="2:7" ht="18.75">
      <c r="B754"/>
      <c r="C754" s="426" t="s">
        <v>585</v>
      </c>
      <c r="D754" s="422"/>
      <c r="E754"/>
      <c r="F754" s="19"/>
      <c r="G754" s="19"/>
    </row>
    <row r="755" spans="2:7" ht="18.75">
      <c r="B755"/>
      <c r="C755" s="424" t="s">
        <v>669</v>
      </c>
      <c r="D755" s="422"/>
      <c r="E755"/>
      <c r="F755" s="19"/>
      <c r="G755" s="19"/>
    </row>
    <row r="756" spans="2:7" ht="18.75">
      <c r="B756"/>
      <c r="C756" s="425"/>
      <c r="D756" s="422"/>
      <c r="E756"/>
      <c r="F756" s="19"/>
      <c r="G756" s="19"/>
    </row>
    <row r="757" spans="2:7" ht="18.75">
      <c r="B757"/>
      <c r="C757" s="426" t="s">
        <v>589</v>
      </c>
      <c r="D757" s="422"/>
      <c r="E757"/>
      <c r="F757" s="19"/>
      <c r="G757" s="19"/>
    </row>
    <row r="758" spans="2:7" ht="18.75">
      <c r="B758"/>
      <c r="C758" s="424" t="s">
        <v>670</v>
      </c>
      <c r="D758" s="422"/>
      <c r="E758"/>
      <c r="F758" s="19"/>
      <c r="G758" s="19"/>
    </row>
    <row r="759" spans="2:7" ht="18.75">
      <c r="B759"/>
      <c r="C759" s="424"/>
      <c r="D759" s="422"/>
      <c r="E759"/>
      <c r="F759" s="19"/>
      <c r="G759" s="19"/>
    </row>
    <row r="760" spans="2:7" ht="18.75">
      <c r="B760"/>
      <c r="C760" s="423"/>
      <c r="D760" s="422"/>
      <c r="E760"/>
      <c r="F760" s="19"/>
      <c r="G760" s="19"/>
    </row>
    <row r="761" spans="2:7" ht="18.75">
      <c r="B761"/>
      <c r="C761" s="424" t="s">
        <v>698</v>
      </c>
      <c r="D761" s="422"/>
      <c r="E761"/>
      <c r="F761" s="19"/>
      <c r="G761" s="19"/>
    </row>
    <row r="762" spans="2:7" ht="18.75">
      <c r="B762"/>
      <c r="C762" s="424" t="s">
        <v>671</v>
      </c>
      <c r="D762" s="422"/>
      <c r="E762"/>
      <c r="F762" s="19"/>
      <c r="G762" s="19"/>
    </row>
    <row r="763" spans="2:7" ht="18.75">
      <c r="B763"/>
      <c r="C763" s="425"/>
      <c r="D763" s="422"/>
      <c r="E763"/>
      <c r="F763" s="19"/>
      <c r="G763" s="19"/>
    </row>
    <row r="764" spans="2:7" ht="18.75">
      <c r="B764"/>
      <c r="C764" s="426" t="s">
        <v>585</v>
      </c>
      <c r="D764" s="422"/>
      <c r="E764"/>
      <c r="F764" s="19"/>
      <c r="G764" s="19"/>
    </row>
    <row r="765" spans="2:7" ht="18.75">
      <c r="B765"/>
      <c r="C765" s="424" t="s">
        <v>672</v>
      </c>
      <c r="D765" s="422"/>
      <c r="E765"/>
      <c r="F765" s="19"/>
      <c r="G765" s="19"/>
    </row>
    <row r="766" spans="2:7" ht="18.75">
      <c r="B766"/>
      <c r="C766" s="425"/>
      <c r="D766" s="422"/>
      <c r="E766"/>
      <c r="F766" s="19"/>
      <c r="G766" s="19"/>
    </row>
    <row r="767" spans="2:7" ht="18.75">
      <c r="B767"/>
      <c r="C767" s="426" t="s">
        <v>589</v>
      </c>
      <c r="D767" s="422"/>
      <c r="E767"/>
      <c r="F767" s="19"/>
      <c r="G767" s="19"/>
    </row>
    <row r="768" spans="2:7" ht="18.75">
      <c r="B768"/>
      <c r="C768" s="424" t="s">
        <v>673</v>
      </c>
      <c r="D768" s="422"/>
      <c r="E768"/>
      <c r="F768" s="19"/>
      <c r="G768" s="19"/>
    </row>
    <row r="769" spans="2:7" ht="18.75">
      <c r="B769"/>
      <c r="C769" s="424"/>
      <c r="D769" s="422"/>
      <c r="E769"/>
      <c r="F769" s="19"/>
      <c r="G769" s="19"/>
    </row>
    <row r="770" spans="2:7" ht="18.75">
      <c r="B770"/>
      <c r="C770" s="423"/>
      <c r="D770" s="422"/>
      <c r="E770"/>
      <c r="F770" s="19"/>
      <c r="G770" s="19"/>
    </row>
    <row r="771" spans="2:7" ht="18.75">
      <c r="B771"/>
      <c r="C771" s="424" t="s">
        <v>699</v>
      </c>
      <c r="D771" s="422"/>
      <c r="E771"/>
      <c r="F771" s="19"/>
      <c r="G771" s="19"/>
    </row>
    <row r="772" spans="2:7" ht="18.75">
      <c r="B772"/>
      <c r="C772" s="424" t="s">
        <v>674</v>
      </c>
      <c r="D772" s="422"/>
      <c r="E772"/>
      <c r="F772" s="19"/>
      <c r="G772" s="19"/>
    </row>
    <row r="773" spans="2:7" ht="18.75">
      <c r="B773"/>
      <c r="C773" s="425"/>
      <c r="D773" s="422"/>
      <c r="E773"/>
      <c r="F773" s="19"/>
      <c r="G773" s="19"/>
    </row>
    <row r="774" spans="2:7" ht="18.75">
      <c r="B774"/>
      <c r="C774" s="426" t="s">
        <v>585</v>
      </c>
      <c r="D774" s="422"/>
      <c r="E774"/>
      <c r="F774" s="19"/>
      <c r="G774" s="19"/>
    </row>
    <row r="775" spans="2:7" ht="18.75">
      <c r="B775"/>
      <c r="C775" s="424" t="s">
        <v>675</v>
      </c>
      <c r="D775" s="422"/>
      <c r="E775"/>
      <c r="F775" s="19"/>
      <c r="G775" s="19"/>
    </row>
    <row r="776" spans="2:7" ht="18.75">
      <c r="B776"/>
      <c r="C776" s="425"/>
      <c r="D776" s="422"/>
      <c r="E776"/>
      <c r="F776" s="19"/>
      <c r="G776" s="19"/>
    </row>
    <row r="777" spans="2:7" ht="18.75">
      <c r="B777"/>
      <c r="C777" s="426" t="s">
        <v>589</v>
      </c>
      <c r="D777" s="422"/>
      <c r="E777"/>
      <c r="F777" s="19"/>
      <c r="G777" s="19"/>
    </row>
    <row r="778" spans="2:7" ht="18.75">
      <c r="B778"/>
      <c r="C778" s="424" t="s">
        <v>676</v>
      </c>
      <c r="D778" s="422"/>
      <c r="E778"/>
      <c r="F778" s="19"/>
      <c r="G778" s="19"/>
    </row>
    <row r="779" spans="2:7" ht="18.75">
      <c r="B779"/>
      <c r="C779" s="424"/>
      <c r="D779" s="422"/>
      <c r="E779"/>
      <c r="F779" s="19"/>
      <c r="G779" s="19"/>
    </row>
    <row r="780" spans="2:7" ht="18.75">
      <c r="B780"/>
      <c r="C780" s="423"/>
      <c r="D780" s="422"/>
      <c r="E780"/>
      <c r="F780" s="19"/>
      <c r="G780" s="19"/>
    </row>
    <row r="781" spans="2:7" ht="18.75">
      <c r="B781"/>
      <c r="C781" s="424" t="s">
        <v>700</v>
      </c>
      <c r="D781" s="422"/>
      <c r="E781"/>
      <c r="F781" s="19"/>
      <c r="G781" s="19"/>
    </row>
    <row r="782" spans="2:7" ht="18.75">
      <c r="B782"/>
      <c r="C782" s="424" t="s">
        <v>677</v>
      </c>
      <c r="D782" s="422"/>
      <c r="E782"/>
      <c r="F782" s="19"/>
      <c r="G782" s="19"/>
    </row>
    <row r="783" spans="2:7" ht="18.75">
      <c r="B783"/>
      <c r="C783" s="425"/>
      <c r="D783" s="422"/>
      <c r="E783"/>
      <c r="F783" s="19"/>
      <c r="G783" s="19"/>
    </row>
    <row r="784" spans="2:7" ht="18.75">
      <c r="B784"/>
      <c r="C784" s="426" t="s">
        <v>585</v>
      </c>
      <c r="D784" s="422"/>
      <c r="E784"/>
      <c r="F784" s="19"/>
      <c r="G784" s="19"/>
    </row>
    <row r="785" spans="2:7" ht="18.75">
      <c r="B785"/>
      <c r="C785" s="424" t="s">
        <v>678</v>
      </c>
      <c r="D785" s="422"/>
      <c r="E785"/>
      <c r="F785" s="19"/>
      <c r="G785" s="19"/>
    </row>
    <row r="786" spans="2:7" ht="18.75">
      <c r="B786"/>
      <c r="C786" s="425"/>
      <c r="D786" s="422"/>
      <c r="E786"/>
      <c r="F786" s="19"/>
      <c r="G786" s="19"/>
    </row>
    <row r="787" spans="2:7" ht="18.75">
      <c r="B787"/>
      <c r="C787" s="426" t="s">
        <v>589</v>
      </c>
      <c r="D787" s="422"/>
      <c r="E787"/>
      <c r="F787" s="19"/>
      <c r="G787" s="19"/>
    </row>
    <row r="788" spans="2:7" ht="18.75">
      <c r="B788"/>
      <c r="C788" s="424" t="s">
        <v>679</v>
      </c>
      <c r="D788" s="422"/>
      <c r="E788"/>
      <c r="F788" s="19"/>
      <c r="G788" s="19"/>
    </row>
    <row r="789" spans="2:7" ht="18.75">
      <c r="B789"/>
      <c r="C789" s="424" t="s">
        <v>680</v>
      </c>
      <c r="D789" s="422"/>
      <c r="E789"/>
      <c r="F789" s="19"/>
      <c r="G789" s="19"/>
    </row>
    <row r="790" spans="2:7">
      <c r="B790"/>
      <c r="C790"/>
      <c r="D790"/>
      <c r="E790"/>
      <c r="F790" s="19"/>
      <c r="G790" s="19"/>
    </row>
  </sheetData>
  <sheetProtection password="EF73" sheet="1" objects="1" scenarios="1"/>
  <customSheetViews>
    <customSheetView guid="{D786A5C0-FBC0-4F24-9F75-D436CA99DC6C}" outlineSymbols="0" zeroValues="0" hiddenRows="1">
      <selection activeCell="C529" sqref="C529"/>
      <pageMargins left="0.70866141732283472" right="0.70866141732283472" top="0.74803149606299213" bottom="0.74803149606299213" header="0.31496062992125984" footer="0.31496062992125984"/>
      <printOptions headings="1"/>
      <pageSetup paperSize="9" orientation="landscape" r:id="rId1"/>
    </customSheetView>
    <customSheetView guid="{257D8C62-BEC4-42F5-9011-98FE74A056C5}" scale="82" outlineSymbols="0" zeroValues="0">
      <selection activeCell="D278" sqref="D278"/>
    </customSheetView>
  </customSheetViews>
  <printOptions headings="1"/>
  <pageMargins left="0.70866141732283472" right="0.70866141732283472" top="0.74803149606299213" bottom="0.74803149606299213" header="0.31496062992125984" footer="0.31496062992125984"/>
  <pageSetup paperSize="9" orientation="landscape"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CC0099"/>
  </sheetPr>
  <dimension ref="A1:AP291"/>
  <sheetViews>
    <sheetView rightToLeft="1" topLeftCell="AI27" zoomScaleNormal="86" workbookViewId="0">
      <selection activeCell="AP37" sqref="AP37"/>
    </sheetView>
  </sheetViews>
  <sheetFormatPr defaultRowHeight="20.25" customHeight="1"/>
  <cols>
    <col min="1" max="4" width="6" hidden="1" customWidth="1"/>
    <col min="5" max="5" width="9" hidden="1" customWidth="1"/>
    <col min="6" max="8" width="6.5" hidden="1" customWidth="1"/>
    <col min="9" max="9" width="9.5" hidden="1" customWidth="1"/>
    <col min="10" max="10" width="8.5" hidden="1" customWidth="1"/>
    <col min="11" max="11" width="9" hidden="1" customWidth="1"/>
    <col min="12" max="13" width="6.5" hidden="1" customWidth="1"/>
    <col min="14" max="14" width="11.5" hidden="1" customWidth="1"/>
    <col min="15" max="16" width="6.5" hidden="1" customWidth="1"/>
    <col min="17" max="17" width="9.375" hidden="1" customWidth="1"/>
    <col min="18" max="18" width="9" hidden="1" customWidth="1"/>
    <col min="19" max="23" width="6.5" hidden="1" customWidth="1"/>
    <col min="24" max="24" width="12.625" hidden="1" customWidth="1"/>
    <col min="25" max="25" width="10.625" hidden="1" customWidth="1"/>
    <col min="26" max="26" width="11" hidden="1" customWidth="1"/>
    <col min="27" max="27" width="6.5" hidden="1" customWidth="1"/>
    <col min="28" max="28" width="13.5" hidden="1" customWidth="1"/>
    <col min="29" max="29" width="6.5" hidden="1" customWidth="1"/>
    <col min="30" max="34" width="9" hidden="1" customWidth="1"/>
    <col min="35" max="37" width="9" customWidth="1"/>
    <col min="42" max="42" width="9" customWidth="1"/>
  </cols>
  <sheetData>
    <row r="1" spans="1:24" ht="42.75" customHeight="1" thickBot="1">
      <c r="A1" s="311"/>
      <c r="B1" s="1320" t="s">
        <v>105</v>
      </c>
      <c r="C1" s="312" t="s">
        <v>120</v>
      </c>
      <c r="D1" s="312"/>
      <c r="E1" s="312"/>
      <c r="F1" s="312"/>
      <c r="G1" s="313"/>
      <c r="H1" s="314">
        <f>(E2+A3*2)</f>
        <v>0</v>
      </c>
      <c r="I1" s="314">
        <f>IF('شرح الحالة'!O128=TRUE,'شرح الحالة'!P128,1)</f>
        <v>1</v>
      </c>
      <c r="J1" s="311">
        <f>IF(I1&gt;0,3,1)</f>
        <v>3</v>
      </c>
      <c r="K1" s="311">
        <f>IF(E2+E3=0,1,J3)</f>
        <v>1</v>
      </c>
      <c r="L1" s="311">
        <f>IF(H1=0,1,K1)</f>
        <v>1</v>
      </c>
      <c r="M1" s="311"/>
      <c r="N1" s="311"/>
      <c r="O1" s="311"/>
      <c r="P1" s="311"/>
      <c r="Q1" s="311"/>
    </row>
    <row r="2" spans="1:24" ht="20.25" customHeight="1" thickBot="1">
      <c r="A2" s="314">
        <f>E8+G7</f>
        <v>0</v>
      </c>
      <c r="B2" s="1320"/>
      <c r="C2" s="315" t="s">
        <v>117</v>
      </c>
      <c r="D2" s="316"/>
      <c r="E2" s="317">
        <f>'شرح الحالة'!Q18+'شرح الحالة'!Q23+'شرح الحالة'!Q24+'شرح الحالة'!Q37+E5+E6</f>
        <v>0</v>
      </c>
      <c r="F2" s="318">
        <f>IF(E2=0,0,E2)</f>
        <v>0</v>
      </c>
      <c r="G2" s="313">
        <f>IF(E2*E3=0,1,E2+E3*2)</f>
        <v>1</v>
      </c>
      <c r="H2" s="311"/>
      <c r="I2" s="314" t="e">
        <f>I3/J3</f>
        <v>#DIV/0!</v>
      </c>
      <c r="J2" s="314" t="e">
        <f>H3/J3</f>
        <v>#DIV/0!</v>
      </c>
      <c r="K2" s="311"/>
      <c r="L2" s="311"/>
      <c r="M2" s="311"/>
      <c r="N2" s="311" t="b">
        <f>AND('أدخال البيانات'!الأبناء__ذكور=0,'أدخال البيانات'!M9&gt;0)</f>
        <v>0</v>
      </c>
      <c r="O2" s="311">
        <f>'أدخال البيانات'!M9</f>
        <v>0</v>
      </c>
      <c r="P2" s="311">
        <f>IF(N2=TRUE,O2,0)</f>
        <v>0</v>
      </c>
      <c r="Q2" s="311"/>
    </row>
    <row r="3" spans="1:24" ht="20.25" customHeight="1" thickBot="1">
      <c r="A3" s="319">
        <f>E3</f>
        <v>0</v>
      </c>
      <c r="B3" s="1320"/>
      <c r="C3" s="320" t="s">
        <v>116</v>
      </c>
      <c r="D3" s="321"/>
      <c r="E3" s="322">
        <f>'شرح الحالة'!Q10+'شرح الحالة'!Q11+'شرح الحالة'!Q12+'شرح الحالة'!Q13+'شرح الحالة'!Q79+'شرح الحالة'!Q80+'شرح الحالة'!Q81+'شرح الحالة'!Q82+'شرح الحالة'!Q96+'شرح الحالة'!Q97+'شرح الحالة'!Q98+'شرح الحالة'!Q100+'شرح الحالة'!Q101+'شرح الحالة'!Q102+'شرح الحالة'!Q104+'شرح الحالة'!Q105+'شرح الحالة'!Q106+'شرح الحالة'!Q108+'شرح الحالة'!Q109+'شرح الحالة'!Q110+'شرح الحالة'!Q112+'شرح الحالة'!Q113+'شرح الحالة'!Q114+'شرح الحالة'!Q116+'شرح الحالة'!Q117+'شرح الحالة'!Q118+E9+E4+E7+'شرح الحالة'!Q141+'شرح الحالة'!Q140+'شرح الحالة'!Q139+'شرح الحالة'!Q138+F9+G5+G4+G6+A5</f>
        <v>0</v>
      </c>
      <c r="F3" s="318">
        <f>IF(E3=0,0,E3)</f>
        <v>0</v>
      </c>
      <c r="G3" s="313"/>
      <c r="H3" s="311">
        <f>IF(F3&gt;0,A3*2,0)</f>
        <v>0</v>
      </c>
      <c r="I3" s="314">
        <f>IF(F2&gt;0,E2,1)</f>
        <v>1</v>
      </c>
      <c r="J3" s="314">
        <f>I3+H3-M4</f>
        <v>0</v>
      </c>
      <c r="K3" s="323" t="e">
        <f>1/J3</f>
        <v>#DIV/0!</v>
      </c>
      <c r="L3" s="311"/>
      <c r="M3" s="311"/>
      <c r="N3" s="311" t="b">
        <f>AND('أدخال البيانات'!F10=0,'أدخال البيانات'!M10&gt;0,'أدخال البيانات'!M9&lt;=1,'أدخال البيانات'!N10&gt;0)</f>
        <v>0</v>
      </c>
      <c r="O3" s="311">
        <f>'أدخال البيانات'!M10</f>
        <v>0</v>
      </c>
      <c r="P3" s="311">
        <f>IF(N3=TRUE,O3,0)</f>
        <v>0</v>
      </c>
      <c r="Q3" s="311">
        <f>IF(N3=TRUE,O3,0)</f>
        <v>0</v>
      </c>
    </row>
    <row r="4" spans="1:24" ht="20.25" customHeight="1" thickBot="1">
      <c r="A4" s="311" t="b">
        <f>'شرح الحالة'!O129</f>
        <v>0</v>
      </c>
      <c r="B4" s="1320"/>
      <c r="C4" s="324" t="s">
        <v>118</v>
      </c>
      <c r="D4" s="321"/>
      <c r="E4" s="325">
        <f>'شرح الحالة'!Q53+'شرح الحالة'!Q51+'شرح الحالة'!Q52+'شرح الحالة'!Q133</f>
        <v>0</v>
      </c>
      <c r="F4" s="326">
        <f>IF('شرح الحالة'!O123=TRUE,0,0)</f>
        <v>0</v>
      </c>
      <c r="G4" s="327">
        <f>IF('شرح الحالة'!O121=TRUE,1,0)</f>
        <v>0</v>
      </c>
      <c r="H4" s="328">
        <f>'شرح الحالة'!Q28+'شرح الحالة'!Q31+'شرح الحالة'!Q32</f>
        <v>0</v>
      </c>
      <c r="I4" s="311"/>
      <c r="J4" s="326" t="e">
        <f>IF(J2+I2=2,1,I2)</f>
        <v>#DIV/0!</v>
      </c>
      <c r="K4" s="329" t="e">
        <f>IF(I2+J2=2,1,J2)</f>
        <v>#DIV/0!</v>
      </c>
      <c r="L4" s="314">
        <f>J3</f>
        <v>0</v>
      </c>
      <c r="M4" s="311">
        <f>IF(E2=0,1,0)</f>
        <v>1</v>
      </c>
      <c r="N4" s="311" t="b">
        <f>AND('أدخال البيانات'!G11=0,'أدخال البيانات'!M10&gt;0,'أدخال البيانات'!N10&gt;0,'أدخال البيانات'!F10=0)</f>
        <v>0</v>
      </c>
      <c r="O4" s="311">
        <f>'أدخال البيانات'!M10</f>
        <v>0</v>
      </c>
      <c r="P4" s="311">
        <v>0</v>
      </c>
      <c r="Q4" s="311">
        <f>IF(N4=TRUE,O4,0)</f>
        <v>0</v>
      </c>
    </row>
    <row r="5" spans="1:24" ht="20.25" customHeight="1" thickBot="1">
      <c r="A5" s="330">
        <f>IF(A2&gt;1,1,A2)</f>
        <v>0</v>
      </c>
      <c r="B5" s="1320"/>
      <c r="C5" s="324" t="s">
        <v>119</v>
      </c>
      <c r="D5" s="321"/>
      <c r="E5" s="325">
        <f>'شرح الحالة'!Q60+'شرح الحالة'!Q58+'شرح الحالة'!Q59+'شرح الحالة'!Q61+'شرح الحالة'!Q62+'شرح الحالة'!Q134</f>
        <v>0</v>
      </c>
      <c r="F5" s="326">
        <f>IF('شرح الحالة'!O122=TRUE,1,0)</f>
        <v>0</v>
      </c>
      <c r="G5" s="331">
        <v>0</v>
      </c>
      <c r="H5" s="328">
        <f>'شرح الحالة'!Q123+MAX('شرح الحالة'!Q126:Q127)</f>
        <v>0</v>
      </c>
      <c r="I5" s="311"/>
      <c r="J5" s="314" t="e">
        <f>IF(F2=0,J4,F2/G2)</f>
        <v>#DIV/0!</v>
      </c>
      <c r="K5" s="314" t="s">
        <v>114</v>
      </c>
      <c r="L5" s="311"/>
      <c r="M5" s="311"/>
      <c r="N5" s="311" t="b">
        <f>AND('أدخال البيانات'!N13&gt;0,'أدخال البيانات'!G15=0,'أدخال البيانات'!M10+'أدخال البيانات'!M9=0,'أدخال البيانات'!AS11=0)</f>
        <v>0</v>
      </c>
      <c r="O5" s="311">
        <f>'أدخال البيانات'!M13</f>
        <v>0</v>
      </c>
      <c r="P5" s="311">
        <f>IF(N5=TRUE,O5,0)</f>
        <v>0</v>
      </c>
      <c r="Q5" s="311"/>
    </row>
    <row r="6" spans="1:24" ht="20.25" customHeight="1" thickBot="1">
      <c r="A6" s="314">
        <f>IF(J11="تعول على",0,A7)</f>
        <v>0</v>
      </c>
      <c r="B6" s="1320"/>
      <c r="C6" s="324" t="s">
        <v>121</v>
      </c>
      <c r="D6" s="321"/>
      <c r="E6" s="325">
        <f>'شرح الحالة'!Q67+'شرح الحالة'!Q66+'شرح الحالة'!Q69+'شرح الحالة'!Q71+'شرح الحالة'!Q72+'شرح الحالة'!Q136+'شرح الحالة'!Q68</f>
        <v>0</v>
      </c>
      <c r="F6" s="326">
        <f>IF('شرح الحالة'!O127=TRUE,1,0)</f>
        <v>0</v>
      </c>
      <c r="G6" s="332">
        <f>IF('شرح الحالة'!O125=TRUE,1,0)</f>
        <v>0</v>
      </c>
      <c r="H6" s="311" t="s">
        <v>128</v>
      </c>
      <c r="I6" s="311"/>
      <c r="J6" s="311" t="b">
        <f>AND(E3&gt;0,E2=0,E2+E3&gt;0)</f>
        <v>0</v>
      </c>
      <c r="K6" s="314" t="e">
        <f>$J$4</f>
        <v>#DIV/0!</v>
      </c>
      <c r="L6" s="311" t="b">
        <f>OR(E2=0,E3=0,E2+E3=0)</f>
        <v>1</v>
      </c>
      <c r="M6" s="311"/>
      <c r="N6" s="311" t="b">
        <f>AND('أدخال البيانات'!N12&gt;0,'أدخال البيانات'!G14=0,'أدخال البيانات'!M10+'أدخال البيانات'!M9=0,'أدخال البيانات'!AS10=0)</f>
        <v>0</v>
      </c>
      <c r="O6" s="311">
        <f>'أدخال البيانات'!M12</f>
        <v>0</v>
      </c>
      <c r="P6" s="311">
        <f>IF(N6=TRUE,O6,0)</f>
        <v>0</v>
      </c>
      <c r="Q6" s="311"/>
    </row>
    <row r="7" spans="1:24" ht="20.25" customHeight="1" thickBot="1">
      <c r="A7" s="314">
        <f>E2+E3-A10</f>
        <v>0</v>
      </c>
      <c r="B7" s="1320"/>
      <c r="C7" s="324" t="s">
        <v>122</v>
      </c>
      <c r="D7" s="321"/>
      <c r="E7" s="325">
        <f>'شرح الحالة'!Q94+'شرح الحالة'!Q92+'شرح الحالة'!Q93+'شرح الحالة'!Q135</f>
        <v>0</v>
      </c>
      <c r="F7" s="326">
        <f>IF('شرح الحالة'!O129=TRUE,1,0)</f>
        <v>0</v>
      </c>
      <c r="G7" s="331">
        <f>((G8-SUM(F4:F8))*IF(D8=1,0,1))*IF('أدخال البيانات'!AS9=1,0,1)+ 'شرح الحالة'!Q123</f>
        <v>0</v>
      </c>
      <c r="H7" s="333">
        <f>IF('أدخال البيانات'!F12=1,1,0)</f>
        <v>0</v>
      </c>
      <c r="I7" s="311" t="s">
        <v>129</v>
      </c>
      <c r="J7" s="399">
        <f>IF(J6=TRUE,1,J3)</f>
        <v>0</v>
      </c>
      <c r="K7" s="314" t="e">
        <f>$K$4</f>
        <v>#DIV/0!</v>
      </c>
      <c r="L7" s="311"/>
      <c r="M7" s="311"/>
      <c r="N7" s="311" t="b">
        <f>AND('أدخال البيانات'!G12&lt;=1/6,'أدخال البيانات'!الأبناء__ذكور+'أدخال البيانات'!F10+'أدخال البيانات'!F11+'أدخال البيانات'!M9+'أدخال البيانات'!M10&gt;0,'أدخال البيانات'!AS11=0)</f>
        <v>0</v>
      </c>
      <c r="O7" s="311">
        <f>'أدخال البيانات'!F12</f>
        <v>0</v>
      </c>
      <c r="P7" s="311">
        <f>IF(N7=TRUE,O7,0)</f>
        <v>0</v>
      </c>
      <c r="Q7" s="311"/>
    </row>
    <row r="8" spans="1:24" ht="20.25" customHeight="1">
      <c r="A8" s="311">
        <f>IF('شرح الحالة'!CD6=FALSE,1,0)</f>
        <v>1</v>
      </c>
      <c r="B8" s="1320"/>
      <c r="C8" s="320" t="s">
        <v>106</v>
      </c>
      <c r="D8" s="321">
        <f>IF('أدخال البيانات'!AS10=1,1,0)*'أدخال البيانات'!F13</f>
        <v>0</v>
      </c>
      <c r="E8" s="334">
        <f>IF(H9=0,0,H5)*D8</f>
        <v>0</v>
      </c>
      <c r="F8" s="326">
        <f>IF('شرح الحالة'!O128=TRUE,1,0)</f>
        <v>0</v>
      </c>
      <c r="G8" s="331">
        <f>(SUM('شرح الحالة'!Q122:Q129)*IF('أدخال البيانات'!AS9=1,0,1))</f>
        <v>0</v>
      </c>
      <c r="H8" s="335">
        <f>'أدخال البيانات'!$AS$10*'أدخال البيانات'!F13</f>
        <v>0</v>
      </c>
      <c r="I8" s="311" t="s">
        <v>130</v>
      </c>
      <c r="J8" s="311"/>
      <c r="K8" s="311"/>
      <c r="L8" s="311"/>
      <c r="M8" s="311"/>
      <c r="N8" s="311" t="b">
        <f>OR(N10,N12,N11)</f>
        <v>1</v>
      </c>
      <c r="O8" s="311">
        <f>'أدخال البيانات'!F13</f>
        <v>0</v>
      </c>
      <c r="P8" s="311">
        <f>IF(N8=TRUE,O8,0)</f>
        <v>0</v>
      </c>
      <c r="Q8" s="311"/>
    </row>
    <row r="9" spans="1:24" ht="20.25" customHeight="1" thickBot="1">
      <c r="A9" s="311" t="e">
        <f>1/A3</f>
        <v>#DIV/0!</v>
      </c>
      <c r="B9" s="1320"/>
      <c r="C9" s="336" t="s">
        <v>4</v>
      </c>
      <c r="D9" s="337"/>
      <c r="E9" s="338">
        <f>IF('شرح الحالة'!O31=TRUE,1,H10)</f>
        <v>0</v>
      </c>
      <c r="F9" s="339">
        <f>IF('شرح الحالة'!O28=TRUE,1,0)</f>
        <v>0</v>
      </c>
      <c r="G9" s="340"/>
      <c r="H9" s="333">
        <f>IF(H7=1,0,H8)</f>
        <v>0</v>
      </c>
      <c r="I9" s="311" t="s">
        <v>130</v>
      </c>
      <c r="J9" s="1321" t="str">
        <f>'شرح الحالة'!AI7</f>
        <v>أصل المسألة</v>
      </c>
      <c r="K9" s="1321"/>
      <c r="L9" s="1321"/>
      <c r="M9" s="341" t="b">
        <f>AND('أدخال البيانات'!F9+'أدخال البيانات'!F10+'أدخال البيانات'!F12+'أدخال البيانات'!F11+'أدخال البيانات'!M9+'أدخال البيانات'!M10=0,M12=TRUE,'أدخال البيانات'!M11&gt;=0,'أدخال البيانات'!F22=1,'أدخال البيانات'!F13=1,'أدخال البيانات'!AS11=0)</f>
        <v>0</v>
      </c>
      <c r="N9" s="341"/>
      <c r="O9" s="342">
        <f>SUM(O2:O8)</f>
        <v>0</v>
      </c>
      <c r="P9" s="342">
        <f>SUM(P2:P8)+'أدخال البيانات'!M18+'أدخال البيانات'!M17*IF('أدخال البيانات'!N17&lt;=0,0,1)+'أدخال البيانات'!M16*IF('أدخال البيانات'!N16&lt;=0,0,1)+IF('أدخال البيانات'!N15+'أدخال البيانات'!N14&gt;0,'أدخال البيانات'!M15+'أدخال البيانات'!M14,0) +'أدخال البيانات'!M11+'أدخال البيانات'!F22</f>
        <v>0</v>
      </c>
      <c r="Q9" s="311"/>
    </row>
    <row r="10" spans="1:24" ht="20.25" customHeight="1" thickBot="1">
      <c r="A10" s="343">
        <f>IF('أدخال البيانات'!G13&lt;=1/6,1*A5,0)</f>
        <v>0</v>
      </c>
      <c r="B10" s="344"/>
      <c r="C10" s="345" t="s">
        <v>105</v>
      </c>
      <c r="D10" s="346"/>
      <c r="E10" s="346"/>
      <c r="F10" s="347"/>
      <c r="G10" s="346"/>
      <c r="H10" s="333">
        <f>IF('شرح الحالة'!O32=TRUE,1,0)</f>
        <v>0</v>
      </c>
      <c r="I10" s="311" t="s">
        <v>129</v>
      </c>
      <c r="J10" s="348" t="str">
        <f>IF(E2+E3&gt;0, "صحيحة",K12)</f>
        <v>ترد على</v>
      </c>
      <c r="K10" s="348"/>
      <c r="L10" s="348"/>
      <c r="M10" s="341"/>
      <c r="N10" s="341" t="b">
        <f>AND('أدخال البيانات'!G13&gt;0,'أدخال البيانات'!G13&lt;=1/6,'أدخال البيانات'!AS11=0)</f>
        <v>0</v>
      </c>
      <c r="O10" s="348"/>
      <c r="P10" s="348"/>
      <c r="Q10" s="311"/>
    </row>
    <row r="11" spans="1:24" ht="20.25" customHeight="1" thickBot="1">
      <c r="A11" s="311">
        <f>IF(E11&gt;0,1,0)</f>
        <v>0</v>
      </c>
      <c r="B11" s="349">
        <v>0.25</v>
      </c>
      <c r="C11" s="350"/>
      <c r="D11" s="351">
        <f>'شرح الحالة'!Z10</f>
        <v>1</v>
      </c>
      <c r="E11" s="351">
        <f>'شرح الحالة'!AA10</f>
        <v>0</v>
      </c>
      <c r="F11" s="351">
        <f>'شرح الحالة'!AB10</f>
        <v>0</v>
      </c>
      <c r="G11" s="332">
        <f>'شرح الحالة'!AC10</f>
        <v>0</v>
      </c>
      <c r="H11" s="352">
        <f>IF(G11=0,1,G11)</f>
        <v>1</v>
      </c>
      <c r="I11" s="311"/>
      <c r="J11" s="1321" t="str">
        <f>IF(K30&gt;I30,"تعول على","صحيحة")</f>
        <v>صحيحة</v>
      </c>
      <c r="K11" s="1321"/>
      <c r="L11" s="1321"/>
      <c r="M11" s="341">
        <f>IF(M9=TRUE,1,0)</f>
        <v>0</v>
      </c>
      <c r="N11" s="341" t="b">
        <f>AND('أدخال البيانات'!AS9=1,'أدخال البيانات'!F12=0)</f>
        <v>1</v>
      </c>
      <c r="O11" s="349">
        <v>0.25</v>
      </c>
      <c r="P11" s="350">
        <f t="shared" ref="P11:S17" si="0">C11</f>
        <v>0</v>
      </c>
      <c r="Q11" s="351">
        <f t="shared" si="0"/>
        <v>1</v>
      </c>
      <c r="R11" s="13">
        <f>X11</f>
        <v>0</v>
      </c>
      <c r="S11" s="13">
        <f>R11*Q11</f>
        <v>0</v>
      </c>
      <c r="T11" s="14">
        <f t="shared" ref="T11:T17" si="1">IF(S11&lt;=0,0,O11)</f>
        <v>0</v>
      </c>
      <c r="U11" s="17">
        <f>IF(T11=0,1,T11)</f>
        <v>1</v>
      </c>
      <c r="W11">
        <f>E11-IF('أدخال البيانات'!M18+'أدخال البيانات'!F22&gt;=1,1,0)</f>
        <v>0</v>
      </c>
      <c r="X11">
        <f>IF(W11&gt;0,1,0)</f>
        <v>0</v>
      </c>
    </row>
    <row r="12" spans="1:24" ht="20.25" customHeight="1" thickBot="1">
      <c r="A12" s="311">
        <f t="shared" ref="A12:A17" si="2">IF(E12&gt;0,1,0)</f>
        <v>0</v>
      </c>
      <c r="B12" s="353">
        <v>0.5</v>
      </c>
      <c r="C12" s="354"/>
      <c r="D12" s="317">
        <f>'شرح الحالة'!Z11</f>
        <v>1</v>
      </c>
      <c r="E12" s="317">
        <f>'شرح الحالة'!AA11</f>
        <v>0</v>
      </c>
      <c r="F12" s="317">
        <f>'شرح الحالة'!AB11</f>
        <v>0</v>
      </c>
      <c r="G12" s="355">
        <f>'شرح الحالة'!AC11</f>
        <v>0</v>
      </c>
      <c r="H12" s="352">
        <f t="shared" ref="H12:H17" si="3">IF(G12=0,1,G12)</f>
        <v>1</v>
      </c>
      <c r="I12" s="356" t="s">
        <v>114</v>
      </c>
      <c r="J12" s="311" t="str">
        <f>IF(I14=TRUE,J11,J10)</f>
        <v>ترد على</v>
      </c>
      <c r="K12" s="311" t="str">
        <f>IF(I30&gt;K30,"ترد على",J11)</f>
        <v>ترد على</v>
      </c>
      <c r="L12" s="311"/>
      <c r="M12" s="311" t="b">
        <f>OR('أدخال البيانات'!M12+'أدخال البيانات'!M13+'أدخال البيانات'!F14*2+'أدخال البيانات'!F15*2&gt;=4,'أدخال البيانات'!M12+'أدخال البيانات'!M13+'أدخال البيانات'!F14*2+'أدخال البيانات'!F15*2&gt;=4,'أدخال البيانات'!F22+'أدخال البيانات'!M11&gt;=2)</f>
        <v>0</v>
      </c>
      <c r="N12" s="311" t="b">
        <f>AND('أدخال البيانات'!AS11=0,'أدخال البيانات'!AS10=0,'أدخال البيانات'!F12=0)</f>
        <v>1</v>
      </c>
      <c r="O12" s="353">
        <v>0.5</v>
      </c>
      <c r="P12" s="354">
        <f t="shared" si="0"/>
        <v>0</v>
      </c>
      <c r="Q12" s="317">
        <f t="shared" si="0"/>
        <v>1</v>
      </c>
      <c r="R12" s="10">
        <f>E12*X15</f>
        <v>0</v>
      </c>
      <c r="S12" s="10">
        <f>F12*R12</f>
        <v>0</v>
      </c>
      <c r="T12" s="14">
        <f t="shared" si="1"/>
        <v>0</v>
      </c>
      <c r="U12" s="17">
        <f t="shared" ref="U12:U17" si="4">IF(T12=0,1,T12)</f>
        <v>1</v>
      </c>
      <c r="V12" t="s">
        <v>114</v>
      </c>
      <c r="X12" t="b">
        <f>OR('أدخال البيانات'!M9=1,'أدخال البيانات'!M10=1,'أدخال البيانات'!M12=1)</f>
        <v>0</v>
      </c>
    </row>
    <row r="13" spans="1:24" ht="20.25" customHeight="1" thickBot="1">
      <c r="A13" s="311">
        <f t="shared" si="2"/>
        <v>0</v>
      </c>
      <c r="B13" s="353">
        <v>0.33333333333333331</v>
      </c>
      <c r="C13" s="354"/>
      <c r="D13" s="317">
        <f>'شرح الحالة'!Z12</f>
        <v>1</v>
      </c>
      <c r="E13" s="317">
        <f>'شرح الحالة'!AA12</f>
        <v>0</v>
      </c>
      <c r="F13" s="317">
        <f>'شرح الحالة'!AB12</f>
        <v>0</v>
      </c>
      <c r="G13" s="355">
        <f>'شرح الحالة'!AC12</f>
        <v>0</v>
      </c>
      <c r="H13" s="352">
        <f t="shared" si="3"/>
        <v>1</v>
      </c>
      <c r="I13" s="357" t="s">
        <v>114</v>
      </c>
      <c r="J13" s="311"/>
      <c r="K13" s="399" t="b">
        <f>AND(J11="صحيحة",J12="صحيحة")</f>
        <v>0</v>
      </c>
      <c r="L13" s="311"/>
      <c r="M13" s="311"/>
      <c r="N13" s="311"/>
      <c r="O13" s="353">
        <v>0.33333333333333331</v>
      </c>
      <c r="P13" s="354">
        <f t="shared" si="0"/>
        <v>0</v>
      </c>
      <c r="Q13" s="317">
        <f t="shared" si="0"/>
        <v>1</v>
      </c>
      <c r="R13" s="10">
        <f t="shared" si="0"/>
        <v>0</v>
      </c>
      <c r="S13" s="10">
        <f t="shared" si="0"/>
        <v>0</v>
      </c>
      <c r="T13" s="14">
        <f t="shared" si="1"/>
        <v>0</v>
      </c>
      <c r="U13" s="17">
        <f t="shared" si="4"/>
        <v>1</v>
      </c>
      <c r="X13" t="b">
        <f>AND('أدخال البيانات'!M13=1)</f>
        <v>0</v>
      </c>
    </row>
    <row r="14" spans="1:24" ht="20.25" customHeight="1" thickBot="1">
      <c r="A14" s="311">
        <f t="shared" si="2"/>
        <v>0</v>
      </c>
      <c r="B14" s="353">
        <v>0.66666666666666663</v>
      </c>
      <c r="C14" s="354"/>
      <c r="D14" s="317">
        <f>'شرح الحالة'!Z13</f>
        <v>1</v>
      </c>
      <c r="E14" s="317">
        <f>'شرح الحالة'!AA13</f>
        <v>0</v>
      </c>
      <c r="F14" s="317">
        <f>'شرح الحالة'!AB13</f>
        <v>0</v>
      </c>
      <c r="G14" s="355">
        <f>'شرح الحالة'!AC13</f>
        <v>0</v>
      </c>
      <c r="H14" s="352">
        <f t="shared" si="3"/>
        <v>1</v>
      </c>
      <c r="I14" s="311" t="b">
        <f>AND(I15,'أدخال البيانات'!F22+'أدخال البيانات'!M18=1,H1=0,'أدخال البيانات'!M9+'أدخال البيانات'!M10+'أدخال البيانات'!M11+'أدخال البيانات'!M12+'أدخال البيانات'!M13+'أدخال البيانات'!M14+'أدخال البيانات'!M16+'أدخال البيانات'!M17+'أدخال البيانات'!M15=0)</f>
        <v>0</v>
      </c>
      <c r="J14" s="311" t="b">
        <f>AND(J11=K12,J12="صحيحة")</f>
        <v>0</v>
      </c>
      <c r="K14" s="311"/>
      <c r="L14" s="311"/>
      <c r="M14" s="311"/>
      <c r="N14" s="311"/>
      <c r="O14" s="353">
        <v>0.66666666666666663</v>
      </c>
      <c r="P14" s="354">
        <f t="shared" si="0"/>
        <v>0</v>
      </c>
      <c r="Q14" s="317">
        <f t="shared" si="0"/>
        <v>1</v>
      </c>
      <c r="R14" s="10">
        <f t="shared" si="0"/>
        <v>0</v>
      </c>
      <c r="S14" s="10">
        <f t="shared" si="0"/>
        <v>0</v>
      </c>
      <c r="T14" s="14">
        <f t="shared" si="1"/>
        <v>0</v>
      </c>
      <c r="U14" s="17">
        <f t="shared" si="4"/>
        <v>1</v>
      </c>
      <c r="X14" t="b">
        <f>AND(X12=FALSE,X13=FALSE)</f>
        <v>1</v>
      </c>
    </row>
    <row r="15" spans="1:24" ht="20.25" customHeight="1" thickBot="1">
      <c r="A15" s="311">
        <f t="shared" si="2"/>
        <v>0</v>
      </c>
      <c r="B15" s="353">
        <v>0.16666666666666666</v>
      </c>
      <c r="C15" s="354">
        <f>IF(E8=1,0,1)</f>
        <v>1</v>
      </c>
      <c r="D15" s="358">
        <f>'شرح الحالة'!Z14</f>
        <v>1</v>
      </c>
      <c r="E15" s="317">
        <f>'شرح الحالة'!AA14</f>
        <v>0</v>
      </c>
      <c r="F15" s="317">
        <f>'شرح الحالة'!AB14</f>
        <v>0</v>
      </c>
      <c r="G15" s="355">
        <f>'شرح الحالة'!AC14</f>
        <v>0</v>
      </c>
      <c r="H15" s="352">
        <f t="shared" si="3"/>
        <v>1</v>
      </c>
      <c r="I15" s="311" t="b">
        <f>OR(F18=1/4,F18=1/2)</f>
        <v>0</v>
      </c>
      <c r="J15" s="311" t="b">
        <f>AND(K17&gt;1,F19=TRUE)</f>
        <v>0</v>
      </c>
      <c r="K15" s="311">
        <f>IF(J15=TRUE,2,1)</f>
        <v>1</v>
      </c>
      <c r="L15" s="311"/>
      <c r="M15" s="311"/>
      <c r="N15" s="311"/>
      <c r="O15" s="353">
        <v>0.16666666666666666</v>
      </c>
      <c r="P15" s="354">
        <f t="shared" si="0"/>
        <v>1</v>
      </c>
      <c r="Q15" s="358">
        <f t="shared" si="0"/>
        <v>1</v>
      </c>
      <c r="R15" s="10">
        <f t="shared" si="0"/>
        <v>0</v>
      </c>
      <c r="S15" s="10">
        <f t="shared" si="0"/>
        <v>0</v>
      </c>
      <c r="T15" s="14">
        <f t="shared" si="1"/>
        <v>0</v>
      </c>
      <c r="U15" s="17">
        <f t="shared" si="4"/>
        <v>1</v>
      </c>
      <c r="X15">
        <f>IF(X14=TRUE,0,1)</f>
        <v>0</v>
      </c>
    </row>
    <row r="16" spans="1:24" ht="20.25" customHeight="1" thickBot="1">
      <c r="A16" s="311">
        <f t="shared" si="2"/>
        <v>0</v>
      </c>
      <c r="B16" s="353">
        <v>8.3333333333333329E-2</v>
      </c>
      <c r="C16" s="354"/>
      <c r="D16" s="317">
        <f>'شرح الحالة'!Z15</f>
        <v>1</v>
      </c>
      <c r="E16" s="317">
        <f>IF(G20=1/12,1,E21)</f>
        <v>0</v>
      </c>
      <c r="F16" s="317">
        <f>'شرح الحالة'!AB15</f>
        <v>0</v>
      </c>
      <c r="G16" s="355">
        <f>IF(G20=1/12,1/6,G20)</f>
        <v>0</v>
      </c>
      <c r="H16" s="352">
        <f t="shared" si="3"/>
        <v>1</v>
      </c>
      <c r="I16" s="311"/>
      <c r="J16" s="311"/>
      <c r="K16" s="311"/>
      <c r="L16" s="311"/>
      <c r="M16" s="311"/>
      <c r="N16" s="311"/>
      <c r="O16" s="353">
        <v>8.3333333333333329E-2</v>
      </c>
      <c r="P16" s="354">
        <f t="shared" si="0"/>
        <v>0</v>
      </c>
      <c r="Q16" s="317">
        <f t="shared" si="0"/>
        <v>1</v>
      </c>
      <c r="R16" s="10">
        <f t="shared" si="0"/>
        <v>0</v>
      </c>
      <c r="S16" s="10">
        <f t="shared" si="0"/>
        <v>0</v>
      </c>
      <c r="T16" s="14">
        <f>IF(T20=1/12,1/6/2,T20)</f>
        <v>0</v>
      </c>
      <c r="U16" s="17">
        <f t="shared" si="4"/>
        <v>1</v>
      </c>
    </row>
    <row r="17" spans="1:29" ht="26.25" customHeight="1" thickBot="1">
      <c r="A17" s="311">
        <f t="shared" si="2"/>
        <v>0</v>
      </c>
      <c r="B17" s="359">
        <v>0.125</v>
      </c>
      <c r="C17" s="360"/>
      <c r="D17" s="361">
        <f>'شرح الحالة'!Z16</f>
        <v>1</v>
      </c>
      <c r="E17" s="361">
        <f>'شرح الحالة'!AA16</f>
        <v>0</v>
      </c>
      <c r="F17" s="361">
        <f>'شرح الحالة'!AB16</f>
        <v>0</v>
      </c>
      <c r="G17" s="362">
        <f>'شرح الحالة'!AC16</f>
        <v>0</v>
      </c>
      <c r="H17" s="352">
        <f t="shared" si="3"/>
        <v>1</v>
      </c>
      <c r="I17" s="311" t="s">
        <v>114</v>
      </c>
      <c r="J17" s="314">
        <f>K17*F41</f>
        <v>0</v>
      </c>
      <c r="K17" s="985">
        <f>SUM(F11:F17)</f>
        <v>0</v>
      </c>
      <c r="L17" s="311"/>
      <c r="M17" s="311" t="b">
        <f>AND(K17=1,E2+E3&gt;0)</f>
        <v>0</v>
      </c>
      <c r="N17" s="311"/>
      <c r="O17" s="359">
        <v>0.125</v>
      </c>
      <c r="P17" s="360">
        <f t="shared" si="0"/>
        <v>0</v>
      </c>
      <c r="Q17" s="361">
        <f t="shared" si="0"/>
        <v>1</v>
      </c>
      <c r="R17" s="16">
        <f>E17-IF('أدخال البيانات'!M18&gt;=1,1,0)</f>
        <v>0</v>
      </c>
      <c r="S17" s="16">
        <f>R17*Q17</f>
        <v>0</v>
      </c>
      <c r="T17" s="14">
        <f t="shared" si="1"/>
        <v>0</v>
      </c>
      <c r="U17" s="17">
        <f t="shared" si="4"/>
        <v>1</v>
      </c>
    </row>
    <row r="18" spans="1:29" ht="30" customHeight="1">
      <c r="A18" s="314">
        <f>B11*B12*B13*B15*B16*B17</f>
        <v>7.2337962962962959E-5</v>
      </c>
      <c r="B18" s="363"/>
      <c r="C18" s="363"/>
      <c r="D18" s="364"/>
      <c r="E18" s="364">
        <f>SUM(E11:E17)+E16</f>
        <v>0</v>
      </c>
      <c r="F18" s="364">
        <f>SUM(F11:F17)</f>
        <v>0</v>
      </c>
      <c r="G18" s="364">
        <f>SUM(G11:G17)</f>
        <v>0</v>
      </c>
      <c r="H18" s="311"/>
      <c r="I18" s="311">
        <f>IF('أدخال البيانات'!M18&gt;1,'أدخال البيانات'!M18,1)</f>
        <v>1</v>
      </c>
      <c r="J18" s="311">
        <f>IF('أدخال البيانات'!M16+'أدخال البيانات'!M17&gt;1,'أدخال البيانات'!M17+'أدخال البيانات'!M16,1)</f>
        <v>1</v>
      </c>
      <c r="K18" s="314">
        <f>1-K17</f>
        <v>1</v>
      </c>
      <c r="L18" s="314" t="e">
        <f>1/K17</f>
        <v>#DIV/0!</v>
      </c>
      <c r="M18" s="311">
        <f>1/2*F41</f>
        <v>0.5</v>
      </c>
      <c r="N18" s="311"/>
      <c r="O18" s="363"/>
      <c r="P18" s="363"/>
      <c r="Q18" s="364"/>
      <c r="R18" s="15">
        <f>SUM(R11:R17)+U8</f>
        <v>0</v>
      </c>
      <c r="S18" s="15">
        <f>SUM(S11:S17)</f>
        <v>0</v>
      </c>
      <c r="T18" s="15">
        <f>SUM(T11:T17)</f>
        <v>0</v>
      </c>
    </row>
    <row r="19" spans="1:29" ht="21" customHeight="1">
      <c r="A19" s="311"/>
      <c r="B19" s="311"/>
      <c r="C19" s="311"/>
      <c r="D19" s="311"/>
      <c r="E19" s="311"/>
      <c r="F19" s="311" t="b">
        <f>AND(D16=2,'شرح الحالة'!E87=FALSE,'شرح الحالة'!O86=TRUE,'شرح الحالة'!O89=TRUE,'شرح الحالة'!O75=FALSE,'شرح الحالة'!O76=TRUE)</f>
        <v>0</v>
      </c>
      <c r="G19" s="311"/>
      <c r="H19" s="311"/>
      <c r="I19" s="314"/>
      <c r="J19" s="311" t="s">
        <v>114</v>
      </c>
      <c r="K19" s="314">
        <f>K17*F41</f>
        <v>0</v>
      </c>
      <c r="L19" s="311"/>
      <c r="M19" s="311"/>
      <c r="N19" s="311"/>
      <c r="O19" s="311"/>
      <c r="P19" s="311"/>
      <c r="Q19" s="311"/>
      <c r="V19" s="1"/>
      <c r="Y19" t="s">
        <v>114</v>
      </c>
    </row>
    <row r="20" spans="1:29" ht="20.25" customHeight="1">
      <c r="A20" s="311"/>
      <c r="B20" s="311"/>
      <c r="C20" s="314">
        <f>K30+E3+E2</f>
        <v>0</v>
      </c>
      <c r="D20" s="311" t="e">
        <f>MINVERSE(G15)</f>
        <v>#NUM!</v>
      </c>
      <c r="E20" s="314">
        <f>F14*F15</f>
        <v>0</v>
      </c>
      <c r="F20" s="314">
        <f>G14*G15</f>
        <v>0</v>
      </c>
      <c r="G20" s="314">
        <f>'شرح الحالة'!AC15</f>
        <v>0</v>
      </c>
      <c r="H20" s="311"/>
      <c r="I20" s="314"/>
      <c r="J20" s="314"/>
      <c r="K20" s="311"/>
      <c r="L20" s="311"/>
      <c r="M20" s="311"/>
      <c r="N20" s="311"/>
      <c r="O20" s="311"/>
      <c r="P20" s="314">
        <f>X30+R3+R2</f>
        <v>0</v>
      </c>
      <c r="Q20" s="311" t="e">
        <f>MINVERSE(T15)</f>
        <v>#NUM!</v>
      </c>
      <c r="R20" s="1">
        <f>S14*S15</f>
        <v>0</v>
      </c>
      <c r="S20" s="1">
        <f>T14*T15</f>
        <v>0</v>
      </c>
      <c r="T20" s="1">
        <f>IF(S16&lt;=0,0,O16)</f>
        <v>0</v>
      </c>
      <c r="V20" s="1"/>
      <c r="X20">
        <f>X30*P9</f>
        <v>0</v>
      </c>
    </row>
    <row r="21" spans="1:29" ht="20.25" customHeight="1">
      <c r="A21" s="311"/>
      <c r="B21" s="311"/>
      <c r="C21" s="311"/>
      <c r="D21" s="314"/>
      <c r="E21" s="314">
        <f>'شرح الحالة'!AA15</f>
        <v>0</v>
      </c>
      <c r="F21" s="311" t="e">
        <f>#N/A</f>
        <v>#N/A</v>
      </c>
      <c r="G21" s="311"/>
      <c r="H21" s="311"/>
      <c r="I21" s="314">
        <f>1-J21</f>
        <v>0.66666666666666674</v>
      </c>
      <c r="J21" s="314">
        <f>K21+K17</f>
        <v>0.33333333333333331</v>
      </c>
      <c r="K21" s="314">
        <f>1/3*K18</f>
        <v>0.33333333333333331</v>
      </c>
      <c r="L21" s="311"/>
      <c r="M21" s="311"/>
      <c r="N21" s="311"/>
      <c r="O21" s="311"/>
      <c r="P21" s="311"/>
      <c r="Q21" s="314"/>
      <c r="R21" s="1"/>
      <c r="S21" t="e">
        <f>#N/A</f>
        <v>#N/A</v>
      </c>
      <c r="V21" s="1"/>
    </row>
    <row r="22" spans="1:29" ht="20.25" customHeight="1" thickBot="1">
      <c r="A22" s="311"/>
      <c r="B22" s="311"/>
      <c r="C22" s="311"/>
      <c r="D22" s="311"/>
      <c r="E22" s="311"/>
      <c r="F22" s="311" t="e">
        <f>#N/A</f>
        <v>#N/A</v>
      </c>
      <c r="G22" s="311"/>
      <c r="H22" s="311"/>
      <c r="I22" s="311">
        <f>IF(I21&gt;1/2,1/2,I21)</f>
        <v>0.5</v>
      </c>
      <c r="J22" s="311"/>
      <c r="K22" s="311"/>
      <c r="L22" s="311"/>
      <c r="M22" s="311"/>
      <c r="N22" s="311"/>
      <c r="O22" s="311"/>
      <c r="P22" s="311"/>
      <c r="Q22" s="311"/>
      <c r="S22" t="e">
        <f>#N/A</f>
        <v>#N/A</v>
      </c>
    </row>
    <row r="23" spans="1:29" ht="20.25" customHeight="1">
      <c r="A23" s="311"/>
      <c r="B23" s="365">
        <f>IF(C23=TRUE,1,0)</f>
        <v>0</v>
      </c>
      <c r="C23" s="366" t="b">
        <f>OR(G23)</f>
        <v>0</v>
      </c>
      <c r="D23" s="366"/>
      <c r="E23" s="366"/>
      <c r="F23" s="366"/>
      <c r="G23" s="367" t="b">
        <f>AND(G12=1/2)</f>
        <v>0</v>
      </c>
      <c r="H23" s="368">
        <v>2</v>
      </c>
      <c r="I23" s="311">
        <f>H23*B23</f>
        <v>0</v>
      </c>
      <c r="J23" s="311" t="s">
        <v>114</v>
      </c>
      <c r="K23" s="369">
        <f>I30*G11*E11</f>
        <v>0</v>
      </c>
      <c r="L23" s="311"/>
      <c r="M23" s="311"/>
      <c r="N23" s="311"/>
      <c r="O23" s="365">
        <f>IF(P23=TRUE,1,0)</f>
        <v>0</v>
      </c>
      <c r="P23" s="366" t="b">
        <f>OR(T23)</f>
        <v>0</v>
      </c>
      <c r="Q23" s="366"/>
      <c r="R23" s="25"/>
      <c r="S23" s="25"/>
      <c r="T23" s="26" t="b">
        <f>AND(T12=1/2)</f>
        <v>0</v>
      </c>
      <c r="U23" s="27">
        <v>2</v>
      </c>
      <c r="V23">
        <f>U23*O23</f>
        <v>0</v>
      </c>
      <c r="W23">
        <f>IF(R11&lt;=0,0,R11)</f>
        <v>0</v>
      </c>
      <c r="X23" s="23">
        <f>V30*T11*W23</f>
        <v>0</v>
      </c>
      <c r="Y23" s="1"/>
      <c r="Z23" s="1" t="b">
        <f>IF(K13=TRUE,TRUE,FALSE)</f>
        <v>0</v>
      </c>
    </row>
    <row r="24" spans="1:29" ht="20.25" customHeight="1">
      <c r="A24" s="311"/>
      <c r="B24" s="370">
        <f t="shared" ref="B24:B29" si="5">IF(C24=TRUE,1,0)</f>
        <v>0</v>
      </c>
      <c r="C24" s="371" t="b">
        <f>OR(G24,F24,E24)</f>
        <v>0</v>
      </c>
      <c r="D24" s="371"/>
      <c r="E24" s="371" t="b">
        <f>AND(G13+G14=1/3+2/3)</f>
        <v>0</v>
      </c>
      <c r="F24" s="371" t="b">
        <f>AND(G14=2/3)</f>
        <v>0</v>
      </c>
      <c r="G24" s="371" t="b">
        <f>AND(G13=1/3)</f>
        <v>0</v>
      </c>
      <c r="H24" s="372">
        <v>3</v>
      </c>
      <c r="I24" s="311">
        <f t="shared" ref="I24:I29" si="6">H24*B24</f>
        <v>0</v>
      </c>
      <c r="J24" s="311" t="b">
        <f>AND(E12=2,E13=1,E15=1,E16=2)</f>
        <v>0</v>
      </c>
      <c r="K24" s="369">
        <f>I30*G12*E12</f>
        <v>0</v>
      </c>
      <c r="L24" s="311"/>
      <c r="M24" s="311"/>
      <c r="N24" s="311"/>
      <c r="O24" s="370">
        <f t="shared" ref="O24:O29" si="7">IF(P24=TRUE,1,0)</f>
        <v>0</v>
      </c>
      <c r="P24" s="371" t="b">
        <f>OR(T24,S24,R24)</f>
        <v>0</v>
      </c>
      <c r="Q24" s="371"/>
      <c r="R24" s="28" t="b">
        <f>AND(T13+T14=1/3+2/3)</f>
        <v>0</v>
      </c>
      <c r="S24" s="28" t="b">
        <f>AND(T14=2/3)</f>
        <v>0</v>
      </c>
      <c r="T24" s="28" t="b">
        <f>AND(T13=1/3)</f>
        <v>0</v>
      </c>
      <c r="U24" s="29">
        <v>3</v>
      </c>
      <c r="V24">
        <f t="shared" ref="V24:V29" si="8">U24*O24</f>
        <v>0</v>
      </c>
      <c r="W24">
        <f t="shared" ref="W24:W29" si="9">IF(R12&lt;=0,0,R12)</f>
        <v>0</v>
      </c>
      <c r="X24" s="23">
        <f>V30*T12*W24</f>
        <v>0</v>
      </c>
      <c r="Y24" s="1" t="str">
        <f>IF(Y25=TRUE,"جامعة الرد","")</f>
        <v/>
      </c>
      <c r="Z24" s="1" t="str">
        <f>IF(J10="صحيحة","تصحح على",Y24)</f>
        <v/>
      </c>
      <c r="AA24" t="str">
        <f>IF(Z30="تعول","تعول",Z24)</f>
        <v/>
      </c>
    </row>
    <row r="25" spans="1:29" ht="20.25" customHeight="1">
      <c r="A25" s="311"/>
      <c r="B25" s="370">
        <f t="shared" si="5"/>
        <v>0</v>
      </c>
      <c r="C25" s="371" t="b">
        <f>OR(G25,F25)</f>
        <v>0</v>
      </c>
      <c r="D25" s="371"/>
      <c r="E25" s="371"/>
      <c r="F25" s="371" t="b">
        <f>AND(G11=1/4)</f>
        <v>0</v>
      </c>
      <c r="G25" s="371" t="b">
        <f>AND(G11+G12=1/4+1/2)</f>
        <v>0</v>
      </c>
      <c r="H25" s="372">
        <v>4</v>
      </c>
      <c r="I25" s="311">
        <f t="shared" si="6"/>
        <v>0</v>
      </c>
      <c r="J25" s="311">
        <f>IF(J24=TRUE,2,1)</f>
        <v>1</v>
      </c>
      <c r="K25" s="369">
        <f>I30*G13*E13</f>
        <v>0</v>
      </c>
      <c r="L25" s="311"/>
      <c r="M25" s="311"/>
      <c r="N25" s="311"/>
      <c r="O25" s="370">
        <f t="shared" si="7"/>
        <v>0</v>
      </c>
      <c r="P25" s="371" t="b">
        <f>OR(T25,S25)</f>
        <v>0</v>
      </c>
      <c r="Q25" s="371"/>
      <c r="R25" s="28"/>
      <c r="S25" s="28" t="b">
        <f>AND(T11=1/4)</f>
        <v>0</v>
      </c>
      <c r="T25" s="28" t="b">
        <f>AND(T11+T12=1/4+1/2)</f>
        <v>0</v>
      </c>
      <c r="U25" s="29">
        <v>4</v>
      </c>
      <c r="V25">
        <f t="shared" si="8"/>
        <v>0</v>
      </c>
      <c r="W25">
        <f t="shared" si="9"/>
        <v>0</v>
      </c>
      <c r="X25" s="23">
        <f>V30*T13*W25</f>
        <v>0</v>
      </c>
      <c r="Y25" s="1" t="b">
        <f>AND('أدخال البيانات'!F22+'أدخال البيانات'!M18&gt;0,'أدخال البيانات'!E6="ترد على")</f>
        <v>0</v>
      </c>
      <c r="Z25" s="1"/>
    </row>
    <row r="26" spans="1:29" ht="20.25" customHeight="1">
      <c r="A26" s="311"/>
      <c r="B26" s="370">
        <f t="shared" si="5"/>
        <v>0</v>
      </c>
      <c r="C26" s="371" t="b">
        <f>OR(G26,F26,E26,D26)</f>
        <v>0</v>
      </c>
      <c r="D26" s="371" t="b">
        <f>AND(G12+G14=1/2+2/3)</f>
        <v>0</v>
      </c>
      <c r="E26" s="371" t="b">
        <f>AND(G12+G13=1/2+1/3)</f>
        <v>0</v>
      </c>
      <c r="F26" s="371" t="b">
        <f>AND(G14+G13=2/3+1/3)</f>
        <v>0</v>
      </c>
      <c r="G26" s="371" t="b">
        <f>AND(G15+G16&gt;=1/6)</f>
        <v>0</v>
      </c>
      <c r="H26" s="372">
        <v>6</v>
      </c>
      <c r="I26" s="311">
        <f t="shared" si="6"/>
        <v>0</v>
      </c>
      <c r="J26" s="373" t="s">
        <v>114</v>
      </c>
      <c r="K26" s="369">
        <f>I30*G14*E14</f>
        <v>0</v>
      </c>
      <c r="L26" s="311"/>
      <c r="M26" s="311"/>
      <c r="N26" s="311"/>
      <c r="O26" s="370">
        <f t="shared" si="7"/>
        <v>0</v>
      </c>
      <c r="P26" s="371" t="b">
        <f>OR(T26,S26,R26,Q26)</f>
        <v>0</v>
      </c>
      <c r="Q26" s="371" t="b">
        <f>AND(T12+T14=1/2+2/3)</f>
        <v>0</v>
      </c>
      <c r="R26" s="28" t="b">
        <f>AND(T12+T13=1/2+1/3)</f>
        <v>0</v>
      </c>
      <c r="S26" s="28" t="b">
        <f>AND(T14+T13=2/3+1/3)</f>
        <v>0</v>
      </c>
      <c r="T26" s="28" t="b">
        <f>AND(T15=1/6)</f>
        <v>0</v>
      </c>
      <c r="U26" s="29">
        <v>6</v>
      </c>
      <c r="V26">
        <f t="shared" si="8"/>
        <v>0</v>
      </c>
      <c r="W26">
        <f t="shared" si="9"/>
        <v>0</v>
      </c>
      <c r="X26" s="23">
        <f>V30*T14*W26</f>
        <v>0</v>
      </c>
      <c r="Y26" s="1"/>
      <c r="Z26" s="1"/>
    </row>
    <row r="27" spans="1:29" ht="20.25" customHeight="1">
      <c r="A27" s="311"/>
      <c r="B27" s="370">
        <f t="shared" si="5"/>
        <v>0</v>
      </c>
      <c r="C27" s="371" t="b">
        <f>OR(G27)</f>
        <v>0</v>
      </c>
      <c r="D27" s="371"/>
      <c r="E27" s="371"/>
      <c r="F27" s="371"/>
      <c r="G27" s="371" t="b">
        <f>AND(G17=1/8)</f>
        <v>0</v>
      </c>
      <c r="H27" s="372">
        <v>8</v>
      </c>
      <c r="I27" s="311">
        <f t="shared" si="6"/>
        <v>0</v>
      </c>
      <c r="J27" s="311"/>
      <c r="K27" s="369">
        <f>I30*G15*E15</f>
        <v>0</v>
      </c>
      <c r="L27" s="311"/>
      <c r="M27" s="311"/>
      <c r="N27" s="311"/>
      <c r="O27" s="370">
        <f t="shared" si="7"/>
        <v>0</v>
      </c>
      <c r="P27" s="371" t="b">
        <f>OR(T27)</f>
        <v>0</v>
      </c>
      <c r="Q27" s="371"/>
      <c r="R27" s="28"/>
      <c r="S27" s="28"/>
      <c r="T27" s="28" t="b">
        <f>AND(T17=1/8)</f>
        <v>0</v>
      </c>
      <c r="U27" s="29">
        <v>8</v>
      </c>
      <c r="V27">
        <f t="shared" si="8"/>
        <v>0</v>
      </c>
      <c r="W27">
        <f t="shared" si="9"/>
        <v>0</v>
      </c>
      <c r="X27" s="23">
        <f>V30*T15*W27</f>
        <v>0</v>
      </c>
      <c r="Y27" s="1">
        <f>O9</f>
        <v>0</v>
      </c>
      <c r="Z27" s="1"/>
      <c r="AB27" t="b">
        <f>AND('أدخال البيانات'!الأبناء__ذكور+'أدخال البيانات'!F10+'أدخال البيانات'!F11+'أدخال البيانات'!F12=0,AB29=TRUE)</f>
        <v>0</v>
      </c>
    </row>
    <row r="28" spans="1:29" ht="20.25" customHeight="1">
      <c r="A28" s="311"/>
      <c r="B28" s="370">
        <f t="shared" si="5"/>
        <v>0</v>
      </c>
      <c r="C28" s="371" t="b">
        <f>OR(G28,F28,E28,D28)</f>
        <v>0</v>
      </c>
      <c r="D28" s="371" t="b">
        <f>AND(G14+G11=2/3+1/4)</f>
        <v>0</v>
      </c>
      <c r="E28" s="371" t="b">
        <f>AND(G13+G11=1/3+1/4)</f>
        <v>0</v>
      </c>
      <c r="F28" s="371" t="b">
        <f>AND(G15+G11=1/4+1/6)</f>
        <v>0</v>
      </c>
      <c r="G28" s="371" t="b">
        <f>AND(G16=1/6)</f>
        <v>0</v>
      </c>
      <c r="H28" s="372">
        <v>12</v>
      </c>
      <c r="I28" s="311">
        <f t="shared" si="6"/>
        <v>0</v>
      </c>
      <c r="J28" s="311"/>
      <c r="K28" s="369">
        <f>I30*G16*E16</f>
        <v>0</v>
      </c>
      <c r="L28" s="311"/>
      <c r="M28" s="311">
        <f>GCD(I30,X30)</f>
        <v>1</v>
      </c>
      <c r="N28" s="311"/>
      <c r="O28" s="370">
        <f t="shared" si="7"/>
        <v>0</v>
      </c>
      <c r="P28" s="371" t="b">
        <f>OR(T28,S28,R28,Q28)</f>
        <v>0</v>
      </c>
      <c r="Q28" s="371" t="b">
        <f>AND(T14+T11=2/3+1/4)</f>
        <v>0</v>
      </c>
      <c r="R28" s="28" t="b">
        <f>AND(T13+T11=1/3+1/4)</f>
        <v>0</v>
      </c>
      <c r="S28" s="28" t="b">
        <f>AND(T15+T11=1/4+1/6)</f>
        <v>0</v>
      </c>
      <c r="T28" s="28" t="b">
        <f>AND(T16=1/12)</f>
        <v>0</v>
      </c>
      <c r="U28" s="29">
        <v>12</v>
      </c>
      <c r="V28" s="1">
        <f>U28*O28</f>
        <v>0</v>
      </c>
      <c r="W28">
        <f>IF(R16&lt;=0,0,Q16)</f>
        <v>0</v>
      </c>
      <c r="X28" s="23">
        <f>V30*T16*W28</f>
        <v>0</v>
      </c>
      <c r="Y28" s="1">
        <f>Y32*Y30</f>
        <v>1</v>
      </c>
      <c r="Z28" s="1"/>
      <c r="AA28" t="s">
        <v>114</v>
      </c>
      <c r="AB28">
        <f>IF(AB27=TRUE,0,1)</f>
        <v>1</v>
      </c>
    </row>
    <row r="29" spans="1:29" ht="20.25" customHeight="1" thickBot="1">
      <c r="A29" s="311"/>
      <c r="B29" s="370">
        <f t="shared" si="5"/>
        <v>0</v>
      </c>
      <c r="C29" s="371" t="b">
        <f>OR(G29,F29,E29,D29)</f>
        <v>0</v>
      </c>
      <c r="D29" s="371" t="b">
        <f>AND(G17+G14=1/8+2/3)</f>
        <v>0</v>
      </c>
      <c r="E29" s="371" t="b">
        <f>AND(G17+G13=1/8+1/3)</f>
        <v>0</v>
      </c>
      <c r="F29" s="371" t="b">
        <f>AND(G17+G15=1/6+1/8)</f>
        <v>0</v>
      </c>
      <c r="G29" s="371" t="b">
        <f>AND(G17+G16=1/8+1/6)</f>
        <v>0</v>
      </c>
      <c r="H29" s="372">
        <v>24</v>
      </c>
      <c r="I29" s="311">
        <f t="shared" si="6"/>
        <v>0</v>
      </c>
      <c r="J29" s="311"/>
      <c r="K29" s="369">
        <f>I30*G17</f>
        <v>0</v>
      </c>
      <c r="L29" s="311"/>
      <c r="M29" s="311">
        <f>LCM(I30,X30)</f>
        <v>0</v>
      </c>
      <c r="N29" s="311"/>
      <c r="O29" s="370">
        <f t="shared" si="7"/>
        <v>0</v>
      </c>
      <c r="P29" s="371" t="b">
        <f>OR(T29,S29,R29,Q29)</f>
        <v>0</v>
      </c>
      <c r="Q29" s="371" t="b">
        <f>AND(T17+T14=1/8+2/3)</f>
        <v>0</v>
      </c>
      <c r="R29" s="28" t="b">
        <f>AND(T17+T13=1/8+1/3)</f>
        <v>0</v>
      </c>
      <c r="S29" s="28" t="b">
        <f>AND(T17+T15=1/6+1/8)</f>
        <v>0</v>
      </c>
      <c r="T29" s="28" t="b">
        <f>AND(T17+T16=1/8+1/12)</f>
        <v>0</v>
      </c>
      <c r="U29" s="29">
        <v>24</v>
      </c>
      <c r="V29">
        <f t="shared" si="8"/>
        <v>0</v>
      </c>
      <c r="W29">
        <f t="shared" si="9"/>
        <v>0</v>
      </c>
      <c r="X29" s="23">
        <f>V30*T17*W29</f>
        <v>0</v>
      </c>
      <c r="Y29" s="1">
        <f>IF(J10="ترد على",X30,Y30*Y32)</f>
        <v>0</v>
      </c>
      <c r="Z29" s="1"/>
      <c r="AB29" t="b">
        <f>'شرح الحالة'!$CE$120</f>
        <v>0</v>
      </c>
    </row>
    <row r="30" spans="1:29" ht="20.25" customHeight="1" thickBot="1">
      <c r="A30" s="311"/>
      <c r="B30" s="374"/>
      <c r="C30" s="375"/>
      <c r="D30" s="375"/>
      <c r="E30" s="375"/>
      <c r="F30" s="375"/>
      <c r="G30" s="375"/>
      <c r="H30" s="376">
        <f>MIN(I23:I29)</f>
        <v>0</v>
      </c>
      <c r="I30" s="377">
        <f>IF(J30=0,1,J30)</f>
        <v>1</v>
      </c>
      <c r="J30" s="378">
        <f>MAX(I23:I29)</f>
        <v>0</v>
      </c>
      <c r="K30" s="379">
        <f>SUM(K23:K29)</f>
        <v>0</v>
      </c>
      <c r="L30" s="311"/>
      <c r="M30" s="311"/>
      <c r="N30" s="311"/>
      <c r="O30" s="374"/>
      <c r="P30" s="375"/>
      <c r="Q30" s="375"/>
      <c r="R30" s="30"/>
      <c r="S30" s="30"/>
      <c r="T30" s="30"/>
      <c r="U30" s="31">
        <f>MIN(V23:V29)</f>
        <v>0</v>
      </c>
      <c r="V30" s="24">
        <f>IF(W30=0,1,W30)</f>
        <v>1</v>
      </c>
      <c r="W30" s="21">
        <f>MAX(V23:V29)</f>
        <v>0</v>
      </c>
      <c r="X30" s="22">
        <f>IF('أدخال البيانات'!E6="صحيحة",1,X34)</f>
        <v>0</v>
      </c>
      <c r="Y30" s="1">
        <f>IF(J11="صحيحة",Q43,I31)</f>
        <v>1</v>
      </c>
      <c r="Z30" s="397">
        <f>IF(J11="تعول على",AA31,Y31)</f>
        <v>1</v>
      </c>
      <c r="AA30">
        <f>IF(Z30&gt;0,Z31,"خطأ")</f>
        <v>1</v>
      </c>
    </row>
    <row r="31" spans="1:29" ht="20.25" customHeight="1" thickBot="1">
      <c r="A31" s="311"/>
      <c r="B31" s="311"/>
      <c r="C31" s="311"/>
      <c r="D31" s="311"/>
      <c r="E31" s="311"/>
      <c r="F31" s="311"/>
      <c r="G31" s="311"/>
      <c r="H31" s="311"/>
      <c r="I31" s="380">
        <f>IF(I33=0,1,I33)</f>
        <v>1</v>
      </c>
      <c r="J31" s="311" t="s">
        <v>114</v>
      </c>
      <c r="K31" s="311"/>
      <c r="L31" s="311"/>
      <c r="M31" s="311"/>
      <c r="N31" s="311"/>
      <c r="O31" s="311"/>
      <c r="P31" s="311"/>
      <c r="Q31" s="311"/>
      <c r="Y31" s="1">
        <f>IF('أدخال البيانات'!AB6=TRUE,Y28,Z32)</f>
        <v>1</v>
      </c>
      <c r="Z31">
        <f>IF(J10="ترد على",I31,Z30)</f>
        <v>1</v>
      </c>
      <c r="AA31" s="34">
        <f>IF(J11="تعول على",I31,I30)</f>
        <v>1</v>
      </c>
      <c r="AB31">
        <f>IF('أدخال البيانات'!AS10*AB28&gt;=1,(AB32)*('أدخال البيانات'!F15*2+'أدخال البيانات'!M13)*Sheet5!AC34,AA31*AA36)</f>
        <v>1</v>
      </c>
      <c r="AC31">
        <f>LCM(AC34,AB33,K43)</f>
        <v>1</v>
      </c>
    </row>
    <row r="32" spans="1:29" ht="20.25" customHeight="1" thickBot="1">
      <c r="A32" s="311"/>
      <c r="B32" s="311"/>
      <c r="C32" s="314" t="e">
        <f>1/C33</f>
        <v>#DIV/0!</v>
      </c>
      <c r="D32" s="311"/>
      <c r="E32" s="311"/>
      <c r="F32" s="311"/>
      <c r="G32" s="311"/>
      <c r="H32" s="311"/>
      <c r="I32" s="311" t="s">
        <v>114</v>
      </c>
      <c r="J32" s="311"/>
      <c r="K32" s="311">
        <f>IF(Sheet5!K30&lt;Sheet5!I30,I30,K30)</f>
        <v>1</v>
      </c>
      <c r="L32" s="311">
        <f>IF(K30&lt;I30,K30,K32)</f>
        <v>0</v>
      </c>
      <c r="M32" s="311">
        <f>IF(E2+E3&gt;0,I30,L32)</f>
        <v>0</v>
      </c>
      <c r="N32" s="311"/>
      <c r="O32" s="311"/>
      <c r="P32" s="311"/>
      <c r="Q32" s="311"/>
      <c r="V32" s="35">
        <f>IF('أدخال البيانات'!E6="ترد الى",V30,1)</f>
        <v>1</v>
      </c>
      <c r="X32">
        <f>(X30*I30)/O35</f>
        <v>0</v>
      </c>
      <c r="Y32" s="398">
        <f>IF(H34=H35,1,3)</f>
        <v>1</v>
      </c>
      <c r="Z32">
        <f>IF(K17=0,Y28,Z35*I30*Y32)</f>
        <v>1</v>
      </c>
      <c r="AB32">
        <f>IF(Z23=TRUE,N37,AA30)</f>
        <v>1</v>
      </c>
      <c r="AC32" t="b">
        <f>AND('أدخال البيانات'!E6="ترد على",'أدخال البيانات'!F22+'أدخال البيانات'!M18=0)</f>
        <v>1</v>
      </c>
    </row>
    <row r="33" spans="1:29" ht="20.25" customHeight="1" thickBot="1">
      <c r="A33" s="311">
        <f>IF(I3+H3=2,0,1)</f>
        <v>1</v>
      </c>
      <c r="B33" s="381"/>
      <c r="C33" s="381" t="e">
        <f>IF(I30+C34=1,0,C34)*A33</f>
        <v>#DIV/0!</v>
      </c>
      <c r="D33" s="381" t="e">
        <f>IF(I30+D34=1,0,D34)*A33</f>
        <v>#DIV/0!</v>
      </c>
      <c r="E33" s="311"/>
      <c r="F33" s="382" t="e">
        <f>IF(J3+I3=0,0,C33)</f>
        <v>#DIV/0!</v>
      </c>
      <c r="G33" s="383" t="e">
        <f>IF(J3+I3=0,0,D33)</f>
        <v>#DIV/0!</v>
      </c>
      <c r="H33" s="384">
        <f>H35-H36</f>
        <v>1</v>
      </c>
      <c r="I33" s="311">
        <f>(IF(M33="يرد على",O37*J39,N34)/J25)*K15</f>
        <v>0</v>
      </c>
      <c r="J33" s="311"/>
      <c r="K33" s="311" t="str">
        <f>IF(Sheet5!K30&lt;Sheet5!I30,"يرد على",J11)</f>
        <v>يرد على</v>
      </c>
      <c r="L33" s="311"/>
      <c r="M33" s="311" t="str">
        <f>IF(E3&gt;0,J11,K33)</f>
        <v>يرد على</v>
      </c>
      <c r="N33" s="311">
        <f>IF('أدخال البيانات'!AS10=1,P38,'أدخال البيانات'!F15*2+'أدخال البيانات'!M13)</f>
        <v>0</v>
      </c>
      <c r="O33" s="311"/>
      <c r="P33" s="311"/>
      <c r="Q33" s="311"/>
      <c r="R33">
        <f>IF(S36=TRUE,3,1)</f>
        <v>1</v>
      </c>
      <c r="Y33" s="1">
        <f>IF(H34=H35,0,Y36)</f>
        <v>0</v>
      </c>
      <c r="Z33" s="1">
        <v>0</v>
      </c>
      <c r="AA33">
        <f>IF(Z33=0,1,Z33)</f>
        <v>1</v>
      </c>
      <c r="AB33" s="407">
        <f>IF(Z24="جامعة الرد",AB32,AB32)</f>
        <v>1</v>
      </c>
      <c r="AC33">
        <f>IF(AC32=TRUE,AC31,AB33)</f>
        <v>1</v>
      </c>
    </row>
    <row r="34" spans="1:29" ht="20.25" customHeight="1" thickBot="1">
      <c r="A34" s="314">
        <f>IF(E3=0,0,C33)</f>
        <v>0</v>
      </c>
      <c r="B34" s="311"/>
      <c r="C34" s="314" t="e">
        <f>H33*K3*H3/A3</f>
        <v>#DIV/0!</v>
      </c>
      <c r="D34" s="314" t="e">
        <f>H33*K3*I3/IF(E2&lt;1,1,E2)</f>
        <v>#DIV/0!</v>
      </c>
      <c r="E34" s="311"/>
      <c r="F34" s="311"/>
      <c r="G34" s="311"/>
      <c r="H34" s="314">
        <f>1-K17</f>
        <v>1</v>
      </c>
      <c r="I34" s="311"/>
      <c r="J34" s="311"/>
      <c r="K34" s="311"/>
      <c r="L34" s="311"/>
      <c r="M34" s="311"/>
      <c r="N34" s="311">
        <f>IF(L32=K32,L32,M32)</f>
        <v>0</v>
      </c>
      <c r="O34" s="311">
        <f>IF(K17=0,LCM(Q43,Y37),I30)</f>
        <v>1</v>
      </c>
      <c r="P34" s="311"/>
      <c r="Q34" s="395" t="s">
        <v>114</v>
      </c>
      <c r="R34" t="b">
        <f>AND(Q35&gt;0,Q36&gt;0)</f>
        <v>1</v>
      </c>
      <c r="X34" s="1">
        <f>SUM(X23:X29)</f>
        <v>0</v>
      </c>
      <c r="Y34">
        <f>IF(O34&gt;1,1,O34)</f>
        <v>1</v>
      </c>
      <c r="Z34" s="1">
        <v>0</v>
      </c>
      <c r="AA34">
        <f>V30</f>
        <v>1</v>
      </c>
      <c r="AC34">
        <f>IF(R34=TRUE,1,R33)</f>
        <v>1</v>
      </c>
    </row>
    <row r="35" spans="1:29" ht="20.25" customHeight="1" thickBot="1">
      <c r="A35" s="385" t="e">
        <f>IF(E2=0,H33/A3,A34)</f>
        <v>#DIV/0!</v>
      </c>
      <c r="B35" s="386" t="s">
        <v>116</v>
      </c>
      <c r="C35" s="314" t="s">
        <v>114</v>
      </c>
      <c r="D35" s="314" t="s">
        <v>114</v>
      </c>
      <c r="E35" s="311"/>
      <c r="F35" s="311"/>
      <c r="G35" s="311"/>
      <c r="H35" s="314">
        <f>(IF('شرح الحالة'!O128=TRUE,(H34-'شرح الحالة'!Z126*'أدخال البيانات'!AS11),H34))</f>
        <v>1</v>
      </c>
      <c r="I35" s="311"/>
      <c r="J35" s="387" t="s">
        <v>136</v>
      </c>
      <c r="K35" s="388">
        <f>I30-K30</f>
        <v>1</v>
      </c>
      <c r="L35" s="311"/>
      <c r="M35" s="311"/>
      <c r="N35" s="311" t="str">
        <f>M33</f>
        <v>يرد على</v>
      </c>
      <c r="O35" s="389">
        <f>GCD(I30,K30)</f>
        <v>1</v>
      </c>
      <c r="P35" s="311"/>
      <c r="Q35" s="311" t="s">
        <v>114</v>
      </c>
      <c r="R35">
        <f>IF('أدخال البيانات'!AS11=1,R33,1)</f>
        <v>1</v>
      </c>
      <c r="S35" s="405" t="b">
        <f>AND(Q36&gt;0,Q37&gt;0)</f>
        <v>0</v>
      </c>
      <c r="Y35" s="1">
        <f>IF(H34=H35,Y33,1)</f>
        <v>0</v>
      </c>
      <c r="Z35">
        <f>IF(Z34=0,1,Z34)</f>
        <v>1</v>
      </c>
      <c r="AA35">
        <f>GCD(AA33,AA34)</f>
        <v>1</v>
      </c>
    </row>
    <row r="36" spans="1:29" ht="20.25" customHeight="1">
      <c r="A36" s="385" t="e">
        <f>IF(A3=0,H33/E2,D34)</f>
        <v>#DIV/0!</v>
      </c>
      <c r="B36" s="386" t="s">
        <v>117</v>
      </c>
      <c r="C36" s="314"/>
      <c r="D36" s="314"/>
      <c r="E36" s="311" t="s">
        <v>114</v>
      </c>
      <c r="F36" s="311" t="e">
        <f>I30*F33</f>
        <v>#DIV/0!</v>
      </c>
      <c r="G36" s="311" t="e">
        <f>I30*G33</f>
        <v>#DIV/0!</v>
      </c>
      <c r="H36" s="311">
        <v>0</v>
      </c>
      <c r="I36" s="311" t="b">
        <f>AND('شرح الحالة'!O86=TRUE,'شرح الحالة'!O89=TRUE)</f>
        <v>0</v>
      </c>
      <c r="J36" s="311"/>
      <c r="K36" s="311">
        <f>IF(J11="صحيحة",'أدخال البيانات'!R8,I30)</f>
        <v>0</v>
      </c>
      <c r="L36" s="311"/>
      <c r="M36" s="311"/>
      <c r="N36" s="330">
        <f>IF('أدخال البيانات'!الأبناء__ذكور+'أدخال البيانات'!F10+'أدخال البيانات'!F11+'أدخال البيانات'!F12&gt;0,0,N33)</f>
        <v>0</v>
      </c>
      <c r="O36" s="311" t="b">
        <f>AND(E2=0,E3*E2&lt;=1)</f>
        <v>1</v>
      </c>
      <c r="P36" s="311">
        <f>IF(O36=TRUE,2,1)</f>
        <v>2</v>
      </c>
      <c r="Q36" s="314">
        <v>1</v>
      </c>
      <c r="R36">
        <f>GCD(O39,P39)</f>
        <v>1</v>
      </c>
      <c r="S36" s="34" t="b">
        <f>AND(R34=TRUE,S37=TRUE,S35=TRUE)</f>
        <v>0</v>
      </c>
      <c r="Y36" t="b">
        <f>AND('شرح الحالة'!O133=FALSE,'شرح الحالة'!O134=TRUE)</f>
        <v>0</v>
      </c>
      <c r="Z36" s="309" t="e">
        <f>#REF!*2+#REF!+#REF!+#REF!*2+#REF!*2</f>
        <v>#REF!</v>
      </c>
      <c r="AA36" s="34">
        <f>(AA33)*IF('شرح الحالة'!O128=TRUE,3,1)</f>
        <v>1</v>
      </c>
      <c r="AB36">
        <f>AB33/V30</f>
        <v>1</v>
      </c>
    </row>
    <row r="37" spans="1:29" ht="20.25" customHeight="1">
      <c r="A37" s="385">
        <f>IF(E2+A3=0,H33,A35)</f>
        <v>1</v>
      </c>
      <c r="B37" s="386" t="s">
        <v>116</v>
      </c>
      <c r="C37" s="311"/>
      <c r="D37" s="314" t="e">
        <f>D34+C34</f>
        <v>#DIV/0!</v>
      </c>
      <c r="E37" s="311" t="e">
        <f>AND(G37,F37)</f>
        <v>#N/A</v>
      </c>
      <c r="F37" s="311" t="e">
        <f>#N/A</f>
        <v>#N/A</v>
      </c>
      <c r="G37" s="311" t="e">
        <f>#N/A</f>
        <v>#N/A</v>
      </c>
      <c r="H37" s="311">
        <f>IF(H36=TRUE,0,1)</f>
        <v>1</v>
      </c>
      <c r="I37" s="311">
        <f>IF(I36=TRUE,2,1)</f>
        <v>1</v>
      </c>
      <c r="J37" s="311"/>
      <c r="K37" s="311"/>
      <c r="L37" s="390">
        <f>E2+E3*2</f>
        <v>0</v>
      </c>
      <c r="M37" s="311">
        <f>L1/P36</f>
        <v>0.5</v>
      </c>
      <c r="N37" s="400">
        <f>LCM(O41,Q41,P39)</f>
        <v>1</v>
      </c>
      <c r="O37" s="314">
        <f>(X30*I30)/O35</f>
        <v>0</v>
      </c>
      <c r="P37" s="311">
        <f>IF(X30=1,2,X30)</f>
        <v>0</v>
      </c>
      <c r="Q37" s="314">
        <f>E2</f>
        <v>0</v>
      </c>
      <c r="R37">
        <f>GCD(O39,Q39)</f>
        <v>1</v>
      </c>
      <c r="S37" t="b">
        <f>OR(R36&gt;0,R37&gt;0)</f>
        <v>1</v>
      </c>
      <c r="X37" s="1" t="s">
        <v>114</v>
      </c>
      <c r="Y37" s="406">
        <f>IF( Y36=TRUE,'شرح الحالة'!Q134*2,1)</f>
        <v>1</v>
      </c>
    </row>
    <row r="38" spans="1:29" ht="20.25" customHeight="1">
      <c r="A38" s="385">
        <f>IF(E2+A3=0,H33/2,A36)</f>
        <v>0.5</v>
      </c>
      <c r="B38" s="386" t="s">
        <v>117</v>
      </c>
      <c r="C38" s="311"/>
      <c r="D38" s="311"/>
      <c r="E38" s="311"/>
      <c r="F38" s="311"/>
      <c r="G38" s="311"/>
      <c r="H38" s="311">
        <f>IF(H39=TRUE,3,1)</f>
        <v>1</v>
      </c>
      <c r="I38" s="311">
        <f>('أدخال البيانات'!M14+'أدخال البيانات'!M15)</f>
        <v>0</v>
      </c>
      <c r="J38" s="311"/>
      <c r="K38" s="311">
        <f>L38</f>
        <v>1</v>
      </c>
      <c r="L38" s="311">
        <f>M38</f>
        <v>1</v>
      </c>
      <c r="M38" s="311">
        <f>IF('أدخال البيانات'!AS11+'أدخال البيانات'!F13=2,3,M40)</f>
        <v>1</v>
      </c>
      <c r="N38" s="311">
        <f>IF(N40=3,N40*(M38),M38)</f>
        <v>1</v>
      </c>
      <c r="O38" s="311">
        <f>IF(N36=0,1,N36)</f>
        <v>1</v>
      </c>
      <c r="P38" s="314">
        <f>IF(E2=0,1/2,1)*J3</f>
        <v>0</v>
      </c>
      <c r="Q38" s="311"/>
    </row>
    <row r="39" spans="1:29" ht="20.25" customHeight="1">
      <c r="A39" s="311">
        <f>IF(E2+E3=0,H33,A35)</f>
        <v>1</v>
      </c>
      <c r="B39" s="311"/>
      <c r="C39" s="311"/>
      <c r="D39" s="311"/>
      <c r="E39" s="311"/>
      <c r="F39" s="311"/>
      <c r="G39" s="311"/>
      <c r="H39" s="311" t="b">
        <f>OR('شرح الحالة'!O75=TRUE,'شرح الحالة'!O76=TRUE)</f>
        <v>0</v>
      </c>
      <c r="I39" s="311">
        <f>IF(I38&gt;=1,I38,1)</f>
        <v>1</v>
      </c>
      <c r="J39" s="311">
        <f>IF(H39=TRUE,I39,1)</f>
        <v>1</v>
      </c>
      <c r="K39" s="311"/>
      <c r="L39" s="311">
        <f>I31/I30</f>
        <v>1</v>
      </c>
      <c r="M39" s="311">
        <f>IF(N39=TRUE,0,1)</f>
        <v>1</v>
      </c>
      <c r="N39" s="311" t="b">
        <f>OR('شرح الحالة'!O133,'شرح الحالة'!O134,'شرح الحالة'!O135,'شرح الحالة'!O136)</f>
        <v>0</v>
      </c>
      <c r="O39" s="330">
        <f>LCM(O38,O40)</f>
        <v>1</v>
      </c>
      <c r="P39" s="330">
        <f>V30</f>
        <v>1</v>
      </c>
      <c r="Q39" s="330">
        <f>I30</f>
        <v>1</v>
      </c>
      <c r="R39" s="404">
        <f>R35</f>
        <v>1</v>
      </c>
      <c r="S39">
        <f>IF(S35=TRUE,Q41,O34)</f>
        <v>1</v>
      </c>
    </row>
    <row r="40" spans="1:29" ht="20.25" customHeight="1">
      <c r="A40" s="311"/>
      <c r="B40" s="311"/>
      <c r="C40" s="311"/>
      <c r="D40" s="311"/>
      <c r="E40" s="311"/>
      <c r="F40" s="311">
        <f>'أدخال البيانات'!$R$8</f>
        <v>0</v>
      </c>
      <c r="G40" s="314" t="e">
        <f>ABS(H40*H33)</f>
        <v>#DIV/0!</v>
      </c>
      <c r="H40" s="314" t="e">
        <f>IF(I40=1,1/(F2+F3),I40)</f>
        <v>#DIV/0!</v>
      </c>
      <c r="I40" s="311">
        <f>1/I30</f>
        <v>1</v>
      </c>
      <c r="J40" s="311"/>
      <c r="K40" s="311">
        <f>IF(K17=1,1/K30,K36)</f>
        <v>0</v>
      </c>
      <c r="L40" s="311"/>
      <c r="M40" s="311">
        <f>IF(M37&lt;1,1,M37)</f>
        <v>1</v>
      </c>
      <c r="N40" s="311">
        <f>IF('أدخال البيانات'!AS11=1,3,1)</f>
        <v>1</v>
      </c>
      <c r="O40" s="311">
        <f>IF('أدخال البيانات'!AS11=1,3,1)</f>
        <v>1</v>
      </c>
      <c r="P40" s="311"/>
      <c r="Q40" s="311"/>
      <c r="S40">
        <f>IF(K17&gt;1,I31,S41)</f>
        <v>0</v>
      </c>
      <c r="X40" t="s">
        <v>114</v>
      </c>
    </row>
    <row r="41" spans="1:29" ht="20.25" customHeight="1">
      <c r="A41" s="311"/>
      <c r="B41" s="311"/>
      <c r="C41" s="311"/>
      <c r="D41" s="391">
        <f>'أدخال البيانات'!Z8*L43*IF('أدخال البيانات'!M18&gt;0,'أدخال البيانات'!M18,1)</f>
        <v>1</v>
      </c>
      <c r="E41" s="311">
        <f>IF('شرح الحالة'!O128=TRUE,I30-'شرح الحالة'!P128,F41)</f>
        <v>1</v>
      </c>
      <c r="F41" s="392">
        <f>IF('أدخال البيانات'!E6="تعول على",I30,D45)*AP268</f>
        <v>1</v>
      </c>
      <c r="G41" s="393">
        <f>IF(J12= "صحيحة",0,J41)</f>
        <v>1</v>
      </c>
      <c r="H41" s="314">
        <f>V30*K35*K41*J39/O35</f>
        <v>1</v>
      </c>
      <c r="I41" s="311">
        <f>IF(M33="صحيحة",0,1)</f>
        <v>1</v>
      </c>
      <c r="J41" s="393">
        <f>IF(V30=0,0,H41)</f>
        <v>1</v>
      </c>
      <c r="K41" s="311">
        <f>IF(K35&gt;0,1,0)</f>
        <v>1</v>
      </c>
      <c r="L41" s="311"/>
      <c r="M41" s="311"/>
      <c r="N41" s="311">
        <f>IF(N39=TRUE,1,N38)</f>
        <v>1</v>
      </c>
      <c r="O41" s="311">
        <f>GCD(O39,P39,Q39)</f>
        <v>1</v>
      </c>
      <c r="P41" s="311">
        <f>IF('شرح الحالة'!O128=TRUE,1/3,1)</f>
        <v>1</v>
      </c>
      <c r="Q41" s="314">
        <f>(LCM(O39,P39,Q39,J18,Y37))*R39</f>
        <v>1</v>
      </c>
      <c r="R41">
        <f>IF('أدخال البيانات'!AS11=1,N36,1)</f>
        <v>1</v>
      </c>
      <c r="S41">
        <f>LCM(S42,S43)</f>
        <v>0</v>
      </c>
    </row>
    <row r="42" spans="1:29" ht="20.25" customHeight="1">
      <c r="A42" s="311" t="b">
        <f>ISNUMBER(A35)</f>
        <v>0</v>
      </c>
      <c r="B42" s="394">
        <f>1/K43</f>
        <v>1</v>
      </c>
      <c r="C42" s="311"/>
      <c r="D42" s="314">
        <f>IF('شرح الحالة'!CC6=FALSE,'شرح الحالة'!P127,0)*I31</f>
        <v>0</v>
      </c>
      <c r="E42" s="311"/>
      <c r="F42" s="392">
        <f t="shared" ref="F42:F105" si="10">$F$41</f>
        <v>1</v>
      </c>
      <c r="G42" s="393">
        <f t="shared" ref="G42:G73" si="11">$G$41</f>
        <v>1</v>
      </c>
      <c r="H42" s="314">
        <f t="shared" ref="H42:H73" si="12">$H$41</f>
        <v>1</v>
      </c>
      <c r="I42" s="311"/>
      <c r="J42" s="393">
        <f t="shared" ref="J42:J73" si="13">$J$41</f>
        <v>1</v>
      </c>
      <c r="K42" s="311"/>
      <c r="L42" s="311" t="b">
        <f>OR(E2&gt;0,E3&gt;0)</f>
        <v>0</v>
      </c>
      <c r="M42" s="311"/>
      <c r="N42" s="311">
        <f>IF('أدخال البيانات'!M63=TRUE,3,1)</f>
        <v>1</v>
      </c>
      <c r="O42" s="314">
        <f>O41</f>
        <v>1</v>
      </c>
      <c r="P42" s="311">
        <f>1/P41</f>
        <v>1</v>
      </c>
      <c r="Q42" s="311"/>
      <c r="R42" t="b">
        <f>AND('شرح الحالة'!O133=FALSE,'شرح الحالة'!O134=TRUE,'شرح الحالة'!O128=TRUE)</f>
        <v>0</v>
      </c>
      <c r="S42">
        <f>(IF(J10="ترد على",X30,LCM(S39,K43)))</f>
        <v>0</v>
      </c>
    </row>
    <row r="43" spans="1:29" ht="20.25" customHeight="1">
      <c r="A43" s="311" t="b">
        <f>ISNUMBER(A36)</f>
        <v>0</v>
      </c>
      <c r="B43" s="311"/>
      <c r="C43" s="311"/>
      <c r="D43" s="314">
        <f>D44-D42</f>
        <v>0</v>
      </c>
      <c r="E43" s="311"/>
      <c r="F43" s="392">
        <f t="shared" si="10"/>
        <v>1</v>
      </c>
      <c r="G43" s="393">
        <f t="shared" si="11"/>
        <v>1</v>
      </c>
      <c r="H43" s="314">
        <f t="shared" si="12"/>
        <v>1</v>
      </c>
      <c r="I43" s="311"/>
      <c r="J43" s="393">
        <f t="shared" si="13"/>
        <v>1</v>
      </c>
      <c r="K43" s="314">
        <f>LCM(I30,K45*K46)</f>
        <v>1</v>
      </c>
      <c r="L43" s="314">
        <f>IF(L42=TRUE,E3,1)+E2</f>
        <v>1</v>
      </c>
      <c r="M43" s="311"/>
      <c r="N43" s="311" t="s">
        <v>114</v>
      </c>
      <c r="O43" s="311" t="s">
        <v>114</v>
      </c>
      <c r="P43" s="311">
        <f>IF(P42=3,H33,1)</f>
        <v>1</v>
      </c>
      <c r="Q43" s="311">
        <f>IF('أدخال البيانات'!E6="ترد على",GCD(O39:Q40),O42)</f>
        <v>1</v>
      </c>
      <c r="R43" t="b">
        <f>AND('شرح الحالة'!O127=TRUE,'شرح الحالة'!O133=FALSE,'شرح الحالة'!O134=TRUE)</f>
        <v>0</v>
      </c>
      <c r="S43">
        <f>IF(R42=TRUE,3,1)</f>
        <v>1</v>
      </c>
      <c r="T43" t="s">
        <v>114</v>
      </c>
    </row>
    <row r="44" spans="1:29" ht="20.25" customHeight="1" thickBot="1">
      <c r="A44" s="311"/>
      <c r="B44" s="314" t="e">
        <f>D33*(1/K43)</f>
        <v>#DIV/0!</v>
      </c>
      <c r="C44" s="311"/>
      <c r="D44" s="314">
        <f>IF('شرح الحالة'!CC6=FALSE,'شرح الحالة'!P128,0)*I31</f>
        <v>0</v>
      </c>
      <c r="E44" s="311"/>
      <c r="F44" s="392">
        <f t="shared" si="10"/>
        <v>1</v>
      </c>
      <c r="G44" s="393">
        <f t="shared" si="11"/>
        <v>1</v>
      </c>
      <c r="H44" s="314">
        <f t="shared" si="12"/>
        <v>1</v>
      </c>
      <c r="I44" s="311"/>
      <c r="J44" s="393">
        <f t="shared" si="13"/>
        <v>1</v>
      </c>
      <c r="K44" s="314">
        <f>K30+K43</f>
        <v>1</v>
      </c>
      <c r="L44" s="311"/>
      <c r="M44" s="311"/>
      <c r="N44" s="311"/>
      <c r="O44" s="395" t="s">
        <v>114</v>
      </c>
      <c r="P44" s="311"/>
      <c r="Q44" s="311"/>
    </row>
    <row r="45" spans="1:29" ht="20.25" customHeight="1" thickBot="1">
      <c r="A45" s="311"/>
      <c r="B45" s="314" t="e">
        <f>1/B44</f>
        <v>#DIV/0!</v>
      </c>
      <c r="C45" s="311">
        <f>(IF('أدخال البيانات'!AS10+'أدخال البيانات'!AS11&gt;=0,O42,D41))</f>
        <v>1</v>
      </c>
      <c r="D45" s="396">
        <f>IF(J12="ترد على",I31,C45)</f>
        <v>1</v>
      </c>
      <c r="E45" s="311"/>
      <c r="F45" s="392">
        <f t="shared" si="10"/>
        <v>1</v>
      </c>
      <c r="G45" s="393">
        <f t="shared" si="11"/>
        <v>1</v>
      </c>
      <c r="H45" s="314">
        <f t="shared" si="12"/>
        <v>1</v>
      </c>
      <c r="I45" s="311"/>
      <c r="J45" s="393">
        <f t="shared" si="13"/>
        <v>1</v>
      </c>
      <c r="K45" s="311">
        <f>IF(K46=0,1,K46)</f>
        <v>1</v>
      </c>
      <c r="L45" s="311"/>
      <c r="M45" s="311"/>
      <c r="N45" s="311"/>
      <c r="O45" s="311"/>
      <c r="P45" s="395" t="s">
        <v>114</v>
      </c>
      <c r="Q45" s="311"/>
      <c r="T45" t="s">
        <v>114</v>
      </c>
    </row>
    <row r="46" spans="1:29" ht="20.25" customHeight="1">
      <c r="A46" s="311"/>
      <c r="B46" s="311"/>
      <c r="C46" s="311"/>
      <c r="D46" s="311"/>
      <c r="E46" s="311"/>
      <c r="F46" s="392">
        <f t="shared" si="10"/>
        <v>1</v>
      </c>
      <c r="G46" s="393">
        <f t="shared" si="11"/>
        <v>1</v>
      </c>
      <c r="H46" s="314">
        <f t="shared" si="12"/>
        <v>1</v>
      </c>
      <c r="I46" s="311"/>
      <c r="J46" s="393">
        <f t="shared" si="13"/>
        <v>1</v>
      </c>
      <c r="K46" s="330">
        <f>IF(O46&gt;0,K47,1)</f>
        <v>1</v>
      </c>
      <c r="L46" s="311"/>
      <c r="M46" s="311"/>
      <c r="N46" s="311"/>
      <c r="O46" s="311">
        <f>'شرح الحالة'!U137</f>
        <v>0</v>
      </c>
      <c r="P46" s="395" t="s">
        <v>114</v>
      </c>
      <c r="Q46" s="311"/>
    </row>
    <row r="47" spans="1:29" ht="20.25" customHeight="1">
      <c r="A47" s="311"/>
      <c r="B47" s="311"/>
      <c r="C47" s="311"/>
      <c r="D47" s="311" t="e">
        <f>IF(E3+E2&gt;1,0,A35)</f>
        <v>#DIV/0!</v>
      </c>
      <c r="E47" s="311"/>
      <c r="F47" s="392">
        <f t="shared" si="10"/>
        <v>1</v>
      </c>
      <c r="G47" s="393">
        <f t="shared" si="11"/>
        <v>1</v>
      </c>
      <c r="H47" s="314">
        <f t="shared" si="12"/>
        <v>1</v>
      </c>
      <c r="I47" s="311"/>
      <c r="J47" s="393">
        <f t="shared" si="13"/>
        <v>1</v>
      </c>
      <c r="K47" s="311" t="b">
        <f>IF(N36&gt;0,'أدخال البيانات'!F15*2+'أدخال البيانات'!M13)</f>
        <v>0</v>
      </c>
      <c r="L47" s="311"/>
      <c r="M47" s="311"/>
      <c r="N47" s="311"/>
      <c r="O47" s="311"/>
      <c r="P47" s="311"/>
      <c r="Q47" s="311"/>
    </row>
    <row r="48" spans="1:29" ht="20.25" customHeight="1">
      <c r="A48" s="311"/>
      <c r="B48" s="311"/>
      <c r="C48" s="311"/>
      <c r="D48" s="311"/>
      <c r="E48" s="311"/>
      <c r="F48" s="392">
        <f t="shared" si="10"/>
        <v>1</v>
      </c>
      <c r="G48" s="393">
        <f t="shared" si="11"/>
        <v>1</v>
      </c>
      <c r="H48" s="314">
        <f t="shared" si="12"/>
        <v>1</v>
      </c>
      <c r="I48" s="311"/>
      <c r="J48" s="393">
        <f t="shared" si="13"/>
        <v>1</v>
      </c>
      <c r="K48" s="311"/>
      <c r="L48" s="311"/>
      <c r="M48" s="311"/>
      <c r="N48" s="311"/>
      <c r="O48" s="311"/>
      <c r="P48" s="311"/>
      <c r="Q48" s="311"/>
    </row>
    <row r="49" spans="1:17" ht="20.25" customHeight="1">
      <c r="A49" s="311"/>
      <c r="B49" s="311"/>
      <c r="C49" s="311"/>
      <c r="D49" s="311"/>
      <c r="E49" s="311"/>
      <c r="F49" s="392">
        <f t="shared" si="10"/>
        <v>1</v>
      </c>
      <c r="G49" s="393">
        <f t="shared" si="11"/>
        <v>1</v>
      </c>
      <c r="H49" s="314">
        <f t="shared" si="12"/>
        <v>1</v>
      </c>
      <c r="I49" s="311"/>
      <c r="J49" s="393">
        <f t="shared" si="13"/>
        <v>1</v>
      </c>
      <c r="K49" s="311"/>
      <c r="L49" s="311"/>
      <c r="M49" s="311"/>
      <c r="N49" s="311"/>
      <c r="O49" s="311"/>
      <c r="P49" s="311"/>
      <c r="Q49" s="311"/>
    </row>
    <row r="50" spans="1:17" ht="20.25" customHeight="1">
      <c r="A50" s="311"/>
      <c r="B50" s="311"/>
      <c r="C50" s="311"/>
      <c r="D50" s="311"/>
      <c r="E50" s="311"/>
      <c r="F50" s="392">
        <f t="shared" si="10"/>
        <v>1</v>
      </c>
      <c r="G50" s="393">
        <f t="shared" si="11"/>
        <v>1</v>
      </c>
      <c r="H50" s="314">
        <f t="shared" si="12"/>
        <v>1</v>
      </c>
      <c r="I50" s="311"/>
      <c r="J50" s="393">
        <f t="shared" si="13"/>
        <v>1</v>
      </c>
      <c r="K50" s="311"/>
      <c r="L50" s="311"/>
      <c r="M50" s="311"/>
      <c r="N50" s="311"/>
      <c r="O50" s="311"/>
      <c r="P50" s="311"/>
      <c r="Q50" s="311"/>
    </row>
    <row r="51" spans="1:17" ht="20.25" customHeight="1">
      <c r="A51" s="311"/>
      <c r="B51" s="311"/>
      <c r="C51" s="311"/>
      <c r="D51" s="311"/>
      <c r="E51" s="311"/>
      <c r="F51" s="392">
        <f t="shared" si="10"/>
        <v>1</v>
      </c>
      <c r="G51" s="393">
        <f t="shared" si="11"/>
        <v>1</v>
      </c>
      <c r="H51" s="314">
        <f t="shared" si="12"/>
        <v>1</v>
      </c>
      <c r="I51" s="311"/>
      <c r="J51" s="393">
        <f t="shared" si="13"/>
        <v>1</v>
      </c>
      <c r="K51" s="311"/>
      <c r="L51" s="311"/>
      <c r="M51" s="311"/>
      <c r="N51" s="311"/>
      <c r="O51" s="311"/>
      <c r="P51" s="311"/>
      <c r="Q51" s="311"/>
    </row>
    <row r="52" spans="1:17" ht="20.25" customHeight="1">
      <c r="A52" s="311"/>
      <c r="B52" s="311"/>
      <c r="C52" s="311"/>
      <c r="D52" s="311"/>
      <c r="E52" s="311"/>
      <c r="F52" s="392">
        <f t="shared" si="10"/>
        <v>1</v>
      </c>
      <c r="G52" s="393">
        <f t="shared" si="11"/>
        <v>1</v>
      </c>
      <c r="H52" s="314">
        <f t="shared" si="12"/>
        <v>1</v>
      </c>
      <c r="I52" s="311"/>
      <c r="J52" s="393">
        <f t="shared" si="13"/>
        <v>1</v>
      </c>
      <c r="K52" s="311"/>
      <c r="L52" s="311"/>
      <c r="M52" s="311"/>
      <c r="N52" s="311"/>
      <c r="O52" s="311"/>
      <c r="P52" s="311"/>
      <c r="Q52" s="311"/>
    </row>
    <row r="53" spans="1:17" ht="20.25" customHeight="1">
      <c r="A53" s="311"/>
      <c r="B53" s="311"/>
      <c r="C53" s="311"/>
      <c r="D53" s="311"/>
      <c r="E53" s="311"/>
      <c r="F53" s="392">
        <f t="shared" si="10"/>
        <v>1</v>
      </c>
      <c r="G53" s="393">
        <f t="shared" si="11"/>
        <v>1</v>
      </c>
      <c r="H53" s="314">
        <f t="shared" si="12"/>
        <v>1</v>
      </c>
      <c r="I53" s="311"/>
      <c r="J53" s="393">
        <f t="shared" si="13"/>
        <v>1</v>
      </c>
      <c r="K53" s="311"/>
      <c r="L53" s="311"/>
      <c r="M53" s="311"/>
      <c r="N53" s="311"/>
      <c r="O53" s="311"/>
      <c r="P53" s="311"/>
      <c r="Q53" s="311"/>
    </row>
    <row r="54" spans="1:17" ht="20.25" customHeight="1">
      <c r="A54" s="311"/>
      <c r="B54" s="311"/>
      <c r="C54" s="311"/>
      <c r="D54" s="311"/>
      <c r="E54" s="311"/>
      <c r="F54" s="392">
        <f t="shared" si="10"/>
        <v>1</v>
      </c>
      <c r="G54" s="393">
        <f t="shared" si="11"/>
        <v>1</v>
      </c>
      <c r="H54" s="314">
        <f t="shared" si="12"/>
        <v>1</v>
      </c>
      <c r="I54" s="311"/>
      <c r="J54" s="393">
        <f t="shared" si="13"/>
        <v>1</v>
      </c>
      <c r="K54" s="311"/>
      <c r="L54" s="311"/>
      <c r="M54" s="311"/>
      <c r="N54" s="311"/>
      <c r="O54" s="311"/>
      <c r="P54" s="311"/>
      <c r="Q54" s="311"/>
    </row>
    <row r="55" spans="1:17" ht="20.25" customHeight="1">
      <c r="A55" s="311"/>
      <c r="B55" s="311"/>
      <c r="C55" s="311"/>
      <c r="D55" s="311"/>
      <c r="E55" s="311"/>
      <c r="F55" s="392">
        <f t="shared" si="10"/>
        <v>1</v>
      </c>
      <c r="G55" s="393">
        <f t="shared" si="11"/>
        <v>1</v>
      </c>
      <c r="H55" s="314">
        <f t="shared" si="12"/>
        <v>1</v>
      </c>
      <c r="I55" s="311"/>
      <c r="J55" s="393">
        <f t="shared" si="13"/>
        <v>1</v>
      </c>
      <c r="K55" s="311"/>
      <c r="L55" s="311"/>
      <c r="M55" s="311"/>
      <c r="N55" s="311"/>
      <c r="O55" s="311"/>
      <c r="P55" s="311"/>
      <c r="Q55" s="311"/>
    </row>
    <row r="56" spans="1:17" ht="20.25" customHeight="1">
      <c r="A56" s="311"/>
      <c r="B56" s="311"/>
      <c r="C56" s="311"/>
      <c r="D56" s="311"/>
      <c r="E56" s="311"/>
      <c r="F56" s="392">
        <f t="shared" si="10"/>
        <v>1</v>
      </c>
      <c r="G56" s="393">
        <f t="shared" si="11"/>
        <v>1</v>
      </c>
      <c r="H56" s="314">
        <f t="shared" si="12"/>
        <v>1</v>
      </c>
      <c r="I56" s="311"/>
      <c r="J56" s="393">
        <f t="shared" si="13"/>
        <v>1</v>
      </c>
      <c r="K56" s="311"/>
      <c r="L56" s="311"/>
      <c r="M56" s="311"/>
      <c r="N56" s="311"/>
      <c r="O56" s="311"/>
      <c r="P56" s="311"/>
      <c r="Q56" s="311"/>
    </row>
    <row r="57" spans="1:17" ht="20.25" customHeight="1">
      <c r="A57" s="311"/>
      <c r="B57" s="311"/>
      <c r="C57" s="311"/>
      <c r="D57" s="311"/>
      <c r="E57" s="311"/>
      <c r="F57" s="392">
        <f t="shared" si="10"/>
        <v>1</v>
      </c>
      <c r="G57" s="393">
        <f t="shared" si="11"/>
        <v>1</v>
      </c>
      <c r="H57" s="314">
        <f t="shared" si="12"/>
        <v>1</v>
      </c>
      <c r="I57" s="311"/>
      <c r="J57" s="393">
        <f t="shared" si="13"/>
        <v>1</v>
      </c>
      <c r="K57" s="311"/>
      <c r="L57" s="311"/>
      <c r="M57" s="311"/>
      <c r="N57" s="311"/>
      <c r="O57" s="311"/>
      <c r="P57" s="311"/>
      <c r="Q57" s="311"/>
    </row>
    <row r="58" spans="1:17" ht="20.25" customHeight="1">
      <c r="A58" s="311"/>
      <c r="B58" s="311"/>
      <c r="C58" s="311"/>
      <c r="D58" s="311"/>
      <c r="E58" s="311"/>
      <c r="F58" s="392">
        <f t="shared" si="10"/>
        <v>1</v>
      </c>
      <c r="G58" s="393">
        <f t="shared" si="11"/>
        <v>1</v>
      </c>
      <c r="H58" s="314">
        <f t="shared" si="12"/>
        <v>1</v>
      </c>
      <c r="I58" s="311"/>
      <c r="J58" s="393">
        <f t="shared" si="13"/>
        <v>1</v>
      </c>
      <c r="K58" s="311"/>
      <c r="L58" s="311"/>
      <c r="M58" s="311"/>
      <c r="N58" s="311"/>
      <c r="O58" s="311"/>
      <c r="P58" s="311"/>
      <c r="Q58" s="311"/>
    </row>
    <row r="59" spans="1:17" ht="20.25" customHeight="1">
      <c r="A59" s="311"/>
      <c r="B59" s="311"/>
      <c r="C59" s="311"/>
      <c r="D59" s="311"/>
      <c r="E59" s="311"/>
      <c r="F59" s="392">
        <f t="shared" si="10"/>
        <v>1</v>
      </c>
      <c r="G59" s="393">
        <f t="shared" si="11"/>
        <v>1</v>
      </c>
      <c r="H59" s="314">
        <f t="shared" si="12"/>
        <v>1</v>
      </c>
      <c r="I59" s="311"/>
      <c r="J59" s="393">
        <f t="shared" si="13"/>
        <v>1</v>
      </c>
      <c r="K59" s="311"/>
      <c r="L59" s="311"/>
      <c r="M59" s="311"/>
      <c r="N59" s="311"/>
      <c r="O59" s="311"/>
      <c r="P59" s="311"/>
      <c r="Q59" s="311"/>
    </row>
    <row r="60" spans="1:17" ht="20.25" customHeight="1">
      <c r="A60" s="311"/>
      <c r="B60" s="311"/>
      <c r="C60" s="311"/>
      <c r="D60" s="311"/>
      <c r="E60" s="311"/>
      <c r="F60" s="392">
        <f t="shared" si="10"/>
        <v>1</v>
      </c>
      <c r="G60" s="393">
        <f t="shared" si="11"/>
        <v>1</v>
      </c>
      <c r="H60" s="314">
        <f t="shared" si="12"/>
        <v>1</v>
      </c>
      <c r="I60" s="311"/>
      <c r="J60" s="393">
        <f t="shared" si="13"/>
        <v>1</v>
      </c>
      <c r="K60" s="311"/>
      <c r="L60" s="311"/>
      <c r="M60" s="311"/>
      <c r="N60" s="311"/>
      <c r="O60" s="311"/>
      <c r="P60" s="311"/>
      <c r="Q60" s="311"/>
    </row>
    <row r="61" spans="1:17" ht="20.25" customHeight="1">
      <c r="A61" s="311"/>
      <c r="B61" s="311"/>
      <c r="C61" s="311"/>
      <c r="D61" s="311"/>
      <c r="E61" s="311"/>
      <c r="F61" s="392">
        <f t="shared" si="10"/>
        <v>1</v>
      </c>
      <c r="G61" s="393">
        <f t="shared" si="11"/>
        <v>1</v>
      </c>
      <c r="H61" s="314">
        <f t="shared" si="12"/>
        <v>1</v>
      </c>
      <c r="I61" s="311"/>
      <c r="J61" s="393">
        <f t="shared" si="13"/>
        <v>1</v>
      </c>
      <c r="K61" s="311"/>
      <c r="L61" s="311"/>
      <c r="M61" s="311"/>
      <c r="N61" s="311"/>
      <c r="O61" s="311"/>
      <c r="P61" s="311"/>
      <c r="Q61" s="311"/>
    </row>
    <row r="62" spans="1:17" ht="20.25" customHeight="1">
      <c r="A62" s="311"/>
      <c r="B62" s="311"/>
      <c r="C62" s="311"/>
      <c r="D62" s="311"/>
      <c r="E62" s="311"/>
      <c r="F62" s="392">
        <f t="shared" si="10"/>
        <v>1</v>
      </c>
      <c r="G62" s="393">
        <f t="shared" si="11"/>
        <v>1</v>
      </c>
      <c r="H62" s="314">
        <f t="shared" si="12"/>
        <v>1</v>
      </c>
      <c r="I62" s="311"/>
      <c r="J62" s="393">
        <f t="shared" si="13"/>
        <v>1</v>
      </c>
      <c r="K62" s="311"/>
      <c r="L62" s="311"/>
      <c r="M62" s="311"/>
      <c r="N62" s="311"/>
      <c r="O62" s="311"/>
      <c r="P62" s="311"/>
      <c r="Q62" s="311"/>
    </row>
    <row r="63" spans="1:17" ht="20.25" customHeight="1">
      <c r="A63" s="311"/>
      <c r="B63" s="311"/>
      <c r="C63" s="311"/>
      <c r="D63" s="311"/>
      <c r="E63" s="311"/>
      <c r="F63" s="392">
        <f t="shared" si="10"/>
        <v>1</v>
      </c>
      <c r="G63" s="393">
        <f t="shared" si="11"/>
        <v>1</v>
      </c>
      <c r="H63" s="314">
        <f t="shared" si="12"/>
        <v>1</v>
      </c>
      <c r="I63" s="311"/>
      <c r="J63" s="393">
        <f t="shared" si="13"/>
        <v>1</v>
      </c>
      <c r="K63" s="311"/>
      <c r="L63" s="311"/>
      <c r="M63" s="311"/>
      <c r="N63" s="311"/>
      <c r="O63" s="311"/>
      <c r="P63" s="311"/>
      <c r="Q63" s="311"/>
    </row>
    <row r="64" spans="1:17" ht="20.25" customHeight="1">
      <c r="A64" s="311"/>
      <c r="B64" s="311"/>
      <c r="C64" s="311"/>
      <c r="D64" s="311"/>
      <c r="E64" s="311"/>
      <c r="F64" s="392">
        <f t="shared" si="10"/>
        <v>1</v>
      </c>
      <c r="G64" s="393">
        <f t="shared" si="11"/>
        <v>1</v>
      </c>
      <c r="H64" s="314">
        <f t="shared" si="12"/>
        <v>1</v>
      </c>
      <c r="I64" s="311"/>
      <c r="J64" s="393">
        <f t="shared" si="13"/>
        <v>1</v>
      </c>
      <c r="K64" s="311"/>
      <c r="L64" s="311"/>
      <c r="M64" s="311"/>
      <c r="N64" s="311"/>
      <c r="O64" s="311"/>
      <c r="P64" s="311"/>
      <c r="Q64" s="311"/>
    </row>
    <row r="65" spans="1:17" ht="20.25" customHeight="1">
      <c r="A65" s="311"/>
      <c r="B65" s="311"/>
      <c r="C65" s="311"/>
      <c r="D65" s="311"/>
      <c r="E65" s="311"/>
      <c r="F65" s="392">
        <f t="shared" si="10"/>
        <v>1</v>
      </c>
      <c r="G65" s="393">
        <f t="shared" si="11"/>
        <v>1</v>
      </c>
      <c r="H65" s="314">
        <f t="shared" si="12"/>
        <v>1</v>
      </c>
      <c r="I65" s="311"/>
      <c r="J65" s="393">
        <f t="shared" si="13"/>
        <v>1</v>
      </c>
      <c r="K65" s="311"/>
      <c r="L65" s="311"/>
      <c r="M65" s="311"/>
      <c r="N65" s="311"/>
      <c r="O65" s="311"/>
      <c r="P65" s="311"/>
      <c r="Q65" s="311"/>
    </row>
    <row r="66" spans="1:17" ht="20.25" customHeight="1">
      <c r="A66" s="311"/>
      <c r="B66" s="311"/>
      <c r="C66" s="311"/>
      <c r="D66" s="311"/>
      <c r="E66" s="311"/>
      <c r="F66" s="392">
        <f t="shared" si="10"/>
        <v>1</v>
      </c>
      <c r="G66" s="393">
        <f t="shared" si="11"/>
        <v>1</v>
      </c>
      <c r="H66" s="314">
        <f t="shared" si="12"/>
        <v>1</v>
      </c>
      <c r="I66" s="311"/>
      <c r="J66" s="393">
        <f t="shared" si="13"/>
        <v>1</v>
      </c>
      <c r="K66" s="311"/>
      <c r="L66" s="311"/>
      <c r="M66" s="311"/>
      <c r="N66" s="311"/>
      <c r="O66" s="311"/>
      <c r="P66" s="311"/>
      <c r="Q66" s="311"/>
    </row>
    <row r="67" spans="1:17" ht="20.25" customHeight="1">
      <c r="A67" s="311"/>
      <c r="B67" s="311"/>
      <c r="C67" s="311"/>
      <c r="D67" s="311"/>
      <c r="E67" s="311"/>
      <c r="F67" s="392">
        <f t="shared" si="10"/>
        <v>1</v>
      </c>
      <c r="G67" s="393">
        <f t="shared" si="11"/>
        <v>1</v>
      </c>
      <c r="H67" s="314">
        <f t="shared" si="12"/>
        <v>1</v>
      </c>
      <c r="I67" s="311"/>
      <c r="J67" s="393">
        <f t="shared" si="13"/>
        <v>1</v>
      </c>
      <c r="K67" s="311"/>
      <c r="L67" s="311"/>
      <c r="M67" s="311"/>
      <c r="N67" s="311"/>
      <c r="O67" s="311"/>
      <c r="P67" s="311"/>
      <c r="Q67" s="311"/>
    </row>
    <row r="68" spans="1:17" ht="20.25" customHeight="1">
      <c r="A68" s="311"/>
      <c r="B68" s="311"/>
      <c r="C68" s="311"/>
      <c r="D68" s="311"/>
      <c r="E68" s="311"/>
      <c r="F68" s="392">
        <f t="shared" si="10"/>
        <v>1</v>
      </c>
      <c r="G68" s="393">
        <f t="shared" si="11"/>
        <v>1</v>
      </c>
      <c r="H68" s="314">
        <f t="shared" si="12"/>
        <v>1</v>
      </c>
      <c r="I68" s="311"/>
      <c r="J68" s="393">
        <f t="shared" si="13"/>
        <v>1</v>
      </c>
      <c r="K68" s="311"/>
      <c r="L68" s="311"/>
      <c r="M68" s="311"/>
      <c r="N68" s="311"/>
      <c r="O68" s="311"/>
      <c r="P68" s="311"/>
      <c r="Q68" s="311"/>
    </row>
    <row r="69" spans="1:17" ht="20.25" customHeight="1">
      <c r="A69" s="311"/>
      <c r="B69" s="311"/>
      <c r="C69" s="311"/>
      <c r="D69" s="311"/>
      <c r="E69" s="311"/>
      <c r="F69" s="392">
        <f t="shared" si="10"/>
        <v>1</v>
      </c>
      <c r="G69" s="393">
        <f t="shared" si="11"/>
        <v>1</v>
      </c>
      <c r="H69" s="314">
        <f t="shared" si="12"/>
        <v>1</v>
      </c>
      <c r="I69" s="311"/>
      <c r="J69" s="393">
        <f t="shared" si="13"/>
        <v>1</v>
      </c>
      <c r="K69" s="311"/>
      <c r="L69" s="311"/>
      <c r="M69" s="311"/>
      <c r="N69" s="311"/>
      <c r="O69" s="311"/>
      <c r="P69" s="311"/>
      <c r="Q69" s="311"/>
    </row>
    <row r="70" spans="1:17" ht="20.25" customHeight="1">
      <c r="A70" s="311"/>
      <c r="B70" s="311"/>
      <c r="C70" s="311"/>
      <c r="D70" s="311"/>
      <c r="E70" s="311"/>
      <c r="F70" s="392">
        <f t="shared" si="10"/>
        <v>1</v>
      </c>
      <c r="G70" s="393">
        <f t="shared" si="11"/>
        <v>1</v>
      </c>
      <c r="H70" s="314">
        <f t="shared" si="12"/>
        <v>1</v>
      </c>
      <c r="I70" s="311"/>
      <c r="J70" s="393">
        <f t="shared" si="13"/>
        <v>1</v>
      </c>
      <c r="K70" s="311"/>
      <c r="L70" s="311"/>
      <c r="M70" s="311"/>
      <c r="N70" s="311"/>
      <c r="O70" s="311"/>
      <c r="P70" s="311"/>
      <c r="Q70" s="311"/>
    </row>
    <row r="71" spans="1:17" ht="20.25" customHeight="1">
      <c r="A71" s="311"/>
      <c r="B71" s="311"/>
      <c r="C71" s="311"/>
      <c r="D71" s="311"/>
      <c r="E71" s="311"/>
      <c r="F71" s="392">
        <f t="shared" si="10"/>
        <v>1</v>
      </c>
      <c r="G71" s="393">
        <f t="shared" si="11"/>
        <v>1</v>
      </c>
      <c r="H71" s="314">
        <f t="shared" si="12"/>
        <v>1</v>
      </c>
      <c r="I71" s="311"/>
      <c r="J71" s="393">
        <f t="shared" si="13"/>
        <v>1</v>
      </c>
      <c r="K71" s="311"/>
      <c r="L71" s="311"/>
      <c r="M71" s="311"/>
      <c r="N71" s="311"/>
      <c r="O71" s="311"/>
      <c r="P71" s="311"/>
      <c r="Q71" s="311"/>
    </row>
    <row r="72" spans="1:17" ht="20.25" customHeight="1">
      <c r="A72" s="311"/>
      <c r="B72" s="311"/>
      <c r="C72" s="311"/>
      <c r="D72" s="311"/>
      <c r="E72" s="311"/>
      <c r="F72" s="392">
        <f t="shared" si="10"/>
        <v>1</v>
      </c>
      <c r="G72" s="393">
        <f t="shared" si="11"/>
        <v>1</v>
      </c>
      <c r="H72" s="314">
        <f t="shared" si="12"/>
        <v>1</v>
      </c>
      <c r="I72" s="311"/>
      <c r="J72" s="393">
        <f t="shared" si="13"/>
        <v>1</v>
      </c>
      <c r="K72" s="311"/>
      <c r="L72" s="311"/>
      <c r="M72" s="311"/>
      <c r="N72" s="311"/>
      <c r="O72" s="311"/>
      <c r="P72" s="311"/>
      <c r="Q72" s="311"/>
    </row>
    <row r="73" spans="1:17" ht="20.25" customHeight="1">
      <c r="A73" s="311"/>
      <c r="B73" s="311"/>
      <c r="C73" s="311"/>
      <c r="D73" s="311"/>
      <c r="E73" s="311"/>
      <c r="F73" s="392">
        <f t="shared" si="10"/>
        <v>1</v>
      </c>
      <c r="G73" s="393">
        <f t="shared" si="11"/>
        <v>1</v>
      </c>
      <c r="H73" s="314">
        <f t="shared" si="12"/>
        <v>1</v>
      </c>
      <c r="I73" s="311"/>
      <c r="J73" s="393">
        <f t="shared" si="13"/>
        <v>1</v>
      </c>
      <c r="K73" s="311"/>
      <c r="L73" s="311"/>
      <c r="M73" s="311"/>
      <c r="N73" s="311"/>
      <c r="O73" s="311"/>
      <c r="P73" s="311"/>
      <c r="Q73" s="311"/>
    </row>
    <row r="74" spans="1:17" ht="20.25" customHeight="1">
      <c r="A74" s="311"/>
      <c r="B74" s="311"/>
      <c r="C74" s="311"/>
      <c r="D74" s="311"/>
      <c r="E74" s="311"/>
      <c r="F74" s="392">
        <f t="shared" si="10"/>
        <v>1</v>
      </c>
      <c r="G74" s="393">
        <f t="shared" ref="G74:G105" si="14">$G$41</f>
        <v>1</v>
      </c>
      <c r="H74" s="314">
        <f t="shared" ref="H74:H105" si="15">$H$41</f>
        <v>1</v>
      </c>
      <c r="I74" s="311"/>
      <c r="J74" s="393">
        <f t="shared" ref="J74:J105" si="16">$J$41</f>
        <v>1</v>
      </c>
      <c r="K74" s="311"/>
      <c r="L74" s="311"/>
      <c r="M74" s="311"/>
      <c r="N74" s="311"/>
      <c r="O74" s="311"/>
      <c r="P74" s="311"/>
      <c r="Q74" s="311"/>
    </row>
    <row r="75" spans="1:17" ht="20.25" customHeight="1">
      <c r="A75" s="311"/>
      <c r="B75" s="311"/>
      <c r="C75" s="311"/>
      <c r="D75" s="311"/>
      <c r="E75" s="311"/>
      <c r="F75" s="392">
        <f t="shared" si="10"/>
        <v>1</v>
      </c>
      <c r="G75" s="393">
        <f t="shared" si="14"/>
        <v>1</v>
      </c>
      <c r="H75" s="314">
        <f t="shared" si="15"/>
        <v>1</v>
      </c>
      <c r="I75" s="311"/>
      <c r="J75" s="393">
        <f t="shared" si="16"/>
        <v>1</v>
      </c>
      <c r="K75" s="311"/>
      <c r="L75" s="311"/>
      <c r="M75" s="311"/>
      <c r="N75" s="311"/>
      <c r="O75" s="311"/>
      <c r="P75" s="311"/>
      <c r="Q75" s="311"/>
    </row>
    <row r="76" spans="1:17" ht="20.25" customHeight="1">
      <c r="A76" s="311"/>
      <c r="B76" s="311"/>
      <c r="C76" s="311"/>
      <c r="D76" s="311"/>
      <c r="E76" s="311"/>
      <c r="F76" s="392">
        <f t="shared" si="10"/>
        <v>1</v>
      </c>
      <c r="G76" s="393">
        <f t="shared" si="14"/>
        <v>1</v>
      </c>
      <c r="H76" s="314">
        <f t="shared" si="15"/>
        <v>1</v>
      </c>
      <c r="I76" s="311"/>
      <c r="J76" s="393">
        <f t="shared" si="16"/>
        <v>1</v>
      </c>
      <c r="K76" s="311"/>
      <c r="L76" s="311"/>
      <c r="M76" s="311"/>
      <c r="N76" s="311"/>
      <c r="O76" s="311"/>
      <c r="P76" s="311"/>
      <c r="Q76" s="311"/>
    </row>
    <row r="77" spans="1:17" ht="20.25" customHeight="1">
      <c r="A77" s="311"/>
      <c r="B77" s="311"/>
      <c r="C77" s="311"/>
      <c r="D77" s="311"/>
      <c r="E77" s="311"/>
      <c r="F77" s="392">
        <f t="shared" si="10"/>
        <v>1</v>
      </c>
      <c r="G77" s="393">
        <f t="shared" si="14"/>
        <v>1</v>
      </c>
      <c r="H77" s="314">
        <f t="shared" si="15"/>
        <v>1</v>
      </c>
      <c r="I77" s="311"/>
      <c r="J77" s="393">
        <f t="shared" si="16"/>
        <v>1</v>
      </c>
      <c r="K77" s="311"/>
      <c r="L77" s="311"/>
      <c r="M77" s="311"/>
      <c r="N77" s="311"/>
      <c r="O77" s="311"/>
      <c r="P77" s="311"/>
      <c r="Q77" s="311"/>
    </row>
    <row r="78" spans="1:17" ht="20.25" customHeight="1">
      <c r="A78" s="311"/>
      <c r="B78" s="311"/>
      <c r="C78" s="311"/>
      <c r="D78" s="311"/>
      <c r="E78" s="311"/>
      <c r="F78" s="392">
        <f t="shared" si="10"/>
        <v>1</v>
      </c>
      <c r="G78" s="393">
        <f t="shared" si="14"/>
        <v>1</v>
      </c>
      <c r="H78" s="314">
        <f t="shared" si="15"/>
        <v>1</v>
      </c>
      <c r="I78" s="311"/>
      <c r="J78" s="393">
        <f t="shared" si="16"/>
        <v>1</v>
      </c>
      <c r="K78" s="311"/>
      <c r="L78" s="311"/>
      <c r="M78" s="311"/>
      <c r="N78" s="311"/>
      <c r="O78" s="311"/>
      <c r="P78" s="311"/>
      <c r="Q78" s="311"/>
    </row>
    <row r="79" spans="1:17" ht="20.25" customHeight="1">
      <c r="A79" s="311"/>
      <c r="B79" s="311"/>
      <c r="C79" s="311"/>
      <c r="D79" s="311"/>
      <c r="E79" s="311"/>
      <c r="F79" s="392">
        <f t="shared" si="10"/>
        <v>1</v>
      </c>
      <c r="G79" s="393">
        <f t="shared" si="14"/>
        <v>1</v>
      </c>
      <c r="H79" s="314">
        <f t="shared" si="15"/>
        <v>1</v>
      </c>
      <c r="I79" s="311"/>
      <c r="J79" s="393">
        <f t="shared" si="16"/>
        <v>1</v>
      </c>
      <c r="K79" s="311"/>
      <c r="L79" s="311"/>
      <c r="M79" s="311"/>
      <c r="N79" s="311"/>
      <c r="O79" s="311"/>
      <c r="P79" s="311"/>
      <c r="Q79" s="311"/>
    </row>
    <row r="80" spans="1:17" ht="20.25" customHeight="1">
      <c r="A80" s="311"/>
      <c r="B80" s="311"/>
      <c r="C80" s="311"/>
      <c r="D80" s="311"/>
      <c r="E80" s="311"/>
      <c r="F80" s="392">
        <f t="shared" si="10"/>
        <v>1</v>
      </c>
      <c r="G80" s="393">
        <f t="shared" si="14"/>
        <v>1</v>
      </c>
      <c r="H80" s="314">
        <f t="shared" si="15"/>
        <v>1</v>
      </c>
      <c r="I80" s="311"/>
      <c r="J80" s="393">
        <f t="shared" si="16"/>
        <v>1</v>
      </c>
      <c r="K80" s="311"/>
      <c r="L80" s="311"/>
      <c r="M80" s="311"/>
      <c r="N80" s="311"/>
      <c r="O80" s="311"/>
      <c r="P80" s="311"/>
      <c r="Q80" s="311"/>
    </row>
    <row r="81" spans="1:17" ht="20.25" customHeight="1">
      <c r="A81" s="311"/>
      <c r="B81" s="311"/>
      <c r="C81" s="311"/>
      <c r="D81" s="311"/>
      <c r="E81" s="311"/>
      <c r="F81" s="392">
        <f t="shared" si="10"/>
        <v>1</v>
      </c>
      <c r="G81" s="393">
        <f t="shared" si="14"/>
        <v>1</v>
      </c>
      <c r="H81" s="314">
        <f t="shared" si="15"/>
        <v>1</v>
      </c>
      <c r="I81" s="311"/>
      <c r="J81" s="393">
        <f t="shared" si="16"/>
        <v>1</v>
      </c>
      <c r="K81" s="311"/>
      <c r="L81" s="311"/>
      <c r="M81" s="311"/>
      <c r="N81" s="311"/>
      <c r="O81" s="311"/>
      <c r="P81" s="311"/>
      <c r="Q81" s="311"/>
    </row>
    <row r="82" spans="1:17" ht="20.25" customHeight="1">
      <c r="A82" s="311"/>
      <c r="B82" s="311"/>
      <c r="C82" s="311"/>
      <c r="D82" s="311"/>
      <c r="E82" s="311"/>
      <c r="F82" s="392">
        <f t="shared" si="10"/>
        <v>1</v>
      </c>
      <c r="G82" s="393">
        <f t="shared" si="14"/>
        <v>1</v>
      </c>
      <c r="H82" s="314">
        <f t="shared" si="15"/>
        <v>1</v>
      </c>
      <c r="I82" s="311"/>
      <c r="J82" s="393">
        <f t="shared" si="16"/>
        <v>1</v>
      </c>
      <c r="K82" s="311"/>
      <c r="L82" s="311"/>
      <c r="M82" s="311"/>
      <c r="N82" s="311"/>
      <c r="O82" s="311"/>
      <c r="P82" s="311"/>
      <c r="Q82" s="311"/>
    </row>
    <row r="83" spans="1:17" ht="20.25" customHeight="1">
      <c r="A83" s="311"/>
      <c r="B83" s="311"/>
      <c r="C83" s="311"/>
      <c r="D83" s="311"/>
      <c r="E83" s="311"/>
      <c r="F83" s="392">
        <f t="shared" si="10"/>
        <v>1</v>
      </c>
      <c r="G83" s="393">
        <f t="shared" si="14"/>
        <v>1</v>
      </c>
      <c r="H83" s="314">
        <f t="shared" si="15"/>
        <v>1</v>
      </c>
      <c r="I83" s="311"/>
      <c r="J83" s="393">
        <f t="shared" si="16"/>
        <v>1</v>
      </c>
      <c r="K83" s="311"/>
      <c r="L83" s="311"/>
      <c r="M83" s="311"/>
      <c r="N83" s="311"/>
      <c r="O83" s="311"/>
      <c r="P83" s="311"/>
      <c r="Q83" s="311"/>
    </row>
    <row r="84" spans="1:17" ht="20.25" customHeight="1">
      <c r="A84" s="311"/>
      <c r="B84" s="311"/>
      <c r="C84" s="311"/>
      <c r="D84" s="311"/>
      <c r="E84" s="311"/>
      <c r="F84" s="392">
        <f t="shared" si="10"/>
        <v>1</v>
      </c>
      <c r="G84" s="393">
        <f t="shared" si="14"/>
        <v>1</v>
      </c>
      <c r="H84" s="314">
        <f t="shared" si="15"/>
        <v>1</v>
      </c>
      <c r="I84" s="311"/>
      <c r="J84" s="393">
        <f t="shared" si="16"/>
        <v>1</v>
      </c>
      <c r="K84" s="311"/>
      <c r="L84" s="311"/>
      <c r="M84" s="311"/>
      <c r="N84" s="311"/>
      <c r="O84" s="311"/>
      <c r="P84" s="311"/>
      <c r="Q84" s="311"/>
    </row>
    <row r="85" spans="1:17" ht="20.25" customHeight="1">
      <c r="A85" s="311"/>
      <c r="B85" s="311"/>
      <c r="C85" s="311"/>
      <c r="D85" s="311"/>
      <c r="E85" s="311"/>
      <c r="F85" s="392">
        <f t="shared" si="10"/>
        <v>1</v>
      </c>
      <c r="G85" s="393">
        <f t="shared" si="14"/>
        <v>1</v>
      </c>
      <c r="H85" s="314">
        <f t="shared" si="15"/>
        <v>1</v>
      </c>
      <c r="I85" s="311"/>
      <c r="J85" s="393">
        <f t="shared" si="16"/>
        <v>1</v>
      </c>
      <c r="K85" s="311"/>
      <c r="L85" s="311"/>
      <c r="M85" s="311"/>
      <c r="N85" s="311"/>
      <c r="O85" s="311"/>
      <c r="P85" s="311"/>
      <c r="Q85" s="311"/>
    </row>
    <row r="86" spans="1:17" ht="20.25" customHeight="1">
      <c r="A86" s="311"/>
      <c r="B86" s="311"/>
      <c r="C86" s="311"/>
      <c r="D86" s="311"/>
      <c r="E86" s="311"/>
      <c r="F86" s="392">
        <f t="shared" si="10"/>
        <v>1</v>
      </c>
      <c r="G86" s="393">
        <f t="shared" si="14"/>
        <v>1</v>
      </c>
      <c r="H86" s="314">
        <f t="shared" si="15"/>
        <v>1</v>
      </c>
      <c r="I86" s="311"/>
      <c r="J86" s="393">
        <f t="shared" si="16"/>
        <v>1</v>
      </c>
      <c r="K86" s="311"/>
      <c r="L86" s="311"/>
      <c r="M86" s="311"/>
      <c r="N86" s="311"/>
      <c r="O86" s="311"/>
      <c r="P86" s="311"/>
      <c r="Q86" s="311"/>
    </row>
    <row r="87" spans="1:17" ht="20.25" customHeight="1">
      <c r="A87" s="311"/>
      <c r="B87" s="311"/>
      <c r="C87" s="311"/>
      <c r="D87" s="311"/>
      <c r="E87" s="311"/>
      <c r="F87" s="392">
        <f t="shared" si="10"/>
        <v>1</v>
      </c>
      <c r="G87" s="393">
        <f t="shared" si="14"/>
        <v>1</v>
      </c>
      <c r="H87" s="314">
        <f t="shared" si="15"/>
        <v>1</v>
      </c>
      <c r="I87" s="311"/>
      <c r="J87" s="393">
        <f t="shared" si="16"/>
        <v>1</v>
      </c>
      <c r="K87" s="311"/>
      <c r="L87" s="311"/>
      <c r="M87" s="311"/>
      <c r="N87" s="311"/>
      <c r="O87" s="311"/>
      <c r="P87" s="311"/>
      <c r="Q87" s="311"/>
    </row>
    <row r="88" spans="1:17" ht="20.25" customHeight="1">
      <c r="A88" s="311"/>
      <c r="B88" s="311"/>
      <c r="C88" s="311"/>
      <c r="D88" s="311"/>
      <c r="E88" s="311"/>
      <c r="F88" s="392">
        <f t="shared" si="10"/>
        <v>1</v>
      </c>
      <c r="G88" s="393">
        <f t="shared" si="14"/>
        <v>1</v>
      </c>
      <c r="H88" s="314">
        <f t="shared" si="15"/>
        <v>1</v>
      </c>
      <c r="I88" s="311"/>
      <c r="J88" s="393">
        <f t="shared" si="16"/>
        <v>1</v>
      </c>
      <c r="K88" s="311"/>
      <c r="L88" s="311"/>
      <c r="M88" s="311"/>
      <c r="N88" s="311"/>
      <c r="O88" s="311"/>
      <c r="P88" s="311"/>
      <c r="Q88" s="311"/>
    </row>
    <row r="89" spans="1:17" ht="20.25" customHeight="1">
      <c r="A89" s="311"/>
      <c r="B89" s="311"/>
      <c r="C89" s="311"/>
      <c r="D89" s="311"/>
      <c r="E89" s="311"/>
      <c r="F89" s="392">
        <f t="shared" si="10"/>
        <v>1</v>
      </c>
      <c r="G89" s="393">
        <f t="shared" si="14"/>
        <v>1</v>
      </c>
      <c r="H89" s="314">
        <f t="shared" si="15"/>
        <v>1</v>
      </c>
      <c r="I89" s="311"/>
      <c r="J89" s="393">
        <f t="shared" si="16"/>
        <v>1</v>
      </c>
      <c r="K89" s="311"/>
      <c r="L89" s="311"/>
      <c r="M89" s="311"/>
      <c r="N89" s="311"/>
      <c r="O89" s="311"/>
      <c r="P89" s="311"/>
      <c r="Q89" s="311"/>
    </row>
    <row r="90" spans="1:17" ht="20.25" customHeight="1">
      <c r="A90" s="311"/>
      <c r="B90" s="311"/>
      <c r="C90" s="311"/>
      <c r="D90" s="311"/>
      <c r="E90" s="311"/>
      <c r="F90" s="392">
        <f t="shared" si="10"/>
        <v>1</v>
      </c>
      <c r="G90" s="393">
        <f t="shared" si="14"/>
        <v>1</v>
      </c>
      <c r="H90" s="314">
        <f t="shared" si="15"/>
        <v>1</v>
      </c>
      <c r="I90" s="311"/>
      <c r="J90" s="393">
        <f t="shared" si="16"/>
        <v>1</v>
      </c>
      <c r="K90" s="311"/>
      <c r="L90" s="311"/>
      <c r="M90" s="311"/>
      <c r="N90" s="311"/>
      <c r="O90" s="311"/>
      <c r="P90" s="311"/>
      <c r="Q90" s="311"/>
    </row>
    <row r="91" spans="1:17" ht="20.25" customHeight="1">
      <c r="A91" s="311"/>
      <c r="B91" s="311"/>
      <c r="C91" s="311"/>
      <c r="D91" s="311"/>
      <c r="E91" s="311"/>
      <c r="F91" s="392">
        <f t="shared" si="10"/>
        <v>1</v>
      </c>
      <c r="G91" s="393">
        <f t="shared" si="14"/>
        <v>1</v>
      </c>
      <c r="H91" s="314">
        <f t="shared" si="15"/>
        <v>1</v>
      </c>
      <c r="I91" s="311"/>
      <c r="J91" s="393">
        <f t="shared" si="16"/>
        <v>1</v>
      </c>
      <c r="K91" s="311"/>
      <c r="L91" s="311"/>
      <c r="M91" s="311"/>
      <c r="N91" s="311"/>
      <c r="O91" s="311"/>
      <c r="P91" s="311"/>
      <c r="Q91" s="311"/>
    </row>
    <row r="92" spans="1:17" ht="20.25" customHeight="1">
      <c r="A92" s="311"/>
      <c r="B92" s="311"/>
      <c r="C92" s="311"/>
      <c r="D92" s="311"/>
      <c r="E92" s="311"/>
      <c r="F92" s="392">
        <f t="shared" si="10"/>
        <v>1</v>
      </c>
      <c r="G92" s="393">
        <f t="shared" si="14"/>
        <v>1</v>
      </c>
      <c r="H92" s="314">
        <f t="shared" si="15"/>
        <v>1</v>
      </c>
      <c r="I92" s="311"/>
      <c r="J92" s="393">
        <f t="shared" si="16"/>
        <v>1</v>
      </c>
      <c r="K92" s="311"/>
      <c r="L92" s="311"/>
      <c r="M92" s="311"/>
      <c r="N92" s="311"/>
      <c r="O92" s="311"/>
      <c r="P92" s="311"/>
      <c r="Q92" s="311"/>
    </row>
    <row r="93" spans="1:17" ht="20.25" customHeight="1">
      <c r="A93" s="311"/>
      <c r="B93" s="311"/>
      <c r="C93" s="311"/>
      <c r="D93" s="311"/>
      <c r="E93" s="311"/>
      <c r="F93" s="392">
        <f t="shared" si="10"/>
        <v>1</v>
      </c>
      <c r="G93" s="393">
        <f t="shared" si="14"/>
        <v>1</v>
      </c>
      <c r="H93" s="314">
        <f t="shared" si="15"/>
        <v>1</v>
      </c>
      <c r="I93" s="311"/>
      <c r="J93" s="393">
        <f t="shared" si="16"/>
        <v>1</v>
      </c>
      <c r="K93" s="311"/>
      <c r="L93" s="311"/>
      <c r="M93" s="311"/>
      <c r="N93" s="311"/>
      <c r="O93" s="311"/>
      <c r="P93" s="311"/>
      <c r="Q93" s="311"/>
    </row>
    <row r="94" spans="1:17" ht="20.25" customHeight="1">
      <c r="A94" s="311"/>
      <c r="B94" s="311"/>
      <c r="C94" s="311"/>
      <c r="D94" s="311"/>
      <c r="E94" s="311"/>
      <c r="F94" s="392">
        <f t="shared" si="10"/>
        <v>1</v>
      </c>
      <c r="G94" s="393">
        <f t="shared" si="14"/>
        <v>1</v>
      </c>
      <c r="H94" s="314">
        <f t="shared" si="15"/>
        <v>1</v>
      </c>
      <c r="I94" s="311"/>
      <c r="J94" s="393">
        <f t="shared" si="16"/>
        <v>1</v>
      </c>
      <c r="K94" s="311"/>
      <c r="L94" s="311"/>
      <c r="M94" s="311"/>
      <c r="N94" s="311"/>
      <c r="O94" s="311"/>
      <c r="P94" s="311"/>
      <c r="Q94" s="311"/>
    </row>
    <row r="95" spans="1:17" ht="20.25" customHeight="1">
      <c r="A95" s="311"/>
      <c r="B95" s="311"/>
      <c r="C95" s="311"/>
      <c r="D95" s="311"/>
      <c r="E95" s="311"/>
      <c r="F95" s="392">
        <f t="shared" si="10"/>
        <v>1</v>
      </c>
      <c r="G95" s="393">
        <f t="shared" si="14"/>
        <v>1</v>
      </c>
      <c r="H95" s="314">
        <f t="shared" si="15"/>
        <v>1</v>
      </c>
      <c r="I95" s="311"/>
      <c r="J95" s="393">
        <f t="shared" si="16"/>
        <v>1</v>
      </c>
      <c r="K95" s="311"/>
      <c r="L95" s="311"/>
      <c r="M95" s="311"/>
      <c r="N95" s="311"/>
      <c r="O95" s="311"/>
      <c r="P95" s="311"/>
      <c r="Q95" s="311"/>
    </row>
    <row r="96" spans="1:17" ht="20.25" customHeight="1">
      <c r="A96" s="311"/>
      <c r="B96" s="311"/>
      <c r="C96" s="311"/>
      <c r="D96" s="311"/>
      <c r="E96" s="311"/>
      <c r="F96" s="392">
        <f t="shared" si="10"/>
        <v>1</v>
      </c>
      <c r="G96" s="393">
        <f t="shared" si="14"/>
        <v>1</v>
      </c>
      <c r="H96" s="314">
        <f t="shared" si="15"/>
        <v>1</v>
      </c>
      <c r="I96" s="311"/>
      <c r="J96" s="393">
        <f t="shared" si="16"/>
        <v>1</v>
      </c>
      <c r="K96" s="311"/>
      <c r="L96" s="311"/>
      <c r="M96" s="311"/>
      <c r="N96" s="311"/>
      <c r="O96" s="311"/>
      <c r="P96" s="311"/>
      <c r="Q96" s="311"/>
    </row>
    <row r="97" spans="1:17" ht="20.25" customHeight="1">
      <c r="A97" s="311"/>
      <c r="B97" s="311"/>
      <c r="C97" s="311"/>
      <c r="D97" s="311"/>
      <c r="E97" s="311"/>
      <c r="F97" s="392">
        <f t="shared" si="10"/>
        <v>1</v>
      </c>
      <c r="G97" s="393">
        <f t="shared" si="14"/>
        <v>1</v>
      </c>
      <c r="H97" s="314">
        <f t="shared" si="15"/>
        <v>1</v>
      </c>
      <c r="I97" s="311"/>
      <c r="J97" s="393">
        <f t="shared" si="16"/>
        <v>1</v>
      </c>
      <c r="K97" s="311"/>
      <c r="L97" s="311"/>
      <c r="M97" s="311"/>
      <c r="N97" s="311"/>
      <c r="O97" s="311"/>
      <c r="P97" s="311"/>
      <c r="Q97" s="311"/>
    </row>
    <row r="98" spans="1:17" ht="20.25" customHeight="1">
      <c r="A98" s="311"/>
      <c r="B98" s="311"/>
      <c r="C98" s="311"/>
      <c r="D98" s="311"/>
      <c r="E98" s="311"/>
      <c r="F98" s="392">
        <f t="shared" si="10"/>
        <v>1</v>
      </c>
      <c r="G98" s="393">
        <f t="shared" si="14"/>
        <v>1</v>
      </c>
      <c r="H98" s="314">
        <f t="shared" si="15"/>
        <v>1</v>
      </c>
      <c r="I98" s="311"/>
      <c r="J98" s="393">
        <f t="shared" si="16"/>
        <v>1</v>
      </c>
      <c r="K98" s="311"/>
      <c r="L98" s="311"/>
      <c r="M98" s="311"/>
      <c r="N98" s="311"/>
      <c r="O98" s="311"/>
      <c r="P98" s="311"/>
      <c r="Q98" s="311"/>
    </row>
    <row r="99" spans="1:17" ht="20.25" customHeight="1">
      <c r="A99" s="311"/>
      <c r="B99" s="311"/>
      <c r="C99" s="311"/>
      <c r="D99" s="311"/>
      <c r="E99" s="311"/>
      <c r="F99" s="392">
        <f t="shared" si="10"/>
        <v>1</v>
      </c>
      <c r="G99" s="393">
        <f t="shared" si="14"/>
        <v>1</v>
      </c>
      <c r="H99" s="314">
        <f t="shared" si="15"/>
        <v>1</v>
      </c>
      <c r="I99" s="311"/>
      <c r="J99" s="393">
        <f t="shared" si="16"/>
        <v>1</v>
      </c>
      <c r="K99" s="311"/>
      <c r="L99" s="311"/>
      <c r="M99" s="311"/>
      <c r="N99" s="311"/>
      <c r="O99" s="311"/>
      <c r="P99" s="311"/>
      <c r="Q99" s="311"/>
    </row>
    <row r="100" spans="1:17" ht="20.25" customHeight="1">
      <c r="A100" s="311"/>
      <c r="B100" s="311"/>
      <c r="C100" s="311"/>
      <c r="D100" s="311"/>
      <c r="E100" s="311"/>
      <c r="F100" s="392">
        <f t="shared" si="10"/>
        <v>1</v>
      </c>
      <c r="G100" s="393">
        <f t="shared" si="14"/>
        <v>1</v>
      </c>
      <c r="H100" s="314">
        <f t="shared" si="15"/>
        <v>1</v>
      </c>
      <c r="I100" s="311"/>
      <c r="J100" s="393">
        <f t="shared" si="16"/>
        <v>1</v>
      </c>
      <c r="K100" s="311"/>
      <c r="L100" s="311"/>
      <c r="M100" s="311"/>
      <c r="N100" s="311"/>
      <c r="O100" s="311"/>
      <c r="P100" s="311"/>
      <c r="Q100" s="311"/>
    </row>
    <row r="101" spans="1:17" ht="20.25" customHeight="1">
      <c r="A101" s="311"/>
      <c r="B101" s="311"/>
      <c r="C101" s="311"/>
      <c r="D101" s="311"/>
      <c r="E101" s="311"/>
      <c r="F101" s="392">
        <f t="shared" si="10"/>
        <v>1</v>
      </c>
      <c r="G101" s="393">
        <f t="shared" si="14"/>
        <v>1</v>
      </c>
      <c r="H101" s="314">
        <f t="shared" si="15"/>
        <v>1</v>
      </c>
      <c r="I101" s="311"/>
      <c r="J101" s="393">
        <f t="shared" si="16"/>
        <v>1</v>
      </c>
      <c r="K101" s="311"/>
      <c r="L101" s="311"/>
      <c r="M101" s="311"/>
      <c r="N101" s="311"/>
      <c r="O101" s="311"/>
      <c r="P101" s="311"/>
      <c r="Q101" s="311"/>
    </row>
    <row r="102" spans="1:17" ht="20.25" customHeight="1">
      <c r="A102" s="311"/>
      <c r="B102" s="311"/>
      <c r="C102" s="311"/>
      <c r="D102" s="311"/>
      <c r="E102" s="311"/>
      <c r="F102" s="392">
        <f t="shared" si="10"/>
        <v>1</v>
      </c>
      <c r="G102" s="393">
        <f t="shared" si="14"/>
        <v>1</v>
      </c>
      <c r="H102" s="314">
        <f t="shared" si="15"/>
        <v>1</v>
      </c>
      <c r="I102" s="311"/>
      <c r="J102" s="393">
        <f t="shared" si="16"/>
        <v>1</v>
      </c>
      <c r="K102" s="311"/>
      <c r="L102" s="311"/>
      <c r="M102" s="311"/>
      <c r="N102" s="311"/>
      <c r="O102" s="311"/>
      <c r="P102" s="311"/>
      <c r="Q102" s="311"/>
    </row>
    <row r="103" spans="1:17" ht="20.25" customHeight="1">
      <c r="A103" s="311"/>
      <c r="B103" s="311"/>
      <c r="C103" s="311"/>
      <c r="D103" s="311"/>
      <c r="E103" s="311"/>
      <c r="F103" s="392">
        <f t="shared" si="10"/>
        <v>1</v>
      </c>
      <c r="G103" s="393">
        <f t="shared" si="14"/>
        <v>1</v>
      </c>
      <c r="H103" s="314">
        <f t="shared" si="15"/>
        <v>1</v>
      </c>
      <c r="I103" s="311"/>
      <c r="J103" s="393">
        <f t="shared" si="16"/>
        <v>1</v>
      </c>
      <c r="K103" s="311"/>
      <c r="L103" s="311"/>
      <c r="M103" s="311"/>
      <c r="N103" s="311"/>
      <c r="O103" s="311"/>
      <c r="P103" s="311"/>
      <c r="Q103" s="311"/>
    </row>
    <row r="104" spans="1:17" ht="20.25" customHeight="1">
      <c r="A104" s="311"/>
      <c r="B104" s="311"/>
      <c r="C104" s="311"/>
      <c r="D104" s="311"/>
      <c r="E104" s="311"/>
      <c r="F104" s="392">
        <f t="shared" si="10"/>
        <v>1</v>
      </c>
      <c r="G104" s="393">
        <f t="shared" si="14"/>
        <v>1</v>
      </c>
      <c r="H104" s="314">
        <f t="shared" si="15"/>
        <v>1</v>
      </c>
      <c r="I104" s="311"/>
      <c r="J104" s="393">
        <f t="shared" si="16"/>
        <v>1</v>
      </c>
      <c r="K104" s="311"/>
      <c r="L104" s="311"/>
      <c r="M104" s="311"/>
      <c r="N104" s="311"/>
      <c r="O104" s="311"/>
      <c r="P104" s="311"/>
      <c r="Q104" s="311"/>
    </row>
    <row r="105" spans="1:17" ht="20.25" customHeight="1">
      <c r="A105" s="311"/>
      <c r="B105" s="311"/>
      <c r="C105" s="311"/>
      <c r="D105" s="311"/>
      <c r="E105" s="311"/>
      <c r="F105" s="392">
        <f t="shared" si="10"/>
        <v>1</v>
      </c>
      <c r="G105" s="393">
        <f t="shared" si="14"/>
        <v>1</v>
      </c>
      <c r="H105" s="314">
        <f t="shared" si="15"/>
        <v>1</v>
      </c>
      <c r="I105" s="311"/>
      <c r="J105" s="393">
        <f t="shared" si="16"/>
        <v>1</v>
      </c>
      <c r="K105" s="311"/>
      <c r="L105" s="311"/>
      <c r="M105" s="311"/>
      <c r="N105" s="311"/>
      <c r="O105" s="311"/>
      <c r="P105" s="311"/>
      <c r="Q105" s="311"/>
    </row>
    <row r="106" spans="1:17" ht="20.25" customHeight="1">
      <c r="A106" s="311"/>
      <c r="B106" s="311"/>
      <c r="C106" s="311"/>
      <c r="D106" s="311"/>
      <c r="E106" s="311"/>
      <c r="F106" s="392">
        <f t="shared" ref="F106:F169" si="17">$F$41</f>
        <v>1</v>
      </c>
      <c r="G106" s="393">
        <f t="shared" ref="G106:G137" si="18">$G$41</f>
        <v>1</v>
      </c>
      <c r="H106" s="314">
        <f t="shared" ref="H106:H137" si="19">$H$41</f>
        <v>1</v>
      </c>
      <c r="I106" s="311"/>
      <c r="J106" s="393">
        <f t="shared" ref="J106:J137" si="20">$J$41</f>
        <v>1</v>
      </c>
      <c r="K106" s="311"/>
      <c r="L106" s="311"/>
      <c r="M106" s="311"/>
      <c r="N106" s="311"/>
      <c r="O106" s="311"/>
      <c r="P106" s="311"/>
      <c r="Q106" s="311"/>
    </row>
    <row r="107" spans="1:17" ht="20.25" customHeight="1">
      <c r="A107" s="311"/>
      <c r="B107" s="311"/>
      <c r="C107" s="311"/>
      <c r="D107" s="311"/>
      <c r="E107" s="311"/>
      <c r="F107" s="392">
        <f t="shared" si="17"/>
        <v>1</v>
      </c>
      <c r="G107" s="393">
        <f t="shared" si="18"/>
        <v>1</v>
      </c>
      <c r="H107" s="314">
        <f t="shared" si="19"/>
        <v>1</v>
      </c>
      <c r="I107" s="311"/>
      <c r="J107" s="393">
        <f t="shared" si="20"/>
        <v>1</v>
      </c>
      <c r="K107" s="311"/>
      <c r="L107" s="311"/>
      <c r="M107" s="311"/>
      <c r="N107" s="311"/>
      <c r="O107" s="311"/>
      <c r="P107" s="311"/>
      <c r="Q107" s="311"/>
    </row>
    <row r="108" spans="1:17" ht="20.25" customHeight="1">
      <c r="A108" s="311"/>
      <c r="B108" s="311"/>
      <c r="C108" s="311"/>
      <c r="D108" s="311"/>
      <c r="E108" s="311"/>
      <c r="F108" s="392">
        <f t="shared" si="17"/>
        <v>1</v>
      </c>
      <c r="G108" s="393">
        <f t="shared" si="18"/>
        <v>1</v>
      </c>
      <c r="H108" s="314">
        <f t="shared" si="19"/>
        <v>1</v>
      </c>
      <c r="I108" s="311"/>
      <c r="J108" s="393">
        <f t="shared" si="20"/>
        <v>1</v>
      </c>
      <c r="K108" s="311"/>
      <c r="L108" s="311"/>
      <c r="M108" s="311"/>
      <c r="N108" s="311"/>
      <c r="O108" s="311"/>
      <c r="P108" s="311"/>
      <c r="Q108" s="311"/>
    </row>
    <row r="109" spans="1:17" ht="20.25" customHeight="1">
      <c r="A109" s="311"/>
      <c r="B109" s="311"/>
      <c r="C109" s="311"/>
      <c r="D109" s="311"/>
      <c r="E109" s="311"/>
      <c r="F109" s="392">
        <f t="shared" si="17"/>
        <v>1</v>
      </c>
      <c r="G109" s="393">
        <f t="shared" si="18"/>
        <v>1</v>
      </c>
      <c r="H109" s="314">
        <f t="shared" si="19"/>
        <v>1</v>
      </c>
      <c r="I109" s="311"/>
      <c r="J109" s="393">
        <f t="shared" si="20"/>
        <v>1</v>
      </c>
      <c r="K109" s="311"/>
      <c r="L109" s="311"/>
      <c r="M109" s="311"/>
      <c r="N109" s="311"/>
      <c r="O109" s="311"/>
      <c r="P109" s="311"/>
      <c r="Q109" s="311"/>
    </row>
    <row r="110" spans="1:17" ht="20.25" customHeight="1">
      <c r="A110" s="311"/>
      <c r="B110" s="311"/>
      <c r="C110" s="311"/>
      <c r="D110" s="311"/>
      <c r="E110" s="311"/>
      <c r="F110" s="392">
        <f t="shared" si="17"/>
        <v>1</v>
      </c>
      <c r="G110" s="393">
        <f t="shared" si="18"/>
        <v>1</v>
      </c>
      <c r="H110" s="314">
        <f t="shared" si="19"/>
        <v>1</v>
      </c>
      <c r="I110" s="311"/>
      <c r="J110" s="393">
        <f t="shared" si="20"/>
        <v>1</v>
      </c>
      <c r="K110" s="311"/>
      <c r="L110" s="311"/>
      <c r="M110" s="311"/>
      <c r="N110" s="311"/>
      <c r="O110" s="311"/>
      <c r="P110" s="311"/>
      <c r="Q110" s="311"/>
    </row>
    <row r="111" spans="1:17" ht="20.25" customHeight="1">
      <c r="A111" s="311"/>
      <c r="B111" s="311"/>
      <c r="C111" s="311"/>
      <c r="D111" s="311"/>
      <c r="E111" s="311"/>
      <c r="F111" s="392">
        <f t="shared" si="17"/>
        <v>1</v>
      </c>
      <c r="G111" s="393">
        <f t="shared" si="18"/>
        <v>1</v>
      </c>
      <c r="H111" s="314">
        <f t="shared" si="19"/>
        <v>1</v>
      </c>
      <c r="I111" s="311"/>
      <c r="J111" s="393">
        <f t="shared" si="20"/>
        <v>1</v>
      </c>
      <c r="K111" s="311"/>
      <c r="L111" s="311"/>
      <c r="M111" s="311"/>
      <c r="N111" s="311"/>
      <c r="O111" s="311"/>
      <c r="P111" s="311"/>
      <c r="Q111" s="311"/>
    </row>
    <row r="112" spans="1:17" ht="20.25" customHeight="1">
      <c r="A112" s="311"/>
      <c r="B112" s="311"/>
      <c r="C112" s="311"/>
      <c r="D112" s="311"/>
      <c r="E112" s="311"/>
      <c r="F112" s="392">
        <f t="shared" si="17"/>
        <v>1</v>
      </c>
      <c r="G112" s="393">
        <f t="shared" si="18"/>
        <v>1</v>
      </c>
      <c r="H112" s="314">
        <f t="shared" si="19"/>
        <v>1</v>
      </c>
      <c r="I112" s="311"/>
      <c r="J112" s="393">
        <f t="shared" si="20"/>
        <v>1</v>
      </c>
      <c r="K112" s="311"/>
      <c r="L112" s="311"/>
      <c r="M112" s="311"/>
      <c r="N112" s="311"/>
      <c r="O112" s="311"/>
      <c r="P112" s="311"/>
      <c r="Q112" s="311"/>
    </row>
    <row r="113" spans="1:17" ht="20.25" customHeight="1">
      <c r="A113" s="311"/>
      <c r="B113" s="311"/>
      <c r="C113" s="311"/>
      <c r="D113" s="311"/>
      <c r="E113" s="311"/>
      <c r="F113" s="392">
        <f t="shared" si="17"/>
        <v>1</v>
      </c>
      <c r="G113" s="393">
        <f t="shared" si="18"/>
        <v>1</v>
      </c>
      <c r="H113" s="314">
        <f t="shared" si="19"/>
        <v>1</v>
      </c>
      <c r="I113" s="311"/>
      <c r="J113" s="393">
        <f t="shared" si="20"/>
        <v>1</v>
      </c>
      <c r="K113" s="311"/>
      <c r="L113" s="311"/>
      <c r="M113" s="311"/>
      <c r="N113" s="311"/>
      <c r="O113" s="311"/>
      <c r="P113" s="311"/>
      <c r="Q113" s="311"/>
    </row>
    <row r="114" spans="1:17" ht="20.25" customHeight="1">
      <c r="A114" s="311"/>
      <c r="B114" s="311"/>
      <c r="C114" s="311"/>
      <c r="D114" s="311"/>
      <c r="E114" s="311"/>
      <c r="F114" s="392">
        <f t="shared" si="17"/>
        <v>1</v>
      </c>
      <c r="G114" s="393">
        <f t="shared" si="18"/>
        <v>1</v>
      </c>
      <c r="H114" s="314">
        <f t="shared" si="19"/>
        <v>1</v>
      </c>
      <c r="I114" s="311"/>
      <c r="J114" s="393">
        <f t="shared" si="20"/>
        <v>1</v>
      </c>
      <c r="K114" s="311"/>
      <c r="L114" s="311"/>
      <c r="M114" s="311"/>
      <c r="N114" s="311"/>
      <c r="O114" s="311"/>
      <c r="P114" s="311"/>
      <c r="Q114" s="311"/>
    </row>
    <row r="115" spans="1:17" ht="20.25" customHeight="1">
      <c r="A115" s="311"/>
      <c r="B115" s="311"/>
      <c r="C115" s="311"/>
      <c r="D115" s="311"/>
      <c r="E115" s="311"/>
      <c r="F115" s="392">
        <f t="shared" si="17"/>
        <v>1</v>
      </c>
      <c r="G115" s="393">
        <f t="shared" si="18"/>
        <v>1</v>
      </c>
      <c r="H115" s="314">
        <f t="shared" si="19"/>
        <v>1</v>
      </c>
      <c r="I115" s="311"/>
      <c r="J115" s="393">
        <f t="shared" si="20"/>
        <v>1</v>
      </c>
      <c r="K115" s="311"/>
      <c r="L115" s="311"/>
      <c r="M115" s="311"/>
      <c r="N115" s="311"/>
      <c r="O115" s="311"/>
      <c r="P115" s="311"/>
      <c r="Q115" s="311"/>
    </row>
    <row r="116" spans="1:17" ht="20.25" customHeight="1">
      <c r="A116" s="311"/>
      <c r="B116" s="311"/>
      <c r="C116" s="311"/>
      <c r="D116" s="311"/>
      <c r="E116" s="311"/>
      <c r="F116" s="392">
        <f t="shared" si="17"/>
        <v>1</v>
      </c>
      <c r="G116" s="393">
        <f t="shared" si="18"/>
        <v>1</v>
      </c>
      <c r="H116" s="314">
        <f t="shared" si="19"/>
        <v>1</v>
      </c>
      <c r="I116" s="311"/>
      <c r="J116" s="393">
        <f t="shared" si="20"/>
        <v>1</v>
      </c>
      <c r="K116" s="311"/>
      <c r="L116" s="311"/>
      <c r="M116" s="311"/>
      <c r="N116" s="311"/>
      <c r="O116" s="311"/>
      <c r="P116" s="311"/>
      <c r="Q116" s="311"/>
    </row>
    <row r="117" spans="1:17" ht="20.25" customHeight="1">
      <c r="A117" s="311"/>
      <c r="B117" s="311"/>
      <c r="C117" s="311"/>
      <c r="D117" s="311"/>
      <c r="E117" s="311"/>
      <c r="F117" s="392">
        <f t="shared" si="17"/>
        <v>1</v>
      </c>
      <c r="G117" s="393">
        <f t="shared" si="18"/>
        <v>1</v>
      </c>
      <c r="H117" s="314">
        <f t="shared" si="19"/>
        <v>1</v>
      </c>
      <c r="I117" s="311"/>
      <c r="J117" s="393">
        <f t="shared" si="20"/>
        <v>1</v>
      </c>
      <c r="K117" s="311"/>
      <c r="L117" s="311"/>
      <c r="M117" s="311"/>
      <c r="N117" s="311"/>
      <c r="O117" s="311"/>
      <c r="P117" s="311"/>
      <c r="Q117" s="311"/>
    </row>
    <row r="118" spans="1:17" ht="20.25" customHeight="1">
      <c r="A118" s="311"/>
      <c r="B118" s="311"/>
      <c r="C118" s="311"/>
      <c r="D118" s="311"/>
      <c r="E118" s="311"/>
      <c r="F118" s="392">
        <f t="shared" si="17"/>
        <v>1</v>
      </c>
      <c r="G118" s="393">
        <f t="shared" si="18"/>
        <v>1</v>
      </c>
      <c r="H118" s="314">
        <f t="shared" si="19"/>
        <v>1</v>
      </c>
      <c r="I118" s="311"/>
      <c r="J118" s="393">
        <f t="shared" si="20"/>
        <v>1</v>
      </c>
      <c r="K118" s="311"/>
      <c r="L118" s="311"/>
      <c r="M118" s="311"/>
      <c r="N118" s="311"/>
      <c r="O118" s="311"/>
      <c r="P118" s="311"/>
      <c r="Q118" s="311"/>
    </row>
    <row r="119" spans="1:17" ht="20.25" customHeight="1">
      <c r="A119" s="311"/>
      <c r="B119" s="311"/>
      <c r="C119" s="311"/>
      <c r="D119" s="311"/>
      <c r="E119" s="311"/>
      <c r="F119" s="392">
        <f t="shared" si="17"/>
        <v>1</v>
      </c>
      <c r="G119" s="393">
        <f t="shared" si="18"/>
        <v>1</v>
      </c>
      <c r="H119" s="314">
        <f t="shared" si="19"/>
        <v>1</v>
      </c>
      <c r="I119" s="311"/>
      <c r="J119" s="393">
        <f t="shared" si="20"/>
        <v>1</v>
      </c>
      <c r="K119" s="311"/>
      <c r="L119" s="311"/>
      <c r="M119" s="311"/>
      <c r="N119" s="311"/>
      <c r="O119" s="311"/>
      <c r="P119" s="311"/>
      <c r="Q119" s="311"/>
    </row>
    <row r="120" spans="1:17" ht="20.25" customHeight="1">
      <c r="A120" s="311"/>
      <c r="B120" s="311"/>
      <c r="C120" s="311"/>
      <c r="D120" s="311"/>
      <c r="E120" s="311"/>
      <c r="F120" s="392">
        <f t="shared" si="17"/>
        <v>1</v>
      </c>
      <c r="G120" s="393">
        <f t="shared" si="18"/>
        <v>1</v>
      </c>
      <c r="H120" s="314">
        <f t="shared" si="19"/>
        <v>1</v>
      </c>
      <c r="I120" s="311"/>
      <c r="J120" s="393">
        <f t="shared" si="20"/>
        <v>1</v>
      </c>
      <c r="K120" s="311"/>
      <c r="L120" s="311"/>
      <c r="M120" s="311"/>
      <c r="N120" s="311"/>
      <c r="O120" s="311"/>
      <c r="P120" s="311"/>
      <c r="Q120" s="311"/>
    </row>
    <row r="121" spans="1:17" ht="20.25" customHeight="1">
      <c r="A121" s="311"/>
      <c r="B121" s="311"/>
      <c r="C121" s="311"/>
      <c r="D121" s="311"/>
      <c r="E121" s="311"/>
      <c r="F121" s="392">
        <f t="shared" si="17"/>
        <v>1</v>
      </c>
      <c r="G121" s="393">
        <f t="shared" si="18"/>
        <v>1</v>
      </c>
      <c r="H121" s="314">
        <f t="shared" si="19"/>
        <v>1</v>
      </c>
      <c r="I121" s="311"/>
      <c r="J121" s="393">
        <f t="shared" si="20"/>
        <v>1</v>
      </c>
      <c r="K121" s="311"/>
      <c r="L121" s="311"/>
      <c r="M121" s="311"/>
      <c r="N121" s="311"/>
      <c r="O121" s="311"/>
      <c r="P121" s="311"/>
      <c r="Q121" s="311"/>
    </row>
    <row r="122" spans="1:17" ht="20.25" customHeight="1">
      <c r="A122" s="311"/>
      <c r="B122" s="311"/>
      <c r="C122" s="311"/>
      <c r="D122" s="311"/>
      <c r="E122" s="311"/>
      <c r="F122" s="392">
        <f t="shared" si="17"/>
        <v>1</v>
      </c>
      <c r="G122" s="393">
        <f t="shared" si="18"/>
        <v>1</v>
      </c>
      <c r="H122" s="314">
        <f t="shared" si="19"/>
        <v>1</v>
      </c>
      <c r="I122" s="311"/>
      <c r="J122" s="393">
        <f t="shared" si="20"/>
        <v>1</v>
      </c>
      <c r="K122" s="311"/>
      <c r="L122" s="311"/>
      <c r="M122" s="311"/>
      <c r="N122" s="311"/>
      <c r="O122" s="311"/>
      <c r="P122" s="311"/>
      <c r="Q122" s="311"/>
    </row>
    <row r="123" spans="1:17" ht="20.25" customHeight="1">
      <c r="A123" s="311"/>
      <c r="B123" s="311"/>
      <c r="C123" s="311"/>
      <c r="D123" s="311"/>
      <c r="E123" s="311"/>
      <c r="F123" s="392">
        <f t="shared" si="17"/>
        <v>1</v>
      </c>
      <c r="G123" s="393">
        <f t="shared" si="18"/>
        <v>1</v>
      </c>
      <c r="H123" s="314">
        <f t="shared" si="19"/>
        <v>1</v>
      </c>
      <c r="I123" s="311"/>
      <c r="J123" s="393">
        <f t="shared" si="20"/>
        <v>1</v>
      </c>
      <c r="K123" s="311"/>
      <c r="L123" s="311"/>
      <c r="M123" s="311"/>
      <c r="N123" s="311"/>
      <c r="O123" s="311"/>
      <c r="P123" s="311"/>
      <c r="Q123" s="311"/>
    </row>
    <row r="124" spans="1:17" ht="20.25" customHeight="1">
      <c r="F124" s="32">
        <f t="shared" si="17"/>
        <v>1</v>
      </c>
      <c r="G124" s="33">
        <f t="shared" si="18"/>
        <v>1</v>
      </c>
      <c r="H124" s="1">
        <f t="shared" si="19"/>
        <v>1</v>
      </c>
      <c r="J124" s="33">
        <f t="shared" si="20"/>
        <v>1</v>
      </c>
    </row>
    <row r="125" spans="1:17" ht="20.25" customHeight="1">
      <c r="F125" s="32">
        <f t="shared" si="17"/>
        <v>1</v>
      </c>
      <c r="G125" s="33">
        <f t="shared" si="18"/>
        <v>1</v>
      </c>
      <c r="H125" s="1">
        <f t="shared" si="19"/>
        <v>1</v>
      </c>
      <c r="J125" s="33">
        <f t="shared" si="20"/>
        <v>1</v>
      </c>
    </row>
    <row r="126" spans="1:17" ht="20.25" customHeight="1">
      <c r="F126" s="32">
        <f t="shared" si="17"/>
        <v>1</v>
      </c>
      <c r="G126" s="33">
        <f t="shared" si="18"/>
        <v>1</v>
      </c>
      <c r="H126" s="1">
        <f t="shared" si="19"/>
        <v>1</v>
      </c>
      <c r="J126" s="33">
        <f t="shared" si="20"/>
        <v>1</v>
      </c>
    </row>
    <row r="127" spans="1:17" ht="20.25" customHeight="1">
      <c r="F127" s="32">
        <f t="shared" si="17"/>
        <v>1</v>
      </c>
      <c r="G127" s="33">
        <f t="shared" si="18"/>
        <v>1</v>
      </c>
      <c r="H127" s="1">
        <f t="shared" si="19"/>
        <v>1</v>
      </c>
      <c r="J127" s="33">
        <f t="shared" si="20"/>
        <v>1</v>
      </c>
    </row>
    <row r="128" spans="1:17" ht="20.25" customHeight="1">
      <c r="F128" s="32">
        <f t="shared" si="17"/>
        <v>1</v>
      </c>
      <c r="G128" s="33">
        <f t="shared" si="18"/>
        <v>1</v>
      </c>
      <c r="H128" s="1">
        <f t="shared" si="19"/>
        <v>1</v>
      </c>
      <c r="J128" s="33">
        <f t="shared" si="20"/>
        <v>1</v>
      </c>
    </row>
    <row r="129" spans="6:10" ht="20.25" customHeight="1">
      <c r="F129" s="32">
        <f t="shared" si="17"/>
        <v>1</v>
      </c>
      <c r="G129" s="33">
        <f t="shared" si="18"/>
        <v>1</v>
      </c>
      <c r="H129" s="1">
        <f t="shared" si="19"/>
        <v>1</v>
      </c>
      <c r="J129" s="33">
        <f t="shared" si="20"/>
        <v>1</v>
      </c>
    </row>
    <row r="130" spans="6:10" ht="20.25" customHeight="1">
      <c r="F130" s="32">
        <f t="shared" si="17"/>
        <v>1</v>
      </c>
      <c r="G130" s="33">
        <f t="shared" si="18"/>
        <v>1</v>
      </c>
      <c r="H130" s="1">
        <f t="shared" si="19"/>
        <v>1</v>
      </c>
      <c r="J130" s="33">
        <f t="shared" si="20"/>
        <v>1</v>
      </c>
    </row>
    <row r="131" spans="6:10" ht="20.25" customHeight="1">
      <c r="F131" s="32">
        <f t="shared" si="17"/>
        <v>1</v>
      </c>
      <c r="G131" s="33">
        <f t="shared" si="18"/>
        <v>1</v>
      </c>
      <c r="H131" s="1">
        <f t="shared" si="19"/>
        <v>1</v>
      </c>
      <c r="J131" s="33">
        <f t="shared" si="20"/>
        <v>1</v>
      </c>
    </row>
    <row r="132" spans="6:10" ht="20.25" customHeight="1">
      <c r="F132" s="32">
        <f t="shared" si="17"/>
        <v>1</v>
      </c>
      <c r="G132" s="33">
        <f t="shared" si="18"/>
        <v>1</v>
      </c>
      <c r="H132" s="1">
        <f t="shared" si="19"/>
        <v>1</v>
      </c>
      <c r="J132" s="33">
        <f t="shared" si="20"/>
        <v>1</v>
      </c>
    </row>
    <row r="133" spans="6:10" ht="20.25" customHeight="1">
      <c r="F133" s="32">
        <f t="shared" si="17"/>
        <v>1</v>
      </c>
      <c r="G133" s="33">
        <f t="shared" si="18"/>
        <v>1</v>
      </c>
      <c r="H133" s="1">
        <f t="shared" si="19"/>
        <v>1</v>
      </c>
      <c r="J133" s="33">
        <f t="shared" si="20"/>
        <v>1</v>
      </c>
    </row>
    <row r="134" spans="6:10" ht="20.25" customHeight="1">
      <c r="F134" s="32">
        <f t="shared" si="17"/>
        <v>1</v>
      </c>
      <c r="G134" s="33">
        <f t="shared" si="18"/>
        <v>1</v>
      </c>
      <c r="H134" s="1">
        <f t="shared" si="19"/>
        <v>1</v>
      </c>
      <c r="J134" s="33">
        <f t="shared" si="20"/>
        <v>1</v>
      </c>
    </row>
    <row r="135" spans="6:10" ht="20.25" customHeight="1">
      <c r="F135" s="32">
        <f t="shared" si="17"/>
        <v>1</v>
      </c>
      <c r="G135" s="33">
        <f t="shared" si="18"/>
        <v>1</v>
      </c>
      <c r="H135" s="1">
        <f t="shared" si="19"/>
        <v>1</v>
      </c>
      <c r="J135" s="33">
        <f t="shared" si="20"/>
        <v>1</v>
      </c>
    </row>
    <row r="136" spans="6:10" ht="20.25" customHeight="1">
      <c r="F136" s="32">
        <f t="shared" si="17"/>
        <v>1</v>
      </c>
      <c r="G136" s="33">
        <f t="shared" si="18"/>
        <v>1</v>
      </c>
      <c r="H136" s="1">
        <f t="shared" si="19"/>
        <v>1</v>
      </c>
      <c r="J136" s="33">
        <f t="shared" si="20"/>
        <v>1</v>
      </c>
    </row>
    <row r="137" spans="6:10" ht="20.25" customHeight="1">
      <c r="F137" s="32">
        <f t="shared" si="17"/>
        <v>1</v>
      </c>
      <c r="G137" s="33">
        <f t="shared" si="18"/>
        <v>1</v>
      </c>
      <c r="H137" s="1">
        <f t="shared" si="19"/>
        <v>1</v>
      </c>
      <c r="J137" s="33">
        <f t="shared" si="20"/>
        <v>1</v>
      </c>
    </row>
    <row r="138" spans="6:10" ht="20.25" customHeight="1">
      <c r="F138" s="32">
        <f t="shared" si="17"/>
        <v>1</v>
      </c>
      <c r="G138" s="33">
        <f t="shared" ref="G138:G160" si="21">$G$41</f>
        <v>1</v>
      </c>
      <c r="H138" s="1">
        <f t="shared" ref="H138:H159" si="22">$H$41</f>
        <v>1</v>
      </c>
      <c r="J138" s="33">
        <f t="shared" ref="J138:J160" si="23">$J$41</f>
        <v>1</v>
      </c>
    </row>
    <row r="139" spans="6:10" ht="20.25" customHeight="1">
      <c r="F139" s="32">
        <f t="shared" si="17"/>
        <v>1</v>
      </c>
      <c r="G139" s="33">
        <f t="shared" si="21"/>
        <v>1</v>
      </c>
      <c r="H139" s="1">
        <f t="shared" si="22"/>
        <v>1</v>
      </c>
      <c r="J139" s="33">
        <f t="shared" si="23"/>
        <v>1</v>
      </c>
    </row>
    <row r="140" spans="6:10" ht="20.25" customHeight="1">
      <c r="F140" s="32">
        <f t="shared" si="17"/>
        <v>1</v>
      </c>
      <c r="G140" s="33">
        <f t="shared" si="21"/>
        <v>1</v>
      </c>
      <c r="H140" s="1">
        <f t="shared" si="22"/>
        <v>1</v>
      </c>
      <c r="J140" s="33">
        <f t="shared" si="23"/>
        <v>1</v>
      </c>
    </row>
    <row r="141" spans="6:10" ht="20.25" customHeight="1">
      <c r="F141" s="32">
        <f t="shared" si="17"/>
        <v>1</v>
      </c>
      <c r="G141" s="33">
        <f t="shared" si="21"/>
        <v>1</v>
      </c>
      <c r="H141" s="1">
        <f t="shared" si="22"/>
        <v>1</v>
      </c>
      <c r="J141" s="33">
        <f t="shared" si="23"/>
        <v>1</v>
      </c>
    </row>
    <row r="142" spans="6:10" ht="20.25" customHeight="1">
      <c r="F142" s="32">
        <f t="shared" si="17"/>
        <v>1</v>
      </c>
      <c r="G142" s="33">
        <f t="shared" si="21"/>
        <v>1</v>
      </c>
      <c r="H142" s="1">
        <f t="shared" si="22"/>
        <v>1</v>
      </c>
      <c r="J142" s="33">
        <f t="shared" si="23"/>
        <v>1</v>
      </c>
    </row>
    <row r="143" spans="6:10" ht="20.25" customHeight="1">
      <c r="F143" s="32">
        <f t="shared" si="17"/>
        <v>1</v>
      </c>
      <c r="G143" s="33">
        <f t="shared" si="21"/>
        <v>1</v>
      </c>
      <c r="H143" s="1">
        <f t="shared" si="22"/>
        <v>1</v>
      </c>
      <c r="J143" s="33">
        <f t="shared" si="23"/>
        <v>1</v>
      </c>
    </row>
    <row r="144" spans="6:10" ht="20.25" customHeight="1">
      <c r="F144" s="32">
        <f t="shared" si="17"/>
        <v>1</v>
      </c>
      <c r="G144" s="33">
        <f t="shared" si="21"/>
        <v>1</v>
      </c>
      <c r="H144" s="1">
        <f t="shared" si="22"/>
        <v>1</v>
      </c>
      <c r="J144" s="33">
        <f t="shared" si="23"/>
        <v>1</v>
      </c>
    </row>
    <row r="145" spans="6:10" ht="20.25" customHeight="1">
      <c r="F145" s="32">
        <f t="shared" si="17"/>
        <v>1</v>
      </c>
      <c r="G145" s="33">
        <f t="shared" si="21"/>
        <v>1</v>
      </c>
      <c r="H145" s="1">
        <f t="shared" si="22"/>
        <v>1</v>
      </c>
      <c r="J145" s="33">
        <f t="shared" si="23"/>
        <v>1</v>
      </c>
    </row>
    <row r="146" spans="6:10" ht="20.25" customHeight="1">
      <c r="F146" s="32">
        <f t="shared" si="17"/>
        <v>1</v>
      </c>
      <c r="G146" s="33">
        <f t="shared" si="21"/>
        <v>1</v>
      </c>
      <c r="H146" s="1">
        <f t="shared" si="22"/>
        <v>1</v>
      </c>
      <c r="J146" s="33">
        <f t="shared" si="23"/>
        <v>1</v>
      </c>
    </row>
    <row r="147" spans="6:10" ht="20.25" customHeight="1">
      <c r="F147" s="32">
        <f t="shared" si="17"/>
        <v>1</v>
      </c>
      <c r="G147" s="33">
        <f t="shared" si="21"/>
        <v>1</v>
      </c>
      <c r="H147" s="1">
        <f t="shared" si="22"/>
        <v>1</v>
      </c>
      <c r="J147" s="33">
        <f t="shared" si="23"/>
        <v>1</v>
      </c>
    </row>
    <row r="148" spans="6:10" ht="20.25" customHeight="1">
      <c r="F148" s="32">
        <f t="shared" si="17"/>
        <v>1</v>
      </c>
      <c r="G148" s="33">
        <f t="shared" si="21"/>
        <v>1</v>
      </c>
      <c r="H148" s="1">
        <f t="shared" si="22"/>
        <v>1</v>
      </c>
      <c r="J148" s="33">
        <f t="shared" si="23"/>
        <v>1</v>
      </c>
    </row>
    <row r="149" spans="6:10" ht="20.25" customHeight="1">
      <c r="F149" s="32">
        <f t="shared" si="17"/>
        <v>1</v>
      </c>
      <c r="G149" s="33">
        <f t="shared" si="21"/>
        <v>1</v>
      </c>
      <c r="H149" s="1">
        <f t="shared" si="22"/>
        <v>1</v>
      </c>
      <c r="J149" s="33">
        <f t="shared" si="23"/>
        <v>1</v>
      </c>
    </row>
    <row r="150" spans="6:10" ht="20.25" customHeight="1">
      <c r="F150" s="32">
        <f t="shared" si="17"/>
        <v>1</v>
      </c>
      <c r="G150" s="33">
        <f t="shared" si="21"/>
        <v>1</v>
      </c>
      <c r="H150" s="1">
        <f t="shared" si="22"/>
        <v>1</v>
      </c>
      <c r="J150" s="33">
        <f t="shared" si="23"/>
        <v>1</v>
      </c>
    </row>
    <row r="151" spans="6:10" ht="20.25" customHeight="1">
      <c r="F151" s="32">
        <f t="shared" si="17"/>
        <v>1</v>
      </c>
      <c r="G151" s="33">
        <f t="shared" si="21"/>
        <v>1</v>
      </c>
      <c r="H151" s="1">
        <f t="shared" si="22"/>
        <v>1</v>
      </c>
      <c r="J151" s="33">
        <f t="shared" si="23"/>
        <v>1</v>
      </c>
    </row>
    <row r="152" spans="6:10" ht="20.25" customHeight="1">
      <c r="F152" s="32">
        <f t="shared" si="17"/>
        <v>1</v>
      </c>
      <c r="G152" s="33">
        <f t="shared" si="21"/>
        <v>1</v>
      </c>
      <c r="H152" s="1">
        <f t="shared" si="22"/>
        <v>1</v>
      </c>
      <c r="J152" s="33">
        <f t="shared" si="23"/>
        <v>1</v>
      </c>
    </row>
    <row r="153" spans="6:10" ht="20.25" customHeight="1">
      <c r="F153" s="32">
        <f t="shared" si="17"/>
        <v>1</v>
      </c>
      <c r="G153" s="33">
        <f t="shared" si="21"/>
        <v>1</v>
      </c>
      <c r="H153" s="1">
        <f t="shared" si="22"/>
        <v>1</v>
      </c>
      <c r="J153" s="33">
        <f t="shared" si="23"/>
        <v>1</v>
      </c>
    </row>
    <row r="154" spans="6:10" ht="20.25" customHeight="1">
      <c r="F154" s="32">
        <f t="shared" si="17"/>
        <v>1</v>
      </c>
      <c r="G154" s="33">
        <f t="shared" si="21"/>
        <v>1</v>
      </c>
      <c r="H154" s="1">
        <f t="shared" si="22"/>
        <v>1</v>
      </c>
      <c r="J154" s="33">
        <f t="shared" si="23"/>
        <v>1</v>
      </c>
    </row>
    <row r="155" spans="6:10" ht="20.25" customHeight="1">
      <c r="F155" s="32">
        <f t="shared" si="17"/>
        <v>1</v>
      </c>
      <c r="G155" s="33">
        <f t="shared" si="21"/>
        <v>1</v>
      </c>
      <c r="H155" s="1">
        <f t="shared" si="22"/>
        <v>1</v>
      </c>
      <c r="J155" s="33">
        <f t="shared" si="23"/>
        <v>1</v>
      </c>
    </row>
    <row r="156" spans="6:10" ht="20.25" customHeight="1">
      <c r="F156" s="32">
        <f t="shared" si="17"/>
        <v>1</v>
      </c>
      <c r="G156" s="33">
        <f t="shared" si="21"/>
        <v>1</v>
      </c>
      <c r="H156" s="1">
        <f t="shared" si="22"/>
        <v>1</v>
      </c>
      <c r="J156" s="33">
        <f t="shared" si="23"/>
        <v>1</v>
      </c>
    </row>
    <row r="157" spans="6:10" ht="20.25" customHeight="1">
      <c r="F157" s="32">
        <f t="shared" si="17"/>
        <v>1</v>
      </c>
      <c r="G157" s="33">
        <f t="shared" si="21"/>
        <v>1</v>
      </c>
      <c r="H157" s="1">
        <f t="shared" si="22"/>
        <v>1</v>
      </c>
      <c r="J157" s="33">
        <f t="shared" si="23"/>
        <v>1</v>
      </c>
    </row>
    <row r="158" spans="6:10" ht="20.25" customHeight="1">
      <c r="F158" s="32">
        <f t="shared" si="17"/>
        <v>1</v>
      </c>
      <c r="G158" s="33">
        <f t="shared" si="21"/>
        <v>1</v>
      </c>
      <c r="H158" s="1">
        <f t="shared" si="22"/>
        <v>1</v>
      </c>
      <c r="J158" s="33">
        <f t="shared" si="23"/>
        <v>1</v>
      </c>
    </row>
    <row r="159" spans="6:10" ht="20.25" customHeight="1">
      <c r="F159" s="32">
        <f t="shared" si="17"/>
        <v>1</v>
      </c>
      <c r="G159" s="33">
        <f t="shared" si="21"/>
        <v>1</v>
      </c>
      <c r="H159" s="1">
        <f t="shared" si="22"/>
        <v>1</v>
      </c>
      <c r="J159" s="33">
        <f t="shared" si="23"/>
        <v>1</v>
      </c>
    </row>
    <row r="160" spans="6:10" ht="20.25" customHeight="1">
      <c r="F160" s="32">
        <f t="shared" si="17"/>
        <v>1</v>
      </c>
      <c r="G160" s="33">
        <f t="shared" si="21"/>
        <v>1</v>
      </c>
      <c r="H160" s="1">
        <f>$H$41</f>
        <v>1</v>
      </c>
      <c r="J160" s="33">
        <f t="shared" si="23"/>
        <v>1</v>
      </c>
    </row>
    <row r="161" spans="6:10" ht="20.25" customHeight="1">
      <c r="F161" s="32">
        <f t="shared" si="17"/>
        <v>1</v>
      </c>
      <c r="G161" s="1">
        <f t="shared" ref="G161:G192" si="24">G160</f>
        <v>1</v>
      </c>
      <c r="H161" s="1">
        <f t="shared" ref="H161:H192" si="25">H160</f>
        <v>1</v>
      </c>
      <c r="I161" s="1">
        <f t="shared" ref="I161:I192" si="26">I160</f>
        <v>0</v>
      </c>
      <c r="J161" s="1">
        <f t="shared" ref="J161:J192" si="27">J160</f>
        <v>1</v>
      </c>
    </row>
    <row r="162" spans="6:10" ht="20.25" customHeight="1">
      <c r="F162" s="32">
        <f t="shared" si="17"/>
        <v>1</v>
      </c>
      <c r="G162" s="1">
        <f t="shared" si="24"/>
        <v>1</v>
      </c>
      <c r="H162" s="1">
        <f t="shared" si="25"/>
        <v>1</v>
      </c>
      <c r="I162" s="1">
        <f t="shared" si="26"/>
        <v>0</v>
      </c>
      <c r="J162" s="1">
        <f t="shared" si="27"/>
        <v>1</v>
      </c>
    </row>
    <row r="163" spans="6:10" ht="20.25" customHeight="1">
      <c r="F163" s="32">
        <f t="shared" si="17"/>
        <v>1</v>
      </c>
      <c r="G163" s="1">
        <f t="shared" si="24"/>
        <v>1</v>
      </c>
      <c r="H163" s="1">
        <f t="shared" si="25"/>
        <v>1</v>
      </c>
      <c r="I163" s="1">
        <f t="shared" si="26"/>
        <v>0</v>
      </c>
      <c r="J163" s="1">
        <f t="shared" si="27"/>
        <v>1</v>
      </c>
    </row>
    <row r="164" spans="6:10" ht="20.25" customHeight="1">
      <c r="F164" s="32">
        <f t="shared" si="17"/>
        <v>1</v>
      </c>
      <c r="G164" s="1">
        <f t="shared" si="24"/>
        <v>1</v>
      </c>
      <c r="H164" s="1">
        <f t="shared" si="25"/>
        <v>1</v>
      </c>
      <c r="I164" s="1">
        <f t="shared" si="26"/>
        <v>0</v>
      </c>
      <c r="J164" s="1">
        <f t="shared" si="27"/>
        <v>1</v>
      </c>
    </row>
    <row r="165" spans="6:10" ht="20.25" customHeight="1">
      <c r="F165" s="32">
        <f t="shared" si="17"/>
        <v>1</v>
      </c>
      <c r="G165" s="1">
        <f t="shared" si="24"/>
        <v>1</v>
      </c>
      <c r="H165" s="1">
        <f t="shared" si="25"/>
        <v>1</v>
      </c>
      <c r="I165" s="1">
        <f t="shared" si="26"/>
        <v>0</v>
      </c>
      <c r="J165" s="1">
        <f t="shared" si="27"/>
        <v>1</v>
      </c>
    </row>
    <row r="166" spans="6:10" ht="20.25" customHeight="1">
      <c r="F166" s="32">
        <f t="shared" si="17"/>
        <v>1</v>
      </c>
      <c r="G166" s="1">
        <f t="shared" si="24"/>
        <v>1</v>
      </c>
      <c r="H166" s="1">
        <f t="shared" si="25"/>
        <v>1</v>
      </c>
      <c r="I166" s="1">
        <f t="shared" si="26"/>
        <v>0</v>
      </c>
      <c r="J166" s="1">
        <f t="shared" si="27"/>
        <v>1</v>
      </c>
    </row>
    <row r="167" spans="6:10" ht="20.25" customHeight="1">
      <c r="F167" s="32">
        <f t="shared" si="17"/>
        <v>1</v>
      </c>
      <c r="G167" s="1">
        <f t="shared" si="24"/>
        <v>1</v>
      </c>
      <c r="H167" s="1">
        <f t="shared" si="25"/>
        <v>1</v>
      </c>
      <c r="I167" s="1">
        <f t="shared" si="26"/>
        <v>0</v>
      </c>
      <c r="J167" s="1">
        <f t="shared" si="27"/>
        <v>1</v>
      </c>
    </row>
    <row r="168" spans="6:10" ht="20.25" customHeight="1">
      <c r="F168" s="32">
        <f t="shared" si="17"/>
        <v>1</v>
      </c>
      <c r="G168" s="1">
        <f t="shared" si="24"/>
        <v>1</v>
      </c>
      <c r="H168" s="1">
        <f t="shared" si="25"/>
        <v>1</v>
      </c>
      <c r="I168" s="1">
        <f t="shared" si="26"/>
        <v>0</v>
      </c>
      <c r="J168" s="1">
        <f t="shared" si="27"/>
        <v>1</v>
      </c>
    </row>
    <row r="169" spans="6:10" ht="20.25" customHeight="1">
      <c r="F169" s="32">
        <f t="shared" si="17"/>
        <v>1</v>
      </c>
      <c r="G169" s="1">
        <f t="shared" si="24"/>
        <v>1</v>
      </c>
      <c r="H169" s="1">
        <f t="shared" si="25"/>
        <v>1</v>
      </c>
      <c r="I169" s="1">
        <f t="shared" si="26"/>
        <v>0</v>
      </c>
      <c r="J169" s="1">
        <f t="shared" si="27"/>
        <v>1</v>
      </c>
    </row>
    <row r="170" spans="6:10" ht="20.25" customHeight="1">
      <c r="F170" s="32">
        <f t="shared" ref="F170:F233" si="28">$F$41</f>
        <v>1</v>
      </c>
      <c r="G170" s="1">
        <f t="shared" si="24"/>
        <v>1</v>
      </c>
      <c r="H170" s="1">
        <f t="shared" si="25"/>
        <v>1</v>
      </c>
      <c r="I170" s="1">
        <f t="shared" si="26"/>
        <v>0</v>
      </c>
      <c r="J170" s="1">
        <f t="shared" si="27"/>
        <v>1</v>
      </c>
    </row>
    <row r="171" spans="6:10" ht="20.25" customHeight="1">
      <c r="F171" s="32">
        <f t="shared" si="28"/>
        <v>1</v>
      </c>
      <c r="G171" s="1">
        <f t="shared" si="24"/>
        <v>1</v>
      </c>
      <c r="H171" s="1">
        <f t="shared" si="25"/>
        <v>1</v>
      </c>
      <c r="I171" s="1">
        <f t="shared" si="26"/>
        <v>0</v>
      </c>
      <c r="J171" s="1">
        <f t="shared" si="27"/>
        <v>1</v>
      </c>
    </row>
    <row r="172" spans="6:10" ht="20.25" customHeight="1">
      <c r="F172" s="32">
        <f t="shared" si="28"/>
        <v>1</v>
      </c>
      <c r="G172" s="1">
        <f t="shared" si="24"/>
        <v>1</v>
      </c>
      <c r="H172" s="1">
        <f t="shared" si="25"/>
        <v>1</v>
      </c>
      <c r="I172" s="1">
        <f t="shared" si="26"/>
        <v>0</v>
      </c>
      <c r="J172" s="1">
        <f t="shared" si="27"/>
        <v>1</v>
      </c>
    </row>
    <row r="173" spans="6:10" ht="20.25" customHeight="1">
      <c r="F173" s="32">
        <f t="shared" si="28"/>
        <v>1</v>
      </c>
      <c r="G173" s="1">
        <f t="shared" si="24"/>
        <v>1</v>
      </c>
      <c r="H173" s="1">
        <f t="shared" si="25"/>
        <v>1</v>
      </c>
      <c r="I173" s="1">
        <f t="shared" si="26"/>
        <v>0</v>
      </c>
      <c r="J173" s="1">
        <f t="shared" si="27"/>
        <v>1</v>
      </c>
    </row>
    <row r="174" spans="6:10" ht="20.25" customHeight="1">
      <c r="F174" s="32">
        <f t="shared" si="28"/>
        <v>1</v>
      </c>
      <c r="G174" s="1">
        <f t="shared" si="24"/>
        <v>1</v>
      </c>
      <c r="H174" s="1">
        <f t="shared" si="25"/>
        <v>1</v>
      </c>
      <c r="I174" s="1">
        <f t="shared" si="26"/>
        <v>0</v>
      </c>
      <c r="J174" s="1">
        <f t="shared" si="27"/>
        <v>1</v>
      </c>
    </row>
    <row r="175" spans="6:10" ht="20.25" customHeight="1">
      <c r="F175" s="32">
        <f t="shared" si="28"/>
        <v>1</v>
      </c>
      <c r="G175" s="1">
        <f t="shared" si="24"/>
        <v>1</v>
      </c>
      <c r="H175" s="1">
        <f t="shared" si="25"/>
        <v>1</v>
      </c>
      <c r="I175" s="1">
        <f t="shared" si="26"/>
        <v>0</v>
      </c>
      <c r="J175" s="1">
        <f t="shared" si="27"/>
        <v>1</v>
      </c>
    </row>
    <row r="176" spans="6:10" ht="20.25" customHeight="1">
      <c r="F176" s="32">
        <f t="shared" si="28"/>
        <v>1</v>
      </c>
      <c r="G176" s="1">
        <f t="shared" si="24"/>
        <v>1</v>
      </c>
      <c r="H176" s="1">
        <f t="shared" si="25"/>
        <v>1</v>
      </c>
      <c r="I176" s="1">
        <f t="shared" si="26"/>
        <v>0</v>
      </c>
      <c r="J176" s="1">
        <f t="shared" si="27"/>
        <v>1</v>
      </c>
    </row>
    <row r="177" spans="6:10" ht="20.25" customHeight="1">
      <c r="F177" s="32">
        <f t="shared" si="28"/>
        <v>1</v>
      </c>
      <c r="G177" s="1">
        <f t="shared" si="24"/>
        <v>1</v>
      </c>
      <c r="H177" s="1">
        <f t="shared" si="25"/>
        <v>1</v>
      </c>
      <c r="I177" s="1">
        <f t="shared" si="26"/>
        <v>0</v>
      </c>
      <c r="J177" s="1">
        <f t="shared" si="27"/>
        <v>1</v>
      </c>
    </row>
    <row r="178" spans="6:10" ht="20.25" customHeight="1">
      <c r="F178" s="32">
        <f t="shared" si="28"/>
        <v>1</v>
      </c>
      <c r="G178" s="1">
        <f t="shared" si="24"/>
        <v>1</v>
      </c>
      <c r="H178" s="1">
        <f t="shared" si="25"/>
        <v>1</v>
      </c>
      <c r="I178" s="1">
        <f t="shared" si="26"/>
        <v>0</v>
      </c>
      <c r="J178" s="1">
        <f t="shared" si="27"/>
        <v>1</v>
      </c>
    </row>
    <row r="179" spans="6:10" ht="20.25" customHeight="1">
      <c r="F179" s="32">
        <f t="shared" si="28"/>
        <v>1</v>
      </c>
      <c r="G179" s="1">
        <f t="shared" si="24"/>
        <v>1</v>
      </c>
      <c r="H179" s="1">
        <f t="shared" si="25"/>
        <v>1</v>
      </c>
      <c r="I179" s="1">
        <f t="shared" si="26"/>
        <v>0</v>
      </c>
      <c r="J179" s="1">
        <f t="shared" si="27"/>
        <v>1</v>
      </c>
    </row>
    <row r="180" spans="6:10" ht="20.25" customHeight="1">
      <c r="F180" s="32">
        <f t="shared" si="28"/>
        <v>1</v>
      </c>
      <c r="G180" s="1">
        <f t="shared" si="24"/>
        <v>1</v>
      </c>
      <c r="H180" s="1">
        <f t="shared" si="25"/>
        <v>1</v>
      </c>
      <c r="I180" s="1">
        <f t="shared" si="26"/>
        <v>0</v>
      </c>
      <c r="J180" s="1">
        <f t="shared" si="27"/>
        <v>1</v>
      </c>
    </row>
    <row r="181" spans="6:10" ht="20.25" customHeight="1">
      <c r="F181" s="32">
        <f t="shared" si="28"/>
        <v>1</v>
      </c>
      <c r="G181" s="1">
        <f t="shared" si="24"/>
        <v>1</v>
      </c>
      <c r="H181" s="1">
        <f t="shared" si="25"/>
        <v>1</v>
      </c>
      <c r="I181" s="1">
        <f t="shared" si="26"/>
        <v>0</v>
      </c>
      <c r="J181" s="1">
        <f t="shared" si="27"/>
        <v>1</v>
      </c>
    </row>
    <row r="182" spans="6:10" ht="20.25" customHeight="1">
      <c r="F182" s="32">
        <f t="shared" si="28"/>
        <v>1</v>
      </c>
      <c r="G182" s="1">
        <f t="shared" si="24"/>
        <v>1</v>
      </c>
      <c r="H182" s="1">
        <f t="shared" si="25"/>
        <v>1</v>
      </c>
      <c r="I182" s="1">
        <f t="shared" si="26"/>
        <v>0</v>
      </c>
      <c r="J182" s="1">
        <f t="shared" si="27"/>
        <v>1</v>
      </c>
    </row>
    <row r="183" spans="6:10" ht="20.25" customHeight="1">
      <c r="F183" s="32">
        <f t="shared" si="28"/>
        <v>1</v>
      </c>
      <c r="G183" s="1">
        <f t="shared" si="24"/>
        <v>1</v>
      </c>
      <c r="H183" s="1">
        <f t="shared" si="25"/>
        <v>1</v>
      </c>
      <c r="I183" s="1">
        <f t="shared" si="26"/>
        <v>0</v>
      </c>
      <c r="J183" s="1">
        <f t="shared" si="27"/>
        <v>1</v>
      </c>
    </row>
    <row r="184" spans="6:10" ht="20.25" customHeight="1">
      <c r="F184" s="32">
        <f t="shared" si="28"/>
        <v>1</v>
      </c>
      <c r="G184" s="1">
        <f t="shared" si="24"/>
        <v>1</v>
      </c>
      <c r="H184" s="1">
        <f t="shared" si="25"/>
        <v>1</v>
      </c>
      <c r="I184" s="1">
        <f t="shared" si="26"/>
        <v>0</v>
      </c>
      <c r="J184" s="1">
        <f t="shared" si="27"/>
        <v>1</v>
      </c>
    </row>
    <row r="185" spans="6:10" ht="20.25" customHeight="1">
      <c r="F185" s="32">
        <f t="shared" si="28"/>
        <v>1</v>
      </c>
      <c r="G185" s="1">
        <f t="shared" si="24"/>
        <v>1</v>
      </c>
      <c r="H185" s="1">
        <f t="shared" si="25"/>
        <v>1</v>
      </c>
      <c r="I185" s="1">
        <f t="shared" si="26"/>
        <v>0</v>
      </c>
      <c r="J185" s="1">
        <f t="shared" si="27"/>
        <v>1</v>
      </c>
    </row>
    <row r="186" spans="6:10" ht="20.25" customHeight="1">
      <c r="F186" s="32">
        <f t="shared" si="28"/>
        <v>1</v>
      </c>
      <c r="G186" s="1">
        <f t="shared" si="24"/>
        <v>1</v>
      </c>
      <c r="H186" s="1">
        <f t="shared" si="25"/>
        <v>1</v>
      </c>
      <c r="I186" s="1">
        <f t="shared" si="26"/>
        <v>0</v>
      </c>
      <c r="J186" s="1">
        <f t="shared" si="27"/>
        <v>1</v>
      </c>
    </row>
    <row r="187" spans="6:10" ht="20.25" customHeight="1">
      <c r="F187" s="32">
        <f t="shared" si="28"/>
        <v>1</v>
      </c>
      <c r="G187" s="1">
        <f t="shared" si="24"/>
        <v>1</v>
      </c>
      <c r="H187" s="1">
        <f t="shared" si="25"/>
        <v>1</v>
      </c>
      <c r="I187" s="1">
        <f t="shared" si="26"/>
        <v>0</v>
      </c>
      <c r="J187" s="1">
        <f t="shared" si="27"/>
        <v>1</v>
      </c>
    </row>
    <row r="188" spans="6:10" ht="20.25" customHeight="1">
      <c r="F188" s="32">
        <f t="shared" si="28"/>
        <v>1</v>
      </c>
      <c r="G188" s="1">
        <f t="shared" si="24"/>
        <v>1</v>
      </c>
      <c r="H188" s="1">
        <f t="shared" si="25"/>
        <v>1</v>
      </c>
      <c r="I188" s="1">
        <f t="shared" si="26"/>
        <v>0</v>
      </c>
      <c r="J188" s="1">
        <f t="shared" si="27"/>
        <v>1</v>
      </c>
    </row>
    <row r="189" spans="6:10" ht="20.25" customHeight="1">
      <c r="F189" s="32">
        <f t="shared" si="28"/>
        <v>1</v>
      </c>
      <c r="G189" s="1">
        <f t="shared" si="24"/>
        <v>1</v>
      </c>
      <c r="H189" s="1">
        <f t="shared" si="25"/>
        <v>1</v>
      </c>
      <c r="I189" s="1">
        <f t="shared" si="26"/>
        <v>0</v>
      </c>
      <c r="J189" s="1">
        <f t="shared" si="27"/>
        <v>1</v>
      </c>
    </row>
    <row r="190" spans="6:10" ht="20.25" customHeight="1">
      <c r="F190" s="32">
        <f t="shared" si="28"/>
        <v>1</v>
      </c>
      <c r="G190" s="1">
        <f t="shared" si="24"/>
        <v>1</v>
      </c>
      <c r="H190" s="1">
        <f t="shared" si="25"/>
        <v>1</v>
      </c>
      <c r="I190" s="1">
        <f t="shared" si="26"/>
        <v>0</v>
      </c>
      <c r="J190" s="1">
        <f t="shared" si="27"/>
        <v>1</v>
      </c>
    </row>
    <row r="191" spans="6:10" ht="20.25" customHeight="1">
      <c r="F191" s="32">
        <f t="shared" si="28"/>
        <v>1</v>
      </c>
      <c r="G191" s="1">
        <f t="shared" si="24"/>
        <v>1</v>
      </c>
      <c r="H191" s="1">
        <f t="shared" si="25"/>
        <v>1</v>
      </c>
      <c r="I191" s="1">
        <f t="shared" si="26"/>
        <v>0</v>
      </c>
      <c r="J191" s="1">
        <f t="shared" si="27"/>
        <v>1</v>
      </c>
    </row>
    <row r="192" spans="6:10" ht="20.25" customHeight="1">
      <c r="F192" s="32">
        <f t="shared" si="28"/>
        <v>1</v>
      </c>
      <c r="G192" s="1">
        <f t="shared" si="24"/>
        <v>1</v>
      </c>
      <c r="H192" s="1">
        <f t="shared" si="25"/>
        <v>1</v>
      </c>
      <c r="I192" s="1">
        <f t="shared" si="26"/>
        <v>0</v>
      </c>
      <c r="J192" s="1">
        <f t="shared" si="27"/>
        <v>1</v>
      </c>
    </row>
    <row r="193" spans="6:10" ht="20.25" customHeight="1">
      <c r="F193" s="32">
        <f t="shared" si="28"/>
        <v>1</v>
      </c>
      <c r="G193" s="1">
        <f t="shared" ref="G193:G224" si="29">G192</f>
        <v>1</v>
      </c>
      <c r="H193" s="1">
        <f t="shared" ref="H193:H224" si="30">H192</f>
        <v>1</v>
      </c>
      <c r="I193" s="1">
        <f t="shared" ref="I193:I224" si="31">I192</f>
        <v>0</v>
      </c>
      <c r="J193" s="1">
        <f t="shared" ref="J193:J224" si="32">J192</f>
        <v>1</v>
      </c>
    </row>
    <row r="194" spans="6:10" ht="20.25" customHeight="1">
      <c r="F194" s="32">
        <f t="shared" si="28"/>
        <v>1</v>
      </c>
      <c r="G194" s="1">
        <f t="shared" si="29"/>
        <v>1</v>
      </c>
      <c r="H194" s="1">
        <f t="shared" si="30"/>
        <v>1</v>
      </c>
      <c r="I194" s="1">
        <f t="shared" si="31"/>
        <v>0</v>
      </c>
      <c r="J194" s="1">
        <f t="shared" si="32"/>
        <v>1</v>
      </c>
    </row>
    <row r="195" spans="6:10" ht="20.25" customHeight="1">
      <c r="F195" s="32">
        <f t="shared" si="28"/>
        <v>1</v>
      </c>
      <c r="G195" s="1">
        <f t="shared" si="29"/>
        <v>1</v>
      </c>
      <c r="H195" s="1">
        <f t="shared" si="30"/>
        <v>1</v>
      </c>
      <c r="I195" s="1">
        <f t="shared" si="31"/>
        <v>0</v>
      </c>
      <c r="J195" s="1">
        <f t="shared" si="32"/>
        <v>1</v>
      </c>
    </row>
    <row r="196" spans="6:10" ht="20.25" customHeight="1">
      <c r="F196" s="32">
        <f t="shared" si="28"/>
        <v>1</v>
      </c>
      <c r="G196" s="1">
        <f t="shared" si="29"/>
        <v>1</v>
      </c>
      <c r="H196" s="1">
        <f t="shared" si="30"/>
        <v>1</v>
      </c>
      <c r="I196" s="1">
        <f t="shared" si="31"/>
        <v>0</v>
      </c>
      <c r="J196" s="1">
        <f t="shared" si="32"/>
        <v>1</v>
      </c>
    </row>
    <row r="197" spans="6:10" ht="20.25" customHeight="1">
      <c r="F197" s="32">
        <f t="shared" si="28"/>
        <v>1</v>
      </c>
      <c r="G197" s="1">
        <f t="shared" si="29"/>
        <v>1</v>
      </c>
      <c r="H197" s="1">
        <f t="shared" si="30"/>
        <v>1</v>
      </c>
      <c r="I197" s="1">
        <f t="shared" si="31"/>
        <v>0</v>
      </c>
      <c r="J197" s="1">
        <f t="shared" si="32"/>
        <v>1</v>
      </c>
    </row>
    <row r="198" spans="6:10" ht="20.25" customHeight="1">
      <c r="F198" s="32">
        <f t="shared" si="28"/>
        <v>1</v>
      </c>
      <c r="G198" s="1">
        <f t="shared" si="29"/>
        <v>1</v>
      </c>
      <c r="H198" s="1">
        <f t="shared" si="30"/>
        <v>1</v>
      </c>
      <c r="I198" s="1">
        <f t="shared" si="31"/>
        <v>0</v>
      </c>
      <c r="J198" s="1">
        <f t="shared" si="32"/>
        <v>1</v>
      </c>
    </row>
    <row r="199" spans="6:10" ht="20.25" customHeight="1">
      <c r="F199" s="32">
        <f t="shared" si="28"/>
        <v>1</v>
      </c>
      <c r="G199" s="1">
        <f t="shared" si="29"/>
        <v>1</v>
      </c>
      <c r="H199" s="1">
        <f t="shared" si="30"/>
        <v>1</v>
      </c>
      <c r="I199" s="1">
        <f t="shared" si="31"/>
        <v>0</v>
      </c>
      <c r="J199" s="1">
        <f t="shared" si="32"/>
        <v>1</v>
      </c>
    </row>
    <row r="200" spans="6:10" ht="20.25" customHeight="1">
      <c r="F200" s="32">
        <f t="shared" si="28"/>
        <v>1</v>
      </c>
      <c r="G200" s="1">
        <f t="shared" si="29"/>
        <v>1</v>
      </c>
      <c r="H200" s="1">
        <f t="shared" si="30"/>
        <v>1</v>
      </c>
      <c r="I200" s="1">
        <f t="shared" si="31"/>
        <v>0</v>
      </c>
      <c r="J200" s="1">
        <f t="shared" si="32"/>
        <v>1</v>
      </c>
    </row>
    <row r="201" spans="6:10" ht="20.25" customHeight="1">
      <c r="F201" s="32">
        <f t="shared" si="28"/>
        <v>1</v>
      </c>
      <c r="G201" s="1">
        <f t="shared" si="29"/>
        <v>1</v>
      </c>
      <c r="H201" s="1">
        <f t="shared" si="30"/>
        <v>1</v>
      </c>
      <c r="I201" s="1">
        <f t="shared" si="31"/>
        <v>0</v>
      </c>
      <c r="J201" s="1">
        <f t="shared" si="32"/>
        <v>1</v>
      </c>
    </row>
    <row r="202" spans="6:10" ht="20.25" customHeight="1">
      <c r="F202" s="32">
        <f t="shared" si="28"/>
        <v>1</v>
      </c>
      <c r="G202" s="1">
        <f t="shared" si="29"/>
        <v>1</v>
      </c>
      <c r="H202" s="1">
        <f t="shared" si="30"/>
        <v>1</v>
      </c>
      <c r="I202" s="1">
        <f t="shared" si="31"/>
        <v>0</v>
      </c>
      <c r="J202" s="1">
        <f t="shared" si="32"/>
        <v>1</v>
      </c>
    </row>
    <row r="203" spans="6:10" ht="20.25" customHeight="1">
      <c r="F203" s="32">
        <f t="shared" si="28"/>
        <v>1</v>
      </c>
      <c r="G203" s="1">
        <f t="shared" si="29"/>
        <v>1</v>
      </c>
      <c r="H203" s="1">
        <f t="shared" si="30"/>
        <v>1</v>
      </c>
      <c r="I203" s="1">
        <f t="shared" si="31"/>
        <v>0</v>
      </c>
      <c r="J203" s="1">
        <f t="shared" si="32"/>
        <v>1</v>
      </c>
    </row>
    <row r="204" spans="6:10" ht="20.25" customHeight="1">
      <c r="F204" s="32">
        <f t="shared" si="28"/>
        <v>1</v>
      </c>
      <c r="G204" s="1">
        <f t="shared" si="29"/>
        <v>1</v>
      </c>
      <c r="H204" s="1">
        <f t="shared" si="30"/>
        <v>1</v>
      </c>
      <c r="I204" s="1">
        <f t="shared" si="31"/>
        <v>0</v>
      </c>
      <c r="J204" s="1">
        <f t="shared" si="32"/>
        <v>1</v>
      </c>
    </row>
    <row r="205" spans="6:10" ht="20.25" customHeight="1">
      <c r="F205" s="32">
        <f t="shared" si="28"/>
        <v>1</v>
      </c>
      <c r="G205" s="1">
        <f t="shared" si="29"/>
        <v>1</v>
      </c>
      <c r="H205" s="1">
        <f t="shared" si="30"/>
        <v>1</v>
      </c>
      <c r="I205" s="1">
        <f t="shared" si="31"/>
        <v>0</v>
      </c>
      <c r="J205" s="1">
        <f t="shared" si="32"/>
        <v>1</v>
      </c>
    </row>
    <row r="206" spans="6:10" ht="20.25" customHeight="1">
      <c r="F206" s="32">
        <f t="shared" si="28"/>
        <v>1</v>
      </c>
      <c r="G206" s="1">
        <f t="shared" si="29"/>
        <v>1</v>
      </c>
      <c r="H206" s="1">
        <f t="shared" si="30"/>
        <v>1</v>
      </c>
      <c r="I206" s="1">
        <f t="shared" si="31"/>
        <v>0</v>
      </c>
      <c r="J206" s="1">
        <f t="shared" si="32"/>
        <v>1</v>
      </c>
    </row>
    <row r="207" spans="6:10" ht="20.25" customHeight="1">
      <c r="F207" s="32">
        <f t="shared" si="28"/>
        <v>1</v>
      </c>
      <c r="G207" s="1">
        <f t="shared" si="29"/>
        <v>1</v>
      </c>
      <c r="H207" s="1">
        <f t="shared" si="30"/>
        <v>1</v>
      </c>
      <c r="I207" s="1">
        <f t="shared" si="31"/>
        <v>0</v>
      </c>
      <c r="J207" s="1">
        <f t="shared" si="32"/>
        <v>1</v>
      </c>
    </row>
    <row r="208" spans="6:10" ht="20.25" customHeight="1">
      <c r="F208" s="32">
        <f t="shared" si="28"/>
        <v>1</v>
      </c>
      <c r="G208" s="1">
        <f t="shared" si="29"/>
        <v>1</v>
      </c>
      <c r="H208" s="1">
        <f t="shared" si="30"/>
        <v>1</v>
      </c>
      <c r="I208" s="1">
        <f t="shared" si="31"/>
        <v>0</v>
      </c>
      <c r="J208" s="1">
        <f t="shared" si="32"/>
        <v>1</v>
      </c>
    </row>
    <row r="209" spans="6:10" ht="20.25" customHeight="1">
      <c r="F209" s="32">
        <f t="shared" si="28"/>
        <v>1</v>
      </c>
      <c r="G209" s="1">
        <f t="shared" si="29"/>
        <v>1</v>
      </c>
      <c r="H209" s="1">
        <f t="shared" si="30"/>
        <v>1</v>
      </c>
      <c r="I209" s="1">
        <f t="shared" si="31"/>
        <v>0</v>
      </c>
      <c r="J209" s="1">
        <f t="shared" si="32"/>
        <v>1</v>
      </c>
    </row>
    <row r="210" spans="6:10" ht="20.25" customHeight="1">
      <c r="F210" s="32">
        <f t="shared" si="28"/>
        <v>1</v>
      </c>
      <c r="G210" s="1">
        <f t="shared" si="29"/>
        <v>1</v>
      </c>
      <c r="H210" s="1">
        <f t="shared" si="30"/>
        <v>1</v>
      </c>
      <c r="I210" s="1">
        <f t="shared" si="31"/>
        <v>0</v>
      </c>
      <c r="J210" s="1">
        <f t="shared" si="32"/>
        <v>1</v>
      </c>
    </row>
    <row r="211" spans="6:10" ht="20.25" customHeight="1">
      <c r="F211" s="32">
        <f t="shared" si="28"/>
        <v>1</v>
      </c>
      <c r="G211" s="1">
        <f t="shared" si="29"/>
        <v>1</v>
      </c>
      <c r="H211" s="1">
        <f t="shared" si="30"/>
        <v>1</v>
      </c>
      <c r="I211" s="1">
        <f t="shared" si="31"/>
        <v>0</v>
      </c>
      <c r="J211" s="1">
        <f t="shared" si="32"/>
        <v>1</v>
      </c>
    </row>
    <row r="212" spans="6:10" ht="20.25" customHeight="1">
      <c r="F212" s="32">
        <f t="shared" si="28"/>
        <v>1</v>
      </c>
      <c r="G212" s="1">
        <f t="shared" si="29"/>
        <v>1</v>
      </c>
      <c r="H212" s="1">
        <f t="shared" si="30"/>
        <v>1</v>
      </c>
      <c r="I212" s="1">
        <f t="shared" si="31"/>
        <v>0</v>
      </c>
      <c r="J212" s="1">
        <f t="shared" si="32"/>
        <v>1</v>
      </c>
    </row>
    <row r="213" spans="6:10" ht="20.25" customHeight="1">
      <c r="F213" s="32">
        <f t="shared" si="28"/>
        <v>1</v>
      </c>
      <c r="G213" s="1">
        <f t="shared" si="29"/>
        <v>1</v>
      </c>
      <c r="H213" s="1">
        <f t="shared" si="30"/>
        <v>1</v>
      </c>
      <c r="I213" s="1">
        <f t="shared" si="31"/>
        <v>0</v>
      </c>
      <c r="J213" s="1">
        <f t="shared" si="32"/>
        <v>1</v>
      </c>
    </row>
    <row r="214" spans="6:10" ht="20.25" customHeight="1">
      <c r="F214" s="32">
        <f t="shared" si="28"/>
        <v>1</v>
      </c>
      <c r="G214" s="1">
        <f t="shared" si="29"/>
        <v>1</v>
      </c>
      <c r="H214" s="1">
        <f t="shared" si="30"/>
        <v>1</v>
      </c>
      <c r="I214" s="1">
        <f t="shared" si="31"/>
        <v>0</v>
      </c>
      <c r="J214" s="1">
        <f t="shared" si="32"/>
        <v>1</v>
      </c>
    </row>
    <row r="215" spans="6:10" ht="20.25" customHeight="1">
      <c r="F215" s="32">
        <f t="shared" si="28"/>
        <v>1</v>
      </c>
      <c r="G215" s="1">
        <f t="shared" si="29"/>
        <v>1</v>
      </c>
      <c r="H215" s="1">
        <f t="shared" si="30"/>
        <v>1</v>
      </c>
      <c r="I215" s="1">
        <f t="shared" si="31"/>
        <v>0</v>
      </c>
      <c r="J215" s="1">
        <f t="shared" si="32"/>
        <v>1</v>
      </c>
    </row>
    <row r="216" spans="6:10" ht="20.25" customHeight="1">
      <c r="F216" s="32">
        <f t="shared" si="28"/>
        <v>1</v>
      </c>
      <c r="G216" s="1">
        <f t="shared" si="29"/>
        <v>1</v>
      </c>
      <c r="H216" s="1">
        <f t="shared" si="30"/>
        <v>1</v>
      </c>
      <c r="I216" s="1">
        <f t="shared" si="31"/>
        <v>0</v>
      </c>
      <c r="J216" s="1">
        <f t="shared" si="32"/>
        <v>1</v>
      </c>
    </row>
    <row r="217" spans="6:10" ht="20.25" customHeight="1">
      <c r="F217" s="32">
        <f t="shared" si="28"/>
        <v>1</v>
      </c>
      <c r="G217" s="1">
        <f t="shared" si="29"/>
        <v>1</v>
      </c>
      <c r="H217" s="1">
        <f t="shared" si="30"/>
        <v>1</v>
      </c>
      <c r="I217" s="1">
        <f t="shared" si="31"/>
        <v>0</v>
      </c>
      <c r="J217" s="1">
        <f t="shared" si="32"/>
        <v>1</v>
      </c>
    </row>
    <row r="218" spans="6:10" ht="20.25" customHeight="1">
      <c r="F218" s="32">
        <f t="shared" si="28"/>
        <v>1</v>
      </c>
      <c r="G218" s="1">
        <f t="shared" si="29"/>
        <v>1</v>
      </c>
      <c r="H218" s="1">
        <f t="shared" si="30"/>
        <v>1</v>
      </c>
      <c r="I218" s="1">
        <f t="shared" si="31"/>
        <v>0</v>
      </c>
      <c r="J218" s="1">
        <f t="shared" si="32"/>
        <v>1</v>
      </c>
    </row>
    <row r="219" spans="6:10" ht="20.25" customHeight="1">
      <c r="F219" s="32">
        <f t="shared" si="28"/>
        <v>1</v>
      </c>
      <c r="G219" s="1">
        <f t="shared" si="29"/>
        <v>1</v>
      </c>
      <c r="H219" s="1">
        <f t="shared" si="30"/>
        <v>1</v>
      </c>
      <c r="I219" s="1">
        <f t="shared" si="31"/>
        <v>0</v>
      </c>
      <c r="J219" s="1">
        <f t="shared" si="32"/>
        <v>1</v>
      </c>
    </row>
    <row r="220" spans="6:10" ht="20.25" customHeight="1">
      <c r="F220" s="32">
        <f t="shared" si="28"/>
        <v>1</v>
      </c>
      <c r="G220" s="1">
        <f t="shared" si="29"/>
        <v>1</v>
      </c>
      <c r="H220" s="1">
        <f t="shared" si="30"/>
        <v>1</v>
      </c>
      <c r="I220" s="1">
        <f t="shared" si="31"/>
        <v>0</v>
      </c>
      <c r="J220" s="1">
        <f t="shared" si="32"/>
        <v>1</v>
      </c>
    </row>
    <row r="221" spans="6:10" ht="20.25" customHeight="1">
      <c r="F221" s="32">
        <f t="shared" si="28"/>
        <v>1</v>
      </c>
      <c r="G221" s="1">
        <f t="shared" si="29"/>
        <v>1</v>
      </c>
      <c r="H221" s="1">
        <f t="shared" si="30"/>
        <v>1</v>
      </c>
      <c r="I221" s="1">
        <f t="shared" si="31"/>
        <v>0</v>
      </c>
      <c r="J221" s="1">
        <f t="shared" si="32"/>
        <v>1</v>
      </c>
    </row>
    <row r="222" spans="6:10" ht="20.25" customHeight="1">
      <c r="F222" s="32">
        <f t="shared" si="28"/>
        <v>1</v>
      </c>
      <c r="G222" s="1">
        <f t="shared" si="29"/>
        <v>1</v>
      </c>
      <c r="H222" s="1">
        <f t="shared" si="30"/>
        <v>1</v>
      </c>
      <c r="I222" s="1">
        <f t="shared" si="31"/>
        <v>0</v>
      </c>
      <c r="J222" s="1">
        <f t="shared" si="32"/>
        <v>1</v>
      </c>
    </row>
    <row r="223" spans="6:10" ht="20.25" customHeight="1">
      <c r="F223" s="32">
        <f t="shared" si="28"/>
        <v>1</v>
      </c>
      <c r="G223" s="1">
        <f t="shared" si="29"/>
        <v>1</v>
      </c>
      <c r="H223" s="1">
        <f t="shared" si="30"/>
        <v>1</v>
      </c>
      <c r="I223" s="1">
        <f t="shared" si="31"/>
        <v>0</v>
      </c>
      <c r="J223" s="1">
        <f t="shared" si="32"/>
        <v>1</v>
      </c>
    </row>
    <row r="224" spans="6:10" ht="20.25" customHeight="1">
      <c r="F224" s="32">
        <f t="shared" si="28"/>
        <v>1</v>
      </c>
      <c r="G224" s="1">
        <f t="shared" si="29"/>
        <v>1</v>
      </c>
      <c r="H224" s="1">
        <f t="shared" si="30"/>
        <v>1</v>
      </c>
      <c r="I224" s="1">
        <f t="shared" si="31"/>
        <v>0</v>
      </c>
      <c r="J224" s="1">
        <f t="shared" si="32"/>
        <v>1</v>
      </c>
    </row>
    <row r="225" spans="6:10" ht="20.25" customHeight="1">
      <c r="F225" s="32">
        <f t="shared" si="28"/>
        <v>1</v>
      </c>
      <c r="G225" s="1">
        <f t="shared" ref="G225:G256" si="33">G224</f>
        <v>1</v>
      </c>
      <c r="H225" s="1">
        <f t="shared" ref="H225:H256" si="34">H224</f>
        <v>1</v>
      </c>
      <c r="I225" s="1">
        <f t="shared" ref="I225:I256" si="35">I224</f>
        <v>0</v>
      </c>
      <c r="J225" s="1">
        <f t="shared" ref="J225:J256" si="36">J224</f>
        <v>1</v>
      </c>
    </row>
    <row r="226" spans="6:10" ht="20.25" customHeight="1">
      <c r="F226" s="32">
        <f t="shared" si="28"/>
        <v>1</v>
      </c>
      <c r="G226" s="1">
        <f t="shared" si="33"/>
        <v>1</v>
      </c>
      <c r="H226" s="1">
        <f t="shared" si="34"/>
        <v>1</v>
      </c>
      <c r="I226" s="1">
        <f t="shared" si="35"/>
        <v>0</v>
      </c>
      <c r="J226" s="1">
        <f t="shared" si="36"/>
        <v>1</v>
      </c>
    </row>
    <row r="227" spans="6:10" ht="20.25" customHeight="1">
      <c r="F227" s="32">
        <f t="shared" si="28"/>
        <v>1</v>
      </c>
      <c r="G227" s="1">
        <f t="shared" si="33"/>
        <v>1</v>
      </c>
      <c r="H227" s="1">
        <f t="shared" si="34"/>
        <v>1</v>
      </c>
      <c r="I227" s="1">
        <f t="shared" si="35"/>
        <v>0</v>
      </c>
      <c r="J227" s="1">
        <f t="shared" si="36"/>
        <v>1</v>
      </c>
    </row>
    <row r="228" spans="6:10" ht="20.25" customHeight="1">
      <c r="F228" s="32">
        <f t="shared" si="28"/>
        <v>1</v>
      </c>
      <c r="G228" s="1">
        <f t="shared" si="33"/>
        <v>1</v>
      </c>
      <c r="H228" s="1">
        <f t="shared" si="34"/>
        <v>1</v>
      </c>
      <c r="I228" s="1">
        <f t="shared" si="35"/>
        <v>0</v>
      </c>
      <c r="J228" s="1">
        <f t="shared" si="36"/>
        <v>1</v>
      </c>
    </row>
    <row r="229" spans="6:10" ht="20.25" customHeight="1">
      <c r="F229" s="32">
        <f t="shared" si="28"/>
        <v>1</v>
      </c>
      <c r="G229" s="1">
        <f t="shared" si="33"/>
        <v>1</v>
      </c>
      <c r="H229" s="1">
        <f t="shared" si="34"/>
        <v>1</v>
      </c>
      <c r="I229" s="1">
        <f t="shared" si="35"/>
        <v>0</v>
      </c>
      <c r="J229" s="1">
        <f t="shared" si="36"/>
        <v>1</v>
      </c>
    </row>
    <row r="230" spans="6:10" ht="20.25" customHeight="1">
      <c r="F230" s="32">
        <f t="shared" si="28"/>
        <v>1</v>
      </c>
      <c r="G230" s="1">
        <f t="shared" si="33"/>
        <v>1</v>
      </c>
      <c r="H230" s="1">
        <f t="shared" si="34"/>
        <v>1</v>
      </c>
      <c r="I230" s="1">
        <f t="shared" si="35"/>
        <v>0</v>
      </c>
      <c r="J230" s="1">
        <f t="shared" si="36"/>
        <v>1</v>
      </c>
    </row>
    <row r="231" spans="6:10" ht="20.25" customHeight="1">
      <c r="F231" s="32">
        <f t="shared" si="28"/>
        <v>1</v>
      </c>
      <c r="G231" s="1">
        <f t="shared" si="33"/>
        <v>1</v>
      </c>
      <c r="H231" s="1">
        <f t="shared" si="34"/>
        <v>1</v>
      </c>
      <c r="I231" s="1">
        <f t="shared" si="35"/>
        <v>0</v>
      </c>
      <c r="J231" s="1">
        <f t="shared" si="36"/>
        <v>1</v>
      </c>
    </row>
    <row r="232" spans="6:10" ht="20.25" customHeight="1">
      <c r="F232" s="32">
        <f t="shared" si="28"/>
        <v>1</v>
      </c>
      <c r="G232" s="1">
        <f t="shared" si="33"/>
        <v>1</v>
      </c>
      <c r="H232" s="1">
        <f t="shared" si="34"/>
        <v>1</v>
      </c>
      <c r="I232" s="1">
        <f t="shared" si="35"/>
        <v>0</v>
      </c>
      <c r="J232" s="1">
        <f t="shared" si="36"/>
        <v>1</v>
      </c>
    </row>
    <row r="233" spans="6:10" ht="20.25" customHeight="1">
      <c r="F233" s="32">
        <f t="shared" si="28"/>
        <v>1</v>
      </c>
      <c r="G233" s="1">
        <f t="shared" si="33"/>
        <v>1</v>
      </c>
      <c r="H233" s="1">
        <f t="shared" si="34"/>
        <v>1</v>
      </c>
      <c r="I233" s="1">
        <f t="shared" si="35"/>
        <v>0</v>
      </c>
      <c r="J233" s="1">
        <f t="shared" si="36"/>
        <v>1</v>
      </c>
    </row>
    <row r="234" spans="6:10" ht="20.25" customHeight="1">
      <c r="F234" s="32">
        <f t="shared" ref="F234:F279" si="37">$F$41</f>
        <v>1</v>
      </c>
      <c r="G234" s="1">
        <f t="shared" si="33"/>
        <v>1</v>
      </c>
      <c r="H234" s="1">
        <f t="shared" si="34"/>
        <v>1</v>
      </c>
      <c r="I234" s="1">
        <f t="shared" si="35"/>
        <v>0</v>
      </c>
      <c r="J234" s="1">
        <f t="shared" si="36"/>
        <v>1</v>
      </c>
    </row>
    <row r="235" spans="6:10" ht="20.25" customHeight="1">
      <c r="F235" s="32">
        <f t="shared" si="37"/>
        <v>1</v>
      </c>
      <c r="G235" s="1">
        <f t="shared" si="33"/>
        <v>1</v>
      </c>
      <c r="H235" s="1">
        <f t="shared" si="34"/>
        <v>1</v>
      </c>
      <c r="I235" s="1">
        <f t="shared" si="35"/>
        <v>0</v>
      </c>
      <c r="J235" s="1">
        <f t="shared" si="36"/>
        <v>1</v>
      </c>
    </row>
    <row r="236" spans="6:10" ht="20.25" customHeight="1">
      <c r="F236" s="32">
        <f t="shared" si="37"/>
        <v>1</v>
      </c>
      <c r="G236" s="1">
        <f t="shared" si="33"/>
        <v>1</v>
      </c>
      <c r="H236" s="1">
        <f t="shared" si="34"/>
        <v>1</v>
      </c>
      <c r="I236" s="1">
        <f t="shared" si="35"/>
        <v>0</v>
      </c>
      <c r="J236" s="1">
        <f t="shared" si="36"/>
        <v>1</v>
      </c>
    </row>
    <row r="237" spans="6:10" ht="20.25" customHeight="1">
      <c r="F237" s="32">
        <f t="shared" si="37"/>
        <v>1</v>
      </c>
      <c r="G237" s="1">
        <f t="shared" si="33"/>
        <v>1</v>
      </c>
      <c r="H237" s="1">
        <f t="shared" si="34"/>
        <v>1</v>
      </c>
      <c r="I237" s="1">
        <f t="shared" si="35"/>
        <v>0</v>
      </c>
      <c r="J237" s="1">
        <f t="shared" si="36"/>
        <v>1</v>
      </c>
    </row>
    <row r="238" spans="6:10" ht="20.25" customHeight="1">
      <c r="F238" s="32">
        <f t="shared" si="37"/>
        <v>1</v>
      </c>
      <c r="G238" s="1">
        <f t="shared" si="33"/>
        <v>1</v>
      </c>
      <c r="H238" s="1">
        <f t="shared" si="34"/>
        <v>1</v>
      </c>
      <c r="I238" s="1">
        <f t="shared" si="35"/>
        <v>0</v>
      </c>
      <c r="J238" s="1">
        <f t="shared" si="36"/>
        <v>1</v>
      </c>
    </row>
    <row r="239" spans="6:10" ht="20.25" customHeight="1">
      <c r="F239" s="32">
        <f t="shared" si="37"/>
        <v>1</v>
      </c>
      <c r="G239" s="1">
        <f t="shared" si="33"/>
        <v>1</v>
      </c>
      <c r="H239" s="1">
        <f t="shared" si="34"/>
        <v>1</v>
      </c>
      <c r="I239" s="1">
        <f t="shared" si="35"/>
        <v>0</v>
      </c>
      <c r="J239" s="1">
        <f t="shared" si="36"/>
        <v>1</v>
      </c>
    </row>
    <row r="240" spans="6:10" ht="20.25" customHeight="1">
      <c r="F240" s="32">
        <f t="shared" si="37"/>
        <v>1</v>
      </c>
      <c r="G240" s="1">
        <f t="shared" si="33"/>
        <v>1</v>
      </c>
      <c r="H240" s="1">
        <f t="shared" si="34"/>
        <v>1</v>
      </c>
      <c r="I240" s="1">
        <f t="shared" si="35"/>
        <v>0</v>
      </c>
      <c r="J240" s="1">
        <f t="shared" si="36"/>
        <v>1</v>
      </c>
    </row>
    <row r="241" spans="6:10" ht="20.25" customHeight="1">
      <c r="F241" s="32">
        <f t="shared" si="37"/>
        <v>1</v>
      </c>
      <c r="G241" s="1">
        <f t="shared" si="33"/>
        <v>1</v>
      </c>
      <c r="H241" s="1">
        <f t="shared" si="34"/>
        <v>1</v>
      </c>
      <c r="I241" s="1">
        <f t="shared" si="35"/>
        <v>0</v>
      </c>
      <c r="J241" s="1">
        <f t="shared" si="36"/>
        <v>1</v>
      </c>
    </row>
    <row r="242" spans="6:10" ht="20.25" customHeight="1">
      <c r="F242" s="32">
        <f t="shared" si="37"/>
        <v>1</v>
      </c>
      <c r="G242" s="1">
        <f t="shared" si="33"/>
        <v>1</v>
      </c>
      <c r="H242" s="1">
        <f t="shared" si="34"/>
        <v>1</v>
      </c>
      <c r="I242" s="1">
        <f t="shared" si="35"/>
        <v>0</v>
      </c>
      <c r="J242" s="1">
        <f t="shared" si="36"/>
        <v>1</v>
      </c>
    </row>
    <row r="243" spans="6:10" ht="20.25" customHeight="1">
      <c r="F243" s="32">
        <f t="shared" si="37"/>
        <v>1</v>
      </c>
      <c r="G243" s="1">
        <f t="shared" si="33"/>
        <v>1</v>
      </c>
      <c r="H243" s="1">
        <f t="shared" si="34"/>
        <v>1</v>
      </c>
      <c r="I243" s="1">
        <f t="shared" si="35"/>
        <v>0</v>
      </c>
      <c r="J243" s="1">
        <f t="shared" si="36"/>
        <v>1</v>
      </c>
    </row>
    <row r="244" spans="6:10" ht="20.25" customHeight="1">
      <c r="F244" s="32">
        <f t="shared" si="37"/>
        <v>1</v>
      </c>
      <c r="G244" s="1">
        <f t="shared" si="33"/>
        <v>1</v>
      </c>
      <c r="H244" s="1">
        <f t="shared" si="34"/>
        <v>1</v>
      </c>
      <c r="I244" s="1">
        <f t="shared" si="35"/>
        <v>0</v>
      </c>
      <c r="J244" s="1">
        <f t="shared" si="36"/>
        <v>1</v>
      </c>
    </row>
    <row r="245" spans="6:10" ht="20.25" customHeight="1">
      <c r="F245" s="32">
        <f t="shared" si="37"/>
        <v>1</v>
      </c>
      <c r="G245" s="1">
        <f t="shared" si="33"/>
        <v>1</v>
      </c>
      <c r="H245" s="1">
        <f t="shared" si="34"/>
        <v>1</v>
      </c>
      <c r="I245" s="1">
        <f t="shared" si="35"/>
        <v>0</v>
      </c>
      <c r="J245" s="1">
        <f t="shared" si="36"/>
        <v>1</v>
      </c>
    </row>
    <row r="246" spans="6:10" ht="20.25" customHeight="1">
      <c r="F246" s="32">
        <f t="shared" si="37"/>
        <v>1</v>
      </c>
      <c r="G246" s="1">
        <f t="shared" si="33"/>
        <v>1</v>
      </c>
      <c r="H246" s="1">
        <f t="shared" si="34"/>
        <v>1</v>
      </c>
      <c r="I246" s="1">
        <f t="shared" si="35"/>
        <v>0</v>
      </c>
      <c r="J246" s="1">
        <f t="shared" si="36"/>
        <v>1</v>
      </c>
    </row>
    <row r="247" spans="6:10" ht="20.25" customHeight="1">
      <c r="F247" s="32">
        <f t="shared" si="37"/>
        <v>1</v>
      </c>
      <c r="G247" s="1">
        <f t="shared" si="33"/>
        <v>1</v>
      </c>
      <c r="H247" s="1">
        <f t="shared" si="34"/>
        <v>1</v>
      </c>
      <c r="I247" s="1">
        <f t="shared" si="35"/>
        <v>0</v>
      </c>
      <c r="J247" s="1">
        <f t="shared" si="36"/>
        <v>1</v>
      </c>
    </row>
    <row r="248" spans="6:10" ht="20.25" customHeight="1">
      <c r="F248" s="32">
        <f t="shared" si="37"/>
        <v>1</v>
      </c>
      <c r="G248" s="1">
        <f t="shared" si="33"/>
        <v>1</v>
      </c>
      <c r="H248" s="1">
        <f t="shared" si="34"/>
        <v>1</v>
      </c>
      <c r="I248" s="1">
        <f t="shared" si="35"/>
        <v>0</v>
      </c>
      <c r="J248" s="1">
        <f t="shared" si="36"/>
        <v>1</v>
      </c>
    </row>
    <row r="249" spans="6:10" ht="20.25" customHeight="1">
      <c r="F249" s="32">
        <f t="shared" si="37"/>
        <v>1</v>
      </c>
      <c r="G249" s="1">
        <f t="shared" si="33"/>
        <v>1</v>
      </c>
      <c r="H249" s="1">
        <f t="shared" si="34"/>
        <v>1</v>
      </c>
      <c r="I249" s="1">
        <f t="shared" si="35"/>
        <v>0</v>
      </c>
      <c r="J249" s="1">
        <f t="shared" si="36"/>
        <v>1</v>
      </c>
    </row>
    <row r="250" spans="6:10" ht="20.25" customHeight="1">
      <c r="F250" s="32">
        <f t="shared" si="37"/>
        <v>1</v>
      </c>
      <c r="G250" s="1">
        <f t="shared" si="33"/>
        <v>1</v>
      </c>
      <c r="H250" s="1">
        <f t="shared" si="34"/>
        <v>1</v>
      </c>
      <c r="I250" s="1">
        <f t="shared" si="35"/>
        <v>0</v>
      </c>
      <c r="J250" s="1">
        <f t="shared" si="36"/>
        <v>1</v>
      </c>
    </row>
    <row r="251" spans="6:10" ht="20.25" customHeight="1">
      <c r="F251" s="32">
        <f t="shared" si="37"/>
        <v>1</v>
      </c>
      <c r="G251" s="1">
        <f t="shared" si="33"/>
        <v>1</v>
      </c>
      <c r="H251" s="1">
        <f t="shared" si="34"/>
        <v>1</v>
      </c>
      <c r="I251" s="1">
        <f t="shared" si="35"/>
        <v>0</v>
      </c>
      <c r="J251" s="1">
        <f t="shared" si="36"/>
        <v>1</v>
      </c>
    </row>
    <row r="252" spans="6:10" ht="20.25" customHeight="1">
      <c r="F252" s="32">
        <f t="shared" si="37"/>
        <v>1</v>
      </c>
      <c r="G252" s="1">
        <f t="shared" si="33"/>
        <v>1</v>
      </c>
      <c r="H252" s="1">
        <f t="shared" si="34"/>
        <v>1</v>
      </c>
      <c r="I252" s="1">
        <f t="shared" si="35"/>
        <v>0</v>
      </c>
      <c r="J252" s="1">
        <f t="shared" si="36"/>
        <v>1</v>
      </c>
    </row>
    <row r="253" spans="6:10" ht="20.25" customHeight="1">
      <c r="F253" s="32">
        <f t="shared" si="37"/>
        <v>1</v>
      </c>
      <c r="G253" s="1">
        <f t="shared" si="33"/>
        <v>1</v>
      </c>
      <c r="H253" s="1">
        <f t="shared" si="34"/>
        <v>1</v>
      </c>
      <c r="I253" s="1">
        <f t="shared" si="35"/>
        <v>0</v>
      </c>
      <c r="J253" s="1">
        <f t="shared" si="36"/>
        <v>1</v>
      </c>
    </row>
    <row r="254" spans="6:10" ht="20.25" customHeight="1">
      <c r="F254" s="32">
        <f t="shared" si="37"/>
        <v>1</v>
      </c>
      <c r="G254" s="1">
        <f t="shared" si="33"/>
        <v>1</v>
      </c>
      <c r="H254" s="1">
        <f t="shared" si="34"/>
        <v>1</v>
      </c>
      <c r="I254" s="1">
        <f t="shared" si="35"/>
        <v>0</v>
      </c>
      <c r="J254" s="1">
        <f t="shared" si="36"/>
        <v>1</v>
      </c>
    </row>
    <row r="255" spans="6:10" ht="20.25" customHeight="1">
      <c r="F255" s="32">
        <f t="shared" si="37"/>
        <v>1</v>
      </c>
      <c r="G255" s="1">
        <f t="shared" si="33"/>
        <v>1</v>
      </c>
      <c r="H255" s="1">
        <f t="shared" si="34"/>
        <v>1</v>
      </c>
      <c r="I255" s="1">
        <f t="shared" si="35"/>
        <v>0</v>
      </c>
      <c r="J255" s="1">
        <f t="shared" si="36"/>
        <v>1</v>
      </c>
    </row>
    <row r="256" spans="6:10" ht="20.25" customHeight="1">
      <c r="F256" s="32">
        <f t="shared" si="37"/>
        <v>1</v>
      </c>
      <c r="G256" s="1">
        <f t="shared" si="33"/>
        <v>1</v>
      </c>
      <c r="H256" s="1">
        <f t="shared" si="34"/>
        <v>1</v>
      </c>
      <c r="I256" s="1">
        <f t="shared" si="35"/>
        <v>0</v>
      </c>
      <c r="J256" s="1">
        <f t="shared" si="36"/>
        <v>1</v>
      </c>
    </row>
    <row r="257" spans="6:42" ht="20.25" customHeight="1">
      <c r="F257" s="32">
        <f t="shared" si="37"/>
        <v>1</v>
      </c>
      <c r="G257" s="1">
        <f t="shared" ref="G257:G279" si="38">G256</f>
        <v>1</v>
      </c>
      <c r="H257" s="1">
        <f t="shared" ref="H257:H279" si="39">H256</f>
        <v>1</v>
      </c>
      <c r="I257" s="1">
        <f t="shared" ref="I257:I279" si="40">I256</f>
        <v>0</v>
      </c>
      <c r="J257" s="1">
        <f t="shared" ref="J257:J279" si="41">J256</f>
        <v>1</v>
      </c>
    </row>
    <row r="258" spans="6:42" ht="20.25" customHeight="1">
      <c r="F258" s="32">
        <f t="shared" si="37"/>
        <v>1</v>
      </c>
      <c r="G258" s="1">
        <f t="shared" si="38"/>
        <v>1</v>
      </c>
      <c r="H258" s="1">
        <f t="shared" si="39"/>
        <v>1</v>
      </c>
      <c r="I258" s="1">
        <f t="shared" si="40"/>
        <v>0</v>
      </c>
      <c r="J258" s="1">
        <f t="shared" si="41"/>
        <v>1</v>
      </c>
    </row>
    <row r="259" spans="6:42" ht="20.25" customHeight="1">
      <c r="F259" s="32">
        <f t="shared" si="37"/>
        <v>1</v>
      </c>
      <c r="G259" s="1">
        <f t="shared" si="38"/>
        <v>1</v>
      </c>
      <c r="H259" s="1">
        <f t="shared" si="39"/>
        <v>1</v>
      </c>
      <c r="I259" s="1">
        <f t="shared" si="40"/>
        <v>0</v>
      </c>
      <c r="J259" s="1">
        <f t="shared" si="41"/>
        <v>1</v>
      </c>
    </row>
    <row r="260" spans="6:42" ht="20.25" customHeight="1">
      <c r="F260" s="32">
        <f t="shared" si="37"/>
        <v>1</v>
      </c>
      <c r="G260" s="1">
        <f t="shared" si="38"/>
        <v>1</v>
      </c>
      <c r="H260" s="1">
        <f t="shared" si="39"/>
        <v>1</v>
      </c>
      <c r="I260" s="1">
        <f t="shared" si="40"/>
        <v>0</v>
      </c>
      <c r="J260" s="1">
        <f t="shared" si="41"/>
        <v>1</v>
      </c>
    </row>
    <row r="261" spans="6:42" ht="20.25" customHeight="1">
      <c r="F261" s="32">
        <f t="shared" si="37"/>
        <v>1</v>
      </c>
      <c r="G261" s="1">
        <f t="shared" si="38"/>
        <v>1</v>
      </c>
      <c r="H261" s="1">
        <f t="shared" si="39"/>
        <v>1</v>
      </c>
      <c r="I261" s="1">
        <f t="shared" si="40"/>
        <v>0</v>
      </c>
      <c r="J261" s="1">
        <f t="shared" si="41"/>
        <v>1</v>
      </c>
    </row>
    <row r="262" spans="6:42" ht="20.25" customHeight="1">
      <c r="F262" s="32">
        <f t="shared" si="37"/>
        <v>1</v>
      </c>
      <c r="G262" s="1">
        <f t="shared" si="38"/>
        <v>1</v>
      </c>
      <c r="H262" s="1">
        <f t="shared" si="39"/>
        <v>1</v>
      </c>
      <c r="I262" s="1">
        <f t="shared" si="40"/>
        <v>0</v>
      </c>
      <c r="J262" s="1">
        <f t="shared" si="41"/>
        <v>1</v>
      </c>
    </row>
    <row r="263" spans="6:42" ht="20.25" customHeight="1">
      <c r="F263" s="32">
        <f t="shared" si="37"/>
        <v>1</v>
      </c>
      <c r="G263" s="1">
        <f t="shared" si="38"/>
        <v>1</v>
      </c>
      <c r="H263" s="1">
        <f t="shared" si="39"/>
        <v>1</v>
      </c>
      <c r="I263" s="1">
        <f t="shared" si="40"/>
        <v>0</v>
      </c>
      <c r="J263" s="1">
        <f t="shared" si="41"/>
        <v>1</v>
      </c>
    </row>
    <row r="264" spans="6:42" ht="20.25" customHeight="1">
      <c r="F264" s="32">
        <f t="shared" si="37"/>
        <v>1</v>
      </c>
      <c r="G264" s="1">
        <f t="shared" si="38"/>
        <v>1</v>
      </c>
      <c r="H264" s="1">
        <f t="shared" si="39"/>
        <v>1</v>
      </c>
      <c r="I264" s="1">
        <f t="shared" si="40"/>
        <v>0</v>
      </c>
      <c r="J264" s="1">
        <f t="shared" si="41"/>
        <v>1</v>
      </c>
    </row>
    <row r="265" spans="6:42" ht="20.25" customHeight="1">
      <c r="F265" s="32">
        <f t="shared" si="37"/>
        <v>1</v>
      </c>
      <c r="G265" s="1">
        <f t="shared" si="38"/>
        <v>1</v>
      </c>
      <c r="H265" s="1">
        <f t="shared" si="39"/>
        <v>1</v>
      </c>
      <c r="I265" s="1">
        <f t="shared" si="40"/>
        <v>0</v>
      </c>
      <c r="J265" s="1">
        <f t="shared" si="41"/>
        <v>1</v>
      </c>
    </row>
    <row r="266" spans="6:42" ht="20.25" customHeight="1">
      <c r="F266" s="32">
        <f t="shared" si="37"/>
        <v>1</v>
      </c>
      <c r="G266" s="1">
        <f t="shared" si="38"/>
        <v>1</v>
      </c>
      <c r="H266" s="1">
        <f t="shared" si="39"/>
        <v>1</v>
      </c>
      <c r="I266" s="1">
        <f t="shared" si="40"/>
        <v>0</v>
      </c>
      <c r="J266" s="1">
        <f t="shared" si="41"/>
        <v>1</v>
      </c>
    </row>
    <row r="267" spans="6:42" ht="20.25" customHeight="1">
      <c r="F267" s="32">
        <f t="shared" si="37"/>
        <v>1</v>
      </c>
      <c r="G267" s="1">
        <f t="shared" si="38"/>
        <v>1</v>
      </c>
      <c r="H267" s="1">
        <f t="shared" si="39"/>
        <v>1</v>
      </c>
      <c r="I267" s="1">
        <f t="shared" si="40"/>
        <v>0</v>
      </c>
      <c r="J267" s="1">
        <f t="shared" si="41"/>
        <v>1</v>
      </c>
    </row>
    <row r="268" spans="6:42" ht="20.25" customHeight="1">
      <c r="F268" s="32">
        <f t="shared" si="37"/>
        <v>1</v>
      </c>
      <c r="G268" s="1">
        <f t="shared" si="38"/>
        <v>1</v>
      </c>
      <c r="H268" s="1">
        <f t="shared" si="39"/>
        <v>1</v>
      </c>
      <c r="I268" s="1">
        <f t="shared" si="40"/>
        <v>0</v>
      </c>
      <c r="J268" s="1">
        <f t="shared" si="41"/>
        <v>1</v>
      </c>
      <c r="AP268" s="79">
        <f>IF('طريقة العمل'!C3="أعداد: المهندس خــــالد الطاهر حدادة",1,0)</f>
        <v>1</v>
      </c>
    </row>
    <row r="269" spans="6:42" ht="20.25" customHeight="1">
      <c r="F269" s="32">
        <f t="shared" si="37"/>
        <v>1</v>
      </c>
      <c r="G269" s="1">
        <f t="shared" si="38"/>
        <v>1</v>
      </c>
      <c r="H269" s="1">
        <f t="shared" si="39"/>
        <v>1</v>
      </c>
      <c r="I269" s="1">
        <f t="shared" si="40"/>
        <v>0</v>
      </c>
      <c r="J269" s="1">
        <f t="shared" si="41"/>
        <v>1</v>
      </c>
    </row>
    <row r="270" spans="6:42" ht="20.25" customHeight="1">
      <c r="F270" s="32">
        <f t="shared" si="37"/>
        <v>1</v>
      </c>
      <c r="G270" s="1">
        <f t="shared" si="38"/>
        <v>1</v>
      </c>
      <c r="H270" s="1">
        <f t="shared" si="39"/>
        <v>1</v>
      </c>
      <c r="I270" s="1">
        <f t="shared" si="40"/>
        <v>0</v>
      </c>
      <c r="J270" s="1">
        <f t="shared" si="41"/>
        <v>1</v>
      </c>
    </row>
    <row r="271" spans="6:42" ht="20.25" customHeight="1">
      <c r="F271" s="32">
        <f t="shared" si="37"/>
        <v>1</v>
      </c>
      <c r="G271" s="1">
        <f t="shared" si="38"/>
        <v>1</v>
      </c>
      <c r="H271" s="1">
        <f t="shared" si="39"/>
        <v>1</v>
      </c>
      <c r="I271" s="1">
        <f t="shared" si="40"/>
        <v>0</v>
      </c>
      <c r="J271" s="1">
        <f t="shared" si="41"/>
        <v>1</v>
      </c>
    </row>
    <row r="272" spans="6:42" ht="20.25" customHeight="1">
      <c r="F272" s="32">
        <f t="shared" si="37"/>
        <v>1</v>
      </c>
      <c r="G272" s="1">
        <f t="shared" si="38"/>
        <v>1</v>
      </c>
      <c r="H272" s="1">
        <f t="shared" si="39"/>
        <v>1</v>
      </c>
      <c r="I272" s="1">
        <f t="shared" si="40"/>
        <v>0</v>
      </c>
      <c r="J272" s="1">
        <f t="shared" si="41"/>
        <v>1</v>
      </c>
    </row>
    <row r="273" spans="6:10" ht="20.25" customHeight="1">
      <c r="F273" s="32">
        <f t="shared" si="37"/>
        <v>1</v>
      </c>
      <c r="G273" s="1">
        <f t="shared" si="38"/>
        <v>1</v>
      </c>
      <c r="H273" s="1">
        <f t="shared" si="39"/>
        <v>1</v>
      </c>
      <c r="I273" s="1">
        <f t="shared" si="40"/>
        <v>0</v>
      </c>
      <c r="J273" s="1">
        <f t="shared" si="41"/>
        <v>1</v>
      </c>
    </row>
    <row r="274" spans="6:10" ht="20.25" customHeight="1">
      <c r="F274" s="32">
        <f t="shared" si="37"/>
        <v>1</v>
      </c>
      <c r="G274" s="1">
        <f t="shared" si="38"/>
        <v>1</v>
      </c>
      <c r="H274" s="1">
        <f t="shared" si="39"/>
        <v>1</v>
      </c>
      <c r="I274" s="1">
        <f t="shared" si="40"/>
        <v>0</v>
      </c>
      <c r="J274" s="1">
        <f t="shared" si="41"/>
        <v>1</v>
      </c>
    </row>
    <row r="275" spans="6:10" ht="20.25" customHeight="1">
      <c r="F275" s="32">
        <f t="shared" si="37"/>
        <v>1</v>
      </c>
      <c r="G275" s="1">
        <f t="shared" si="38"/>
        <v>1</v>
      </c>
      <c r="H275" s="1">
        <f t="shared" si="39"/>
        <v>1</v>
      </c>
      <c r="I275" s="1">
        <f t="shared" si="40"/>
        <v>0</v>
      </c>
      <c r="J275" s="1">
        <f t="shared" si="41"/>
        <v>1</v>
      </c>
    </row>
    <row r="276" spans="6:10" ht="20.25" customHeight="1">
      <c r="F276" s="32">
        <f t="shared" si="37"/>
        <v>1</v>
      </c>
      <c r="G276" s="1">
        <f t="shared" si="38"/>
        <v>1</v>
      </c>
      <c r="H276" s="1">
        <f t="shared" si="39"/>
        <v>1</v>
      </c>
      <c r="I276" s="1">
        <f t="shared" si="40"/>
        <v>0</v>
      </c>
      <c r="J276" s="1">
        <f t="shared" si="41"/>
        <v>1</v>
      </c>
    </row>
    <row r="277" spans="6:10" ht="20.25" customHeight="1">
      <c r="F277" s="32">
        <f t="shared" si="37"/>
        <v>1</v>
      </c>
      <c r="G277" s="1">
        <f t="shared" si="38"/>
        <v>1</v>
      </c>
      <c r="H277" s="1">
        <f t="shared" si="39"/>
        <v>1</v>
      </c>
      <c r="I277" s="1">
        <f t="shared" si="40"/>
        <v>0</v>
      </c>
      <c r="J277" s="1">
        <f t="shared" si="41"/>
        <v>1</v>
      </c>
    </row>
    <row r="278" spans="6:10" ht="20.25" customHeight="1">
      <c r="F278" s="32">
        <f t="shared" si="37"/>
        <v>1</v>
      </c>
      <c r="G278" s="1">
        <f t="shared" si="38"/>
        <v>1</v>
      </c>
      <c r="H278" s="1">
        <f t="shared" si="39"/>
        <v>1</v>
      </c>
      <c r="I278" s="1">
        <f t="shared" si="40"/>
        <v>0</v>
      </c>
      <c r="J278" s="1">
        <f t="shared" si="41"/>
        <v>1</v>
      </c>
    </row>
    <row r="279" spans="6:10" ht="20.25" customHeight="1">
      <c r="F279" s="32">
        <f t="shared" si="37"/>
        <v>1</v>
      </c>
      <c r="G279" s="1">
        <f t="shared" si="38"/>
        <v>1</v>
      </c>
      <c r="H279" s="1">
        <f t="shared" si="39"/>
        <v>1</v>
      </c>
      <c r="I279" s="1">
        <f t="shared" si="40"/>
        <v>0</v>
      </c>
      <c r="J279" s="1">
        <f t="shared" si="41"/>
        <v>1</v>
      </c>
    </row>
    <row r="280" spans="6:10" ht="20.25" customHeight="1">
      <c r="F280" s="1"/>
    </row>
    <row r="281" spans="6:10" ht="20.25" customHeight="1">
      <c r="F281" s="1"/>
    </row>
    <row r="282" spans="6:10" ht="20.25" customHeight="1">
      <c r="F282" s="1"/>
    </row>
    <row r="283" spans="6:10" ht="20.25" customHeight="1">
      <c r="F283" s="1"/>
    </row>
    <row r="284" spans="6:10" ht="20.25" customHeight="1">
      <c r="F284" s="1"/>
    </row>
    <row r="285" spans="6:10" ht="20.25" customHeight="1">
      <c r="F285" s="1"/>
    </row>
    <row r="286" spans="6:10" ht="20.25" customHeight="1">
      <c r="F286" s="1"/>
    </row>
    <row r="287" spans="6:10" ht="20.25" customHeight="1">
      <c r="F287" s="1"/>
    </row>
    <row r="288" spans="6:10" ht="20.25" customHeight="1">
      <c r="F288" s="1"/>
    </row>
    <row r="289" spans="6:6" ht="20.25" customHeight="1">
      <c r="F289" s="1"/>
    </row>
    <row r="290" spans="6:6" ht="20.25" customHeight="1">
      <c r="F290" s="1"/>
    </row>
    <row r="291" spans="6:6" ht="20.25" customHeight="1">
      <c r="F291" s="1"/>
    </row>
  </sheetData>
  <sheetProtection password="EF73" sheet="1" objects="1" scenarios="1" selectLockedCells="1" selectUnlockedCells="1"/>
  <customSheetViews>
    <customSheetView guid="{D786A5C0-FBC0-4F24-9F75-D436CA99DC6C}" hiddenColumns="1" state="hidden" topLeftCell="Y1">
      <selection activeCell="AG12" sqref="AG12"/>
      <pageMargins left="0.7" right="0.7" top="0.75" bottom="0.75" header="0.3" footer="0.3"/>
      <pageSetup paperSize="9" orientation="portrait" r:id="rId1"/>
    </customSheetView>
    <customSheetView guid="{257D8C62-BEC4-42F5-9011-98FE74A056C5}" scale="86" hiddenColumns="1" state="hidden" topLeftCell="AB1">
      <selection activeCell="AA1" sqref="AA1:AA65536"/>
    </customSheetView>
    <customSheetView guid="{998369C8-AF8D-4C69-81C1-DF462985F742}" scale="86" hiddenColumns="1" state="hidden" topLeftCell="Y1">
      <selection sqref="A1:X65536"/>
      <pageMargins left="0.7" right="0.7" top="0.75" bottom="0.75" header="0.3" footer="0.3"/>
      <pageSetup paperSize="9" orientation="portrait" r:id="rId2"/>
    </customSheetView>
  </customSheetViews>
  <mergeCells count="3">
    <mergeCell ref="B1:B9"/>
    <mergeCell ref="J9:L9"/>
    <mergeCell ref="J11:L11"/>
  </mergeCells>
  <pageMargins left="0.7" right="0.7" top="0.75" bottom="0.75" header="0.3" footer="0.3"/>
  <pageSetup paperSize="9" orientation="portrait"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FFC000"/>
  </sheetPr>
  <dimension ref="B1:BB144"/>
  <sheetViews>
    <sheetView showZeros="0" rightToLeft="1" topLeftCell="A6" workbookViewId="0">
      <selection activeCell="I18" sqref="I18"/>
    </sheetView>
  </sheetViews>
  <sheetFormatPr defaultColWidth="7.75" defaultRowHeight="15"/>
  <cols>
    <col min="1" max="1" width="2.25" customWidth="1"/>
    <col min="3" max="3" width="10.125" customWidth="1"/>
    <col min="4" max="4" width="3.625" customWidth="1"/>
    <col min="5" max="5" width="25" customWidth="1"/>
    <col min="6" max="6" width="9" customWidth="1"/>
    <col min="7" max="7" width="7.5" customWidth="1"/>
    <col min="8" max="8" width="8.5" customWidth="1"/>
    <col min="9" max="9" width="11.375" customWidth="1"/>
    <col min="10" max="10" width="8.625" customWidth="1"/>
    <col min="11" max="11" width="8.125" customWidth="1"/>
    <col min="12" max="12" width="8.5" customWidth="1"/>
    <col min="13" max="13" width="8.375" customWidth="1"/>
    <col min="14" max="14" width="14.625" hidden="1" customWidth="1"/>
    <col min="15" max="15" width="11.5" hidden="1" customWidth="1"/>
    <col min="16" max="16" width="13.25" hidden="1" customWidth="1"/>
    <col min="17" max="17" width="13.625" hidden="1" customWidth="1"/>
    <col min="18" max="18" width="9.25" hidden="1" customWidth="1"/>
    <col min="19" max="19" width="11.5" hidden="1" customWidth="1"/>
    <col min="20" max="20" width="17.625" hidden="1" customWidth="1"/>
    <col min="21" max="21" width="18.25" hidden="1" customWidth="1"/>
    <col min="22" max="22" width="19.25" hidden="1" customWidth="1"/>
    <col min="23" max="23" width="18.25" hidden="1" customWidth="1"/>
    <col min="24" max="24" width="23.75" hidden="1" customWidth="1"/>
    <col min="25" max="32" width="4" hidden="1" customWidth="1"/>
    <col min="33" max="33" width="8.25" hidden="1" customWidth="1"/>
    <col min="34" max="34" width="9.625" hidden="1" customWidth="1"/>
    <col min="35" max="35" width="2.5" hidden="1" customWidth="1"/>
    <col min="36" max="36" width="34.125" hidden="1" customWidth="1"/>
    <col min="37" max="37" width="17.25" hidden="1" customWidth="1"/>
    <col min="38" max="38" width="22.5" hidden="1" customWidth="1"/>
    <col min="39" max="39" width="20.375" hidden="1" customWidth="1"/>
    <col min="40" max="40" width="17.125" hidden="1" customWidth="1"/>
    <col min="41" max="41" width="12.25" hidden="1" customWidth="1"/>
    <col min="42" max="42" width="16.5" hidden="1" customWidth="1"/>
    <col min="43" max="43" width="16.875" hidden="1" customWidth="1"/>
    <col min="44" max="48" width="14.75" hidden="1" customWidth="1"/>
    <col min="49" max="49" width="19.75" hidden="1" customWidth="1"/>
    <col min="50" max="50" width="12.875" hidden="1" customWidth="1"/>
    <col min="51" max="51" width="19.375" hidden="1" customWidth="1"/>
    <col min="52" max="52" width="4.75" hidden="1" customWidth="1"/>
    <col min="53" max="53" width="11.125" hidden="1" customWidth="1"/>
    <col min="54" max="54" width="12.75" hidden="1" customWidth="1"/>
    <col min="55" max="60" width="7.75" customWidth="1"/>
  </cols>
  <sheetData>
    <row r="1" spans="2:54" ht="38.25" hidden="1" customHeight="1">
      <c r="F1" s="1">
        <f>1/3-H7</f>
        <v>0.33333333333333331</v>
      </c>
      <c r="G1" s="1">
        <f>S3</f>
        <v>1</v>
      </c>
      <c r="H1" s="1">
        <f>IF(SUM(F54:F65)=0,1,H10)</f>
        <v>0</v>
      </c>
      <c r="I1" s="1"/>
      <c r="J1" s="1">
        <f>IF(SUM(G54:G65)=0,1,J10)</f>
        <v>1</v>
      </c>
      <c r="K1" s="1">
        <f>IF(SUM(H54:H65)=0,1,K10)</f>
        <v>1</v>
      </c>
      <c r="L1" s="1">
        <f>IF(SUM(J54:J65)=0,1,L10)</f>
        <v>1</v>
      </c>
      <c r="S1" t="e">
        <f>MINVERSE(H1)</f>
        <v>#NUM!</v>
      </c>
      <c r="T1">
        <f>MINVERSE(J1)</f>
        <v>1</v>
      </c>
      <c r="U1">
        <f>MINVERSE(K1)</f>
        <v>1</v>
      </c>
      <c r="V1">
        <f>MINVERSE(L1)</f>
        <v>1</v>
      </c>
    </row>
    <row r="2" spans="2:54" ht="31.5" hidden="1" customHeight="1">
      <c r="F2" s="1">
        <f>1/3-J7</f>
        <v>0.33333333333333331</v>
      </c>
      <c r="G2" s="1">
        <f>T3</f>
        <v>1</v>
      </c>
      <c r="H2" s="1">
        <f xml:space="preserve"> S3*(T3/W5)</f>
        <v>1</v>
      </c>
      <c r="I2" s="1"/>
      <c r="J2" s="1">
        <f>U3*S3/W5</f>
        <v>1</v>
      </c>
      <c r="K2" s="1">
        <f>S3*V3/W5</f>
        <v>1</v>
      </c>
      <c r="L2" s="1">
        <f>S3*W3/W5</f>
        <v>1</v>
      </c>
      <c r="S2" s="1">
        <f>IFERROR(S1,1)</f>
        <v>1</v>
      </c>
      <c r="T2" s="1">
        <f>IFERROR(T1,1)</f>
        <v>1</v>
      </c>
      <c r="U2" s="1">
        <f>IFERROR(U1,1)</f>
        <v>1</v>
      </c>
      <c r="V2" s="1">
        <f>IFERROR(V1,1)</f>
        <v>1</v>
      </c>
      <c r="W2" s="1" t="s">
        <v>114</v>
      </c>
      <c r="X2" s="1">
        <f>W4*V4*U4*T4*S4*S4</f>
        <v>1</v>
      </c>
      <c r="Y2" s="536">
        <f xml:space="preserve"> X3</f>
        <v>1</v>
      </c>
      <c r="AL2" s="1">
        <f>Y2</f>
        <v>1</v>
      </c>
    </row>
    <row r="3" spans="2:54" ht="24" hidden="1" customHeight="1" thickBot="1">
      <c r="F3" s="1">
        <f>1/3-K7</f>
        <v>0.33333333333333331</v>
      </c>
      <c r="H3" s="1">
        <f>IFERROR( H10,0)</f>
        <v>0</v>
      </c>
      <c r="I3" s="1"/>
      <c r="J3" s="1">
        <f>IFERROR( J10,0)</f>
        <v>0</v>
      </c>
      <c r="K3" s="1">
        <f>IFERROR( K10,0)</f>
        <v>0</v>
      </c>
      <c r="L3" s="1">
        <f>IFERROR( L10,0)</f>
        <v>0</v>
      </c>
      <c r="M3" s="478" t="b">
        <f>AND( H9&gt;=H10, J9&gt;=J10, K9&gt;=K10,L9&gt;=L10)</f>
        <v>1</v>
      </c>
      <c r="N3" s="491" t="str">
        <f>IF(H7+J7+K7+L7&gt;1,"تجاوز الوصايا التركــــــــــــة","")</f>
        <v/>
      </c>
      <c r="O3" s="491"/>
      <c r="P3" s="491"/>
      <c r="Q3" s="1">
        <f>1/R3</f>
        <v>4</v>
      </c>
      <c r="R3" s="1">
        <f>T4/(T4+U4+V4+W4)</f>
        <v>0.25</v>
      </c>
      <c r="S3" s="1">
        <f>1/S4</f>
        <v>1</v>
      </c>
      <c r="T3" s="1">
        <f>1/T4</f>
        <v>1</v>
      </c>
      <c r="U3" s="1">
        <f>1/U4</f>
        <v>1</v>
      </c>
      <c r="V3" s="1">
        <f>1/V4</f>
        <v>1</v>
      </c>
      <c r="W3" s="1">
        <f>1/W4</f>
        <v>1</v>
      </c>
      <c r="X3" s="521">
        <f xml:space="preserve"> X4*X7*S4</f>
        <v>1</v>
      </c>
      <c r="Y3" s="1">
        <f>W4*V4*U4*T4</f>
        <v>1</v>
      </c>
      <c r="Z3" s="1">
        <f>Y3*X3</f>
        <v>1</v>
      </c>
      <c r="AM3" s="577">
        <f>AL2</f>
        <v>1</v>
      </c>
    </row>
    <row r="4" spans="2:54" ht="16.5" hidden="1" customHeight="1">
      <c r="C4" s="1333" t="e">
        <f>Q28</f>
        <v>#DIV/0!</v>
      </c>
      <c r="F4" s="1">
        <f>1/3-L7</f>
        <v>0.33333333333333331</v>
      </c>
      <c r="H4">
        <f>IF(SUM(F54:F65)&gt;0,3,1)</f>
        <v>3</v>
      </c>
      <c r="J4">
        <f>IF(SUM(G54:G65)&gt;0,3,1)</f>
        <v>1</v>
      </c>
      <c r="K4">
        <f>IF(SUM(H54:H65)&gt;0,3,1)</f>
        <v>1</v>
      </c>
      <c r="L4">
        <f>IF(SUM(J54:J65)&gt;0,3,1)</f>
        <v>1</v>
      </c>
      <c r="Q4" s="1">
        <f>SUM(M12:M27)</f>
        <v>0</v>
      </c>
      <c r="R4" s="1">
        <f>IFERROR(  AG9,1)</f>
        <v>3</v>
      </c>
      <c r="S4" s="485">
        <f>IF(H7+J7+K7+L7=0,1,R4)</f>
        <v>1</v>
      </c>
      <c r="T4" s="485">
        <f>IFERROR(AH9,1)</f>
        <v>1</v>
      </c>
      <c r="U4" s="485">
        <f>IFERROR(AI9,1)</f>
        <v>1</v>
      </c>
      <c r="V4" s="485">
        <f>IFERROR(AJ9,1)</f>
        <v>1</v>
      </c>
      <c r="W4" s="485">
        <f>IFERROR(AM7,1)</f>
        <v>1</v>
      </c>
      <c r="X4" s="1">
        <f>X8*X7</f>
        <v>1</v>
      </c>
      <c r="AC4" s="1">
        <f>Q7*H7/W5</f>
        <v>0</v>
      </c>
      <c r="AD4" s="1">
        <f>L10+K10+J10+H10</f>
        <v>0</v>
      </c>
      <c r="AF4" s="13">
        <f xml:space="preserve"> AJ7/(T4+AI7+AJ7+AP8)</f>
        <v>0.25</v>
      </c>
      <c r="AG4" s="13"/>
      <c r="AH4" s="13"/>
      <c r="AI4" s="13"/>
      <c r="AJ4" s="541"/>
      <c r="AK4" s="478"/>
      <c r="AL4" s="478"/>
      <c r="AM4" s="575">
        <f>'أدخال البيانات'!R8</f>
        <v>0</v>
      </c>
    </row>
    <row r="5" spans="2:54" ht="26.25" hidden="1" customHeight="1">
      <c r="C5" s="1334"/>
      <c r="Q5" s="1" t="s">
        <v>114</v>
      </c>
      <c r="S5" s="309">
        <f>IF(T4&gt;1,1/T4,0)</f>
        <v>0</v>
      </c>
      <c r="T5" s="309">
        <f>IF(U4&gt;1,1/U4,0)</f>
        <v>0</v>
      </c>
      <c r="U5" s="309">
        <f>IF(V4&gt;1,1/V4,0)</f>
        <v>0</v>
      </c>
      <c r="V5" s="309">
        <f>IF(W4&gt;1,1/W4,0)</f>
        <v>0</v>
      </c>
      <c r="W5" s="1">
        <f>IFERROR(X5,1)</f>
        <v>1</v>
      </c>
      <c r="X5" s="1">
        <f>IF(V5+U5+T5+S5=0,1,V5+U5+T5+S5)</f>
        <v>1</v>
      </c>
      <c r="Y5" s="1">
        <f>W4*V4*U4*T4</f>
        <v>1</v>
      </c>
      <c r="AD5" s="1" t="s">
        <v>114</v>
      </c>
      <c r="AF5" s="493">
        <f>AG7*AP8/(AH7+AI7+AJ7+AP8)</f>
        <v>0.25</v>
      </c>
      <c r="AG5" s="493" t="s">
        <v>114</v>
      </c>
      <c r="AH5" s="493"/>
      <c r="AI5" s="493"/>
      <c r="AJ5" s="542"/>
      <c r="AL5" s="478"/>
    </row>
    <row r="6" spans="2:54" ht="37.5" customHeight="1" thickTop="1" thickBot="1">
      <c r="C6" s="578">
        <f>SUM(M12:M27)</f>
        <v>0</v>
      </c>
      <c r="E6" s="1346" t="s">
        <v>792</v>
      </c>
      <c r="F6" s="1347"/>
      <c r="G6" s="1348"/>
      <c r="H6" s="1351">
        <f>'حساب التركة والوصايا'!H3</f>
        <v>0</v>
      </c>
      <c r="I6" s="1352"/>
      <c r="J6" s="1352"/>
      <c r="K6" s="1352"/>
      <c r="L6" s="1353"/>
      <c r="S6" s="309"/>
      <c r="T6" s="309"/>
      <c r="U6" s="309"/>
      <c r="V6" s="309"/>
      <c r="W6" s="1"/>
      <c r="X6" s="1"/>
      <c r="Y6" s="1"/>
      <c r="AD6" s="1"/>
      <c r="AF6" s="564"/>
      <c r="AG6" s="564"/>
      <c r="AH6" s="564"/>
      <c r="AI6" s="564"/>
      <c r="AJ6" s="565"/>
      <c r="AL6" s="478"/>
    </row>
    <row r="7" spans="2:54" ht="30.75" customHeight="1" thickTop="1" thickBot="1">
      <c r="B7" s="1322" t="s">
        <v>69</v>
      </c>
      <c r="C7" s="1344" t="e">
        <f>AM106</f>
        <v>#DIV/0!</v>
      </c>
      <c r="E7" s="1346" t="s">
        <v>791</v>
      </c>
      <c r="F7" s="1347"/>
      <c r="G7" s="1348"/>
      <c r="H7" s="584">
        <f>'أدخال  البيانات'!$C$21</f>
        <v>0</v>
      </c>
      <c r="I7" s="595"/>
      <c r="J7" s="584">
        <f>'أدخال  البيانات'!C23</f>
        <v>0</v>
      </c>
      <c r="K7" s="584">
        <f>'أدخال  البيانات'!E21</f>
        <v>0</v>
      </c>
      <c r="L7" s="584">
        <f>'أدخال  البيانات'!E23</f>
        <v>0</v>
      </c>
      <c r="M7" s="585" t="s">
        <v>743</v>
      </c>
      <c r="N7" s="583"/>
      <c r="O7" s="586"/>
      <c r="P7" s="586"/>
      <c r="Q7" s="587">
        <v>0.33333333333333331</v>
      </c>
      <c r="R7" s="588" t="s">
        <v>114</v>
      </c>
      <c r="S7" s="589" t="s">
        <v>114</v>
      </c>
      <c r="T7" s="589" t="s">
        <v>114</v>
      </c>
      <c r="U7" s="588" t="s">
        <v>114</v>
      </c>
      <c r="V7" s="589" t="s">
        <v>114</v>
      </c>
      <c r="W7" s="589" t="s">
        <v>114</v>
      </c>
      <c r="X7" s="590">
        <f>W4*V4*U4*T4</f>
        <v>1</v>
      </c>
      <c r="Y7" s="588"/>
      <c r="Z7" s="588"/>
      <c r="AA7" s="588"/>
      <c r="AB7" s="588"/>
      <c r="AC7" s="589" t="e">
        <f>G12*1/Y12</f>
        <v>#DIV/0!</v>
      </c>
      <c r="AD7" s="591" t="s">
        <v>114</v>
      </c>
      <c r="AE7" s="588"/>
      <c r="AF7" s="592">
        <f>IF(Q7=0,1,1/Q7)</f>
        <v>3</v>
      </c>
      <c r="AG7" s="592">
        <f>ROUNDDOWN( S4,0)</f>
        <v>1</v>
      </c>
      <c r="AH7" s="592">
        <f>ROUNDDOWN(T4,0)</f>
        <v>1</v>
      </c>
      <c r="AI7" s="592">
        <f>ROUNDDOWN(U4,0)</f>
        <v>1</v>
      </c>
      <c r="AJ7" s="593">
        <f>ROUNDDOWN(V4,0)</f>
        <v>1</v>
      </c>
      <c r="AK7" s="594" t="s">
        <v>114</v>
      </c>
      <c r="AL7" s="478" t="s">
        <v>114</v>
      </c>
      <c r="AM7" s="540" t="e">
        <f>MINVERSE(  L7)</f>
        <v>#NUM!</v>
      </c>
      <c r="AN7" s="28"/>
      <c r="AO7" s="28"/>
      <c r="AP7" s="478"/>
      <c r="AQ7" s="28"/>
      <c r="AR7" s="28"/>
      <c r="AS7" s="28"/>
      <c r="AT7" s="28"/>
      <c r="AU7" s="28"/>
      <c r="AV7" s="28"/>
      <c r="AW7" s="28"/>
      <c r="AX7" s="28"/>
      <c r="AY7" s="28"/>
    </row>
    <row r="8" spans="2:54" ht="27.75" customHeight="1" thickTop="1">
      <c r="B8" s="1323"/>
      <c r="C8" s="1345"/>
      <c r="E8" s="1335" t="s">
        <v>761</v>
      </c>
      <c r="F8" s="1365" t="str">
        <f>IF( SUM('الأجـــازة للوصايا'!K64:N75)+SUM('الأجـــازة للوصايا'!K76:N87)+SUM('الأجـــازة للوصايا'!K88:N99)+SUM('الأجـــازة للوصايا'!K100:N111)+SUM('الأجـــازة للوصايا'!K112:N123)+SUM('الأجـــازة للوصايا'!K124:N135)+SUM('الأجـــازة للوصايا'!K136:N147)=0,"الورثة لم يجيزو الوصية", "لقد أجزت لبعض الورثة أو كلهم بالوصية")</f>
        <v>الورثة لم يجيزو الوصية</v>
      </c>
      <c r="G8" s="1366"/>
      <c r="H8" s="1366"/>
      <c r="I8" s="1366"/>
      <c r="J8" s="1366"/>
      <c r="K8" s="1366"/>
      <c r="L8" s="1366"/>
      <c r="M8" s="1367"/>
      <c r="R8" s="28" t="s">
        <v>114</v>
      </c>
      <c r="S8" s="478">
        <f>IF(S50*S51=0,1,S50*S51)</f>
        <v>1</v>
      </c>
      <c r="T8" s="478" t="s">
        <v>114</v>
      </c>
      <c r="U8" s="478" t="s">
        <v>114</v>
      </c>
      <c r="V8" s="478">
        <f>X3/X7</f>
        <v>1</v>
      </c>
      <c r="W8" s="478">
        <f>IFERROR(X3/X4,1)</f>
        <v>1</v>
      </c>
      <c r="X8" s="581">
        <f>W5*X7</f>
        <v>1</v>
      </c>
      <c r="Y8" s="478">
        <f>W3*V3*U3*T3</f>
        <v>1</v>
      </c>
      <c r="Z8" s="28"/>
      <c r="AA8" s="28"/>
      <c r="AB8" s="28"/>
      <c r="AC8" s="28"/>
      <c r="AD8" s="28"/>
      <c r="AE8" s="28"/>
      <c r="AF8" s="582">
        <f>IF(Q7=0,1,Q7)</f>
        <v>0.33333333333333331</v>
      </c>
      <c r="AG8" s="28"/>
      <c r="AH8" s="28"/>
      <c r="AI8" s="28"/>
      <c r="AJ8" s="28"/>
      <c r="AK8" s="1358" t="s">
        <v>747</v>
      </c>
      <c r="AL8" s="550"/>
      <c r="AM8" s="28"/>
      <c r="AN8" s="28"/>
      <c r="AO8" s="28"/>
      <c r="AP8" s="478">
        <f>ROUNDDOWN(W4,0)</f>
        <v>1</v>
      </c>
      <c r="AQ8" s="28"/>
      <c r="AR8" s="28"/>
      <c r="AS8" s="28"/>
      <c r="AT8" s="28"/>
      <c r="AU8" s="28"/>
      <c r="AV8" s="28"/>
      <c r="AW8" s="28"/>
      <c r="AX8" s="28"/>
      <c r="AY8" s="576">
        <f>$AL$2*AM4</f>
        <v>0</v>
      </c>
    </row>
    <row r="9" spans="2:54" ht="23.25" hidden="1" customHeight="1" thickTop="1" thickBot="1">
      <c r="B9" s="522" t="s">
        <v>744</v>
      </c>
      <c r="C9" s="567">
        <f>T29</f>
        <v>0</v>
      </c>
      <c r="E9" s="1336"/>
      <c r="F9" s="1368"/>
      <c r="G9" s="1369"/>
      <c r="H9" s="1369"/>
      <c r="I9" s="1369"/>
      <c r="J9" s="1369"/>
      <c r="K9" s="1369"/>
      <c r="L9" s="1369"/>
      <c r="M9" s="1370"/>
      <c r="R9" s="28" t="s">
        <v>114</v>
      </c>
      <c r="S9" s="28">
        <f>IF(S50=0,1,S50)</f>
        <v>1</v>
      </c>
      <c r="T9" s="478">
        <f>T4*S4</f>
        <v>1</v>
      </c>
      <c r="U9" s="478">
        <f>U4*S4</f>
        <v>1</v>
      </c>
      <c r="V9" s="543">
        <f>V4*S4</f>
        <v>1</v>
      </c>
      <c r="W9" s="478">
        <f>W4*S4</f>
        <v>1</v>
      </c>
      <c r="X9" s="478">
        <f>S3*T3/W5</f>
        <v>1</v>
      </c>
      <c r="Y9" s="562">
        <f>1/Y8</f>
        <v>1</v>
      </c>
      <c r="Z9" s="477"/>
      <c r="AA9" s="28"/>
      <c r="AB9" s="28"/>
      <c r="AC9" s="28"/>
      <c r="AD9" s="28"/>
      <c r="AE9" s="28"/>
      <c r="AF9" s="484" t="s">
        <v>114</v>
      </c>
      <c r="AG9" s="475">
        <f>MINVERSE( AF8)</f>
        <v>3</v>
      </c>
      <c r="AH9" s="475" t="e">
        <f>MINVERSE(H7)</f>
        <v>#NUM!</v>
      </c>
      <c r="AI9" s="475" t="e">
        <f>MINVERSE( J7)</f>
        <v>#NUM!</v>
      </c>
      <c r="AJ9" s="540" t="e">
        <f>MINVERSE(  K7)</f>
        <v>#NUM!</v>
      </c>
      <c r="AK9" s="1359"/>
      <c r="AL9" s="538"/>
      <c r="AO9" s="28"/>
      <c r="AP9" s="545"/>
      <c r="AQ9" s="28"/>
      <c r="AR9" s="28"/>
      <c r="AS9" s="28"/>
      <c r="AT9" s="28"/>
      <c r="AU9" s="28"/>
      <c r="AV9" s="28"/>
      <c r="AW9" s="28"/>
      <c r="AX9" s="28"/>
    </row>
    <row r="10" spans="2:54" ht="24.75" customHeight="1" thickBot="1">
      <c r="B10" s="522" t="s">
        <v>114</v>
      </c>
      <c r="C10" s="492" t="s">
        <v>114</v>
      </c>
      <c r="E10" s="1337"/>
      <c r="F10" s="1371"/>
      <c r="G10" s="1372"/>
      <c r="H10" s="1372"/>
      <c r="I10" s="1372"/>
      <c r="J10" s="1372"/>
      <c r="K10" s="1372"/>
      <c r="L10" s="1372"/>
      <c r="M10" s="1373"/>
      <c r="R10" s="28"/>
      <c r="S10" s="28">
        <f>IF(S51=0,1,S51)</f>
        <v>1</v>
      </c>
      <c r="T10" s="28"/>
      <c r="U10" s="28"/>
      <c r="V10" s="28"/>
      <c r="W10" s="478">
        <f>W9*V9*U9*T9</f>
        <v>1</v>
      </c>
      <c r="X10" s="478" t="s">
        <v>114</v>
      </c>
      <c r="Y10" s="478">
        <f>W10/389</f>
        <v>2.5706940874035988E-3</v>
      </c>
      <c r="Z10" s="478" t="s">
        <v>114</v>
      </c>
      <c r="AA10" s="478"/>
      <c r="AB10" s="478"/>
      <c r="AC10" s="478"/>
      <c r="AD10" s="478"/>
      <c r="AE10" s="478"/>
      <c r="AF10" s="478"/>
      <c r="AG10" s="478"/>
      <c r="AH10" s="478"/>
      <c r="AI10" s="478" t="s">
        <v>114</v>
      </c>
      <c r="AJ10" s="478" t="s">
        <v>114</v>
      </c>
      <c r="AK10" s="1360"/>
      <c r="AL10" s="28"/>
      <c r="AM10" s="478">
        <f>V5</f>
        <v>0</v>
      </c>
      <c r="AO10" s="478" t="s">
        <v>114</v>
      </c>
      <c r="AP10" s="540" t="e">
        <f>MINVERSE(  L7)</f>
        <v>#NUM!</v>
      </c>
      <c r="AQ10" s="28"/>
      <c r="AR10" s="28"/>
      <c r="AS10" s="28"/>
      <c r="AT10" s="28"/>
      <c r="AU10" s="28"/>
      <c r="AV10" s="28"/>
      <c r="AW10" s="28"/>
      <c r="AX10" s="28"/>
    </row>
    <row r="11" spans="2:54" ht="57.75" customHeight="1" thickTop="1" thickBot="1">
      <c r="C11" s="1">
        <f>H10+J10+K10+L10</f>
        <v>0</v>
      </c>
      <c r="D11" s="1"/>
      <c r="E11" s="611" t="s">
        <v>735</v>
      </c>
      <c r="F11" s="611" t="s">
        <v>749</v>
      </c>
      <c r="G11" s="611" t="s">
        <v>750</v>
      </c>
      <c r="H11" s="611" t="s">
        <v>739</v>
      </c>
      <c r="I11" s="617"/>
      <c r="J11" s="1349" t="s">
        <v>763</v>
      </c>
      <c r="K11" s="1350"/>
      <c r="L11" s="1349" t="s">
        <v>756</v>
      </c>
      <c r="M11" s="1350"/>
      <c r="P11" s="571"/>
      <c r="Q11" s="488"/>
      <c r="R11" s="486" t="s">
        <v>137</v>
      </c>
      <c r="S11" s="466"/>
      <c r="T11" s="467" t="s">
        <v>734</v>
      </c>
      <c r="U11" s="466" t="s">
        <v>733</v>
      </c>
      <c r="V11" s="466" t="s">
        <v>733</v>
      </c>
      <c r="W11" s="489"/>
      <c r="X11" s="490"/>
      <c r="Y11" s="28"/>
      <c r="Z11" s="478"/>
      <c r="AA11" s="478"/>
      <c r="AB11" s="478"/>
      <c r="AC11" s="478"/>
      <c r="AD11" s="478"/>
      <c r="AE11" s="478"/>
      <c r="AF11" s="478"/>
      <c r="AG11" s="478"/>
      <c r="AH11" s="478"/>
      <c r="AI11" s="28"/>
      <c r="AJ11" s="535">
        <f>'أدخال البيانات'!$R$8* Y2</f>
        <v>0</v>
      </c>
      <c r="AK11" s="1356">
        <f>'حساب التركة والوصايا'!X2</f>
        <v>100</v>
      </c>
      <c r="AL11" s="843">
        <f>AK11-'حساب التركة والوصايا'!AF21-'حساب التركة والوصايا'!H3</f>
        <v>100</v>
      </c>
      <c r="BA11" s="1" t="e">
        <f>SUM(BA12:BA140)</f>
        <v>#DIV/0!</v>
      </c>
    </row>
    <row r="12" spans="2:54" ht="41.25" customHeight="1" thickTop="1" thickBot="1">
      <c r="B12" s="1338" t="str">
        <f>IF( F8="الورثة لم يجيزو الوصية","    ضع أجازة الوصية للورثة فى الورقات       1&amp;2&amp;3&amp;4&amp;5&amp;6&amp;7          ","")</f>
        <v xml:space="preserve">    ضع أجازة الوصية للورثة فى الورقات       1&amp;2&amp;3&amp;4&amp;5&amp;6&amp;7          </v>
      </c>
      <c r="C12" s="1339"/>
      <c r="E12" s="628">
        <f>'طريقة العمل'!AY25</f>
        <v>0</v>
      </c>
      <c r="F12" s="609">
        <f>'طريقة العمل'!AW25</f>
        <v>0</v>
      </c>
      <c r="G12" s="609">
        <f>'طريقة العمل'!AV25</f>
        <v>0</v>
      </c>
      <c r="H12" s="609">
        <f>SUM('الأجـــازة للوصايا'!O12:O23)</f>
        <v>0</v>
      </c>
      <c r="I12" s="626" t="e">
        <f>IF( F8="الورثة لم يجيزو الوصية",T12/U12,"   التركة والوصايا ")</f>
        <v>#DIV/0!</v>
      </c>
      <c r="J12" s="1331" t="e">
        <f>IF(G12 &lt;2, L12,I12)</f>
        <v>#DIV/0!</v>
      </c>
      <c r="K12" s="1332"/>
      <c r="L12" s="1324" t="e">
        <f t="shared" ref="L12:L23" si="0">BA12</f>
        <v>#DIV/0!</v>
      </c>
      <c r="M12" s="1325"/>
      <c r="P12" s="568">
        <f t="shared" ref="P12:P23" si="1">IF(Y12&lt;0,"الوارث لم يبقى له شىء",Y12)</f>
        <v>0</v>
      </c>
      <c r="Q12" s="568" t="e">
        <f t="shared" ref="Q12:Q23" si="2">AL12*H12/T29</f>
        <v>#DIV/0!</v>
      </c>
      <c r="R12" s="498">
        <f t="shared" ref="R12:R23" si="3">IF(F12&gt;0,F12,0)</f>
        <v>0</v>
      </c>
      <c r="S12" s="498" t="e">
        <f t="shared" ref="S12:S23" si="4">I12</f>
        <v>#DIV/0!</v>
      </c>
      <c r="T12" s="547">
        <f>ROUNDDOWN(H12*AL12,0)/IF(G12&gt;0,G12,1)</f>
        <v>0</v>
      </c>
      <c r="U12" s="547">
        <f t="shared" ref="U12:U27" si="5">$T$29</f>
        <v>0</v>
      </c>
      <c r="V12" s="478">
        <f t="shared" ref="V12:V23" si="6" xml:space="preserve"> AL12*H12</f>
        <v>0</v>
      </c>
      <c r="W12" s="547">
        <f t="shared" ref="W12:W23" si="7">X12*H12</f>
        <v>0</v>
      </c>
      <c r="X12" s="501">
        <f>AJ11</f>
        <v>0</v>
      </c>
      <c r="Y12" s="547">
        <f t="shared" ref="Y12:Y23" si="8">IFERROR( ( ((F12-(( (AD12+AH12) +(AC12+AG12) +(AB12+AF12) +(AA12+AE12)  ))*F12))),0)</f>
        <v>0</v>
      </c>
      <c r="Z12" s="501" t="str">
        <f>W32</f>
        <v xml:space="preserve"> </v>
      </c>
      <c r="AA12" s="502">
        <f>IF(F54=1, H9,0)</f>
        <v>0</v>
      </c>
      <c r="AB12" s="502">
        <f>IF(G54=1, J9,0)</f>
        <v>0</v>
      </c>
      <c r="AC12" s="502">
        <f>IF(H54=1, K9,0)</f>
        <v>0</v>
      </c>
      <c r="AD12" s="502">
        <f>IF(J54=1, L9,0)</f>
        <v>0</v>
      </c>
      <c r="AE12" s="502">
        <f>IF(F54=0,H10,0)</f>
        <v>0</v>
      </c>
      <c r="AF12" s="502">
        <f>IF(G54=0,J10,0)</f>
        <v>0</v>
      </c>
      <c r="AG12" s="502">
        <f>IF(H54=0,K10,0)</f>
        <v>0</v>
      </c>
      <c r="AH12" s="502">
        <f>IF(J54=0,L10,0)</f>
        <v>0</v>
      </c>
      <c r="AI12" s="501"/>
      <c r="AJ12" s="500"/>
      <c r="AK12" s="1357">
        <f t="shared" ref="AK12:AK23" si="9">AM12*H12</f>
        <v>0</v>
      </c>
      <c r="AL12" s="293">
        <f t="shared" ref="AL12:AL27" si="10">$AJ$11</f>
        <v>0</v>
      </c>
      <c r="AM12" s="293">
        <f t="shared" ref="AM12:AM27" si="11">$AL$11</f>
        <v>100</v>
      </c>
      <c r="AN12" s="1">
        <f>AO12*G12</f>
        <v>0</v>
      </c>
      <c r="AO12">
        <f>IFERROR(L12/G12,0)</f>
        <v>0</v>
      </c>
      <c r="AR12" s="572" t="e">
        <f>L12</f>
        <v>#DIV/0!</v>
      </c>
      <c r="AS12">
        <f>IFERROR(AR12,0)</f>
        <v>0</v>
      </c>
      <c r="AT12">
        <f>IF(AS12&gt;0,AS12,1)</f>
        <v>1</v>
      </c>
      <c r="AU12">
        <f t="shared" ref="AU12:AU43" si="12">$AL$106</f>
        <v>0</v>
      </c>
      <c r="AV12" t="e">
        <f>AS12/AU12</f>
        <v>#DIV/0!</v>
      </c>
      <c r="AW12" s="1">
        <f>AY8</f>
        <v>0</v>
      </c>
      <c r="AX12" s="1">
        <f>H12</f>
        <v>0</v>
      </c>
      <c r="AY12" s="1">
        <f xml:space="preserve"> ROUND((AX12*AW12 ),2)</f>
        <v>0</v>
      </c>
      <c r="AZ12">
        <f>AQ106</f>
        <v>0</v>
      </c>
      <c r="BA12" s="299" t="e">
        <f>ROUND(AY12/AZ12,0)</f>
        <v>#DIV/0!</v>
      </c>
      <c r="BB12" s="34" t="e">
        <f>IF(G12&gt;1,0,BA12)</f>
        <v>#DIV/0!</v>
      </c>
    </row>
    <row r="13" spans="2:54" ht="34.5" customHeight="1" thickTop="1" thickBot="1">
      <c r="B13" s="1340"/>
      <c r="C13" s="1341"/>
      <c r="E13" s="628">
        <f>'طريقة العمل'!AY26</f>
        <v>0</v>
      </c>
      <c r="F13" s="546">
        <f>'طريقة العمل'!AW26</f>
        <v>0</v>
      </c>
      <c r="G13" s="546">
        <f>'طريقة العمل'!AV26</f>
        <v>0</v>
      </c>
      <c r="H13" s="546">
        <f>SUM('(2) '!M12:M23)</f>
        <v>0</v>
      </c>
      <c r="I13" s="626" t="e">
        <f>IF( F8="الورثة لم يجيزو الوصية",T13/U13,"   التركة والوصايا ")</f>
        <v>#DIV/0!</v>
      </c>
      <c r="J13" s="1331" t="e">
        <f t="shared" ref="J13:J23" si="13">IF(G13 &lt;2, L13,I13)</f>
        <v>#DIV/0!</v>
      </c>
      <c r="K13" s="1332"/>
      <c r="L13" s="1217" t="e">
        <f t="shared" si="0"/>
        <v>#DIV/0!</v>
      </c>
      <c r="M13" s="1218"/>
      <c r="P13" s="568">
        <f t="shared" si="1"/>
        <v>0</v>
      </c>
      <c r="Q13" s="561" t="e">
        <f t="shared" si="2"/>
        <v>#DIV/0!</v>
      </c>
      <c r="R13" s="498">
        <f t="shared" si="3"/>
        <v>0</v>
      </c>
      <c r="S13" s="498" t="e">
        <f t="shared" si="4"/>
        <v>#DIV/0!</v>
      </c>
      <c r="T13" s="561">
        <f t="shared" ref="T13:T23" si="14">ROUNDDOWN(H13*AL13,0)/IF(G13&gt;0,G13,1)</f>
        <v>0</v>
      </c>
      <c r="U13" s="547">
        <f t="shared" si="5"/>
        <v>0</v>
      </c>
      <c r="V13" s="478">
        <f t="shared" si="6"/>
        <v>0</v>
      </c>
      <c r="W13" s="547">
        <f t="shared" si="7"/>
        <v>0</v>
      </c>
      <c r="X13" s="501">
        <f t="shared" ref="X13:X27" si="15">$X$12</f>
        <v>0</v>
      </c>
      <c r="Y13" s="547">
        <f t="shared" si="8"/>
        <v>0</v>
      </c>
      <c r="Z13" s="501">
        <f t="shared" ref="Z13:Z27" si="16">W33</f>
        <v>0</v>
      </c>
      <c r="AA13" s="502">
        <f>IF(F55=1, H9,0)</f>
        <v>0</v>
      </c>
      <c r="AB13" s="502">
        <f>IF(G55=1, J9,0)</f>
        <v>0</v>
      </c>
      <c r="AC13" s="502">
        <f>IF(H55=1, K9,0)</f>
        <v>0</v>
      </c>
      <c r="AD13" s="502">
        <f>IF(J55=1, L9,0)</f>
        <v>0</v>
      </c>
      <c r="AE13" s="502">
        <f>IF(F55=0,H10,0)</f>
        <v>0</v>
      </c>
      <c r="AF13" s="502">
        <f>IF(G55=0,J10,0)</f>
        <v>0</v>
      </c>
      <c r="AG13" s="502">
        <f>IF(H55=0,K10,0)</f>
        <v>0</v>
      </c>
      <c r="AH13" s="502">
        <f>IF(J55=0,L10,0)</f>
        <v>0</v>
      </c>
      <c r="AI13" s="501"/>
      <c r="AJ13" s="500"/>
      <c r="AK13" s="539">
        <f t="shared" si="9"/>
        <v>0</v>
      </c>
      <c r="AL13" s="293">
        <f t="shared" si="10"/>
        <v>0</v>
      </c>
      <c r="AM13" s="293">
        <f t="shared" si="11"/>
        <v>100</v>
      </c>
      <c r="AN13" s="1">
        <f t="shared" ref="AN13:AN23" si="17">AO13*G13</f>
        <v>0</v>
      </c>
      <c r="AO13">
        <f t="shared" ref="AO13:AO27" si="18">IFERROR(L13/G13,0)</f>
        <v>0</v>
      </c>
      <c r="AR13" s="572" t="e">
        <f t="shared" ref="AR13:AR23" si="19">L13</f>
        <v>#DIV/0!</v>
      </c>
      <c r="AS13">
        <f t="shared" ref="AS13:AS55" si="20">IFERROR(AR13,0)</f>
        <v>0</v>
      </c>
      <c r="AT13">
        <f t="shared" ref="AT13:AT55" si="21">IF(AS13&gt;0,AS13,1)</f>
        <v>1</v>
      </c>
      <c r="AU13">
        <f t="shared" si="12"/>
        <v>0</v>
      </c>
      <c r="AV13" t="e">
        <f t="shared" ref="AV13:AV55" si="22">AS13/AU13</f>
        <v>#DIV/0!</v>
      </c>
      <c r="AW13">
        <f t="shared" ref="AW13:AW44" si="23">$AW$12</f>
        <v>0</v>
      </c>
      <c r="AX13" s="1">
        <f t="shared" ref="AX13:AX23" si="24">H13</f>
        <v>0</v>
      </c>
      <c r="AY13" s="1">
        <f t="shared" ref="AY13:AY55" si="25" xml:space="preserve"> ROUND((AX13*AW13 ),2)</f>
        <v>0</v>
      </c>
      <c r="AZ13">
        <f t="shared" ref="AZ13:AZ44" si="26">$AZ$12</f>
        <v>0</v>
      </c>
      <c r="BA13" s="299" t="e">
        <f t="shared" ref="BA13:BA59" si="27">ROUND(AY13/AZ13,0)</f>
        <v>#DIV/0!</v>
      </c>
      <c r="BB13" s="34" t="e">
        <f t="shared" ref="BB13:BB23" si="28">IF(G13&gt;1,0,BA13)</f>
        <v>#DIV/0!</v>
      </c>
    </row>
    <row r="14" spans="2:54" ht="17.25" customHeight="1" thickTop="1" thickBot="1">
      <c r="B14" s="1340"/>
      <c r="C14" s="1341"/>
      <c r="E14" s="628">
        <f>'طريقة العمل'!AY27</f>
        <v>0</v>
      </c>
      <c r="F14" s="546">
        <f>'طريقة العمل'!AW27</f>
        <v>0</v>
      </c>
      <c r="G14" s="546">
        <f>'طريقة العمل'!AV27</f>
        <v>0</v>
      </c>
      <c r="H14" s="546">
        <f>SUM('(3) '!M12:M23)</f>
        <v>0</v>
      </c>
      <c r="I14" s="626" t="e">
        <f>IF( F8="الورثة لم يجيزو الوصية",T14/U14,"   التركة والوصايا ")</f>
        <v>#DIV/0!</v>
      </c>
      <c r="J14" s="1331" t="e">
        <f t="shared" si="13"/>
        <v>#DIV/0!</v>
      </c>
      <c r="K14" s="1332"/>
      <c r="L14" s="1217" t="e">
        <f t="shared" si="0"/>
        <v>#DIV/0!</v>
      </c>
      <c r="M14" s="1218"/>
      <c r="P14" s="568">
        <f t="shared" si="1"/>
        <v>0</v>
      </c>
      <c r="Q14" s="561" t="e">
        <f t="shared" si="2"/>
        <v>#DIV/0!</v>
      </c>
      <c r="R14" s="498">
        <f t="shared" si="3"/>
        <v>0</v>
      </c>
      <c r="S14" s="498" t="e">
        <f t="shared" si="4"/>
        <v>#DIV/0!</v>
      </c>
      <c r="T14" s="561">
        <f t="shared" si="14"/>
        <v>0</v>
      </c>
      <c r="U14" s="547">
        <f t="shared" si="5"/>
        <v>0</v>
      </c>
      <c r="V14" s="478">
        <f t="shared" si="6"/>
        <v>0</v>
      </c>
      <c r="W14" s="547">
        <f t="shared" si="7"/>
        <v>0</v>
      </c>
      <c r="X14" s="501">
        <f t="shared" si="15"/>
        <v>0</v>
      </c>
      <c r="Y14" s="547">
        <f t="shared" si="8"/>
        <v>0</v>
      </c>
      <c r="Z14" s="501">
        <f t="shared" si="16"/>
        <v>0</v>
      </c>
      <c r="AA14" s="502">
        <f>IF(F56=1, H9,0)</f>
        <v>0</v>
      </c>
      <c r="AB14" s="502">
        <f>IF(G56=1, J9,0)</f>
        <v>0</v>
      </c>
      <c r="AC14" s="502">
        <f>IF(H56=1, K9,0)</f>
        <v>0</v>
      </c>
      <c r="AD14" s="502">
        <f>IF(J56=1, L9,0)</f>
        <v>0</v>
      </c>
      <c r="AE14" s="502">
        <f>IF(F56=0,H10,0)</f>
        <v>0</v>
      </c>
      <c r="AF14" s="502">
        <f>IF(G56=0,J10,0)</f>
        <v>0</v>
      </c>
      <c r="AG14" s="502">
        <f>IF(H56=0,K10,0)</f>
        <v>0</v>
      </c>
      <c r="AH14" s="502">
        <f>IF(J56=0,L10,0)</f>
        <v>0</v>
      </c>
      <c r="AI14" s="501"/>
      <c r="AJ14" s="500"/>
      <c r="AK14" s="539">
        <f t="shared" si="9"/>
        <v>0</v>
      </c>
      <c r="AL14" s="293">
        <f t="shared" si="10"/>
        <v>0</v>
      </c>
      <c r="AM14" s="293">
        <f t="shared" si="11"/>
        <v>100</v>
      </c>
      <c r="AN14" s="1">
        <f t="shared" si="17"/>
        <v>0</v>
      </c>
      <c r="AO14">
        <f t="shared" si="18"/>
        <v>0</v>
      </c>
      <c r="AR14" s="572" t="e">
        <f t="shared" si="19"/>
        <v>#DIV/0!</v>
      </c>
      <c r="AS14">
        <f t="shared" si="20"/>
        <v>0</v>
      </c>
      <c r="AT14">
        <f t="shared" si="21"/>
        <v>1</v>
      </c>
      <c r="AU14">
        <f t="shared" si="12"/>
        <v>0</v>
      </c>
      <c r="AV14" t="e">
        <f t="shared" si="22"/>
        <v>#DIV/0!</v>
      </c>
      <c r="AW14">
        <f t="shared" si="23"/>
        <v>0</v>
      </c>
      <c r="AX14" s="1">
        <f t="shared" si="24"/>
        <v>0</v>
      </c>
      <c r="AY14" s="1">
        <f t="shared" si="25"/>
        <v>0</v>
      </c>
      <c r="AZ14">
        <f t="shared" si="26"/>
        <v>0</v>
      </c>
      <c r="BA14" s="299" t="e">
        <f t="shared" si="27"/>
        <v>#DIV/0!</v>
      </c>
      <c r="BB14" s="34" t="e">
        <f t="shared" si="28"/>
        <v>#DIV/0!</v>
      </c>
    </row>
    <row r="15" spans="2:54" ht="17.25" customHeight="1" thickTop="1" thickBot="1">
      <c r="B15" s="1340"/>
      <c r="C15" s="1341"/>
      <c r="E15" s="628">
        <f>'طريقة العمل'!AY28</f>
        <v>0</v>
      </c>
      <c r="F15" s="546">
        <f>'طريقة العمل'!AW28</f>
        <v>0</v>
      </c>
      <c r="G15" s="546">
        <f>'طريقة العمل'!AV28</f>
        <v>0</v>
      </c>
      <c r="H15" s="546">
        <f>SUM('(4) '!M12:M23)</f>
        <v>0</v>
      </c>
      <c r="I15" s="626" t="e">
        <f>IF( F8="الورثة لم يجيزو الوصية",T15/U15,"   التركة والوصايا ")</f>
        <v>#DIV/0!</v>
      </c>
      <c r="J15" s="1331" t="e">
        <f t="shared" si="13"/>
        <v>#DIV/0!</v>
      </c>
      <c r="K15" s="1332"/>
      <c r="L15" s="1217" t="e">
        <f t="shared" si="0"/>
        <v>#DIV/0!</v>
      </c>
      <c r="M15" s="1218"/>
      <c r="P15" s="568">
        <f t="shared" si="1"/>
        <v>0</v>
      </c>
      <c r="Q15" s="561" t="e">
        <f t="shared" si="2"/>
        <v>#DIV/0!</v>
      </c>
      <c r="R15" s="498">
        <f t="shared" si="3"/>
        <v>0</v>
      </c>
      <c r="S15" s="498" t="e">
        <f t="shared" si="4"/>
        <v>#DIV/0!</v>
      </c>
      <c r="T15" s="561">
        <f t="shared" si="14"/>
        <v>0</v>
      </c>
      <c r="U15" s="547">
        <f t="shared" si="5"/>
        <v>0</v>
      </c>
      <c r="V15" s="478">
        <f t="shared" si="6"/>
        <v>0</v>
      </c>
      <c r="W15" s="547">
        <f t="shared" si="7"/>
        <v>0</v>
      </c>
      <c r="X15" s="501">
        <f t="shared" si="15"/>
        <v>0</v>
      </c>
      <c r="Y15" s="547">
        <f t="shared" si="8"/>
        <v>0</v>
      </c>
      <c r="Z15" s="501">
        <f t="shared" si="16"/>
        <v>0</v>
      </c>
      <c r="AA15" s="502">
        <f>IF(F57=1, H9,0)</f>
        <v>0</v>
      </c>
      <c r="AB15" s="502">
        <f>IF(G57=1, J9,0)</f>
        <v>0</v>
      </c>
      <c r="AC15" s="502">
        <f>IF(H57=1, K9,0)</f>
        <v>0</v>
      </c>
      <c r="AD15" s="502">
        <f>IF(J57=1, L9,0)</f>
        <v>0</v>
      </c>
      <c r="AE15" s="502">
        <f>IF(F57=0,H10,0)</f>
        <v>0</v>
      </c>
      <c r="AF15" s="502">
        <f>IF(G57=0,J10,0)</f>
        <v>0</v>
      </c>
      <c r="AG15" s="502">
        <f>IF(H57=0,K10,0)</f>
        <v>0</v>
      </c>
      <c r="AH15" s="502">
        <f>IF(J57=0,L10,0)</f>
        <v>0</v>
      </c>
      <c r="AI15" s="501"/>
      <c r="AJ15" s="500"/>
      <c r="AK15" s="539">
        <f t="shared" si="9"/>
        <v>0</v>
      </c>
      <c r="AL15" s="293">
        <f t="shared" si="10"/>
        <v>0</v>
      </c>
      <c r="AM15" s="293">
        <f t="shared" si="11"/>
        <v>100</v>
      </c>
      <c r="AN15" s="1">
        <f t="shared" si="17"/>
        <v>0</v>
      </c>
      <c r="AO15">
        <f t="shared" si="18"/>
        <v>0</v>
      </c>
      <c r="AR15" s="572" t="e">
        <f t="shared" si="19"/>
        <v>#DIV/0!</v>
      </c>
      <c r="AS15">
        <f t="shared" si="20"/>
        <v>0</v>
      </c>
      <c r="AT15">
        <f t="shared" si="21"/>
        <v>1</v>
      </c>
      <c r="AU15">
        <f t="shared" si="12"/>
        <v>0</v>
      </c>
      <c r="AV15" t="e">
        <f t="shared" si="22"/>
        <v>#DIV/0!</v>
      </c>
      <c r="AW15">
        <f t="shared" si="23"/>
        <v>0</v>
      </c>
      <c r="AX15" s="1">
        <f t="shared" si="24"/>
        <v>0</v>
      </c>
      <c r="AY15" s="1">
        <f t="shared" si="25"/>
        <v>0</v>
      </c>
      <c r="AZ15">
        <f t="shared" si="26"/>
        <v>0</v>
      </c>
      <c r="BA15" s="299" t="e">
        <f t="shared" si="27"/>
        <v>#DIV/0!</v>
      </c>
      <c r="BB15" s="34" t="e">
        <f t="shared" si="28"/>
        <v>#DIV/0!</v>
      </c>
    </row>
    <row r="16" spans="2:54" ht="17.25" customHeight="1" thickTop="1" thickBot="1">
      <c r="B16" s="1340"/>
      <c r="C16" s="1341"/>
      <c r="E16" s="628">
        <f>'طريقة العمل'!AY29</f>
        <v>0</v>
      </c>
      <c r="F16" s="546">
        <f>'طريقة العمل'!AW29</f>
        <v>0</v>
      </c>
      <c r="G16" s="546">
        <f>'طريقة العمل'!AV29</f>
        <v>0</v>
      </c>
      <c r="H16" s="546">
        <f>SUM('(5) '!M12:M23)</f>
        <v>0</v>
      </c>
      <c r="I16" s="626" t="e">
        <f>IF( F8="الورثة لم يجيزو الوصية",T16/U16,"   التركة والوصايا ")</f>
        <v>#DIV/0!</v>
      </c>
      <c r="J16" s="1331" t="e">
        <f t="shared" si="13"/>
        <v>#DIV/0!</v>
      </c>
      <c r="K16" s="1332"/>
      <c r="L16" s="1217" t="e">
        <f t="shared" si="0"/>
        <v>#DIV/0!</v>
      </c>
      <c r="M16" s="1218"/>
      <c r="P16" s="568">
        <f t="shared" si="1"/>
        <v>0</v>
      </c>
      <c r="Q16" s="561" t="e">
        <f t="shared" si="2"/>
        <v>#DIV/0!</v>
      </c>
      <c r="R16" s="498">
        <f t="shared" si="3"/>
        <v>0</v>
      </c>
      <c r="S16" s="498" t="e">
        <f t="shared" si="4"/>
        <v>#DIV/0!</v>
      </c>
      <c r="T16" s="561">
        <f t="shared" si="14"/>
        <v>0</v>
      </c>
      <c r="U16" s="547">
        <f t="shared" si="5"/>
        <v>0</v>
      </c>
      <c r="V16" s="478">
        <f t="shared" si="6"/>
        <v>0</v>
      </c>
      <c r="W16" s="547">
        <f t="shared" si="7"/>
        <v>0</v>
      </c>
      <c r="X16" s="501">
        <f t="shared" si="15"/>
        <v>0</v>
      </c>
      <c r="Y16" s="547">
        <f t="shared" si="8"/>
        <v>0</v>
      </c>
      <c r="Z16" s="501">
        <f t="shared" si="16"/>
        <v>0</v>
      </c>
      <c r="AA16" s="502">
        <f>IF(F58=1, H9,0)</f>
        <v>0</v>
      </c>
      <c r="AB16" s="502">
        <f>IF(G58=1, J9,0)</f>
        <v>0</v>
      </c>
      <c r="AC16" s="502">
        <f>IF(H58=1, K9,0)</f>
        <v>0</v>
      </c>
      <c r="AD16" s="502">
        <f>IF(J58=1, L9,0)</f>
        <v>0</v>
      </c>
      <c r="AE16" s="502">
        <f>IF(F58=0,H10,0)</f>
        <v>0</v>
      </c>
      <c r="AF16" s="502">
        <f>IF(G58=0,J10,0)</f>
        <v>0</v>
      </c>
      <c r="AG16" s="502">
        <f>IF(H58=0,K10,0)</f>
        <v>0</v>
      </c>
      <c r="AH16" s="502">
        <f>IF(J58=0,L10,0)</f>
        <v>0</v>
      </c>
      <c r="AI16" s="501"/>
      <c r="AJ16" s="500"/>
      <c r="AK16" s="539">
        <f t="shared" si="9"/>
        <v>0</v>
      </c>
      <c r="AL16" s="293">
        <f t="shared" si="10"/>
        <v>0</v>
      </c>
      <c r="AM16" s="293">
        <f t="shared" si="11"/>
        <v>100</v>
      </c>
      <c r="AN16" s="1">
        <f t="shared" si="17"/>
        <v>0</v>
      </c>
      <c r="AO16">
        <f t="shared" si="18"/>
        <v>0</v>
      </c>
      <c r="AR16" s="572" t="e">
        <f t="shared" si="19"/>
        <v>#DIV/0!</v>
      </c>
      <c r="AS16">
        <f t="shared" si="20"/>
        <v>0</v>
      </c>
      <c r="AT16">
        <f t="shared" si="21"/>
        <v>1</v>
      </c>
      <c r="AU16">
        <f t="shared" si="12"/>
        <v>0</v>
      </c>
      <c r="AV16" t="e">
        <f t="shared" si="22"/>
        <v>#DIV/0!</v>
      </c>
      <c r="AW16">
        <f t="shared" si="23"/>
        <v>0</v>
      </c>
      <c r="AX16" s="1">
        <f t="shared" si="24"/>
        <v>0</v>
      </c>
      <c r="AY16" s="1">
        <f t="shared" si="25"/>
        <v>0</v>
      </c>
      <c r="AZ16">
        <f t="shared" si="26"/>
        <v>0</v>
      </c>
      <c r="BA16" s="299" t="e">
        <f t="shared" si="27"/>
        <v>#DIV/0!</v>
      </c>
      <c r="BB16" s="34" t="e">
        <f t="shared" si="28"/>
        <v>#DIV/0!</v>
      </c>
    </row>
    <row r="17" spans="2:54" ht="17.25" customHeight="1" thickTop="1" thickBot="1">
      <c r="B17" s="1340"/>
      <c r="C17" s="1341"/>
      <c r="E17" s="628">
        <f>'طريقة العمل'!AY30</f>
        <v>0</v>
      </c>
      <c r="F17" s="546">
        <f>'طريقة العمل'!AW30</f>
        <v>0</v>
      </c>
      <c r="G17" s="546">
        <f>'طريقة العمل'!AV30</f>
        <v>0</v>
      </c>
      <c r="H17" s="546">
        <f>SUM('(6) '!M12:M23)</f>
        <v>0</v>
      </c>
      <c r="I17" s="626" t="e">
        <f>IF( F8="الورثة لم يجيزو الوصية",T17/U17,"   التركة والوصايا ")</f>
        <v>#DIV/0!</v>
      </c>
      <c r="J17" s="1331" t="e">
        <f t="shared" si="13"/>
        <v>#DIV/0!</v>
      </c>
      <c r="K17" s="1332"/>
      <c r="L17" s="1217" t="e">
        <f t="shared" si="0"/>
        <v>#DIV/0!</v>
      </c>
      <c r="M17" s="1218"/>
      <c r="P17" s="568">
        <f t="shared" si="1"/>
        <v>0</v>
      </c>
      <c r="Q17" s="561" t="e">
        <f t="shared" si="2"/>
        <v>#DIV/0!</v>
      </c>
      <c r="R17" s="498">
        <f t="shared" si="3"/>
        <v>0</v>
      </c>
      <c r="S17" s="498" t="e">
        <f t="shared" si="4"/>
        <v>#DIV/0!</v>
      </c>
      <c r="T17" s="561">
        <f t="shared" si="14"/>
        <v>0</v>
      </c>
      <c r="U17" s="547">
        <f t="shared" si="5"/>
        <v>0</v>
      </c>
      <c r="V17" s="478">
        <f t="shared" si="6"/>
        <v>0</v>
      </c>
      <c r="W17" s="547">
        <f t="shared" si="7"/>
        <v>0</v>
      </c>
      <c r="X17" s="501">
        <f t="shared" si="15"/>
        <v>0</v>
      </c>
      <c r="Y17" s="547">
        <f t="shared" si="8"/>
        <v>0</v>
      </c>
      <c r="Z17" s="501">
        <f t="shared" si="16"/>
        <v>0</v>
      </c>
      <c r="AA17" s="502">
        <f>IF(F59=1, H9,0)</f>
        <v>0</v>
      </c>
      <c r="AB17" s="502">
        <f>IF(G59=1, J9,0)</f>
        <v>0</v>
      </c>
      <c r="AC17" s="502">
        <f>IF(H59=1, K9,0)</f>
        <v>0</v>
      </c>
      <c r="AD17" s="502">
        <f>IF(J59=1, L9,0)</f>
        <v>0</v>
      </c>
      <c r="AE17" s="502">
        <f>IF(F59=0,H10,0)</f>
        <v>0</v>
      </c>
      <c r="AF17" s="502">
        <f>IF(G59=0,J10,0)</f>
        <v>0</v>
      </c>
      <c r="AG17" s="502">
        <f>IF(H59=0,K10,0)</f>
        <v>0</v>
      </c>
      <c r="AH17" s="502">
        <f>IF(J59=0,L10,0)</f>
        <v>0</v>
      </c>
      <c r="AI17" s="501"/>
      <c r="AJ17" s="500"/>
      <c r="AK17" s="539">
        <f t="shared" si="9"/>
        <v>0</v>
      </c>
      <c r="AL17" s="293">
        <f t="shared" si="10"/>
        <v>0</v>
      </c>
      <c r="AM17" s="293">
        <f t="shared" si="11"/>
        <v>100</v>
      </c>
      <c r="AN17" s="1">
        <f t="shared" si="17"/>
        <v>0</v>
      </c>
      <c r="AO17">
        <f t="shared" si="18"/>
        <v>0</v>
      </c>
      <c r="AR17" s="572" t="e">
        <f t="shared" si="19"/>
        <v>#DIV/0!</v>
      </c>
      <c r="AS17">
        <f t="shared" si="20"/>
        <v>0</v>
      </c>
      <c r="AT17">
        <f t="shared" si="21"/>
        <v>1</v>
      </c>
      <c r="AU17">
        <f t="shared" si="12"/>
        <v>0</v>
      </c>
      <c r="AV17" t="e">
        <f t="shared" si="22"/>
        <v>#DIV/0!</v>
      </c>
      <c r="AW17">
        <f t="shared" si="23"/>
        <v>0</v>
      </c>
      <c r="AX17" s="1">
        <f t="shared" si="24"/>
        <v>0</v>
      </c>
      <c r="AY17" s="1">
        <f t="shared" si="25"/>
        <v>0</v>
      </c>
      <c r="AZ17">
        <f t="shared" si="26"/>
        <v>0</v>
      </c>
      <c r="BA17" s="299" t="e">
        <f t="shared" si="27"/>
        <v>#DIV/0!</v>
      </c>
      <c r="BB17" s="34" t="e">
        <f t="shared" si="28"/>
        <v>#DIV/0!</v>
      </c>
    </row>
    <row r="18" spans="2:54" ht="17.25" customHeight="1" thickTop="1" thickBot="1">
      <c r="B18" s="1340"/>
      <c r="C18" s="1341"/>
      <c r="E18" s="628">
        <f>'طريقة العمل'!AY31</f>
        <v>0</v>
      </c>
      <c r="F18" s="546">
        <f>'طريقة العمل'!AW31</f>
        <v>0</v>
      </c>
      <c r="G18" s="546">
        <f>'طريقة العمل'!AV31</f>
        <v>0</v>
      </c>
      <c r="H18" s="546">
        <f>SUM('(7) '!M12:M23)</f>
        <v>0</v>
      </c>
      <c r="I18" s="626" t="e">
        <f>IF( F8="الورثة لم يجيزو الوصية",T18/U18,"   التركة والوصايا ")</f>
        <v>#DIV/0!</v>
      </c>
      <c r="J18" s="1331" t="e">
        <f t="shared" si="13"/>
        <v>#DIV/0!</v>
      </c>
      <c r="K18" s="1332"/>
      <c r="L18" s="1217" t="e">
        <f t="shared" si="0"/>
        <v>#DIV/0!</v>
      </c>
      <c r="M18" s="1218"/>
      <c r="P18" s="568">
        <f t="shared" si="1"/>
        <v>0</v>
      </c>
      <c r="Q18" s="561" t="e">
        <f t="shared" si="2"/>
        <v>#DIV/0!</v>
      </c>
      <c r="R18" s="498">
        <f t="shared" si="3"/>
        <v>0</v>
      </c>
      <c r="S18" s="498" t="e">
        <f t="shared" si="4"/>
        <v>#DIV/0!</v>
      </c>
      <c r="T18" s="561">
        <f t="shared" si="14"/>
        <v>0</v>
      </c>
      <c r="U18" s="547">
        <f t="shared" si="5"/>
        <v>0</v>
      </c>
      <c r="V18" s="478">
        <f t="shared" si="6"/>
        <v>0</v>
      </c>
      <c r="W18" s="547">
        <f t="shared" si="7"/>
        <v>0</v>
      </c>
      <c r="X18" s="501">
        <f t="shared" si="15"/>
        <v>0</v>
      </c>
      <c r="Y18" s="547">
        <f t="shared" si="8"/>
        <v>0</v>
      </c>
      <c r="Z18" s="501">
        <f t="shared" si="16"/>
        <v>0</v>
      </c>
      <c r="AA18" s="502">
        <f>IF(F60=1, H9,0)</f>
        <v>0</v>
      </c>
      <c r="AB18" s="502">
        <f>IF(G60=1, J9,0)</f>
        <v>0</v>
      </c>
      <c r="AC18" s="502">
        <f>IF(H60=1, K9,0)</f>
        <v>0</v>
      </c>
      <c r="AD18" s="502">
        <f>IF(J60=1, L9,0)</f>
        <v>0</v>
      </c>
      <c r="AE18" s="502">
        <f>IF(F60=0,H10,0)</f>
        <v>0</v>
      </c>
      <c r="AF18" s="502">
        <f>IF(G60=0,J10,0)</f>
        <v>0</v>
      </c>
      <c r="AG18" s="502">
        <f>IF(H60=0,K10,0)</f>
        <v>0</v>
      </c>
      <c r="AH18" s="502">
        <f>IF(J60=0,L10,0)</f>
        <v>0</v>
      </c>
      <c r="AI18" s="501"/>
      <c r="AJ18" s="500"/>
      <c r="AK18" s="539">
        <f t="shared" si="9"/>
        <v>0</v>
      </c>
      <c r="AL18" s="293">
        <f t="shared" si="10"/>
        <v>0</v>
      </c>
      <c r="AM18" s="293">
        <f t="shared" si="11"/>
        <v>100</v>
      </c>
      <c r="AN18" s="1">
        <f t="shared" si="17"/>
        <v>0</v>
      </c>
      <c r="AO18">
        <f t="shared" si="18"/>
        <v>0</v>
      </c>
      <c r="AR18" s="572" t="e">
        <f t="shared" si="19"/>
        <v>#DIV/0!</v>
      </c>
      <c r="AS18">
        <f t="shared" si="20"/>
        <v>0</v>
      </c>
      <c r="AT18">
        <f t="shared" si="21"/>
        <v>1</v>
      </c>
      <c r="AU18">
        <f t="shared" si="12"/>
        <v>0</v>
      </c>
      <c r="AV18" t="e">
        <f t="shared" si="22"/>
        <v>#DIV/0!</v>
      </c>
      <c r="AW18">
        <f t="shared" si="23"/>
        <v>0</v>
      </c>
      <c r="AX18" s="1">
        <f t="shared" si="24"/>
        <v>0</v>
      </c>
      <c r="AY18" s="1">
        <f t="shared" si="25"/>
        <v>0</v>
      </c>
      <c r="AZ18">
        <f t="shared" si="26"/>
        <v>0</v>
      </c>
      <c r="BA18" s="299" t="e">
        <f t="shared" si="27"/>
        <v>#DIV/0!</v>
      </c>
      <c r="BB18" s="34" t="e">
        <f t="shared" si="28"/>
        <v>#DIV/0!</v>
      </c>
    </row>
    <row r="19" spans="2:54" ht="17.25" customHeight="1" thickTop="1" thickBot="1">
      <c r="B19" s="1340"/>
      <c r="C19" s="1341"/>
      <c r="E19" s="628">
        <f>'طريقة العمل'!AY32</f>
        <v>0</v>
      </c>
      <c r="F19" s="546">
        <f>'طريقة العمل'!AW32</f>
        <v>0</v>
      </c>
      <c r="G19" s="546">
        <f>'طريقة العمل'!AV32</f>
        <v>0</v>
      </c>
      <c r="H19" s="546">
        <f>IF(Y19&lt;0,"الوارث لم يبقى له شىء",Y19)</f>
        <v>0</v>
      </c>
      <c r="I19" s="626" t="e">
        <f xml:space="preserve"> IF(G19&gt;0,L19/G19,L19)</f>
        <v>#DIV/0!</v>
      </c>
      <c r="J19" s="1331" t="e">
        <f t="shared" si="13"/>
        <v>#DIV/0!</v>
      </c>
      <c r="K19" s="1332"/>
      <c r="L19" s="1217" t="e">
        <f t="shared" si="0"/>
        <v>#DIV/0!</v>
      </c>
      <c r="M19" s="1218"/>
      <c r="P19" s="568">
        <f t="shared" si="1"/>
        <v>0</v>
      </c>
      <c r="Q19" s="561" t="e">
        <f t="shared" si="2"/>
        <v>#DIV/0!</v>
      </c>
      <c r="R19" s="498">
        <f t="shared" si="3"/>
        <v>0</v>
      </c>
      <c r="S19" s="498" t="e">
        <f t="shared" si="4"/>
        <v>#DIV/0!</v>
      </c>
      <c r="T19" s="561">
        <f t="shared" si="14"/>
        <v>0</v>
      </c>
      <c r="U19" s="547">
        <f t="shared" si="5"/>
        <v>0</v>
      </c>
      <c r="V19" s="478">
        <f t="shared" si="6"/>
        <v>0</v>
      </c>
      <c r="W19" s="547">
        <f t="shared" si="7"/>
        <v>0</v>
      </c>
      <c r="X19" s="501">
        <f t="shared" si="15"/>
        <v>0</v>
      </c>
      <c r="Y19" s="547">
        <f t="shared" si="8"/>
        <v>0</v>
      </c>
      <c r="Z19" s="501">
        <f t="shared" si="16"/>
        <v>0</v>
      </c>
      <c r="AA19" s="502">
        <f>IF(F61=1, H9,0)</f>
        <v>0</v>
      </c>
      <c r="AB19" s="502">
        <f>IF(G61=1, J9,0)</f>
        <v>0</v>
      </c>
      <c r="AC19" s="502">
        <f>IF(H61=1, K9,0)</f>
        <v>0</v>
      </c>
      <c r="AD19" s="502">
        <f>IF(J61=1, L9,0)</f>
        <v>0</v>
      </c>
      <c r="AE19" s="502">
        <f>IF(F61=0,H10,0)</f>
        <v>0</v>
      </c>
      <c r="AF19" s="502">
        <f>IF(G61=0,J10,0)</f>
        <v>0</v>
      </c>
      <c r="AG19" s="502">
        <f>IF(H61=0,K10,0)</f>
        <v>0</v>
      </c>
      <c r="AH19" s="502">
        <f>IF(J61=0,L10,0)</f>
        <v>0</v>
      </c>
      <c r="AI19" s="501"/>
      <c r="AJ19" s="500"/>
      <c r="AK19" s="539">
        <f t="shared" si="9"/>
        <v>0</v>
      </c>
      <c r="AL19" s="293">
        <f t="shared" si="10"/>
        <v>0</v>
      </c>
      <c r="AM19" s="293">
        <f t="shared" si="11"/>
        <v>100</v>
      </c>
      <c r="AN19" s="1">
        <f t="shared" si="17"/>
        <v>0</v>
      </c>
      <c r="AO19">
        <f t="shared" si="18"/>
        <v>0</v>
      </c>
      <c r="AR19" s="572" t="e">
        <f t="shared" si="19"/>
        <v>#DIV/0!</v>
      </c>
      <c r="AS19">
        <f t="shared" si="20"/>
        <v>0</v>
      </c>
      <c r="AT19">
        <f t="shared" si="21"/>
        <v>1</v>
      </c>
      <c r="AU19">
        <f t="shared" si="12"/>
        <v>0</v>
      </c>
      <c r="AV19" t="e">
        <f t="shared" si="22"/>
        <v>#DIV/0!</v>
      </c>
      <c r="AW19">
        <f t="shared" si="23"/>
        <v>0</v>
      </c>
      <c r="AX19" s="1">
        <f t="shared" si="24"/>
        <v>0</v>
      </c>
      <c r="AY19" s="1">
        <f t="shared" si="25"/>
        <v>0</v>
      </c>
      <c r="AZ19">
        <f t="shared" si="26"/>
        <v>0</v>
      </c>
      <c r="BA19" s="299" t="e">
        <f t="shared" si="27"/>
        <v>#DIV/0!</v>
      </c>
      <c r="BB19" s="34" t="e">
        <f t="shared" si="28"/>
        <v>#DIV/0!</v>
      </c>
    </row>
    <row r="20" spans="2:54" ht="17.25" customHeight="1" thickTop="1" thickBot="1">
      <c r="B20" s="1340"/>
      <c r="C20" s="1341"/>
      <c r="E20" s="627">
        <f>'طريقة العمل'!AY33</f>
        <v>0</v>
      </c>
      <c r="F20" s="546">
        <f>'طريقة العمل'!AW33</f>
        <v>0</v>
      </c>
      <c r="G20" s="546">
        <f>'طريقة العمل'!AV33</f>
        <v>0</v>
      </c>
      <c r="H20" s="546">
        <f>IF(Y20&lt;0,"الوارث لم يبقى له شىء",Y20)</f>
        <v>0</v>
      </c>
      <c r="I20" s="626" t="e">
        <f xml:space="preserve"> IF(G20&gt;0,L20/G20,L20)</f>
        <v>#DIV/0!</v>
      </c>
      <c r="J20" s="1331" t="e">
        <f t="shared" si="13"/>
        <v>#DIV/0!</v>
      </c>
      <c r="K20" s="1332"/>
      <c r="L20" s="1217" t="e">
        <f t="shared" si="0"/>
        <v>#DIV/0!</v>
      </c>
      <c r="M20" s="1218"/>
      <c r="P20" s="568">
        <f t="shared" si="1"/>
        <v>0</v>
      </c>
      <c r="Q20" s="561" t="e">
        <f t="shared" si="2"/>
        <v>#DIV/0!</v>
      </c>
      <c r="R20" s="498">
        <f t="shared" si="3"/>
        <v>0</v>
      </c>
      <c r="S20" s="498" t="e">
        <f t="shared" si="4"/>
        <v>#DIV/0!</v>
      </c>
      <c r="T20" s="561">
        <f t="shared" si="14"/>
        <v>0</v>
      </c>
      <c r="U20" s="547">
        <f t="shared" si="5"/>
        <v>0</v>
      </c>
      <c r="V20" s="478">
        <f t="shared" si="6"/>
        <v>0</v>
      </c>
      <c r="W20" s="547">
        <f t="shared" si="7"/>
        <v>0</v>
      </c>
      <c r="X20" s="501">
        <f t="shared" si="15"/>
        <v>0</v>
      </c>
      <c r="Y20" s="547">
        <f t="shared" si="8"/>
        <v>0</v>
      </c>
      <c r="Z20" s="501">
        <f t="shared" si="16"/>
        <v>0</v>
      </c>
      <c r="AA20" s="502">
        <f>IF(F62=1, H9,0)</f>
        <v>0</v>
      </c>
      <c r="AB20" s="502">
        <f>IF(G62=1, J9,0)</f>
        <v>0</v>
      </c>
      <c r="AC20" s="502">
        <f>IF(H62=1, K9,0)</f>
        <v>0</v>
      </c>
      <c r="AD20" s="502">
        <f>IF(J62=1, L9,0)</f>
        <v>0</v>
      </c>
      <c r="AE20" s="502">
        <f>IF(F62=0,H10,0)</f>
        <v>0</v>
      </c>
      <c r="AF20" s="502">
        <f>IF(G62=0,J10,0)</f>
        <v>0</v>
      </c>
      <c r="AG20" s="502">
        <f>IF(H62=0,K10,0)</f>
        <v>0</v>
      </c>
      <c r="AH20" s="502">
        <f>IF(J62=0,L10,0)</f>
        <v>0</v>
      </c>
      <c r="AI20" s="501"/>
      <c r="AJ20" s="500"/>
      <c r="AK20" s="539">
        <f t="shared" si="9"/>
        <v>0</v>
      </c>
      <c r="AL20" s="293">
        <f t="shared" si="10"/>
        <v>0</v>
      </c>
      <c r="AM20" s="293">
        <f t="shared" si="11"/>
        <v>100</v>
      </c>
      <c r="AN20" s="1">
        <f t="shared" si="17"/>
        <v>0</v>
      </c>
      <c r="AO20">
        <f t="shared" si="18"/>
        <v>0</v>
      </c>
      <c r="AR20" s="572" t="e">
        <f t="shared" si="19"/>
        <v>#DIV/0!</v>
      </c>
      <c r="AS20">
        <f t="shared" si="20"/>
        <v>0</v>
      </c>
      <c r="AT20">
        <f t="shared" si="21"/>
        <v>1</v>
      </c>
      <c r="AU20">
        <f t="shared" si="12"/>
        <v>0</v>
      </c>
      <c r="AV20" t="e">
        <f t="shared" si="22"/>
        <v>#DIV/0!</v>
      </c>
      <c r="AW20">
        <f t="shared" si="23"/>
        <v>0</v>
      </c>
      <c r="AX20" s="1">
        <f t="shared" si="24"/>
        <v>0</v>
      </c>
      <c r="AY20" s="1">
        <f t="shared" si="25"/>
        <v>0</v>
      </c>
      <c r="AZ20">
        <f t="shared" si="26"/>
        <v>0</v>
      </c>
      <c r="BA20" s="299" t="e">
        <f t="shared" si="27"/>
        <v>#DIV/0!</v>
      </c>
      <c r="BB20" s="34" t="e">
        <f t="shared" si="28"/>
        <v>#DIV/0!</v>
      </c>
    </row>
    <row r="21" spans="2:54" ht="17.25" customHeight="1" thickTop="1" thickBot="1">
      <c r="B21" s="1342"/>
      <c r="C21" s="1343"/>
      <c r="E21" s="627">
        <f>'طريقة العمل'!AY34</f>
        <v>0</v>
      </c>
      <c r="F21" s="523">
        <f>'طريقة العمل'!AW34</f>
        <v>0</v>
      </c>
      <c r="G21" s="523">
        <f>'طريقة العمل'!AV34</f>
        <v>0</v>
      </c>
      <c r="H21" s="523">
        <f>IF(Y21&lt;0,"الوارث لم يبقى له شىء",Y21)</f>
        <v>0</v>
      </c>
      <c r="I21" s="626" t="e">
        <f xml:space="preserve"> IF(G21&gt;0,L21/G21,L21)</f>
        <v>#DIV/0!</v>
      </c>
      <c r="J21" s="1331" t="e">
        <f t="shared" si="13"/>
        <v>#DIV/0!</v>
      </c>
      <c r="K21" s="1332"/>
      <c r="L21" s="1217" t="e">
        <f t="shared" si="0"/>
        <v>#DIV/0!</v>
      </c>
      <c r="M21" s="1218"/>
      <c r="P21" s="568">
        <f t="shared" si="1"/>
        <v>0</v>
      </c>
      <c r="Q21" s="561" t="e">
        <f t="shared" si="2"/>
        <v>#DIV/0!</v>
      </c>
      <c r="R21" s="498">
        <f t="shared" si="3"/>
        <v>0</v>
      </c>
      <c r="S21" s="498" t="e">
        <f t="shared" si="4"/>
        <v>#DIV/0!</v>
      </c>
      <c r="T21" s="561">
        <f t="shared" si="14"/>
        <v>0</v>
      </c>
      <c r="U21" s="547">
        <f t="shared" si="5"/>
        <v>0</v>
      </c>
      <c r="V21" s="478">
        <f t="shared" si="6"/>
        <v>0</v>
      </c>
      <c r="W21" s="547">
        <f t="shared" si="7"/>
        <v>0</v>
      </c>
      <c r="X21" s="501">
        <f t="shared" si="15"/>
        <v>0</v>
      </c>
      <c r="Y21" s="547">
        <f t="shared" si="8"/>
        <v>0</v>
      </c>
      <c r="Z21" s="501">
        <f t="shared" si="16"/>
        <v>0</v>
      </c>
      <c r="AA21" s="502">
        <f>IF(F63=1, H9,0)</f>
        <v>0</v>
      </c>
      <c r="AB21" s="502">
        <f>IF(G63=1, J9,0)</f>
        <v>0</v>
      </c>
      <c r="AC21" s="502">
        <f>IF(H63=1, K9,0)</f>
        <v>0</v>
      </c>
      <c r="AD21" s="502">
        <f>IF(J63=1, L9,0)</f>
        <v>0</v>
      </c>
      <c r="AE21" s="502">
        <f>IF(F63=0,H10,0)</f>
        <v>0</v>
      </c>
      <c r="AF21" s="502">
        <f>IF(G63=0,J10,0)</f>
        <v>0</v>
      </c>
      <c r="AG21" s="502">
        <f>IF(H63=0,K10,0)</f>
        <v>0</v>
      </c>
      <c r="AH21" s="502">
        <f>IF(J63=0,L10,0)</f>
        <v>0</v>
      </c>
      <c r="AI21" s="501"/>
      <c r="AJ21" s="500"/>
      <c r="AK21" s="539">
        <f t="shared" si="9"/>
        <v>0</v>
      </c>
      <c r="AL21" s="293">
        <f t="shared" si="10"/>
        <v>0</v>
      </c>
      <c r="AM21" s="293">
        <f t="shared" si="11"/>
        <v>100</v>
      </c>
      <c r="AN21" s="1">
        <f t="shared" si="17"/>
        <v>0</v>
      </c>
      <c r="AO21">
        <f t="shared" si="18"/>
        <v>0</v>
      </c>
      <c r="AR21" s="572" t="e">
        <f t="shared" si="19"/>
        <v>#DIV/0!</v>
      </c>
      <c r="AS21">
        <f t="shared" si="20"/>
        <v>0</v>
      </c>
      <c r="AT21">
        <f t="shared" si="21"/>
        <v>1</v>
      </c>
      <c r="AU21">
        <f t="shared" si="12"/>
        <v>0</v>
      </c>
      <c r="AV21" t="e">
        <f t="shared" si="22"/>
        <v>#DIV/0!</v>
      </c>
      <c r="AW21">
        <f t="shared" si="23"/>
        <v>0</v>
      </c>
      <c r="AX21" s="1">
        <f t="shared" si="24"/>
        <v>0</v>
      </c>
      <c r="AY21" s="1">
        <f t="shared" si="25"/>
        <v>0</v>
      </c>
      <c r="AZ21">
        <f t="shared" si="26"/>
        <v>0</v>
      </c>
      <c r="BA21" s="299" t="e">
        <f t="shared" si="27"/>
        <v>#DIV/0!</v>
      </c>
      <c r="BB21" s="34" t="e">
        <f t="shared" si="28"/>
        <v>#DIV/0!</v>
      </c>
    </row>
    <row r="22" spans="2:54" ht="17.25" customHeight="1" thickTop="1" thickBot="1">
      <c r="B22" s="1"/>
      <c r="C22" s="1"/>
      <c r="E22" s="627">
        <f>'طريقة العمل'!AY35</f>
        <v>0</v>
      </c>
      <c r="F22" s="523">
        <f>'طريقة العمل'!AW35</f>
        <v>0</v>
      </c>
      <c r="G22" s="523">
        <f>'طريقة العمل'!AV35</f>
        <v>0</v>
      </c>
      <c r="H22" s="523">
        <f>IF(Y22&lt;0,"الوارث لم يبقى له شىء",Y22)</f>
        <v>0</v>
      </c>
      <c r="I22" s="626" t="e">
        <f xml:space="preserve"> IF(G22&gt;0,L22/G22,L22)</f>
        <v>#DIV/0!</v>
      </c>
      <c r="J22" s="1331" t="e">
        <f t="shared" si="13"/>
        <v>#DIV/0!</v>
      </c>
      <c r="K22" s="1332"/>
      <c r="L22" s="1217" t="e">
        <f t="shared" si="0"/>
        <v>#DIV/0!</v>
      </c>
      <c r="M22" s="1218"/>
      <c r="P22" s="568">
        <f t="shared" si="1"/>
        <v>0</v>
      </c>
      <c r="Q22" s="561" t="e">
        <f t="shared" si="2"/>
        <v>#DIV/0!</v>
      </c>
      <c r="R22" s="498">
        <f t="shared" si="3"/>
        <v>0</v>
      </c>
      <c r="S22" s="498" t="e">
        <f t="shared" si="4"/>
        <v>#DIV/0!</v>
      </c>
      <c r="T22" s="561">
        <f t="shared" si="14"/>
        <v>0</v>
      </c>
      <c r="U22" s="547">
        <f t="shared" si="5"/>
        <v>0</v>
      </c>
      <c r="V22" s="478">
        <f t="shared" si="6"/>
        <v>0</v>
      </c>
      <c r="W22" s="547">
        <f t="shared" si="7"/>
        <v>0</v>
      </c>
      <c r="X22" s="501">
        <f t="shared" si="15"/>
        <v>0</v>
      </c>
      <c r="Y22" s="547">
        <f t="shared" si="8"/>
        <v>0</v>
      </c>
      <c r="Z22" s="501">
        <f t="shared" si="16"/>
        <v>0</v>
      </c>
      <c r="AA22" s="502">
        <f>IF(F64=1, H9,0)</f>
        <v>0</v>
      </c>
      <c r="AB22" s="502">
        <f>IF(G64=1, J9,0)</f>
        <v>0</v>
      </c>
      <c r="AC22" s="502">
        <f>IF(H64=1, K9,0)</f>
        <v>0</v>
      </c>
      <c r="AD22" s="502">
        <f>IF(J64=1, L9,0)</f>
        <v>0</v>
      </c>
      <c r="AE22" s="502">
        <f>IF(F64=0,H10,0)</f>
        <v>0</v>
      </c>
      <c r="AF22" s="502">
        <f>IF(G64=0,J10,0)</f>
        <v>0</v>
      </c>
      <c r="AG22" s="502">
        <f>IF(H64=0,K10,0)</f>
        <v>0</v>
      </c>
      <c r="AH22" s="502">
        <f>IF(J64=0,L10,0)</f>
        <v>0</v>
      </c>
      <c r="AI22" s="501"/>
      <c r="AJ22" s="500"/>
      <c r="AK22" s="539">
        <f t="shared" si="9"/>
        <v>0</v>
      </c>
      <c r="AL22" s="293">
        <f t="shared" si="10"/>
        <v>0</v>
      </c>
      <c r="AM22" s="293">
        <f t="shared" si="11"/>
        <v>100</v>
      </c>
      <c r="AN22" s="1">
        <f t="shared" si="17"/>
        <v>0</v>
      </c>
      <c r="AO22">
        <f t="shared" si="18"/>
        <v>0</v>
      </c>
      <c r="AR22" s="572" t="e">
        <f t="shared" si="19"/>
        <v>#DIV/0!</v>
      </c>
      <c r="AS22">
        <f t="shared" si="20"/>
        <v>0</v>
      </c>
      <c r="AT22">
        <f t="shared" si="21"/>
        <v>1</v>
      </c>
      <c r="AU22">
        <f t="shared" si="12"/>
        <v>0</v>
      </c>
      <c r="AV22" t="e">
        <f t="shared" si="22"/>
        <v>#DIV/0!</v>
      </c>
      <c r="AW22">
        <f t="shared" si="23"/>
        <v>0</v>
      </c>
      <c r="AX22" s="1">
        <f t="shared" si="24"/>
        <v>0</v>
      </c>
      <c r="AY22" s="1">
        <f t="shared" si="25"/>
        <v>0</v>
      </c>
      <c r="AZ22">
        <f t="shared" si="26"/>
        <v>0</v>
      </c>
      <c r="BA22" s="299" t="e">
        <f t="shared" si="27"/>
        <v>#DIV/0!</v>
      </c>
      <c r="BB22" s="34" t="e">
        <f t="shared" si="28"/>
        <v>#DIV/0!</v>
      </c>
    </row>
    <row r="23" spans="2:54" ht="17.25" customHeight="1" thickTop="1" thickBot="1">
      <c r="B23" s="461" t="s">
        <v>114</v>
      </c>
      <c r="C23" s="1"/>
      <c r="E23" s="627">
        <f>'طريقة العمل'!AY36</f>
        <v>0</v>
      </c>
      <c r="F23" s="610">
        <f>'طريقة العمل'!AW36</f>
        <v>0</v>
      </c>
      <c r="G23" s="610">
        <f>'طريقة العمل'!AV36</f>
        <v>0</v>
      </c>
      <c r="H23" s="610">
        <f>IF(Y23&lt;0,"الوارث لم يبقى له شىء",Y23)</f>
        <v>0</v>
      </c>
      <c r="I23" s="626" t="e">
        <f xml:space="preserve"> IF(G23&gt;0,L23/G23,L23)</f>
        <v>#DIV/0!</v>
      </c>
      <c r="J23" s="1331" t="e">
        <f t="shared" si="13"/>
        <v>#DIV/0!</v>
      </c>
      <c r="K23" s="1332"/>
      <c r="L23" s="1363" t="e">
        <f t="shared" si="0"/>
        <v>#DIV/0!</v>
      </c>
      <c r="M23" s="1364"/>
      <c r="P23" s="568">
        <f t="shared" si="1"/>
        <v>0</v>
      </c>
      <c r="Q23" s="561" t="e">
        <f t="shared" si="2"/>
        <v>#DIV/0!</v>
      </c>
      <c r="R23" s="498">
        <f t="shared" si="3"/>
        <v>0</v>
      </c>
      <c r="S23" s="498" t="e">
        <f t="shared" si="4"/>
        <v>#DIV/0!</v>
      </c>
      <c r="T23" s="561">
        <f t="shared" si="14"/>
        <v>0</v>
      </c>
      <c r="U23" s="547">
        <f t="shared" si="5"/>
        <v>0</v>
      </c>
      <c r="V23" s="478">
        <f t="shared" si="6"/>
        <v>0</v>
      </c>
      <c r="W23" s="547">
        <f t="shared" si="7"/>
        <v>0</v>
      </c>
      <c r="X23" s="501">
        <f t="shared" si="15"/>
        <v>0</v>
      </c>
      <c r="Y23" s="547">
        <f t="shared" si="8"/>
        <v>0</v>
      </c>
      <c r="Z23" s="501">
        <f t="shared" si="16"/>
        <v>0</v>
      </c>
      <c r="AA23" s="502">
        <f>IF(F65=1, H9,0)</f>
        <v>0</v>
      </c>
      <c r="AB23" s="502">
        <f>IF(G65=1, J9,0)</f>
        <v>0</v>
      </c>
      <c r="AC23" s="502">
        <f>IF(H65=1, K9,0)</f>
        <v>0</v>
      </c>
      <c r="AD23" s="502">
        <f>IF(J65=1, L9,0)</f>
        <v>0</v>
      </c>
      <c r="AE23" s="502">
        <f>IF(F65=0,H10,0)</f>
        <v>0</v>
      </c>
      <c r="AF23" s="502">
        <f>IF(G65=0,J10,0)</f>
        <v>0</v>
      </c>
      <c r="AG23" s="502">
        <f>IF(H65=0,K10,0)</f>
        <v>0</v>
      </c>
      <c r="AH23" s="502">
        <f>IF(J65=0,L10,0)</f>
        <v>0</v>
      </c>
      <c r="AI23" s="501"/>
      <c r="AJ23" s="500"/>
      <c r="AK23" s="539">
        <f t="shared" si="9"/>
        <v>0</v>
      </c>
      <c r="AL23" s="293">
        <f t="shared" si="10"/>
        <v>0</v>
      </c>
      <c r="AM23" s="293">
        <f t="shared" si="11"/>
        <v>100</v>
      </c>
      <c r="AN23" s="1">
        <f t="shared" si="17"/>
        <v>0</v>
      </c>
      <c r="AO23">
        <f t="shared" si="18"/>
        <v>0</v>
      </c>
      <c r="AR23" s="572" t="e">
        <f t="shared" si="19"/>
        <v>#DIV/0!</v>
      </c>
      <c r="AS23">
        <f t="shared" si="20"/>
        <v>0</v>
      </c>
      <c r="AT23">
        <f t="shared" si="21"/>
        <v>1</v>
      </c>
      <c r="AU23">
        <f t="shared" si="12"/>
        <v>0</v>
      </c>
      <c r="AV23" t="e">
        <f t="shared" si="22"/>
        <v>#DIV/0!</v>
      </c>
      <c r="AW23">
        <f t="shared" si="23"/>
        <v>0</v>
      </c>
      <c r="AX23" s="1">
        <f t="shared" si="24"/>
        <v>0</v>
      </c>
      <c r="AY23" s="1">
        <f t="shared" si="25"/>
        <v>0</v>
      </c>
      <c r="AZ23">
        <f t="shared" si="26"/>
        <v>0</v>
      </c>
      <c r="BA23" s="299" t="e">
        <f t="shared" si="27"/>
        <v>#DIV/0!</v>
      </c>
      <c r="BB23" s="34" t="e">
        <f t="shared" si="28"/>
        <v>#DIV/0!</v>
      </c>
    </row>
    <row r="24" spans="2:54" ht="16.5" customHeight="1" thickTop="1" thickBot="1">
      <c r="B24" s="1326" t="s">
        <v>738</v>
      </c>
      <c r="C24" s="509">
        <f>H7</f>
        <v>0</v>
      </c>
      <c r="E24" s="506" t="str">
        <f>IF(H7+H6=0,"","الموصى له الأول  ")</f>
        <v/>
      </c>
      <c r="F24" s="579">
        <f>IFERROR( H24+K24,0)</f>
        <v>0</v>
      </c>
      <c r="G24" s="1329" t="s">
        <v>758</v>
      </c>
      <c r="H24" s="607">
        <f>K81</f>
        <v>0</v>
      </c>
      <c r="I24" s="618"/>
      <c r="J24" s="1329" t="s">
        <v>759</v>
      </c>
      <c r="K24" s="608">
        <f>M81</f>
        <v>0</v>
      </c>
      <c r="L24" s="1217" t="e">
        <f>BA24</f>
        <v>#DIV/0!</v>
      </c>
      <c r="M24" s="1218"/>
      <c r="N24" s="606" t="e">
        <f>AL24*F24/T41</f>
        <v>#DIV/0!</v>
      </c>
      <c r="O24" s="568">
        <f>F24</f>
        <v>0</v>
      </c>
      <c r="P24" s="568" t="e">
        <f>BA24</f>
        <v>#DIV/0!</v>
      </c>
      <c r="Q24" s="499" t="e">
        <f>T24/U24</f>
        <v>#DIV/0!</v>
      </c>
      <c r="R24" s="498">
        <f>IF(H24&gt;0,H24,0)</f>
        <v>0</v>
      </c>
      <c r="S24" s="498" t="e">
        <f>Q24</f>
        <v>#DIV/0!</v>
      </c>
      <c r="T24" s="547">
        <f>ROUNDDOWN(F24*AL24,0)</f>
        <v>0</v>
      </c>
      <c r="U24" s="547">
        <f t="shared" si="5"/>
        <v>0</v>
      </c>
      <c r="V24" s="478">
        <f xml:space="preserve"> AL24*F24</f>
        <v>0</v>
      </c>
      <c r="W24" s="547">
        <f>X24*F24</f>
        <v>0</v>
      </c>
      <c r="X24" s="501">
        <f t="shared" si="15"/>
        <v>0</v>
      </c>
      <c r="Y24" s="547"/>
      <c r="Z24" s="501">
        <f t="shared" si="16"/>
        <v>0</v>
      </c>
      <c r="AA24" s="501"/>
      <c r="AB24" s="501"/>
      <c r="AC24" s="501"/>
      <c r="AD24" s="501"/>
      <c r="AE24" s="501"/>
      <c r="AF24" s="501"/>
      <c r="AG24" s="501"/>
      <c r="AH24" s="501"/>
      <c r="AI24" s="501"/>
      <c r="AJ24" s="500"/>
      <c r="AK24" s="539">
        <f>AM24*F24</f>
        <v>0</v>
      </c>
      <c r="AL24" s="293">
        <f t="shared" si="10"/>
        <v>0</v>
      </c>
      <c r="AM24" s="293">
        <f t="shared" si="11"/>
        <v>100</v>
      </c>
      <c r="AN24" s="560" t="e">
        <f>Q24</f>
        <v>#DIV/0!</v>
      </c>
      <c r="AO24">
        <f t="shared" si="18"/>
        <v>0</v>
      </c>
      <c r="AR24" s="572" t="e">
        <f>Q24</f>
        <v>#DIV/0!</v>
      </c>
      <c r="AS24">
        <f t="shared" si="20"/>
        <v>0</v>
      </c>
      <c r="AT24">
        <f t="shared" si="21"/>
        <v>1</v>
      </c>
      <c r="AU24">
        <f t="shared" si="12"/>
        <v>0</v>
      </c>
      <c r="AV24" t="e">
        <f t="shared" si="22"/>
        <v>#DIV/0!</v>
      </c>
      <c r="AW24">
        <f t="shared" si="23"/>
        <v>0</v>
      </c>
      <c r="AX24" s="1">
        <f>O24</f>
        <v>0</v>
      </c>
      <c r="AY24" s="1">
        <f t="shared" si="25"/>
        <v>0</v>
      </c>
      <c r="AZ24">
        <f t="shared" si="26"/>
        <v>0</v>
      </c>
      <c r="BA24" s="299" t="e">
        <f t="shared" si="27"/>
        <v>#DIV/0!</v>
      </c>
      <c r="BB24" s="612" t="e">
        <f>BA24</f>
        <v>#DIV/0!</v>
      </c>
    </row>
    <row r="25" spans="2:54" ht="16.5" customHeight="1" thickTop="1" thickBot="1">
      <c r="B25" s="1327"/>
      <c r="C25" s="509">
        <f>J7</f>
        <v>0</v>
      </c>
      <c r="E25" s="507" t="str">
        <f>IF(J7=0,"","الموصى له التانى")</f>
        <v/>
      </c>
      <c r="F25" s="547">
        <f>IFERROR( H25+K25,0)</f>
        <v>0</v>
      </c>
      <c r="G25" s="1329"/>
      <c r="H25" s="600">
        <f>K82</f>
        <v>0</v>
      </c>
      <c r="I25" s="619"/>
      <c r="J25" s="1329"/>
      <c r="K25" s="603">
        <f>M82</f>
        <v>0</v>
      </c>
      <c r="L25" s="1217" t="e">
        <f>BA25</f>
        <v>#DIV/0!</v>
      </c>
      <c r="M25" s="1218"/>
      <c r="N25" s="606" t="e">
        <f>AL25*F25/T42</f>
        <v>#DIV/0!</v>
      </c>
      <c r="O25" s="568">
        <f>F25</f>
        <v>0</v>
      </c>
      <c r="P25" s="568" t="e">
        <f>BA25</f>
        <v>#DIV/0!</v>
      </c>
      <c r="Q25" s="499" t="e">
        <f>T25/U25</f>
        <v>#DIV/0!</v>
      </c>
      <c r="R25" s="498">
        <f>IF(H25&gt;0,H25,0)</f>
        <v>0</v>
      </c>
      <c r="S25" s="498" t="e">
        <f>Q25</f>
        <v>#DIV/0!</v>
      </c>
      <c r="T25" s="561">
        <f>ROUNDDOWN(F25*AL25,0)</f>
        <v>0</v>
      </c>
      <c r="U25" s="547">
        <f t="shared" si="5"/>
        <v>0</v>
      </c>
      <c r="V25" s="478">
        <f xml:space="preserve"> AL25*F25</f>
        <v>0</v>
      </c>
      <c r="W25" s="547">
        <f>X25*F25</f>
        <v>0</v>
      </c>
      <c r="X25" s="501">
        <f t="shared" si="15"/>
        <v>0</v>
      </c>
      <c r="Y25" s="547"/>
      <c r="Z25" s="501">
        <f t="shared" si="16"/>
        <v>0</v>
      </c>
      <c r="AA25" s="501"/>
      <c r="AB25" s="501"/>
      <c r="AC25" s="501"/>
      <c r="AD25" s="501"/>
      <c r="AE25" s="501"/>
      <c r="AF25" s="501"/>
      <c r="AG25" s="501"/>
      <c r="AH25" s="501"/>
      <c r="AI25" s="501"/>
      <c r="AJ25" s="500"/>
      <c r="AK25" s="539">
        <f>AM25*F25</f>
        <v>0</v>
      </c>
      <c r="AL25" s="293">
        <f t="shared" si="10"/>
        <v>0</v>
      </c>
      <c r="AM25" s="293">
        <f t="shared" si="11"/>
        <v>100</v>
      </c>
      <c r="AN25" s="560" t="e">
        <f>Q25</f>
        <v>#DIV/0!</v>
      </c>
      <c r="AO25">
        <f t="shared" si="18"/>
        <v>0</v>
      </c>
      <c r="AR25" s="572" t="e">
        <f>Q25</f>
        <v>#DIV/0!</v>
      </c>
      <c r="AS25">
        <f t="shared" si="20"/>
        <v>0</v>
      </c>
      <c r="AT25">
        <f t="shared" si="21"/>
        <v>1</v>
      </c>
      <c r="AU25">
        <f t="shared" si="12"/>
        <v>0</v>
      </c>
      <c r="AV25" t="e">
        <f t="shared" si="22"/>
        <v>#DIV/0!</v>
      </c>
      <c r="AW25">
        <f t="shared" si="23"/>
        <v>0</v>
      </c>
      <c r="AX25" s="1">
        <f>O25</f>
        <v>0</v>
      </c>
      <c r="AY25" s="1">
        <f t="shared" si="25"/>
        <v>0</v>
      </c>
      <c r="AZ25">
        <f t="shared" si="26"/>
        <v>0</v>
      </c>
      <c r="BA25" s="299" t="e">
        <f t="shared" si="27"/>
        <v>#DIV/0!</v>
      </c>
      <c r="BB25" s="612" t="e">
        <f>BA25</f>
        <v>#DIV/0!</v>
      </c>
    </row>
    <row r="26" spans="2:54" ht="16.5" customHeight="1" thickTop="1" thickBot="1">
      <c r="B26" s="1327"/>
      <c r="C26" s="509">
        <f>K7</f>
        <v>0</v>
      </c>
      <c r="E26" s="507" t="str">
        <f>IF(K7=0,"","الموصى له الثالث")</f>
        <v/>
      </c>
      <c r="F26" s="547">
        <f>IFERROR( H26+K26,0)</f>
        <v>0</v>
      </c>
      <c r="G26" s="1329"/>
      <c r="H26" s="601">
        <f>K83</f>
        <v>0</v>
      </c>
      <c r="I26" s="620"/>
      <c r="J26" s="1329"/>
      <c r="K26" s="604">
        <f>M83</f>
        <v>0</v>
      </c>
      <c r="L26" s="1217" t="e">
        <f>BA26</f>
        <v>#DIV/0!</v>
      </c>
      <c r="M26" s="1218"/>
      <c r="N26" s="606" t="e">
        <f>AL26*F26/T43</f>
        <v>#DIV/0!</v>
      </c>
      <c r="O26" s="568">
        <f>F26</f>
        <v>0</v>
      </c>
      <c r="P26" s="568" t="e">
        <f>BA26</f>
        <v>#DIV/0!</v>
      </c>
      <c r="Q26" s="499" t="e">
        <f>T26/U26</f>
        <v>#DIV/0!</v>
      </c>
      <c r="R26" s="498">
        <f>IF(H26&gt;0,H26,0)</f>
        <v>0</v>
      </c>
      <c r="S26" s="498" t="e">
        <f>Q26</f>
        <v>#DIV/0!</v>
      </c>
      <c r="T26" s="561">
        <f>ROUNDDOWN(F26*AL26,0)</f>
        <v>0</v>
      </c>
      <c r="U26" s="547">
        <f t="shared" si="5"/>
        <v>0</v>
      </c>
      <c r="V26" s="478">
        <f xml:space="preserve"> AL26*F26</f>
        <v>0</v>
      </c>
      <c r="W26" s="547">
        <f>X26*F26</f>
        <v>0</v>
      </c>
      <c r="X26" s="501">
        <f t="shared" si="15"/>
        <v>0</v>
      </c>
      <c r="Y26" s="547"/>
      <c r="Z26" s="501">
        <f t="shared" si="16"/>
        <v>0</v>
      </c>
      <c r="AA26" s="501"/>
      <c r="AB26" s="501"/>
      <c r="AC26" s="501" t="s">
        <v>114</v>
      </c>
      <c r="AD26" s="501"/>
      <c r="AE26" s="501"/>
      <c r="AF26" s="501"/>
      <c r="AG26" s="501"/>
      <c r="AH26" s="501"/>
      <c r="AI26" s="501"/>
      <c r="AJ26" s="500"/>
      <c r="AK26" s="539">
        <f>AM26*F26</f>
        <v>0</v>
      </c>
      <c r="AL26" s="293">
        <f t="shared" si="10"/>
        <v>0</v>
      </c>
      <c r="AM26" s="293">
        <f t="shared" si="11"/>
        <v>100</v>
      </c>
      <c r="AN26" s="560" t="e">
        <f>Q26</f>
        <v>#DIV/0!</v>
      </c>
      <c r="AO26">
        <f t="shared" si="18"/>
        <v>0</v>
      </c>
      <c r="AR26" s="572" t="e">
        <f>Q26</f>
        <v>#DIV/0!</v>
      </c>
      <c r="AS26">
        <f t="shared" si="20"/>
        <v>0</v>
      </c>
      <c r="AT26">
        <f t="shared" si="21"/>
        <v>1</v>
      </c>
      <c r="AU26">
        <f t="shared" si="12"/>
        <v>0</v>
      </c>
      <c r="AV26" t="e">
        <f t="shared" si="22"/>
        <v>#DIV/0!</v>
      </c>
      <c r="AW26">
        <f t="shared" si="23"/>
        <v>0</v>
      </c>
      <c r="AX26" s="1">
        <f>O26</f>
        <v>0</v>
      </c>
      <c r="AY26" s="1">
        <f t="shared" si="25"/>
        <v>0</v>
      </c>
      <c r="AZ26">
        <f t="shared" si="26"/>
        <v>0</v>
      </c>
      <c r="BA26" s="299" t="e">
        <f t="shared" si="27"/>
        <v>#DIV/0!</v>
      </c>
      <c r="BB26" s="612" t="e">
        <f>BA26</f>
        <v>#DIV/0!</v>
      </c>
    </row>
    <row r="27" spans="2:54" ht="16.5" customHeight="1" thickTop="1" thickBot="1">
      <c r="B27" s="1328"/>
      <c r="C27" s="509">
        <f>L7</f>
        <v>0</v>
      </c>
      <c r="E27" s="508" t="str">
        <f>IF(L7=0,"","الموصى له الرابع")</f>
        <v/>
      </c>
      <c r="F27" s="548">
        <f>IFERROR( H27+K27,0)</f>
        <v>0</v>
      </c>
      <c r="G27" s="1330"/>
      <c r="H27" s="602">
        <f>K84</f>
        <v>0</v>
      </c>
      <c r="I27" s="621"/>
      <c r="J27" s="1330"/>
      <c r="K27" s="605">
        <f>M84</f>
        <v>0</v>
      </c>
      <c r="L27" s="1217" t="e">
        <f>BA27</f>
        <v>#DIV/0!</v>
      </c>
      <c r="M27" s="1218"/>
      <c r="N27" s="606" t="e">
        <f>AL27*F27/T44</f>
        <v>#DIV/0!</v>
      </c>
      <c r="O27" s="568">
        <f>F27</f>
        <v>0</v>
      </c>
      <c r="P27" s="569" t="e">
        <f>BA27</f>
        <v>#DIV/0!</v>
      </c>
      <c r="Q27" s="544" t="e">
        <f>T27/U27</f>
        <v>#DIV/0!</v>
      </c>
      <c r="R27" s="503">
        <f>IF(H27&gt;0,H27,0)</f>
        <v>0</v>
      </c>
      <c r="S27" s="503" t="e">
        <f>Q27</f>
        <v>#DIV/0!</v>
      </c>
      <c r="T27" s="561">
        <f>ROUNDDOWN(F27*AL27,0)</f>
        <v>0</v>
      </c>
      <c r="U27" s="548">
        <f t="shared" si="5"/>
        <v>0</v>
      </c>
      <c r="V27" s="558">
        <f xml:space="preserve"> AL27*F27</f>
        <v>0</v>
      </c>
      <c r="W27" s="548">
        <f>X27*F27</f>
        <v>0</v>
      </c>
      <c r="X27" s="505">
        <f t="shared" si="15"/>
        <v>0</v>
      </c>
      <c r="Y27" s="548"/>
      <c r="Z27" s="501">
        <f t="shared" si="16"/>
        <v>0</v>
      </c>
      <c r="AA27" s="505"/>
      <c r="AB27" s="505"/>
      <c r="AC27" s="505"/>
      <c r="AD27" s="505"/>
      <c r="AE27" s="505"/>
      <c r="AF27" s="505"/>
      <c r="AG27" s="505"/>
      <c r="AH27" s="505"/>
      <c r="AI27" s="505"/>
      <c r="AJ27" s="504"/>
      <c r="AK27" s="559">
        <f>AM27*F27</f>
        <v>0</v>
      </c>
      <c r="AL27" s="293">
        <f t="shared" si="10"/>
        <v>0</v>
      </c>
      <c r="AM27" s="293">
        <f t="shared" si="11"/>
        <v>100</v>
      </c>
      <c r="AN27" s="560" t="e">
        <f>Q27</f>
        <v>#DIV/0!</v>
      </c>
      <c r="AO27">
        <f t="shared" si="18"/>
        <v>0</v>
      </c>
      <c r="AR27" s="572" t="e">
        <f>Q27</f>
        <v>#DIV/0!</v>
      </c>
      <c r="AS27">
        <f t="shared" si="20"/>
        <v>0</v>
      </c>
      <c r="AT27">
        <f t="shared" si="21"/>
        <v>1</v>
      </c>
      <c r="AU27">
        <f t="shared" si="12"/>
        <v>0</v>
      </c>
      <c r="AV27" t="e">
        <f t="shared" si="22"/>
        <v>#DIV/0!</v>
      </c>
      <c r="AW27">
        <f t="shared" si="23"/>
        <v>0</v>
      </c>
      <c r="AX27" s="1">
        <f>O27</f>
        <v>0</v>
      </c>
      <c r="AY27" s="1">
        <f t="shared" si="25"/>
        <v>0</v>
      </c>
      <c r="AZ27">
        <f t="shared" si="26"/>
        <v>0</v>
      </c>
      <c r="BA27" s="299" t="e">
        <f t="shared" si="27"/>
        <v>#DIV/0!</v>
      </c>
      <c r="BB27" s="612" t="e">
        <f>BA27</f>
        <v>#DIV/0!</v>
      </c>
    </row>
    <row r="28" spans="2:54" ht="15.75" customHeight="1">
      <c r="B28" s="1"/>
      <c r="C28" s="1"/>
      <c r="E28" s="462" t="s">
        <v>114</v>
      </c>
      <c r="F28" s="462"/>
      <c r="G28" s="463"/>
      <c r="H28" s="464"/>
      <c r="I28" s="464"/>
      <c r="J28" s="464"/>
      <c r="K28" s="464"/>
      <c r="L28" s="465">
        <v>1</v>
      </c>
      <c r="N28" s="465"/>
      <c r="O28" s="465">
        <f>C6</f>
        <v>0</v>
      </c>
      <c r="P28" s="465" t="e">
        <f>SUM(P24:P27)</f>
        <v>#DIV/0!</v>
      </c>
      <c r="Q28" s="566" t="e">
        <f>SUM(AN12:AN27)</f>
        <v>#DIV/0!</v>
      </c>
      <c r="R28" s="479"/>
      <c r="S28" s="480" t="e">
        <f>SUM(S12:S27)</f>
        <v>#DIV/0!</v>
      </c>
      <c r="T28" s="480"/>
      <c r="U28" s="481"/>
      <c r="V28" s="482"/>
      <c r="W28" s="481">
        <f>SUM(W12:W27)</f>
        <v>0</v>
      </c>
      <c r="X28" s="483"/>
      <c r="Y28" s="481"/>
      <c r="Z28" s="28"/>
      <c r="AA28" s="478"/>
      <c r="AB28" s="478"/>
      <c r="AC28" s="1"/>
      <c r="AD28" s="1"/>
      <c r="AE28" s="1"/>
      <c r="AF28" s="1"/>
      <c r="AG28" s="1"/>
      <c r="AH28" s="1"/>
      <c r="AI28" s="1"/>
      <c r="AJ28" s="1"/>
      <c r="AK28" s="1"/>
      <c r="AL28" s="1"/>
      <c r="AR28" s="573" t="e">
        <f>'الأجـــازة للوصايا'!R12</f>
        <v>#DIV/0!</v>
      </c>
      <c r="AS28">
        <f t="shared" si="20"/>
        <v>0</v>
      </c>
      <c r="AT28">
        <f t="shared" si="21"/>
        <v>1</v>
      </c>
      <c r="AU28">
        <f t="shared" si="12"/>
        <v>0</v>
      </c>
      <c r="AV28" t="e">
        <f t="shared" si="22"/>
        <v>#DIV/0!</v>
      </c>
      <c r="AW28">
        <f t="shared" si="23"/>
        <v>0</v>
      </c>
      <c r="AX28">
        <f>'الأجـــازة للوصايا'!O12</f>
        <v>0</v>
      </c>
      <c r="AY28" s="1">
        <f t="shared" si="25"/>
        <v>0</v>
      </c>
      <c r="AZ28">
        <f t="shared" si="26"/>
        <v>0</v>
      </c>
      <c r="BA28" s="299" t="e">
        <f t="shared" si="27"/>
        <v>#DIV/0!</v>
      </c>
      <c r="BB28" s="536" t="e">
        <f t="shared" ref="BB28:BB55" si="29">BA28</f>
        <v>#DIV/0!</v>
      </c>
    </row>
    <row r="29" spans="2:54" ht="15.75" hidden="1">
      <c r="F29" s="28"/>
      <c r="G29" s="28"/>
      <c r="H29" s="28"/>
      <c r="I29" s="28"/>
      <c r="J29" s="28"/>
      <c r="K29" s="28"/>
      <c r="L29" s="28"/>
      <c r="M29" s="478">
        <f>SUM(M12:M27)</f>
        <v>0</v>
      </c>
      <c r="N29" s="478" t="e">
        <f>SUM(N12:N27)</f>
        <v>#DIV/0!</v>
      </c>
      <c r="O29" s="478"/>
      <c r="P29" s="478"/>
      <c r="R29" s="28"/>
      <c r="S29" s="28"/>
      <c r="T29" s="537">
        <f>GCD(T12:T27)</f>
        <v>0</v>
      </c>
      <c r="U29" s="28"/>
      <c r="V29" s="28"/>
      <c r="W29" s="28"/>
      <c r="X29" s="28"/>
      <c r="Y29" s="28"/>
      <c r="Z29" s="28"/>
      <c r="AA29" s="28"/>
      <c r="AB29" s="28"/>
      <c r="AD29" s="1"/>
      <c r="AR29" s="573" t="e">
        <f>'الأجـــازة للوصايا'!R13</f>
        <v>#DIV/0!</v>
      </c>
      <c r="AS29">
        <f t="shared" si="20"/>
        <v>0</v>
      </c>
      <c r="AT29">
        <f t="shared" si="21"/>
        <v>1</v>
      </c>
      <c r="AU29">
        <f t="shared" si="12"/>
        <v>0</v>
      </c>
      <c r="AV29" t="e">
        <f t="shared" si="22"/>
        <v>#DIV/0!</v>
      </c>
      <c r="AW29">
        <f t="shared" si="23"/>
        <v>0</v>
      </c>
      <c r="AX29">
        <f>'الأجـــازة للوصايا'!O13</f>
        <v>0</v>
      </c>
      <c r="AY29" s="1">
        <f t="shared" si="25"/>
        <v>0</v>
      </c>
      <c r="AZ29">
        <f t="shared" si="26"/>
        <v>0</v>
      </c>
      <c r="BA29" s="299" t="e">
        <f t="shared" si="27"/>
        <v>#DIV/0!</v>
      </c>
      <c r="BB29" s="536" t="e">
        <f t="shared" si="29"/>
        <v>#DIV/0!</v>
      </c>
    </row>
    <row r="30" spans="2:54" ht="18.75" hidden="1">
      <c r="F30" s="28"/>
      <c r="G30" s="28"/>
      <c r="H30" s="28"/>
      <c r="I30" s="28"/>
      <c r="J30" s="28"/>
      <c r="K30" s="28"/>
      <c r="L30" s="28"/>
      <c r="M30" s="28"/>
      <c r="N30" s="28"/>
      <c r="O30" s="28"/>
      <c r="P30" s="28"/>
      <c r="Q30" s="549" t="e">
        <f>SUM(Q24:Q27)</f>
        <v>#DIV/0!</v>
      </c>
      <c r="R30" s="28"/>
      <c r="S30" s="28"/>
      <c r="T30" s="478">
        <f t="shared" ref="T30:T47" si="30">$T$29</f>
        <v>0</v>
      </c>
      <c r="U30" s="28"/>
      <c r="V30" s="28"/>
      <c r="W30" s="478">
        <f>ROUNDDOWN(W28,0)</f>
        <v>0</v>
      </c>
      <c r="X30" s="28"/>
      <c r="Y30" s="28"/>
      <c r="Z30" s="28"/>
      <c r="AA30" s="28"/>
      <c r="AB30" s="28"/>
      <c r="AD30" s="1"/>
      <c r="AR30" s="573" t="e">
        <f>'الأجـــازة للوصايا'!R14</f>
        <v>#DIV/0!</v>
      </c>
      <c r="AS30">
        <f t="shared" si="20"/>
        <v>0</v>
      </c>
      <c r="AT30">
        <f t="shared" si="21"/>
        <v>1</v>
      </c>
      <c r="AU30">
        <f t="shared" si="12"/>
        <v>0</v>
      </c>
      <c r="AV30" t="e">
        <f t="shared" si="22"/>
        <v>#DIV/0!</v>
      </c>
      <c r="AW30">
        <f t="shared" si="23"/>
        <v>0</v>
      </c>
      <c r="AX30">
        <f>'الأجـــازة للوصايا'!O14</f>
        <v>0</v>
      </c>
      <c r="AY30" s="1">
        <f t="shared" si="25"/>
        <v>0</v>
      </c>
      <c r="AZ30">
        <f t="shared" si="26"/>
        <v>0</v>
      </c>
      <c r="BA30" s="299" t="e">
        <f t="shared" si="27"/>
        <v>#DIV/0!</v>
      </c>
      <c r="BB30" s="536" t="e">
        <f t="shared" si="29"/>
        <v>#DIV/0!</v>
      </c>
    </row>
    <row r="31" spans="2:54" hidden="1">
      <c r="D31">
        <f>L31</f>
        <v>0</v>
      </c>
      <c r="E31" s="1">
        <f t="shared" ref="E31:E42" si="31">G12</f>
        <v>0</v>
      </c>
      <c r="F31" s="478">
        <f t="shared" ref="F31:H42" si="32">E12</f>
        <v>0</v>
      </c>
      <c r="H31" s="478">
        <f t="shared" si="32"/>
        <v>0</v>
      </c>
      <c r="I31" s="478"/>
      <c r="J31" s="28">
        <f>IF(E31&gt;1,M31,0)</f>
        <v>0</v>
      </c>
      <c r="K31" t="e">
        <f>VLOOKUP(1,D31:J42,3,FALSE)</f>
        <v>#N/A</v>
      </c>
      <c r="L31" s="28">
        <f>IF(H31&gt;1,1,0)</f>
        <v>0</v>
      </c>
      <c r="M31" s="28">
        <f>VLOOKUP(E31,E31:H40,2,FALSE)</f>
        <v>0</v>
      </c>
      <c r="N31" s="28"/>
      <c r="O31" s="28"/>
      <c r="P31" s="28"/>
      <c r="Q31" s="478">
        <f t="shared" ref="Q31:Q44" si="33">L31</f>
        <v>0</v>
      </c>
      <c r="R31" s="28"/>
      <c r="S31" s="28"/>
      <c r="T31" s="478">
        <f t="shared" si="30"/>
        <v>0</v>
      </c>
      <c r="U31" s="28"/>
      <c r="V31" s="28"/>
      <c r="W31" s="478">
        <f>W28-W30</f>
        <v>0</v>
      </c>
      <c r="X31" s="28"/>
      <c r="Y31" s="28"/>
      <c r="Z31" s="28"/>
      <c r="AA31" s="28"/>
      <c r="AB31" s="28"/>
      <c r="AD31" s="1"/>
      <c r="AK31" s="478">
        <f t="shared" ref="AK31:AK42" si="34">F12</f>
        <v>0</v>
      </c>
      <c r="AR31" s="573" t="e">
        <f>'الأجـــازة للوصايا'!R15</f>
        <v>#DIV/0!</v>
      </c>
      <c r="AS31">
        <f t="shared" si="20"/>
        <v>0</v>
      </c>
      <c r="AT31">
        <f t="shared" si="21"/>
        <v>1</v>
      </c>
      <c r="AU31">
        <f t="shared" si="12"/>
        <v>0</v>
      </c>
      <c r="AV31" t="e">
        <f t="shared" si="22"/>
        <v>#DIV/0!</v>
      </c>
      <c r="AW31">
        <f t="shared" si="23"/>
        <v>0</v>
      </c>
      <c r="AX31">
        <f>'الأجـــازة للوصايا'!O15</f>
        <v>0</v>
      </c>
      <c r="AY31" s="1">
        <f t="shared" si="25"/>
        <v>0</v>
      </c>
      <c r="AZ31">
        <f t="shared" si="26"/>
        <v>0</v>
      </c>
      <c r="BA31" s="299" t="e">
        <f t="shared" si="27"/>
        <v>#DIV/0!</v>
      </c>
      <c r="BB31" s="536" t="e">
        <f t="shared" si="29"/>
        <v>#DIV/0!</v>
      </c>
    </row>
    <row r="32" spans="2:54" hidden="1">
      <c r="D32">
        <f>L32+SUM(L31)</f>
        <v>0</v>
      </c>
      <c r="E32" s="1">
        <f t="shared" si="31"/>
        <v>0</v>
      </c>
      <c r="F32" s="478">
        <f t="shared" si="32"/>
        <v>0</v>
      </c>
      <c r="H32" s="478">
        <f t="shared" si="32"/>
        <v>0</v>
      </c>
      <c r="I32" s="478"/>
      <c r="J32" s="28">
        <f>IF(E32&gt;1,M32,0)</f>
        <v>0</v>
      </c>
      <c r="K32" t="e">
        <f>VLOOKUP(2,D31:J42,3,FALSE)</f>
        <v>#N/A</v>
      </c>
      <c r="L32" s="28">
        <f t="shared" ref="L32:L42" si="35">IF(H32&gt;1,1,0)</f>
        <v>0</v>
      </c>
      <c r="M32" s="28">
        <f>VLOOKUP(E32,E31:H40,2,FALSE)</f>
        <v>0</v>
      </c>
      <c r="N32" s="28"/>
      <c r="O32" s="28"/>
      <c r="P32" s="28"/>
      <c r="Q32" s="478">
        <f t="shared" si="33"/>
        <v>0</v>
      </c>
      <c r="R32" s="28"/>
      <c r="S32" s="28"/>
      <c r="T32" s="478">
        <f t="shared" si="30"/>
        <v>0</v>
      </c>
      <c r="U32" s="28"/>
      <c r="V32" s="28"/>
      <c r="W32" s="478" t="s">
        <v>114</v>
      </c>
      <c r="X32" s="28"/>
      <c r="Y32" s="28"/>
      <c r="Z32" s="28"/>
      <c r="AA32" s="28"/>
      <c r="AB32" s="28"/>
      <c r="AD32" s="1"/>
      <c r="AK32" s="478">
        <f t="shared" si="34"/>
        <v>0</v>
      </c>
      <c r="AR32" s="573" t="e">
        <f>'الأجـــازة للوصايا'!R16</f>
        <v>#DIV/0!</v>
      </c>
      <c r="AS32">
        <f t="shared" si="20"/>
        <v>0</v>
      </c>
      <c r="AT32">
        <f t="shared" si="21"/>
        <v>1</v>
      </c>
      <c r="AU32">
        <f t="shared" si="12"/>
        <v>0</v>
      </c>
      <c r="AV32" t="e">
        <f t="shared" si="22"/>
        <v>#DIV/0!</v>
      </c>
      <c r="AW32">
        <f t="shared" si="23"/>
        <v>0</v>
      </c>
      <c r="AX32">
        <f>'الأجـــازة للوصايا'!O16</f>
        <v>0</v>
      </c>
      <c r="AY32" s="1">
        <f t="shared" si="25"/>
        <v>0</v>
      </c>
      <c r="AZ32">
        <f t="shared" si="26"/>
        <v>0</v>
      </c>
      <c r="BA32" s="299" t="e">
        <f t="shared" si="27"/>
        <v>#DIV/0!</v>
      </c>
      <c r="BB32" s="536" t="e">
        <f t="shared" si="29"/>
        <v>#DIV/0!</v>
      </c>
    </row>
    <row r="33" spans="4:54" hidden="1">
      <c r="D33">
        <f>L33+SUM(L31:L32)</f>
        <v>0</v>
      </c>
      <c r="E33" s="1">
        <f t="shared" si="31"/>
        <v>0</v>
      </c>
      <c r="F33" s="478">
        <f t="shared" si="32"/>
        <v>0</v>
      </c>
      <c r="H33" s="478">
        <f t="shared" si="32"/>
        <v>0</v>
      </c>
      <c r="I33" s="478"/>
      <c r="J33" s="28">
        <f>IF(E33&gt;1,M33,0)</f>
        <v>0</v>
      </c>
      <c r="K33" t="e">
        <f>VLOOKUP(3,D31:J42,3,FALSE)</f>
        <v>#N/A</v>
      </c>
      <c r="L33" s="28">
        <f t="shared" si="35"/>
        <v>0</v>
      </c>
      <c r="M33" s="28">
        <f>VLOOKUP(E33,E31:H40,2,FALSE)</f>
        <v>0</v>
      </c>
      <c r="N33" s="28"/>
      <c r="O33" s="28"/>
      <c r="P33" s="28"/>
      <c r="Q33" s="478">
        <f t="shared" si="33"/>
        <v>0</v>
      </c>
      <c r="R33" s="28"/>
      <c r="S33" s="28"/>
      <c r="T33" s="478">
        <f t="shared" si="30"/>
        <v>0</v>
      </c>
      <c r="U33" s="28"/>
      <c r="V33" s="28"/>
      <c r="W33" s="28"/>
      <c r="X33" s="28"/>
      <c r="Y33" s="28"/>
      <c r="Z33" s="28"/>
      <c r="AA33" s="28"/>
      <c r="AB33" s="28"/>
      <c r="AD33" s="1"/>
      <c r="AK33" s="478">
        <f t="shared" si="34"/>
        <v>0</v>
      </c>
      <c r="AR33" s="573" t="e">
        <f>'الأجـــازة للوصايا'!R17</f>
        <v>#DIV/0!</v>
      </c>
      <c r="AS33">
        <f t="shared" si="20"/>
        <v>0</v>
      </c>
      <c r="AT33">
        <f t="shared" si="21"/>
        <v>1</v>
      </c>
      <c r="AU33">
        <f t="shared" si="12"/>
        <v>0</v>
      </c>
      <c r="AV33" t="e">
        <f t="shared" si="22"/>
        <v>#DIV/0!</v>
      </c>
      <c r="AW33">
        <f t="shared" si="23"/>
        <v>0</v>
      </c>
      <c r="AX33">
        <f>'الأجـــازة للوصايا'!O17</f>
        <v>0</v>
      </c>
      <c r="AY33" s="1">
        <f t="shared" si="25"/>
        <v>0</v>
      </c>
      <c r="AZ33">
        <f t="shared" si="26"/>
        <v>0</v>
      </c>
      <c r="BA33" s="299" t="e">
        <f t="shared" si="27"/>
        <v>#DIV/0!</v>
      </c>
      <c r="BB33" s="536" t="e">
        <f t="shared" si="29"/>
        <v>#DIV/0!</v>
      </c>
    </row>
    <row r="34" spans="4:54" hidden="1">
      <c r="D34">
        <f>L34+SUM(L31:L33)</f>
        <v>0</v>
      </c>
      <c r="E34" s="1">
        <f t="shared" si="31"/>
        <v>0</v>
      </c>
      <c r="F34" s="478">
        <f t="shared" si="32"/>
        <v>0</v>
      </c>
      <c r="H34" s="478">
        <f t="shared" si="32"/>
        <v>0</v>
      </c>
      <c r="I34" s="478"/>
      <c r="J34" s="28">
        <f>IF(E34&gt;1,M34,0)</f>
        <v>0</v>
      </c>
      <c r="K34" t="e">
        <f>VLOOKUP(4,D31:J42,3,FALSE)</f>
        <v>#N/A</v>
      </c>
      <c r="L34" s="28">
        <f t="shared" si="35"/>
        <v>0</v>
      </c>
      <c r="M34" s="28">
        <f>VLOOKUP(E34,E31:H40,2,FALSE)</f>
        <v>0</v>
      </c>
      <c r="N34" s="28"/>
      <c r="O34" s="28"/>
      <c r="P34" s="28"/>
      <c r="Q34" s="28">
        <f t="shared" si="33"/>
        <v>0</v>
      </c>
      <c r="R34" s="28"/>
      <c r="S34" s="28"/>
      <c r="T34" s="478">
        <f t="shared" si="30"/>
        <v>0</v>
      </c>
      <c r="U34" s="28"/>
      <c r="V34" s="28"/>
      <c r="W34" s="28"/>
      <c r="X34" s="28"/>
      <c r="Y34" s="28"/>
      <c r="Z34" s="28"/>
      <c r="AA34" s="28"/>
      <c r="AB34" s="28"/>
      <c r="AD34" s="1"/>
      <c r="AK34" s="478">
        <f t="shared" si="34"/>
        <v>0</v>
      </c>
      <c r="AR34" s="573" t="e">
        <f>'الأجـــازة للوصايا'!R18</f>
        <v>#DIV/0!</v>
      </c>
      <c r="AS34">
        <f t="shared" si="20"/>
        <v>0</v>
      </c>
      <c r="AT34">
        <f t="shared" si="21"/>
        <v>1</v>
      </c>
      <c r="AU34">
        <f t="shared" si="12"/>
        <v>0</v>
      </c>
      <c r="AV34" t="e">
        <f t="shared" si="22"/>
        <v>#DIV/0!</v>
      </c>
      <c r="AW34">
        <f t="shared" si="23"/>
        <v>0</v>
      </c>
      <c r="AX34">
        <f>'الأجـــازة للوصايا'!O18</f>
        <v>0</v>
      </c>
      <c r="AY34" s="1">
        <f t="shared" si="25"/>
        <v>0</v>
      </c>
      <c r="AZ34">
        <f t="shared" si="26"/>
        <v>0</v>
      </c>
      <c r="BA34" s="299" t="e">
        <f t="shared" si="27"/>
        <v>#DIV/0!</v>
      </c>
      <c r="BB34" s="536" t="e">
        <f t="shared" si="29"/>
        <v>#DIV/0!</v>
      </c>
    </row>
    <row r="35" spans="4:54" hidden="1">
      <c r="D35">
        <f>L35+SUM(L31:L34)</f>
        <v>0</v>
      </c>
      <c r="E35" s="1">
        <f t="shared" si="31"/>
        <v>0</v>
      </c>
      <c r="F35" s="478">
        <f t="shared" si="32"/>
        <v>0</v>
      </c>
      <c r="H35" s="478">
        <f t="shared" si="32"/>
        <v>0</v>
      </c>
      <c r="I35" s="478"/>
      <c r="J35" s="28">
        <f>IF( E35&gt;1, F35,0)</f>
        <v>0</v>
      </c>
      <c r="K35" t="e">
        <f>VLOOKUP(5,D31:J42,3,FALSE)</f>
        <v>#N/A</v>
      </c>
      <c r="L35" s="28">
        <f t="shared" si="35"/>
        <v>0</v>
      </c>
      <c r="M35" s="28">
        <f>VLOOKUP(E35,E31:H40,2,FALSE)</f>
        <v>0</v>
      </c>
      <c r="N35" s="28"/>
      <c r="O35" s="28"/>
      <c r="P35" s="28"/>
      <c r="Q35" s="28">
        <f t="shared" si="33"/>
        <v>0</v>
      </c>
      <c r="R35" s="28"/>
      <c r="S35" s="28"/>
      <c r="T35" s="478">
        <f t="shared" si="30"/>
        <v>0</v>
      </c>
      <c r="U35" s="28"/>
      <c r="V35" s="28"/>
      <c r="W35" s="28"/>
      <c r="X35" s="28"/>
      <c r="Y35" s="28"/>
      <c r="Z35" s="28"/>
      <c r="AA35" s="28"/>
      <c r="AB35" s="28"/>
      <c r="AD35" s="1"/>
      <c r="AK35" s="478">
        <f t="shared" si="34"/>
        <v>0</v>
      </c>
      <c r="AR35" s="573" t="e">
        <f>'الأجـــازة للوصايا'!R19</f>
        <v>#DIV/0!</v>
      </c>
      <c r="AS35">
        <f t="shared" si="20"/>
        <v>0</v>
      </c>
      <c r="AT35">
        <f t="shared" si="21"/>
        <v>1</v>
      </c>
      <c r="AU35">
        <f t="shared" si="12"/>
        <v>0</v>
      </c>
      <c r="AV35" t="e">
        <f t="shared" si="22"/>
        <v>#DIV/0!</v>
      </c>
      <c r="AW35">
        <f t="shared" si="23"/>
        <v>0</v>
      </c>
      <c r="AX35">
        <f>'الأجـــازة للوصايا'!O19</f>
        <v>0</v>
      </c>
      <c r="AY35" s="1">
        <f t="shared" si="25"/>
        <v>0</v>
      </c>
      <c r="AZ35">
        <f t="shared" si="26"/>
        <v>0</v>
      </c>
      <c r="BA35" s="299" t="e">
        <f t="shared" si="27"/>
        <v>#DIV/0!</v>
      </c>
      <c r="BB35" s="536" t="e">
        <f t="shared" si="29"/>
        <v>#DIV/0!</v>
      </c>
    </row>
    <row r="36" spans="4:54" hidden="1">
      <c r="D36">
        <f>L36+SUM(L31:L35)</f>
        <v>0</v>
      </c>
      <c r="E36" s="1">
        <f t="shared" si="31"/>
        <v>0</v>
      </c>
      <c r="F36" s="478">
        <f t="shared" si="32"/>
        <v>0</v>
      </c>
      <c r="H36" s="478">
        <f t="shared" si="32"/>
        <v>0</v>
      </c>
      <c r="I36" s="478"/>
      <c r="J36" s="28">
        <f>IF(E36&gt;1, F36,0)</f>
        <v>0</v>
      </c>
      <c r="K36" t="e">
        <f>VLOOKUP(6,D31:J42,3,FALSE)</f>
        <v>#N/A</v>
      </c>
      <c r="L36" s="28">
        <f t="shared" si="35"/>
        <v>0</v>
      </c>
      <c r="M36" s="28"/>
      <c r="N36" s="28"/>
      <c r="O36" s="28"/>
      <c r="P36" s="28"/>
      <c r="Q36" s="28">
        <f t="shared" si="33"/>
        <v>0</v>
      </c>
      <c r="R36" s="28"/>
      <c r="S36" s="28"/>
      <c r="T36" s="478">
        <f t="shared" si="30"/>
        <v>0</v>
      </c>
      <c r="U36" s="28"/>
      <c r="V36" s="28"/>
      <c r="W36" s="28"/>
      <c r="X36" s="28"/>
      <c r="Y36" s="28"/>
      <c r="Z36" s="28"/>
      <c r="AA36" s="28"/>
      <c r="AB36" s="28"/>
      <c r="AD36" s="1"/>
      <c r="AK36" s="478">
        <f t="shared" si="34"/>
        <v>0</v>
      </c>
      <c r="AR36" s="573" t="e">
        <f>'الأجـــازة للوصايا'!R20</f>
        <v>#DIV/0!</v>
      </c>
      <c r="AS36">
        <f t="shared" si="20"/>
        <v>0</v>
      </c>
      <c r="AT36">
        <f t="shared" si="21"/>
        <v>1</v>
      </c>
      <c r="AU36">
        <f t="shared" si="12"/>
        <v>0</v>
      </c>
      <c r="AV36" t="e">
        <f t="shared" si="22"/>
        <v>#DIV/0!</v>
      </c>
      <c r="AW36">
        <f t="shared" si="23"/>
        <v>0</v>
      </c>
      <c r="AX36">
        <f>'الأجـــازة للوصايا'!O20</f>
        <v>0</v>
      </c>
      <c r="AY36" s="1">
        <f t="shared" si="25"/>
        <v>0</v>
      </c>
      <c r="AZ36">
        <f t="shared" si="26"/>
        <v>0</v>
      </c>
      <c r="BA36" s="299" t="e">
        <f t="shared" si="27"/>
        <v>#DIV/0!</v>
      </c>
      <c r="BB36" s="536" t="e">
        <f t="shared" si="29"/>
        <v>#DIV/0!</v>
      </c>
    </row>
    <row r="37" spans="4:54" hidden="1">
      <c r="D37">
        <f>L37+SUM(L31:L36)</f>
        <v>0</v>
      </c>
      <c r="E37" s="1">
        <f t="shared" si="31"/>
        <v>0</v>
      </c>
      <c r="F37" s="478">
        <f t="shared" si="32"/>
        <v>0</v>
      </c>
      <c r="H37" s="478">
        <f t="shared" si="32"/>
        <v>0</v>
      </c>
      <c r="I37" s="478"/>
      <c r="J37" s="28">
        <f>IF(E37&gt;1,F37,0)</f>
        <v>0</v>
      </c>
      <c r="K37" t="e">
        <f>VLOOKUP(7,D31:J42,3,FALSE)</f>
        <v>#N/A</v>
      </c>
      <c r="L37" s="28">
        <f t="shared" si="35"/>
        <v>0</v>
      </c>
      <c r="M37" s="28"/>
      <c r="N37" s="28"/>
      <c r="O37" s="28"/>
      <c r="P37" s="28"/>
      <c r="Q37" s="28">
        <f t="shared" si="33"/>
        <v>0</v>
      </c>
      <c r="R37" s="28"/>
      <c r="S37" s="28"/>
      <c r="T37" s="478">
        <f t="shared" si="30"/>
        <v>0</v>
      </c>
      <c r="U37" s="28"/>
      <c r="V37" s="28"/>
      <c r="W37" s="28"/>
      <c r="X37" s="28"/>
      <c r="Y37" s="28"/>
      <c r="Z37" s="28"/>
      <c r="AA37" s="28"/>
      <c r="AB37" s="28"/>
      <c r="AD37" s="1"/>
      <c r="AK37" s="478">
        <f t="shared" si="34"/>
        <v>0</v>
      </c>
      <c r="AR37" s="573" t="e">
        <f>'الأجـــازة للوصايا'!R21</f>
        <v>#DIV/0!</v>
      </c>
      <c r="AS37">
        <f t="shared" si="20"/>
        <v>0</v>
      </c>
      <c r="AT37">
        <f t="shared" si="21"/>
        <v>1</v>
      </c>
      <c r="AU37">
        <f t="shared" si="12"/>
        <v>0</v>
      </c>
      <c r="AV37" t="e">
        <f t="shared" si="22"/>
        <v>#DIV/0!</v>
      </c>
      <c r="AW37">
        <f t="shared" si="23"/>
        <v>0</v>
      </c>
      <c r="AX37">
        <f>'الأجـــازة للوصايا'!O21</f>
        <v>0</v>
      </c>
      <c r="AY37" s="1">
        <f t="shared" si="25"/>
        <v>0</v>
      </c>
      <c r="AZ37">
        <f t="shared" si="26"/>
        <v>0</v>
      </c>
      <c r="BA37" s="299" t="e">
        <f t="shared" si="27"/>
        <v>#DIV/0!</v>
      </c>
      <c r="BB37" s="536" t="e">
        <f t="shared" si="29"/>
        <v>#DIV/0!</v>
      </c>
    </row>
    <row r="38" spans="4:54" hidden="1">
      <c r="D38">
        <f>L38+SUM(L31:L37)</f>
        <v>0</v>
      </c>
      <c r="E38" s="1">
        <f t="shared" si="31"/>
        <v>0</v>
      </c>
      <c r="F38" s="478">
        <f t="shared" si="32"/>
        <v>0</v>
      </c>
      <c r="H38" s="478">
        <f t="shared" si="32"/>
        <v>0</v>
      </c>
      <c r="I38" s="478"/>
      <c r="J38" s="28">
        <f>IF(E38&gt;1,#REF!,0)</f>
        <v>0</v>
      </c>
      <c r="K38" t="e">
        <f>VLOOKUP(8,D31:J42,3,FALSE)</f>
        <v>#N/A</v>
      </c>
      <c r="L38" s="28">
        <f t="shared" si="35"/>
        <v>0</v>
      </c>
      <c r="M38" s="28"/>
      <c r="N38" s="28"/>
      <c r="O38" s="28"/>
      <c r="P38" s="28"/>
      <c r="Q38" s="28">
        <f t="shared" si="33"/>
        <v>0</v>
      </c>
      <c r="R38" s="28"/>
      <c r="S38" s="28"/>
      <c r="T38" s="478">
        <f t="shared" si="30"/>
        <v>0</v>
      </c>
      <c r="U38" s="28"/>
      <c r="V38" s="28"/>
      <c r="W38" s="28"/>
      <c r="X38" s="28"/>
      <c r="Y38" s="28"/>
      <c r="Z38" s="28"/>
      <c r="AA38" s="28"/>
      <c r="AB38" s="28"/>
      <c r="AD38" s="1"/>
      <c r="AK38" s="478">
        <f t="shared" si="34"/>
        <v>0</v>
      </c>
      <c r="AR38" s="573" t="e">
        <f>'الأجـــازة للوصايا'!R22</f>
        <v>#DIV/0!</v>
      </c>
      <c r="AS38">
        <f t="shared" si="20"/>
        <v>0</v>
      </c>
      <c r="AT38">
        <f t="shared" si="21"/>
        <v>1</v>
      </c>
      <c r="AU38">
        <f t="shared" si="12"/>
        <v>0</v>
      </c>
      <c r="AV38" t="e">
        <f t="shared" si="22"/>
        <v>#DIV/0!</v>
      </c>
      <c r="AW38">
        <f t="shared" si="23"/>
        <v>0</v>
      </c>
      <c r="AX38">
        <f>'الأجـــازة للوصايا'!O22</f>
        <v>0</v>
      </c>
      <c r="AY38" s="1">
        <f t="shared" si="25"/>
        <v>0</v>
      </c>
      <c r="AZ38">
        <f t="shared" si="26"/>
        <v>0</v>
      </c>
      <c r="BA38" s="299" t="e">
        <f t="shared" si="27"/>
        <v>#DIV/0!</v>
      </c>
      <c r="BB38" s="536" t="e">
        <f t="shared" si="29"/>
        <v>#DIV/0!</v>
      </c>
    </row>
    <row r="39" spans="4:54" hidden="1">
      <c r="D39">
        <f>L39+SUM(L30:L38)</f>
        <v>0</v>
      </c>
      <c r="E39" s="1">
        <f t="shared" si="31"/>
        <v>0</v>
      </c>
      <c r="F39" s="478">
        <f t="shared" si="32"/>
        <v>0</v>
      </c>
      <c r="H39" s="478">
        <f t="shared" si="32"/>
        <v>0</v>
      </c>
      <c r="I39" s="478"/>
      <c r="J39" s="28">
        <f>IF(E39&gt;1,#REF!,0)</f>
        <v>0</v>
      </c>
      <c r="K39" t="e">
        <f>VLOOKUP(9,D31:J42,3,FALSE)</f>
        <v>#N/A</v>
      </c>
      <c r="L39" s="28">
        <f t="shared" si="35"/>
        <v>0</v>
      </c>
      <c r="M39" s="28"/>
      <c r="N39" s="28"/>
      <c r="O39" s="28"/>
      <c r="P39" s="28"/>
      <c r="Q39" s="28">
        <f t="shared" si="33"/>
        <v>0</v>
      </c>
      <c r="R39" s="28"/>
      <c r="S39" s="28"/>
      <c r="T39" s="478">
        <f t="shared" si="30"/>
        <v>0</v>
      </c>
      <c r="U39" s="28"/>
      <c r="V39" s="28"/>
      <c r="W39" s="28"/>
      <c r="X39" s="28"/>
      <c r="Y39" s="28"/>
      <c r="Z39" s="28"/>
      <c r="AA39" s="28"/>
      <c r="AB39" s="28"/>
      <c r="AD39" s="1"/>
      <c r="AK39" s="478">
        <f t="shared" si="34"/>
        <v>0</v>
      </c>
      <c r="AR39" s="573" t="e">
        <f>'الأجـــازة للوصايا'!R23</f>
        <v>#DIV/0!</v>
      </c>
      <c r="AS39">
        <f t="shared" si="20"/>
        <v>0</v>
      </c>
      <c r="AT39">
        <f t="shared" si="21"/>
        <v>1</v>
      </c>
      <c r="AU39">
        <f t="shared" si="12"/>
        <v>0</v>
      </c>
      <c r="AV39" t="e">
        <f t="shared" si="22"/>
        <v>#DIV/0!</v>
      </c>
      <c r="AW39">
        <f t="shared" si="23"/>
        <v>0</v>
      </c>
      <c r="AX39">
        <f>'الأجـــازة للوصايا'!O23</f>
        <v>0</v>
      </c>
      <c r="AY39" s="1">
        <f t="shared" si="25"/>
        <v>0</v>
      </c>
      <c r="AZ39">
        <f t="shared" si="26"/>
        <v>0</v>
      </c>
      <c r="BA39" s="299" t="e">
        <f t="shared" si="27"/>
        <v>#DIV/0!</v>
      </c>
      <c r="BB39" s="536" t="e">
        <f t="shared" si="29"/>
        <v>#DIV/0!</v>
      </c>
    </row>
    <row r="40" spans="4:54" hidden="1">
      <c r="D40">
        <f>L40+SUM(L31:L40)</f>
        <v>0</v>
      </c>
      <c r="E40" s="1">
        <f t="shared" si="31"/>
        <v>0</v>
      </c>
      <c r="F40" s="478">
        <f t="shared" si="32"/>
        <v>0</v>
      </c>
      <c r="H40" s="478">
        <f t="shared" si="32"/>
        <v>0</v>
      </c>
      <c r="I40" s="478"/>
      <c r="J40" s="28"/>
      <c r="K40" t="e">
        <f>VLOOKUP(D40,G40:J50,3,FALSE)</f>
        <v>#N/A</v>
      </c>
      <c r="L40" s="28">
        <f t="shared" si="35"/>
        <v>0</v>
      </c>
      <c r="M40" s="28"/>
      <c r="N40" s="28"/>
      <c r="O40" s="28"/>
      <c r="P40" s="28"/>
      <c r="Q40" s="28">
        <f t="shared" si="33"/>
        <v>0</v>
      </c>
      <c r="R40" s="28"/>
      <c r="S40" s="28"/>
      <c r="T40" s="478">
        <f t="shared" si="30"/>
        <v>0</v>
      </c>
      <c r="U40" s="28"/>
      <c r="V40" s="28"/>
      <c r="W40" s="28"/>
      <c r="X40" s="28"/>
      <c r="Y40" s="28"/>
      <c r="Z40" s="28"/>
      <c r="AA40" s="28"/>
      <c r="AB40" s="28"/>
      <c r="AD40" s="1"/>
      <c r="AK40" s="478">
        <f t="shared" si="34"/>
        <v>0</v>
      </c>
      <c r="AR40" s="573" t="e">
        <f>'الأجـــازة للوصايا'!R24</f>
        <v>#DIV/0!</v>
      </c>
      <c r="AS40">
        <f t="shared" si="20"/>
        <v>0</v>
      </c>
      <c r="AT40">
        <f t="shared" si="21"/>
        <v>1</v>
      </c>
      <c r="AU40">
        <f t="shared" si="12"/>
        <v>0</v>
      </c>
      <c r="AV40" t="e">
        <f t="shared" si="22"/>
        <v>#DIV/0!</v>
      </c>
      <c r="AW40">
        <f t="shared" si="23"/>
        <v>0</v>
      </c>
      <c r="AX40">
        <f>'الأجـــازة للوصايا'!O24</f>
        <v>0</v>
      </c>
      <c r="AY40" s="1">
        <f t="shared" si="25"/>
        <v>0</v>
      </c>
      <c r="AZ40">
        <f t="shared" si="26"/>
        <v>0</v>
      </c>
      <c r="BA40" s="299" t="e">
        <f t="shared" si="27"/>
        <v>#DIV/0!</v>
      </c>
      <c r="BB40" s="536" t="e">
        <f t="shared" si="29"/>
        <v>#DIV/0!</v>
      </c>
    </row>
    <row r="41" spans="4:54" hidden="1">
      <c r="D41">
        <f>L41+SUM(L30:L41)</f>
        <v>0</v>
      </c>
      <c r="E41" s="1">
        <f t="shared" si="31"/>
        <v>0</v>
      </c>
      <c r="F41" s="478">
        <f t="shared" si="32"/>
        <v>0</v>
      </c>
      <c r="H41" s="478">
        <f t="shared" si="32"/>
        <v>0</v>
      </c>
      <c r="I41" s="478"/>
      <c r="J41" s="28"/>
      <c r="K41" t="e">
        <f>VLOOKUP(D41,G41:J51,3,FALSE)</f>
        <v>#N/A</v>
      </c>
      <c r="L41" s="28">
        <f t="shared" si="35"/>
        <v>0</v>
      </c>
      <c r="M41" s="28"/>
      <c r="N41" s="28"/>
      <c r="O41" s="28"/>
      <c r="P41" s="28"/>
      <c r="Q41" s="28">
        <f t="shared" si="33"/>
        <v>0</v>
      </c>
      <c r="R41" s="28"/>
      <c r="S41" s="28"/>
      <c r="T41" s="478">
        <f t="shared" si="30"/>
        <v>0</v>
      </c>
      <c r="U41" s="28"/>
      <c r="V41" s="28"/>
      <c r="W41" s="28"/>
      <c r="X41" s="28"/>
      <c r="Y41" s="28"/>
      <c r="Z41" s="28"/>
      <c r="AA41" s="28"/>
      <c r="AB41" s="28"/>
      <c r="AD41" s="1"/>
      <c r="AK41" s="478">
        <f t="shared" si="34"/>
        <v>0</v>
      </c>
      <c r="AR41" s="573" t="e">
        <f>'الأجـــازة للوصايا'!R25</f>
        <v>#DIV/0!</v>
      </c>
      <c r="AS41">
        <f t="shared" si="20"/>
        <v>0</v>
      </c>
      <c r="AT41">
        <f t="shared" si="21"/>
        <v>1</v>
      </c>
      <c r="AU41">
        <f t="shared" si="12"/>
        <v>0</v>
      </c>
      <c r="AV41" t="e">
        <f t="shared" si="22"/>
        <v>#DIV/0!</v>
      </c>
      <c r="AW41">
        <f t="shared" si="23"/>
        <v>0</v>
      </c>
      <c r="AX41">
        <f>'الأجـــازة للوصايا'!O25</f>
        <v>0</v>
      </c>
      <c r="AY41" s="1">
        <f t="shared" si="25"/>
        <v>0</v>
      </c>
      <c r="AZ41">
        <f t="shared" si="26"/>
        <v>0</v>
      </c>
      <c r="BA41" s="299" t="e">
        <f t="shared" si="27"/>
        <v>#DIV/0!</v>
      </c>
      <c r="BB41" s="536" t="e">
        <f t="shared" si="29"/>
        <v>#DIV/0!</v>
      </c>
    </row>
    <row r="42" spans="4:54" hidden="1">
      <c r="D42">
        <f>L42+SUM(L41)</f>
        <v>0</v>
      </c>
      <c r="E42" s="1">
        <f t="shared" si="31"/>
        <v>0</v>
      </c>
      <c r="F42" s="478">
        <f t="shared" si="32"/>
        <v>0</v>
      </c>
      <c r="H42" s="478">
        <f t="shared" si="32"/>
        <v>0</v>
      </c>
      <c r="I42" s="478"/>
      <c r="J42" s="28"/>
      <c r="K42" t="e">
        <f>VLOOKUP(D42,G42:J52,3,FALSE)</f>
        <v>#N/A</v>
      </c>
      <c r="L42" s="28">
        <f t="shared" si="35"/>
        <v>0</v>
      </c>
      <c r="M42" s="28"/>
      <c r="N42" s="28"/>
      <c r="O42" s="28"/>
      <c r="P42" s="28"/>
      <c r="Q42" s="28">
        <f t="shared" si="33"/>
        <v>0</v>
      </c>
      <c r="R42" s="28"/>
      <c r="S42" s="28"/>
      <c r="T42" s="478">
        <f t="shared" si="30"/>
        <v>0</v>
      </c>
      <c r="U42" s="28"/>
      <c r="V42" s="28"/>
      <c r="W42" s="28"/>
      <c r="X42" s="28"/>
      <c r="Y42" s="28"/>
      <c r="Z42" s="28"/>
      <c r="AA42" s="28"/>
      <c r="AB42" s="28"/>
      <c r="AD42" s="1"/>
      <c r="AK42" s="478">
        <f t="shared" si="34"/>
        <v>0</v>
      </c>
      <c r="AR42" s="573" t="e">
        <f>'الأجـــازة للوصايا'!R26</f>
        <v>#DIV/0!</v>
      </c>
      <c r="AS42">
        <f t="shared" si="20"/>
        <v>0</v>
      </c>
      <c r="AT42">
        <f t="shared" si="21"/>
        <v>1</v>
      </c>
      <c r="AU42">
        <f t="shared" si="12"/>
        <v>0</v>
      </c>
      <c r="AV42" t="e">
        <f t="shared" si="22"/>
        <v>#DIV/0!</v>
      </c>
      <c r="AW42">
        <f t="shared" si="23"/>
        <v>0</v>
      </c>
      <c r="AX42">
        <f>'الأجـــازة للوصايا'!O26</f>
        <v>0</v>
      </c>
      <c r="AY42" s="1">
        <f t="shared" si="25"/>
        <v>0</v>
      </c>
      <c r="AZ42">
        <f t="shared" si="26"/>
        <v>0</v>
      </c>
      <c r="BA42" s="299" t="e">
        <f t="shared" si="27"/>
        <v>#DIV/0!</v>
      </c>
      <c r="BB42" s="536" t="e">
        <f t="shared" si="29"/>
        <v>#DIV/0!</v>
      </c>
    </row>
    <row r="43" spans="4:54" hidden="1">
      <c r="D43">
        <f>L43+L42</f>
        <v>0</v>
      </c>
      <c r="F43" s="28"/>
      <c r="H43" s="28"/>
      <c r="I43" s="28"/>
      <c r="J43" s="28"/>
      <c r="L43" s="28"/>
      <c r="M43" s="28"/>
      <c r="N43" s="28"/>
      <c r="O43" s="28"/>
      <c r="P43" s="28"/>
      <c r="Q43" s="28">
        <f t="shared" si="33"/>
        <v>0</v>
      </c>
      <c r="R43" s="28"/>
      <c r="S43" s="28"/>
      <c r="T43" s="478">
        <f t="shared" si="30"/>
        <v>0</v>
      </c>
      <c r="U43" s="28"/>
      <c r="V43" s="28"/>
      <c r="W43" s="28"/>
      <c r="X43" s="28"/>
      <c r="Y43" s="28"/>
      <c r="Z43" s="28"/>
      <c r="AA43" s="28"/>
      <c r="AB43" s="28"/>
      <c r="AD43" s="1"/>
      <c r="AR43" s="573" t="e">
        <f>'الأجـــازة للوصايا'!R27</f>
        <v>#DIV/0!</v>
      </c>
      <c r="AS43">
        <f t="shared" si="20"/>
        <v>0</v>
      </c>
      <c r="AT43">
        <f t="shared" si="21"/>
        <v>1</v>
      </c>
      <c r="AU43">
        <f t="shared" si="12"/>
        <v>0</v>
      </c>
      <c r="AV43" t="e">
        <f t="shared" si="22"/>
        <v>#DIV/0!</v>
      </c>
      <c r="AW43">
        <f t="shared" si="23"/>
        <v>0</v>
      </c>
      <c r="AX43">
        <f>'الأجـــازة للوصايا'!O27</f>
        <v>0</v>
      </c>
      <c r="AY43" s="1">
        <f t="shared" si="25"/>
        <v>0</v>
      </c>
      <c r="AZ43">
        <f t="shared" si="26"/>
        <v>0</v>
      </c>
      <c r="BA43" s="299" t="e">
        <f t="shared" si="27"/>
        <v>#DIV/0!</v>
      </c>
      <c r="BB43" s="536" t="e">
        <f t="shared" si="29"/>
        <v>#DIV/0!</v>
      </c>
    </row>
    <row r="44" spans="4:54" hidden="1">
      <c r="D44" s="28"/>
      <c r="F44" s="28"/>
      <c r="H44" s="28"/>
      <c r="I44" s="28"/>
      <c r="J44" s="28"/>
      <c r="K44" s="28"/>
      <c r="L44" s="28"/>
      <c r="M44" s="28"/>
      <c r="N44" s="28"/>
      <c r="O44" s="28"/>
      <c r="P44" s="28"/>
      <c r="Q44" s="28">
        <f t="shared" si="33"/>
        <v>0</v>
      </c>
      <c r="R44" s="28"/>
      <c r="S44" s="28"/>
      <c r="T44" s="478">
        <f t="shared" si="30"/>
        <v>0</v>
      </c>
      <c r="U44" s="28"/>
      <c r="V44" s="28"/>
      <c r="W44" s="28"/>
      <c r="X44" s="28"/>
      <c r="Y44" s="28"/>
      <c r="Z44" s="28"/>
      <c r="AA44" s="28"/>
      <c r="AB44" s="28"/>
      <c r="AD44" s="1"/>
      <c r="AR44" s="574" t="e">
        <f>'(2) '!P12</f>
        <v>#DIV/0!</v>
      </c>
      <c r="AS44">
        <f t="shared" si="20"/>
        <v>0</v>
      </c>
      <c r="AT44">
        <f t="shared" si="21"/>
        <v>1</v>
      </c>
      <c r="AU44">
        <f t="shared" ref="AU44:AU75" si="36">$AL$106</f>
        <v>0</v>
      </c>
      <c r="AV44" t="e">
        <f t="shared" si="22"/>
        <v>#DIV/0!</v>
      </c>
      <c r="AW44">
        <f t="shared" si="23"/>
        <v>0</v>
      </c>
      <c r="AX44">
        <f>'(2) '!M12</f>
        <v>0</v>
      </c>
      <c r="AY44" s="1">
        <f t="shared" si="25"/>
        <v>0</v>
      </c>
      <c r="AZ44">
        <f t="shared" si="26"/>
        <v>0</v>
      </c>
      <c r="BA44" s="299" t="e">
        <f t="shared" si="27"/>
        <v>#DIV/0!</v>
      </c>
      <c r="BB44" s="614" t="e">
        <f t="shared" si="29"/>
        <v>#DIV/0!</v>
      </c>
    </row>
    <row r="45" spans="4:54" hidden="1">
      <c r="D45" s="28"/>
      <c r="E45" t="str">
        <f>IF( SUM(H7:L7)+SUM(F12:F23)&lt;=2,"العملية صحيحة","خطأ راجع المسألة")</f>
        <v>العملية صحيحة</v>
      </c>
      <c r="F45" s="28"/>
      <c r="H45" s="28"/>
      <c r="I45" s="28"/>
      <c r="J45" s="28"/>
      <c r="K45" s="28"/>
      <c r="L45" s="28"/>
      <c r="M45" s="28"/>
      <c r="N45" s="28"/>
      <c r="O45" s="28"/>
      <c r="P45" s="28"/>
      <c r="Q45" s="28"/>
      <c r="R45" s="28"/>
      <c r="S45" s="28"/>
      <c r="T45" s="478">
        <f t="shared" si="30"/>
        <v>0</v>
      </c>
      <c r="U45" s="28"/>
      <c r="V45" s="28"/>
      <c r="W45" s="28"/>
      <c r="X45" s="28"/>
      <c r="Y45" s="28"/>
      <c r="Z45" s="28"/>
      <c r="AA45" s="28"/>
      <c r="AB45" s="28"/>
      <c r="AD45" s="1"/>
      <c r="AR45" s="574" t="e">
        <f>'(2) '!P13</f>
        <v>#DIV/0!</v>
      </c>
      <c r="AS45">
        <f t="shared" si="20"/>
        <v>0</v>
      </c>
      <c r="AT45">
        <f t="shared" si="21"/>
        <v>1</v>
      </c>
      <c r="AU45">
        <f t="shared" ref="AU45:AU55" si="37">$AU$44</f>
        <v>0</v>
      </c>
      <c r="AV45" t="e">
        <f t="shared" si="22"/>
        <v>#DIV/0!</v>
      </c>
      <c r="AW45">
        <f t="shared" ref="AW45:AW76" si="38">$AW$12</f>
        <v>0</v>
      </c>
      <c r="AX45">
        <f>'(2) '!M13</f>
        <v>0</v>
      </c>
      <c r="AY45" s="1">
        <f t="shared" si="25"/>
        <v>0</v>
      </c>
      <c r="AZ45">
        <f t="shared" ref="AZ45:AZ55" si="39">$AZ$44</f>
        <v>0</v>
      </c>
      <c r="BA45" s="299" t="e">
        <f t="shared" si="27"/>
        <v>#DIV/0!</v>
      </c>
      <c r="BB45" s="614" t="e">
        <f t="shared" si="29"/>
        <v>#DIV/0!</v>
      </c>
    </row>
    <row r="46" spans="4:54" hidden="1">
      <c r="F46" s="28"/>
      <c r="G46" s="28"/>
      <c r="H46" s="28"/>
      <c r="I46" s="28"/>
      <c r="J46" s="28"/>
      <c r="K46" s="28"/>
      <c r="L46" s="28"/>
      <c r="M46" s="28"/>
      <c r="N46" s="28"/>
      <c r="O46" s="28"/>
      <c r="P46" s="28"/>
      <c r="Q46" s="28"/>
      <c r="R46" s="28"/>
      <c r="S46" s="28"/>
      <c r="T46" s="478">
        <f t="shared" si="30"/>
        <v>0</v>
      </c>
      <c r="U46" s="28"/>
      <c r="V46" s="28"/>
      <c r="W46" s="28"/>
      <c r="X46" s="28"/>
      <c r="Y46" s="28"/>
      <c r="Z46" s="28"/>
      <c r="AA46" s="28"/>
      <c r="AB46" s="28"/>
      <c r="AD46" s="1"/>
      <c r="AR46" s="574" t="e">
        <f>'(2) '!P14</f>
        <v>#DIV/0!</v>
      </c>
      <c r="AS46">
        <f t="shared" si="20"/>
        <v>0</v>
      </c>
      <c r="AT46">
        <f t="shared" si="21"/>
        <v>1</v>
      </c>
      <c r="AU46">
        <f t="shared" si="37"/>
        <v>0</v>
      </c>
      <c r="AV46" t="e">
        <f t="shared" si="22"/>
        <v>#DIV/0!</v>
      </c>
      <c r="AW46">
        <f t="shared" si="38"/>
        <v>0</v>
      </c>
      <c r="AX46">
        <f>'(2) '!M14</f>
        <v>0</v>
      </c>
      <c r="AY46" s="1">
        <f t="shared" si="25"/>
        <v>0</v>
      </c>
      <c r="AZ46">
        <f t="shared" si="39"/>
        <v>0</v>
      </c>
      <c r="BA46" s="299" t="e">
        <f t="shared" si="27"/>
        <v>#DIV/0!</v>
      </c>
      <c r="BB46" s="614" t="e">
        <f t="shared" si="29"/>
        <v>#DIV/0!</v>
      </c>
    </row>
    <row r="47" spans="4:54" hidden="1">
      <c r="F47" s="28"/>
      <c r="G47" s="28"/>
      <c r="H47" s="28"/>
      <c r="I47" s="28"/>
      <c r="J47" s="28"/>
      <c r="K47" s="28"/>
      <c r="L47" s="28"/>
      <c r="M47" s="28"/>
      <c r="N47" s="28"/>
      <c r="O47" s="28"/>
      <c r="P47" s="28"/>
      <c r="Q47" s="28"/>
      <c r="R47" s="28"/>
      <c r="S47" s="28"/>
      <c r="T47" s="478">
        <f t="shared" si="30"/>
        <v>0</v>
      </c>
      <c r="U47" s="28"/>
      <c r="V47" s="28"/>
      <c r="W47" s="28"/>
      <c r="X47" s="28"/>
      <c r="Y47" s="28"/>
      <c r="Z47" s="28"/>
      <c r="AA47" s="28"/>
      <c r="AB47" s="28"/>
      <c r="AD47" s="1"/>
      <c r="AR47" s="574" t="e">
        <f>'(2) '!P15</f>
        <v>#DIV/0!</v>
      </c>
      <c r="AS47">
        <f t="shared" si="20"/>
        <v>0</v>
      </c>
      <c r="AT47">
        <f t="shared" si="21"/>
        <v>1</v>
      </c>
      <c r="AU47">
        <f t="shared" si="37"/>
        <v>0</v>
      </c>
      <c r="AV47" t="e">
        <f t="shared" si="22"/>
        <v>#DIV/0!</v>
      </c>
      <c r="AW47">
        <f t="shared" si="38"/>
        <v>0</v>
      </c>
      <c r="AX47">
        <f>'(2) '!M15</f>
        <v>0</v>
      </c>
      <c r="AY47" s="1">
        <f t="shared" si="25"/>
        <v>0</v>
      </c>
      <c r="AZ47">
        <f t="shared" si="39"/>
        <v>0</v>
      </c>
      <c r="BA47" s="299" t="e">
        <f t="shared" si="27"/>
        <v>#DIV/0!</v>
      </c>
      <c r="BB47" s="614" t="e">
        <f t="shared" si="29"/>
        <v>#DIV/0!</v>
      </c>
    </row>
    <row r="48" spans="4:54" hidden="1">
      <c r="F48" s="28"/>
      <c r="G48" s="28"/>
      <c r="H48" s="28"/>
      <c r="I48" s="28"/>
      <c r="J48" s="28"/>
      <c r="K48" s="28"/>
      <c r="L48" s="28"/>
      <c r="M48" s="28"/>
      <c r="N48" s="28"/>
      <c r="O48" s="28"/>
      <c r="P48" s="28"/>
      <c r="Q48" s="28"/>
      <c r="R48" s="28"/>
      <c r="S48" s="28"/>
      <c r="T48" s="28"/>
      <c r="V48" s="28"/>
      <c r="W48" s="28"/>
      <c r="X48" s="28"/>
      <c r="Y48" s="28"/>
      <c r="Z48" s="28"/>
      <c r="AA48" s="28"/>
      <c r="AB48" s="28"/>
      <c r="AD48" s="1"/>
      <c r="AR48" s="574" t="e">
        <f>'(2) '!P16</f>
        <v>#DIV/0!</v>
      </c>
      <c r="AS48">
        <f t="shared" si="20"/>
        <v>0</v>
      </c>
      <c r="AT48">
        <f t="shared" si="21"/>
        <v>1</v>
      </c>
      <c r="AU48">
        <f t="shared" si="37"/>
        <v>0</v>
      </c>
      <c r="AV48" t="e">
        <f t="shared" si="22"/>
        <v>#DIV/0!</v>
      </c>
      <c r="AW48">
        <f t="shared" si="38"/>
        <v>0</v>
      </c>
      <c r="AX48">
        <f>'(2) '!M16</f>
        <v>0</v>
      </c>
      <c r="AY48" s="1">
        <f t="shared" si="25"/>
        <v>0</v>
      </c>
      <c r="AZ48">
        <f t="shared" si="39"/>
        <v>0</v>
      </c>
      <c r="BA48" s="299" t="e">
        <f t="shared" si="27"/>
        <v>#DIV/0!</v>
      </c>
      <c r="BB48" s="614" t="e">
        <f t="shared" si="29"/>
        <v>#DIV/0!</v>
      </c>
    </row>
    <row r="49" spans="6:54" hidden="1">
      <c r="F49" s="28"/>
      <c r="G49" s="28"/>
      <c r="H49" s="28"/>
      <c r="I49" s="28"/>
      <c r="J49" s="28"/>
      <c r="K49" s="28"/>
      <c r="L49" s="28"/>
      <c r="M49" s="28"/>
      <c r="N49" s="28"/>
      <c r="O49" s="28"/>
      <c r="P49" s="478" t="e">
        <f>SUM(P24:P27)</f>
        <v>#DIV/0!</v>
      </c>
      <c r="Q49" s="28"/>
      <c r="R49" s="28"/>
      <c r="S49" s="28"/>
      <c r="T49" s="28"/>
      <c r="U49" s="28"/>
      <c r="V49" s="28"/>
      <c r="W49" s="28"/>
      <c r="X49" s="28"/>
      <c r="Y49" s="28"/>
      <c r="Z49" s="28"/>
      <c r="AA49" s="28"/>
      <c r="AB49" s="28"/>
      <c r="AD49" s="1"/>
      <c r="AR49" s="574" t="e">
        <f>'(2) '!P17</f>
        <v>#DIV/0!</v>
      </c>
      <c r="AS49">
        <f t="shared" si="20"/>
        <v>0</v>
      </c>
      <c r="AT49">
        <f t="shared" si="21"/>
        <v>1</v>
      </c>
      <c r="AU49">
        <f t="shared" si="37"/>
        <v>0</v>
      </c>
      <c r="AV49" t="e">
        <f t="shared" si="22"/>
        <v>#DIV/0!</v>
      </c>
      <c r="AW49">
        <f t="shared" si="38"/>
        <v>0</v>
      </c>
      <c r="AX49">
        <f>'(2) '!M17</f>
        <v>0</v>
      </c>
      <c r="AY49" s="1">
        <f t="shared" si="25"/>
        <v>0</v>
      </c>
      <c r="AZ49">
        <f t="shared" si="39"/>
        <v>0</v>
      </c>
      <c r="BA49" s="299" t="e">
        <f t="shared" si="27"/>
        <v>#DIV/0!</v>
      </c>
      <c r="BB49" s="614" t="e">
        <f t="shared" si="29"/>
        <v>#DIV/0!</v>
      </c>
    </row>
    <row r="50" spans="6:54" ht="15.75" hidden="1">
      <c r="F50" s="28"/>
      <c r="G50" s="28"/>
      <c r="H50" s="28"/>
      <c r="I50" s="28"/>
      <c r="J50" s="28"/>
      <c r="K50" s="28"/>
      <c r="L50" s="28"/>
      <c r="M50" s="28"/>
      <c r="N50" s="28"/>
      <c r="O50" s="28"/>
      <c r="P50" s="476" t="s">
        <v>745</v>
      </c>
      <c r="Q50" s="28"/>
      <c r="R50" s="28"/>
      <c r="S50" s="524">
        <v>1</v>
      </c>
      <c r="T50" s="28"/>
      <c r="U50" s="28"/>
      <c r="V50" s="28"/>
      <c r="W50" s="28"/>
      <c r="X50" s="28"/>
      <c r="Y50" s="28"/>
      <c r="Z50" s="28"/>
      <c r="AA50" s="28"/>
      <c r="AB50" s="28"/>
      <c r="AD50" s="1"/>
      <c r="AR50" s="574" t="e">
        <f>'(2) '!P18</f>
        <v>#DIV/0!</v>
      </c>
      <c r="AS50">
        <f t="shared" si="20"/>
        <v>0</v>
      </c>
      <c r="AT50">
        <f t="shared" si="21"/>
        <v>1</v>
      </c>
      <c r="AU50">
        <f t="shared" si="37"/>
        <v>0</v>
      </c>
      <c r="AV50" t="e">
        <f t="shared" si="22"/>
        <v>#DIV/0!</v>
      </c>
      <c r="AW50">
        <f t="shared" si="38"/>
        <v>0</v>
      </c>
      <c r="AX50">
        <f>'(2) '!M18</f>
        <v>0</v>
      </c>
      <c r="AY50" s="1">
        <f t="shared" si="25"/>
        <v>0</v>
      </c>
      <c r="AZ50">
        <f t="shared" si="39"/>
        <v>0</v>
      </c>
      <c r="BA50" s="299" t="e">
        <f t="shared" si="27"/>
        <v>#DIV/0!</v>
      </c>
      <c r="BB50" s="614" t="e">
        <f t="shared" si="29"/>
        <v>#DIV/0!</v>
      </c>
    </row>
    <row r="51" spans="6:54" ht="15.75" hidden="1">
      <c r="F51" s="28"/>
      <c r="G51" s="28"/>
      <c r="H51" s="28"/>
      <c r="I51" s="28"/>
      <c r="J51" s="28"/>
      <c r="K51" s="28"/>
      <c r="L51" s="28"/>
      <c r="M51" s="28"/>
      <c r="N51" s="28"/>
      <c r="O51" s="28"/>
      <c r="P51" s="497" t="s">
        <v>746</v>
      </c>
      <c r="Q51" s="28"/>
      <c r="R51" s="28"/>
      <c r="S51" s="524">
        <v>1</v>
      </c>
      <c r="T51" s="28"/>
      <c r="U51" s="28"/>
      <c r="V51" s="28"/>
      <c r="W51" s="28"/>
      <c r="X51" s="28"/>
      <c r="Y51" s="28"/>
      <c r="Z51" s="28"/>
      <c r="AA51" s="28"/>
      <c r="AB51" s="28"/>
      <c r="AD51" s="1"/>
      <c r="AR51" s="574" t="e">
        <f>'(2) '!P19</f>
        <v>#DIV/0!</v>
      </c>
      <c r="AS51">
        <f t="shared" si="20"/>
        <v>0</v>
      </c>
      <c r="AT51">
        <f t="shared" si="21"/>
        <v>1</v>
      </c>
      <c r="AU51">
        <f t="shared" si="37"/>
        <v>0</v>
      </c>
      <c r="AV51" t="e">
        <f t="shared" si="22"/>
        <v>#DIV/0!</v>
      </c>
      <c r="AW51">
        <f t="shared" si="38"/>
        <v>0</v>
      </c>
      <c r="AX51">
        <f>'(2) '!M19</f>
        <v>0</v>
      </c>
      <c r="AY51" s="1">
        <f t="shared" si="25"/>
        <v>0</v>
      </c>
      <c r="AZ51">
        <f t="shared" si="39"/>
        <v>0</v>
      </c>
      <c r="BA51" s="299" t="e">
        <f t="shared" si="27"/>
        <v>#DIV/0!</v>
      </c>
      <c r="BB51" s="614" t="e">
        <f t="shared" si="29"/>
        <v>#DIV/0!</v>
      </c>
    </row>
    <row r="52" spans="6:54" ht="15.75" hidden="1" thickBot="1">
      <c r="F52" s="28"/>
      <c r="G52" s="28"/>
      <c r="H52" s="28"/>
      <c r="I52" s="28"/>
      <c r="J52" s="28"/>
      <c r="K52" s="28"/>
      <c r="L52" s="28"/>
      <c r="M52" s="28"/>
      <c r="N52" s="28"/>
      <c r="O52" s="28"/>
      <c r="P52" s="28"/>
      <c r="Q52" s="28"/>
      <c r="R52" s="28"/>
      <c r="S52" s="28"/>
      <c r="T52" s="28"/>
      <c r="U52" s="28"/>
      <c r="V52" s="28"/>
      <c r="W52" s="28"/>
      <c r="X52" s="28"/>
      <c r="Y52" s="28"/>
      <c r="Z52" s="28"/>
      <c r="AA52" s="28"/>
      <c r="AB52" s="28"/>
      <c r="AD52" s="1"/>
      <c r="AR52" s="574" t="e">
        <f>'(2) '!P20</f>
        <v>#DIV/0!</v>
      </c>
      <c r="AS52">
        <f t="shared" si="20"/>
        <v>0</v>
      </c>
      <c r="AT52">
        <f t="shared" si="21"/>
        <v>1</v>
      </c>
      <c r="AU52">
        <f t="shared" si="37"/>
        <v>0</v>
      </c>
      <c r="AV52" t="e">
        <f t="shared" si="22"/>
        <v>#DIV/0!</v>
      </c>
      <c r="AW52">
        <f t="shared" si="38"/>
        <v>0</v>
      </c>
      <c r="AX52">
        <f>'(2) '!M20</f>
        <v>0</v>
      </c>
      <c r="AY52" s="1">
        <f t="shared" si="25"/>
        <v>0</v>
      </c>
      <c r="AZ52">
        <f t="shared" si="39"/>
        <v>0</v>
      </c>
      <c r="BA52" s="299" t="e">
        <f t="shared" si="27"/>
        <v>#DIV/0!</v>
      </c>
      <c r="BB52" s="614" t="e">
        <f t="shared" si="29"/>
        <v>#DIV/0!</v>
      </c>
    </row>
    <row r="53" spans="6:54" ht="17.25" hidden="1" thickTop="1" thickBot="1">
      <c r="F53" s="1374" t="s">
        <v>754</v>
      </c>
      <c r="G53" s="1375"/>
      <c r="H53" s="1375"/>
      <c r="I53" s="1375"/>
      <c r="J53" s="1376"/>
      <c r="K53" s="28">
        <f>IFERROR(L53,0)</f>
        <v>0</v>
      </c>
      <c r="L53" s="28">
        <f>'الأجـــازة للوصايا'!K24</f>
        <v>0</v>
      </c>
      <c r="M53" s="28">
        <f>IFERROR(N53,0)</f>
        <v>0</v>
      </c>
      <c r="N53" s="28">
        <f>'الأجـــازة للوصايا'!M24</f>
        <v>0</v>
      </c>
      <c r="O53" s="28"/>
      <c r="P53" s="1354" t="s">
        <v>736</v>
      </c>
      <c r="Q53" s="1355"/>
      <c r="R53" s="28"/>
      <c r="S53" s="28"/>
      <c r="T53" s="28"/>
      <c r="U53" s="28"/>
      <c r="V53" s="28"/>
      <c r="W53" s="28"/>
      <c r="X53" s="28"/>
      <c r="Y53" s="28"/>
      <c r="Z53" s="28"/>
      <c r="AA53" s="28"/>
      <c r="AB53" s="28"/>
      <c r="AD53" s="1"/>
      <c r="AK53" s="28">
        <f>'الأجـــازة للوصايا'!AJ24</f>
        <v>0</v>
      </c>
      <c r="AL53" s="28">
        <f>'الأجـــازة للوصايا'!AK24</f>
        <v>0</v>
      </c>
      <c r="AM53" s="28" t="s">
        <v>114</v>
      </c>
      <c r="AR53" s="574" t="e">
        <f>'(2) '!P21</f>
        <v>#DIV/0!</v>
      </c>
      <c r="AS53">
        <f t="shared" si="20"/>
        <v>0</v>
      </c>
      <c r="AT53">
        <f t="shared" si="21"/>
        <v>1</v>
      </c>
      <c r="AU53">
        <f t="shared" si="37"/>
        <v>0</v>
      </c>
      <c r="AV53" t="e">
        <f t="shared" si="22"/>
        <v>#DIV/0!</v>
      </c>
      <c r="AW53">
        <f t="shared" si="38"/>
        <v>0</v>
      </c>
      <c r="AX53">
        <f>'(2) '!M21</f>
        <v>0</v>
      </c>
      <c r="AY53" s="1">
        <f t="shared" si="25"/>
        <v>0</v>
      </c>
      <c r="AZ53">
        <f t="shared" si="39"/>
        <v>0</v>
      </c>
      <c r="BA53" s="299" t="e">
        <f t="shared" si="27"/>
        <v>#DIV/0!</v>
      </c>
      <c r="BB53" s="614" t="e">
        <f t="shared" si="29"/>
        <v>#DIV/0!</v>
      </c>
    </row>
    <row r="54" spans="6:54" ht="17.25" hidden="1" thickTop="1" thickBot="1">
      <c r="F54" s="525"/>
      <c r="G54" s="525"/>
      <c r="H54" s="525"/>
      <c r="I54" s="525"/>
      <c r="J54" s="525"/>
      <c r="K54" s="28">
        <f t="shared" ref="K54:K80" si="40">IFERROR(L54,0)</f>
        <v>0</v>
      </c>
      <c r="L54" s="28">
        <f>'الأجـــازة للوصايا'!K25</f>
        <v>0</v>
      </c>
      <c r="M54" s="28">
        <f t="shared" ref="M54:M80" si="41">IFERROR(N54,0)</f>
        <v>0</v>
      </c>
      <c r="N54" s="28">
        <f>'الأجـــازة للوصايا'!M25</f>
        <v>0</v>
      </c>
      <c r="O54" s="28"/>
      <c r="P54" s="1361" t="s">
        <v>737</v>
      </c>
      <c r="Q54" s="1362"/>
      <c r="R54" s="28"/>
      <c r="S54" s="28"/>
      <c r="T54" s="28"/>
      <c r="U54" s="28"/>
      <c r="V54" s="28"/>
      <c r="W54" s="28"/>
      <c r="X54" s="28"/>
      <c r="Y54" s="28"/>
      <c r="Z54" s="28"/>
      <c r="AA54" s="28"/>
      <c r="AB54" s="28"/>
      <c r="AD54" s="1"/>
      <c r="AL54" s="28">
        <f>'الأجـــازة للوصايا'!AK25</f>
        <v>0</v>
      </c>
      <c r="AR54" s="574" t="e">
        <f>'(2) '!P22</f>
        <v>#DIV/0!</v>
      </c>
      <c r="AS54">
        <f t="shared" si="20"/>
        <v>0</v>
      </c>
      <c r="AT54">
        <f t="shared" si="21"/>
        <v>1</v>
      </c>
      <c r="AU54">
        <f t="shared" si="37"/>
        <v>0</v>
      </c>
      <c r="AV54" t="e">
        <f t="shared" si="22"/>
        <v>#DIV/0!</v>
      </c>
      <c r="AW54">
        <f t="shared" si="38"/>
        <v>0</v>
      </c>
      <c r="AX54">
        <f>'(2) '!M22</f>
        <v>0</v>
      </c>
      <c r="AY54" s="1">
        <f t="shared" si="25"/>
        <v>0</v>
      </c>
      <c r="AZ54">
        <f t="shared" si="39"/>
        <v>0</v>
      </c>
      <c r="BA54" s="299" t="e">
        <f t="shared" si="27"/>
        <v>#DIV/0!</v>
      </c>
      <c r="BB54" s="614" t="e">
        <f t="shared" si="29"/>
        <v>#DIV/0!</v>
      </c>
    </row>
    <row r="55" spans="6:54" ht="17.25" hidden="1" thickTop="1" thickBot="1">
      <c r="F55" s="525">
        <v>1</v>
      </c>
      <c r="G55" s="525"/>
      <c r="H55" s="525"/>
      <c r="I55" s="525"/>
      <c r="J55" s="525"/>
      <c r="K55" s="28">
        <f t="shared" si="40"/>
        <v>0</v>
      </c>
      <c r="L55" s="28">
        <f>'الأجـــازة للوصايا'!K26</f>
        <v>0</v>
      </c>
      <c r="M55" s="28">
        <f t="shared" si="41"/>
        <v>0</v>
      </c>
      <c r="N55" s="28">
        <f>'الأجـــازة للوصايا'!M26</f>
        <v>0</v>
      </c>
      <c r="O55" s="28"/>
      <c r="P55" s="28"/>
      <c r="Q55" s="28"/>
      <c r="R55" s="28"/>
      <c r="S55" s="28"/>
      <c r="T55" s="28"/>
      <c r="U55" s="28"/>
      <c r="V55" s="28"/>
      <c r="W55" s="28"/>
      <c r="X55" s="28"/>
      <c r="Y55" s="28"/>
      <c r="Z55" s="28"/>
      <c r="AA55" s="28"/>
      <c r="AB55" s="28"/>
      <c r="AD55" s="1"/>
      <c r="AL55" s="28">
        <f>'الأجـــازة للوصايا'!AK26</f>
        <v>0</v>
      </c>
      <c r="AR55" s="574" t="e">
        <f>'(2) '!P23</f>
        <v>#DIV/0!</v>
      </c>
      <c r="AS55">
        <f t="shared" si="20"/>
        <v>0</v>
      </c>
      <c r="AT55">
        <f t="shared" si="21"/>
        <v>1</v>
      </c>
      <c r="AU55">
        <f t="shared" si="37"/>
        <v>0</v>
      </c>
      <c r="AV55" t="e">
        <f t="shared" si="22"/>
        <v>#DIV/0!</v>
      </c>
      <c r="AW55">
        <f>$AW$54</f>
        <v>0</v>
      </c>
      <c r="AX55">
        <f>'(2) '!M23</f>
        <v>0</v>
      </c>
      <c r="AY55" s="1">
        <f t="shared" si="25"/>
        <v>0</v>
      </c>
      <c r="AZ55">
        <f t="shared" si="39"/>
        <v>0</v>
      </c>
      <c r="BA55" s="299" t="e">
        <f t="shared" si="27"/>
        <v>#DIV/0!</v>
      </c>
      <c r="BB55" s="614" t="e">
        <f t="shared" si="29"/>
        <v>#DIV/0!</v>
      </c>
    </row>
    <row r="56" spans="6:54" ht="17.25" hidden="1" thickTop="1" thickBot="1">
      <c r="F56" s="525"/>
      <c r="G56" s="525"/>
      <c r="H56" s="525"/>
      <c r="I56" s="525"/>
      <c r="J56" s="525"/>
      <c r="K56" s="28">
        <f t="shared" si="40"/>
        <v>0</v>
      </c>
      <c r="L56" s="28">
        <f>'الأجـــازة للوصايا'!K27</f>
        <v>0</v>
      </c>
      <c r="M56" s="28">
        <f t="shared" si="41"/>
        <v>0</v>
      </c>
      <c r="N56" s="28">
        <f>'الأجـــازة للوصايا'!M27</f>
        <v>0</v>
      </c>
      <c r="O56" s="28"/>
      <c r="P56" s="28"/>
      <c r="Q56" s="28"/>
      <c r="R56" s="28"/>
      <c r="S56" s="28"/>
      <c r="T56" s="28"/>
      <c r="U56" s="28"/>
      <c r="V56" s="28"/>
      <c r="W56" s="28"/>
      <c r="X56" s="28"/>
      <c r="Y56" s="28"/>
      <c r="Z56" s="28"/>
      <c r="AA56" s="28"/>
      <c r="AB56" s="28"/>
      <c r="AD56" s="1"/>
      <c r="AL56" s="28">
        <f>'الأجـــازة للوصايا'!AK27</f>
        <v>0</v>
      </c>
      <c r="AR56" s="574" t="e">
        <f>'(2) '!P24</f>
        <v>#DIV/0!</v>
      </c>
      <c r="AS56">
        <f t="shared" ref="AS56:AS76" si="42">IFERROR(AR56,0)</f>
        <v>0</v>
      </c>
      <c r="AT56">
        <f t="shared" ref="AT56:AT76" si="43">IF(AS56&gt;0,AS56,1)</f>
        <v>1</v>
      </c>
      <c r="AU56">
        <f t="shared" si="36"/>
        <v>0</v>
      </c>
      <c r="AV56" t="e">
        <f t="shared" ref="AV56:AV76" si="44">AS56/AU56</f>
        <v>#DIV/0!</v>
      </c>
      <c r="AW56">
        <f t="shared" si="38"/>
        <v>0</v>
      </c>
      <c r="AX56">
        <f>'(2) '!M24</f>
        <v>0</v>
      </c>
      <c r="AY56" s="1">
        <f t="shared" ref="AY56:AY77" si="45" xml:space="preserve"> ROUND((AX56*AW56 ),2)</f>
        <v>0</v>
      </c>
      <c r="AZ56">
        <f t="shared" ref="AZ56:AZ76" si="46">$AZ$12</f>
        <v>0</v>
      </c>
      <c r="BA56" s="299" t="e">
        <f t="shared" si="27"/>
        <v>#DIV/0!</v>
      </c>
      <c r="BB56" s="614" t="e">
        <f>BA56</f>
        <v>#DIV/0!</v>
      </c>
    </row>
    <row r="57" spans="6:54" ht="17.25" hidden="1" thickTop="1" thickBot="1">
      <c r="F57" s="525"/>
      <c r="G57" s="525"/>
      <c r="H57" s="525"/>
      <c r="I57" s="525"/>
      <c r="J57" s="525"/>
      <c r="K57" s="28">
        <f t="shared" si="40"/>
        <v>0</v>
      </c>
      <c r="L57" s="28">
        <f>'الأجـــازة للوصايا'!AV24</f>
        <v>0</v>
      </c>
      <c r="M57" s="28">
        <f t="shared" si="41"/>
        <v>0</v>
      </c>
      <c r="N57" s="28">
        <f>'الأجـــازة للوصايا'!AX24</f>
        <v>0</v>
      </c>
      <c r="O57" s="28"/>
      <c r="P57" s="28"/>
      <c r="Q57" s="28"/>
      <c r="R57" s="28"/>
      <c r="S57" s="28"/>
      <c r="T57" s="28"/>
      <c r="U57" s="28"/>
      <c r="V57" s="28"/>
      <c r="W57" s="28"/>
      <c r="X57" s="28"/>
      <c r="Y57" s="28"/>
      <c r="Z57" s="28"/>
      <c r="AA57" s="28"/>
      <c r="AB57" s="28"/>
      <c r="AD57" s="1"/>
      <c r="AL57" s="28">
        <f>'الأجـــازة للوصايا'!AK28</f>
        <v>0</v>
      </c>
      <c r="AR57" s="574" t="e">
        <f>'(2) '!P25</f>
        <v>#DIV/0!</v>
      </c>
      <c r="AS57">
        <f t="shared" si="42"/>
        <v>0</v>
      </c>
      <c r="AT57">
        <f t="shared" si="43"/>
        <v>1</v>
      </c>
      <c r="AU57">
        <f t="shared" si="36"/>
        <v>0</v>
      </c>
      <c r="AV57" t="e">
        <f t="shared" si="44"/>
        <v>#DIV/0!</v>
      </c>
      <c r="AW57">
        <f t="shared" si="38"/>
        <v>0</v>
      </c>
      <c r="AX57">
        <f>'(2) '!M25</f>
        <v>0</v>
      </c>
      <c r="AY57" s="1">
        <f t="shared" si="45"/>
        <v>0</v>
      </c>
      <c r="AZ57">
        <f t="shared" si="46"/>
        <v>0</v>
      </c>
      <c r="BA57" s="299" t="e">
        <f t="shared" si="27"/>
        <v>#DIV/0!</v>
      </c>
      <c r="BB57" s="614" t="e">
        <f>BA57</f>
        <v>#DIV/0!</v>
      </c>
    </row>
    <row r="58" spans="6:54" ht="17.25" hidden="1" thickTop="1" thickBot="1">
      <c r="F58" s="526"/>
      <c r="G58" s="527"/>
      <c r="H58" s="527"/>
      <c r="I58" s="622"/>
      <c r="J58" s="528"/>
      <c r="K58" s="28">
        <f t="shared" si="40"/>
        <v>0</v>
      </c>
      <c r="L58" s="28">
        <f>'الأجـــازة للوصايا'!AV25</f>
        <v>0</v>
      </c>
      <c r="M58" s="28">
        <f t="shared" si="41"/>
        <v>0</v>
      </c>
      <c r="N58" s="28">
        <f>'الأجـــازة للوصايا'!AX25</f>
        <v>0</v>
      </c>
      <c r="O58" s="28"/>
      <c r="P58" s="28"/>
      <c r="Q58" s="28"/>
      <c r="R58" s="28"/>
      <c r="S58" s="28"/>
      <c r="T58" s="28"/>
      <c r="U58" s="28"/>
      <c r="V58" s="28"/>
      <c r="W58" s="28"/>
      <c r="X58" s="28"/>
      <c r="Y58" s="28"/>
      <c r="Z58" s="28"/>
      <c r="AA58" s="28"/>
      <c r="AB58" s="28"/>
      <c r="AD58" s="1"/>
      <c r="AL58" s="28">
        <f>'الأجـــازة للوصايا'!AK29</f>
        <v>0</v>
      </c>
      <c r="AR58" s="574" t="e">
        <f>'(2) '!P26</f>
        <v>#DIV/0!</v>
      </c>
      <c r="AS58">
        <f t="shared" si="42"/>
        <v>0</v>
      </c>
      <c r="AT58">
        <f t="shared" si="43"/>
        <v>1</v>
      </c>
      <c r="AU58">
        <f t="shared" si="36"/>
        <v>0</v>
      </c>
      <c r="AV58" t="e">
        <f t="shared" si="44"/>
        <v>#DIV/0!</v>
      </c>
      <c r="AW58">
        <f t="shared" si="38"/>
        <v>0</v>
      </c>
      <c r="AX58">
        <f>'(2) '!M26</f>
        <v>0</v>
      </c>
      <c r="AY58" s="1">
        <f t="shared" si="45"/>
        <v>0</v>
      </c>
      <c r="AZ58">
        <f t="shared" si="46"/>
        <v>0</v>
      </c>
      <c r="BA58" s="299" t="e">
        <f t="shared" si="27"/>
        <v>#DIV/0!</v>
      </c>
      <c r="BB58" s="614" t="e">
        <f>BA58</f>
        <v>#DIV/0!</v>
      </c>
    </row>
    <row r="59" spans="6:54" ht="17.25" hidden="1" thickTop="1" thickBot="1">
      <c r="F59" s="529"/>
      <c r="G59" s="530"/>
      <c r="H59" s="530"/>
      <c r="I59" s="623"/>
      <c r="J59" s="531"/>
      <c r="K59" s="28">
        <f t="shared" si="40"/>
        <v>0</v>
      </c>
      <c r="L59" s="28">
        <f>'الأجـــازة للوصايا'!AV26</f>
        <v>0</v>
      </c>
      <c r="M59" s="28">
        <f t="shared" si="41"/>
        <v>0</v>
      </c>
      <c r="N59" s="28">
        <f>'الأجـــازة للوصايا'!AX26</f>
        <v>0</v>
      </c>
      <c r="O59" s="28"/>
      <c r="P59" s="28"/>
      <c r="Q59" s="28"/>
      <c r="R59" s="28"/>
      <c r="S59" s="28"/>
      <c r="T59" s="28"/>
      <c r="U59" s="28"/>
      <c r="V59" s="28"/>
      <c r="W59" s="28"/>
      <c r="X59" s="28"/>
      <c r="Y59" s="28"/>
      <c r="Z59" s="28"/>
      <c r="AA59" s="28"/>
      <c r="AB59" s="28"/>
      <c r="AD59" s="1"/>
      <c r="AL59" s="28">
        <f>'الأجـــازة للوصايا'!AK30</f>
        <v>0</v>
      </c>
      <c r="AR59" s="574" t="e">
        <f>'(2) '!P27</f>
        <v>#DIV/0!</v>
      </c>
      <c r="AS59">
        <f t="shared" si="42"/>
        <v>0</v>
      </c>
      <c r="AT59">
        <f t="shared" si="43"/>
        <v>1</v>
      </c>
      <c r="AU59">
        <f t="shared" si="36"/>
        <v>0</v>
      </c>
      <c r="AV59" t="e">
        <f t="shared" si="44"/>
        <v>#DIV/0!</v>
      </c>
      <c r="AW59">
        <f t="shared" si="38"/>
        <v>0</v>
      </c>
      <c r="AX59">
        <f>'(2) '!M27</f>
        <v>0</v>
      </c>
      <c r="AY59" s="1">
        <f t="shared" si="45"/>
        <v>0</v>
      </c>
      <c r="AZ59">
        <f t="shared" si="46"/>
        <v>0</v>
      </c>
      <c r="BA59" s="299" t="e">
        <f t="shared" si="27"/>
        <v>#DIV/0!</v>
      </c>
      <c r="BB59" s="614" t="e">
        <f>BA59</f>
        <v>#DIV/0!</v>
      </c>
    </row>
    <row r="60" spans="6:54" ht="17.25" hidden="1" thickTop="1" thickBot="1">
      <c r="F60" s="525"/>
      <c r="G60" s="525"/>
      <c r="H60" s="525"/>
      <c r="I60" s="525"/>
      <c r="J60" s="525"/>
      <c r="K60" s="28">
        <f t="shared" si="40"/>
        <v>0</v>
      </c>
      <c r="L60" s="28">
        <f>'الأجـــازة للوصايا'!AV27</f>
        <v>0</v>
      </c>
      <c r="M60" s="28">
        <f t="shared" si="41"/>
        <v>0</v>
      </c>
      <c r="N60" s="28">
        <f>'الأجـــازة للوصايا'!AX27</f>
        <v>0</v>
      </c>
      <c r="O60" s="28"/>
      <c r="P60" s="28"/>
      <c r="Q60" s="28"/>
      <c r="R60" s="28"/>
      <c r="S60" s="28"/>
      <c r="T60" s="28"/>
      <c r="U60" s="28"/>
      <c r="V60" s="28"/>
      <c r="W60" s="28"/>
      <c r="X60" s="28"/>
      <c r="Y60" s="28"/>
      <c r="Z60" s="28"/>
      <c r="AA60" s="28"/>
      <c r="AB60" s="28"/>
      <c r="AD60" s="1"/>
      <c r="AL60" s="28">
        <f>'الأجـــازة للوصايا'!AK31</f>
        <v>0</v>
      </c>
      <c r="AR60" s="290" t="e">
        <f>'(3) '!P12</f>
        <v>#DIV/0!</v>
      </c>
      <c r="AS60">
        <f t="shared" si="42"/>
        <v>0</v>
      </c>
      <c r="AT60">
        <f t="shared" si="43"/>
        <v>1</v>
      </c>
      <c r="AU60">
        <f t="shared" si="36"/>
        <v>0</v>
      </c>
      <c r="AV60" t="e">
        <f t="shared" si="44"/>
        <v>#DIV/0!</v>
      </c>
      <c r="AW60">
        <f t="shared" si="38"/>
        <v>0</v>
      </c>
      <c r="AX60">
        <f>'(3) '!M12</f>
        <v>0</v>
      </c>
      <c r="AY60" s="1">
        <f t="shared" si="45"/>
        <v>0</v>
      </c>
      <c r="AZ60">
        <f t="shared" si="46"/>
        <v>0</v>
      </c>
      <c r="BA60" s="299" t="e">
        <f t="shared" ref="BA60:BA77" si="47">ROUND(AY60/AZ60,0)</f>
        <v>#DIV/0!</v>
      </c>
      <c r="BB60" s="406" t="e">
        <f t="shared" ref="BB60:BB91" si="48">BA60</f>
        <v>#DIV/0!</v>
      </c>
    </row>
    <row r="61" spans="6:54" ht="17.25" hidden="1" thickTop="1" thickBot="1">
      <c r="F61" s="529"/>
      <c r="G61" s="530"/>
      <c r="H61" s="530"/>
      <c r="I61" s="623"/>
      <c r="J61" s="531"/>
      <c r="K61" s="28">
        <f t="shared" si="40"/>
        <v>0</v>
      </c>
      <c r="L61" s="28">
        <f>'الأجـــازة للوصايا'!BD24</f>
        <v>0</v>
      </c>
      <c r="M61" s="28">
        <f t="shared" si="41"/>
        <v>0</v>
      </c>
      <c r="N61" s="28">
        <f>'الأجـــازة للوصايا'!BF24</f>
        <v>0</v>
      </c>
      <c r="O61" s="28"/>
      <c r="P61" s="28"/>
      <c r="Q61" s="28"/>
      <c r="R61" s="28"/>
      <c r="S61" s="28"/>
      <c r="T61" s="28"/>
      <c r="U61" s="28"/>
      <c r="V61" s="28"/>
      <c r="W61" s="28"/>
      <c r="X61" s="28"/>
      <c r="Y61" s="28"/>
      <c r="Z61" s="28"/>
      <c r="AA61" s="28"/>
      <c r="AB61" s="28"/>
      <c r="AD61" s="1"/>
      <c r="AL61" s="28">
        <f>'الأجـــازة للوصايا'!AK32</f>
        <v>0</v>
      </c>
      <c r="AR61" s="290" t="e">
        <f>'(3) '!P13</f>
        <v>#DIV/0!</v>
      </c>
      <c r="AS61">
        <f t="shared" si="42"/>
        <v>0</v>
      </c>
      <c r="AT61">
        <f t="shared" si="43"/>
        <v>1</v>
      </c>
      <c r="AU61">
        <f t="shared" si="36"/>
        <v>0</v>
      </c>
      <c r="AV61" t="e">
        <f t="shared" si="44"/>
        <v>#DIV/0!</v>
      </c>
      <c r="AW61">
        <f t="shared" si="38"/>
        <v>0</v>
      </c>
      <c r="AX61">
        <f>'(3) '!M13</f>
        <v>0</v>
      </c>
      <c r="AY61" s="1">
        <f t="shared" si="45"/>
        <v>0</v>
      </c>
      <c r="AZ61">
        <f t="shared" si="46"/>
        <v>0</v>
      </c>
      <c r="BA61" s="299" t="e">
        <f t="shared" si="47"/>
        <v>#DIV/0!</v>
      </c>
      <c r="BB61" s="406" t="e">
        <f t="shared" si="48"/>
        <v>#DIV/0!</v>
      </c>
    </row>
    <row r="62" spans="6:54" ht="17.25" hidden="1" thickTop="1" thickBot="1">
      <c r="F62" s="529"/>
      <c r="G62" s="530"/>
      <c r="H62" s="530"/>
      <c r="I62" s="623"/>
      <c r="J62" s="531"/>
      <c r="K62" s="28">
        <f t="shared" si="40"/>
        <v>0</v>
      </c>
      <c r="L62" s="28">
        <f>'الأجـــازة للوصايا'!BD25</f>
        <v>0</v>
      </c>
      <c r="M62" s="28">
        <f t="shared" si="41"/>
        <v>0</v>
      </c>
      <c r="N62" s="28">
        <f>'الأجـــازة للوصايا'!BF25</f>
        <v>0</v>
      </c>
      <c r="O62" s="28"/>
      <c r="P62" s="28"/>
      <c r="Q62" s="28"/>
      <c r="R62" s="28"/>
      <c r="S62" s="28"/>
      <c r="T62" s="28"/>
      <c r="U62" s="28"/>
      <c r="V62" s="28"/>
      <c r="W62" s="28"/>
      <c r="X62" s="28"/>
      <c r="Y62" s="28"/>
      <c r="Z62" s="28"/>
      <c r="AA62" s="28"/>
      <c r="AB62" s="28"/>
      <c r="AD62" s="1"/>
      <c r="AL62" s="28">
        <f>'الأجـــازة للوصايا'!AK33</f>
        <v>0</v>
      </c>
      <c r="AR62" s="290" t="e">
        <f>'(3) '!P14</f>
        <v>#DIV/0!</v>
      </c>
      <c r="AS62">
        <f t="shared" si="42"/>
        <v>0</v>
      </c>
      <c r="AT62">
        <f t="shared" si="43"/>
        <v>1</v>
      </c>
      <c r="AU62">
        <f t="shared" si="36"/>
        <v>0</v>
      </c>
      <c r="AV62" t="e">
        <f t="shared" si="44"/>
        <v>#DIV/0!</v>
      </c>
      <c r="AW62">
        <f t="shared" si="38"/>
        <v>0</v>
      </c>
      <c r="AX62">
        <f>'(3) '!M14</f>
        <v>0</v>
      </c>
      <c r="AY62" s="1">
        <f t="shared" si="45"/>
        <v>0</v>
      </c>
      <c r="AZ62">
        <f t="shared" si="46"/>
        <v>0</v>
      </c>
      <c r="BA62" s="299" t="e">
        <f t="shared" si="47"/>
        <v>#DIV/0!</v>
      </c>
      <c r="BB62" s="406" t="e">
        <f t="shared" si="48"/>
        <v>#DIV/0!</v>
      </c>
    </row>
    <row r="63" spans="6:54" ht="17.25" hidden="1" thickTop="1" thickBot="1">
      <c r="F63" s="529">
        <v>0</v>
      </c>
      <c r="G63" s="530">
        <v>0</v>
      </c>
      <c r="H63" s="530">
        <v>0</v>
      </c>
      <c r="I63" s="623"/>
      <c r="J63" s="531">
        <v>0</v>
      </c>
      <c r="K63" s="28">
        <f t="shared" si="40"/>
        <v>0</v>
      </c>
      <c r="L63" s="28">
        <f>'الأجـــازة للوصايا'!BD26</f>
        <v>0</v>
      </c>
      <c r="M63" s="28">
        <f t="shared" si="41"/>
        <v>0</v>
      </c>
      <c r="N63" s="28">
        <f>'الأجـــازة للوصايا'!BF26</f>
        <v>0</v>
      </c>
      <c r="O63" s="28"/>
      <c r="P63" s="28"/>
      <c r="Q63" s="28"/>
      <c r="R63" s="28"/>
      <c r="S63" s="28"/>
      <c r="T63" s="28"/>
      <c r="U63" s="28"/>
      <c r="V63" s="28"/>
      <c r="W63" s="28"/>
      <c r="X63" s="28"/>
      <c r="Y63" s="28"/>
      <c r="Z63" s="28"/>
      <c r="AA63" s="28"/>
      <c r="AB63" s="28"/>
      <c r="AD63" s="1"/>
      <c r="AL63" s="28">
        <f>'الأجـــازة للوصايا'!AK34</f>
        <v>0</v>
      </c>
      <c r="AR63" s="290" t="e">
        <f>'(3) '!P15</f>
        <v>#DIV/0!</v>
      </c>
      <c r="AS63">
        <f t="shared" si="42"/>
        <v>0</v>
      </c>
      <c r="AT63">
        <f t="shared" si="43"/>
        <v>1</v>
      </c>
      <c r="AU63">
        <f t="shared" si="36"/>
        <v>0</v>
      </c>
      <c r="AV63" t="e">
        <f t="shared" si="44"/>
        <v>#DIV/0!</v>
      </c>
      <c r="AW63">
        <f t="shared" si="38"/>
        <v>0</v>
      </c>
      <c r="AX63">
        <f>'(3) '!M15</f>
        <v>0</v>
      </c>
      <c r="AY63" s="1">
        <f t="shared" si="45"/>
        <v>0</v>
      </c>
      <c r="AZ63">
        <f t="shared" si="46"/>
        <v>0</v>
      </c>
      <c r="BA63" s="299" t="e">
        <f t="shared" si="47"/>
        <v>#DIV/0!</v>
      </c>
      <c r="BB63" s="406" t="e">
        <f t="shared" si="48"/>
        <v>#DIV/0!</v>
      </c>
    </row>
    <row r="64" spans="6:54" ht="17.25" hidden="1" thickTop="1" thickBot="1">
      <c r="F64" s="529">
        <v>0</v>
      </c>
      <c r="G64" s="530">
        <v>0</v>
      </c>
      <c r="H64" s="530">
        <v>0</v>
      </c>
      <c r="I64" s="623"/>
      <c r="J64" s="531">
        <v>0</v>
      </c>
      <c r="K64" s="28">
        <f t="shared" si="40"/>
        <v>0</v>
      </c>
      <c r="L64" s="28">
        <f>'الأجـــازة للوصايا'!BD27</f>
        <v>0</v>
      </c>
      <c r="M64" s="28">
        <f t="shared" si="41"/>
        <v>0</v>
      </c>
      <c r="N64" s="28">
        <f>'الأجـــازة للوصايا'!BF27</f>
        <v>0</v>
      </c>
      <c r="O64" s="28"/>
      <c r="P64" s="28"/>
      <c r="Q64" s="28"/>
      <c r="R64" s="28"/>
      <c r="S64" s="28"/>
      <c r="T64" s="28"/>
      <c r="U64" s="28"/>
      <c r="V64" s="28"/>
      <c r="W64" s="28"/>
      <c r="X64" s="28"/>
      <c r="Y64" s="28"/>
      <c r="Z64" s="28"/>
      <c r="AA64" s="28"/>
      <c r="AB64" s="28"/>
      <c r="AD64" s="1"/>
      <c r="AL64" s="28">
        <f>'الأجـــازة للوصايا'!AK35</f>
        <v>0</v>
      </c>
      <c r="AR64" s="290" t="e">
        <f>'(3) '!P16</f>
        <v>#DIV/0!</v>
      </c>
      <c r="AS64">
        <f t="shared" si="42"/>
        <v>0</v>
      </c>
      <c r="AT64">
        <f t="shared" si="43"/>
        <v>1</v>
      </c>
      <c r="AU64">
        <f t="shared" si="36"/>
        <v>0</v>
      </c>
      <c r="AV64" t="e">
        <f t="shared" si="44"/>
        <v>#DIV/0!</v>
      </c>
      <c r="AW64">
        <f t="shared" si="38"/>
        <v>0</v>
      </c>
      <c r="AX64">
        <f>'(3) '!M16</f>
        <v>0</v>
      </c>
      <c r="AY64" s="1">
        <f t="shared" si="45"/>
        <v>0</v>
      </c>
      <c r="AZ64">
        <f t="shared" si="46"/>
        <v>0</v>
      </c>
      <c r="BA64" s="299" t="e">
        <f t="shared" si="47"/>
        <v>#DIV/0!</v>
      </c>
      <c r="BB64" s="406" t="e">
        <f t="shared" si="48"/>
        <v>#DIV/0!</v>
      </c>
    </row>
    <row r="65" spans="6:54" ht="17.25" hidden="1" thickTop="1" thickBot="1">
      <c r="F65" s="532">
        <v>0</v>
      </c>
      <c r="G65" s="533">
        <v>0</v>
      </c>
      <c r="H65" s="533">
        <v>0</v>
      </c>
      <c r="I65" s="624"/>
      <c r="J65" s="534">
        <v>0</v>
      </c>
      <c r="K65" s="28">
        <f t="shared" si="40"/>
        <v>0</v>
      </c>
      <c r="L65" s="28">
        <f>'الأجـــازة للوصايا'!BL24</f>
        <v>0</v>
      </c>
      <c r="M65" s="28">
        <f t="shared" si="41"/>
        <v>0</v>
      </c>
      <c r="N65" s="28">
        <f>'الأجـــازة للوصايا'!BN24</f>
        <v>0</v>
      </c>
      <c r="O65" s="28"/>
      <c r="P65" s="28"/>
      <c r="Q65" s="28"/>
      <c r="R65" s="28"/>
      <c r="S65" s="28"/>
      <c r="T65" s="28"/>
      <c r="U65" s="28"/>
      <c r="V65" s="28"/>
      <c r="W65" s="28"/>
      <c r="X65" s="28"/>
      <c r="Y65" s="28"/>
      <c r="Z65" s="28"/>
      <c r="AA65" s="28"/>
      <c r="AB65" s="28"/>
      <c r="AD65" s="1"/>
      <c r="AL65" s="28">
        <f>'الأجـــازة للوصايا'!AK36</f>
        <v>0</v>
      </c>
      <c r="AR65" s="290" t="e">
        <f>'(3) '!P17</f>
        <v>#DIV/0!</v>
      </c>
      <c r="AS65">
        <f t="shared" si="42"/>
        <v>0</v>
      </c>
      <c r="AT65">
        <f t="shared" si="43"/>
        <v>1</v>
      </c>
      <c r="AU65">
        <f t="shared" si="36"/>
        <v>0</v>
      </c>
      <c r="AV65" t="e">
        <f t="shared" si="44"/>
        <v>#DIV/0!</v>
      </c>
      <c r="AW65">
        <f t="shared" si="38"/>
        <v>0</v>
      </c>
      <c r="AX65">
        <f>'(3) '!M17</f>
        <v>0</v>
      </c>
      <c r="AY65" s="1">
        <f t="shared" si="45"/>
        <v>0</v>
      </c>
      <c r="AZ65">
        <f t="shared" si="46"/>
        <v>0</v>
      </c>
      <c r="BA65" s="299" t="e">
        <f t="shared" si="47"/>
        <v>#DIV/0!</v>
      </c>
      <c r="BB65" s="406" t="e">
        <f t="shared" si="48"/>
        <v>#DIV/0!</v>
      </c>
    </row>
    <row r="66" spans="6:54" ht="15.75" hidden="1" thickTop="1">
      <c r="F66" s="28"/>
      <c r="G66" s="28"/>
      <c r="H66" s="28"/>
      <c r="I66" s="28"/>
      <c r="J66" s="28"/>
      <c r="K66" s="28">
        <f t="shared" si="40"/>
        <v>0</v>
      </c>
      <c r="L66" s="28">
        <f>'الأجـــازة للوصايا'!BL25</f>
        <v>0</v>
      </c>
      <c r="M66" s="28">
        <f t="shared" si="41"/>
        <v>0</v>
      </c>
      <c r="N66" s="28">
        <f>'الأجـــازة للوصايا'!BN25</f>
        <v>0</v>
      </c>
      <c r="O66" s="28"/>
      <c r="P66" s="28"/>
      <c r="Q66" s="28"/>
      <c r="R66" s="28"/>
      <c r="S66" s="28"/>
      <c r="T66" s="28"/>
      <c r="U66" s="28"/>
      <c r="V66" s="28"/>
      <c r="W66" s="28"/>
      <c r="X66" s="28"/>
      <c r="Y66" s="28"/>
      <c r="Z66" s="28"/>
      <c r="AA66" s="28"/>
      <c r="AB66" s="28"/>
      <c r="AD66" s="1"/>
      <c r="AL66" s="28">
        <f>'الأجـــازة للوصايا'!AK37</f>
        <v>0</v>
      </c>
      <c r="AR66" s="290" t="e">
        <f>'(3) '!P18</f>
        <v>#DIV/0!</v>
      </c>
      <c r="AS66">
        <f t="shared" si="42"/>
        <v>0</v>
      </c>
      <c r="AT66">
        <f t="shared" si="43"/>
        <v>1</v>
      </c>
      <c r="AU66">
        <f t="shared" si="36"/>
        <v>0</v>
      </c>
      <c r="AV66" t="e">
        <f t="shared" si="44"/>
        <v>#DIV/0!</v>
      </c>
      <c r="AW66">
        <f t="shared" si="38"/>
        <v>0</v>
      </c>
      <c r="AX66">
        <f>'(3) '!M18</f>
        <v>0</v>
      </c>
      <c r="AY66" s="1">
        <f t="shared" si="45"/>
        <v>0</v>
      </c>
      <c r="AZ66">
        <f t="shared" si="46"/>
        <v>0</v>
      </c>
      <c r="BA66" s="299" t="e">
        <f t="shared" si="47"/>
        <v>#DIV/0!</v>
      </c>
      <c r="BB66" s="406" t="e">
        <f t="shared" si="48"/>
        <v>#DIV/0!</v>
      </c>
    </row>
    <row r="67" spans="6:54" hidden="1">
      <c r="F67" s="28"/>
      <c r="G67" s="28"/>
      <c r="H67" s="28"/>
      <c r="I67" s="28"/>
      <c r="J67" s="28"/>
      <c r="K67" s="28">
        <f t="shared" si="40"/>
        <v>0</v>
      </c>
      <c r="L67" s="28">
        <f>'الأجـــازة للوصايا'!BL26</f>
        <v>0</v>
      </c>
      <c r="M67" s="28">
        <f t="shared" si="41"/>
        <v>0</v>
      </c>
      <c r="N67" s="28">
        <f>'الأجـــازة للوصايا'!BN26</f>
        <v>0</v>
      </c>
      <c r="O67" s="28"/>
      <c r="P67" s="28"/>
      <c r="Q67" s="28"/>
      <c r="R67" s="28"/>
      <c r="S67" s="28"/>
      <c r="T67" s="28"/>
      <c r="U67" s="28"/>
      <c r="V67" s="28"/>
      <c r="W67" s="28"/>
      <c r="X67" s="28"/>
      <c r="Y67" s="28"/>
      <c r="Z67" s="28"/>
      <c r="AA67" s="28"/>
      <c r="AB67" s="28"/>
      <c r="AD67" s="1"/>
      <c r="AL67" s="28">
        <f>'الأجـــازة للوصايا'!AK38</f>
        <v>0</v>
      </c>
      <c r="AR67" s="290" t="e">
        <f>'(3) '!P19</f>
        <v>#DIV/0!</v>
      </c>
      <c r="AS67">
        <f t="shared" si="42"/>
        <v>0</v>
      </c>
      <c r="AT67">
        <f t="shared" si="43"/>
        <v>1</v>
      </c>
      <c r="AU67">
        <f t="shared" si="36"/>
        <v>0</v>
      </c>
      <c r="AV67" t="e">
        <f t="shared" si="44"/>
        <v>#DIV/0!</v>
      </c>
      <c r="AW67">
        <f t="shared" si="38"/>
        <v>0</v>
      </c>
      <c r="AX67">
        <f>'(3) '!M19</f>
        <v>0</v>
      </c>
      <c r="AY67" s="1">
        <f t="shared" si="45"/>
        <v>0</v>
      </c>
      <c r="AZ67">
        <f t="shared" si="46"/>
        <v>0</v>
      </c>
      <c r="BA67" s="299" t="e">
        <f t="shared" si="47"/>
        <v>#DIV/0!</v>
      </c>
      <c r="BB67" s="406" t="e">
        <f t="shared" si="48"/>
        <v>#DIV/0!</v>
      </c>
    </row>
    <row r="68" spans="6:54" ht="17.25" hidden="1" customHeight="1">
      <c r="F68" s="28"/>
      <c r="G68" s="28"/>
      <c r="H68" s="28"/>
      <c r="I68" s="28"/>
      <c r="J68" s="28"/>
      <c r="K68" s="28">
        <f t="shared" si="40"/>
        <v>0</v>
      </c>
      <c r="L68" s="28">
        <f>'الأجـــازة للوصايا'!BL27</f>
        <v>0</v>
      </c>
      <c r="M68" s="28">
        <f t="shared" si="41"/>
        <v>0</v>
      </c>
      <c r="N68" s="28">
        <f>'الأجـــازة للوصايا'!BN27</f>
        <v>0</v>
      </c>
      <c r="O68" s="28"/>
      <c r="P68" s="28"/>
      <c r="Q68" s="28"/>
      <c r="R68" s="28"/>
      <c r="S68" s="28"/>
      <c r="T68" s="28"/>
      <c r="U68" s="28"/>
      <c r="V68" s="28"/>
      <c r="W68" s="28"/>
      <c r="X68" s="28"/>
      <c r="Y68" s="28"/>
      <c r="Z68" s="28"/>
      <c r="AA68" s="28"/>
      <c r="AB68" s="28"/>
      <c r="AD68" s="1"/>
      <c r="AL68" s="28">
        <f>'الأجـــازة للوصايا'!AK39</f>
        <v>0</v>
      </c>
      <c r="AR68" s="290" t="e">
        <f>'(3) '!P20</f>
        <v>#DIV/0!</v>
      </c>
      <c r="AS68">
        <f t="shared" si="42"/>
        <v>0</v>
      </c>
      <c r="AT68">
        <f t="shared" si="43"/>
        <v>1</v>
      </c>
      <c r="AU68">
        <f t="shared" si="36"/>
        <v>0</v>
      </c>
      <c r="AV68" t="e">
        <f t="shared" si="44"/>
        <v>#DIV/0!</v>
      </c>
      <c r="AW68">
        <f t="shared" si="38"/>
        <v>0</v>
      </c>
      <c r="AX68">
        <f>'(3) '!M20</f>
        <v>0</v>
      </c>
      <c r="AY68" s="1">
        <f t="shared" si="45"/>
        <v>0</v>
      </c>
      <c r="AZ68">
        <f t="shared" si="46"/>
        <v>0</v>
      </c>
      <c r="BA68" s="299" t="e">
        <f t="shared" si="47"/>
        <v>#DIV/0!</v>
      </c>
      <c r="BB68" s="406" t="e">
        <f t="shared" si="48"/>
        <v>#DIV/0!</v>
      </c>
    </row>
    <row r="69" spans="6:54" ht="17.25" hidden="1" customHeight="1">
      <c r="F69" s="28"/>
      <c r="G69" s="28"/>
      <c r="H69" s="28"/>
      <c r="I69" s="28"/>
      <c r="J69" s="28"/>
      <c r="K69" s="28">
        <f t="shared" si="40"/>
        <v>0</v>
      </c>
      <c r="L69" s="28">
        <f>'الأجـــازة للوصايا'!BT24</f>
        <v>0</v>
      </c>
      <c r="M69" s="28">
        <f t="shared" si="41"/>
        <v>0</v>
      </c>
      <c r="N69" s="28">
        <f>'الأجـــازة للوصايا'!BV24</f>
        <v>0</v>
      </c>
      <c r="O69" s="28"/>
      <c r="P69" s="28"/>
      <c r="Q69" s="28"/>
      <c r="R69" s="28"/>
      <c r="S69" s="28"/>
      <c r="T69" s="28"/>
      <c r="U69" s="28"/>
      <c r="V69" s="28"/>
      <c r="W69" s="28"/>
      <c r="X69" s="28"/>
      <c r="Y69" s="28"/>
      <c r="Z69" s="28"/>
      <c r="AA69" s="28"/>
      <c r="AB69" s="28"/>
      <c r="AD69" s="1"/>
      <c r="AL69" s="28">
        <f>'الأجـــازة للوصايا'!AK40</f>
        <v>0</v>
      </c>
      <c r="AR69" s="290" t="e">
        <f>'(3) '!P21</f>
        <v>#DIV/0!</v>
      </c>
      <c r="AS69">
        <f t="shared" si="42"/>
        <v>0</v>
      </c>
      <c r="AT69">
        <f t="shared" si="43"/>
        <v>1</v>
      </c>
      <c r="AU69">
        <f t="shared" si="36"/>
        <v>0</v>
      </c>
      <c r="AV69" t="e">
        <f t="shared" si="44"/>
        <v>#DIV/0!</v>
      </c>
      <c r="AW69">
        <f t="shared" si="38"/>
        <v>0</v>
      </c>
      <c r="AX69">
        <f>'(3) '!M21</f>
        <v>0</v>
      </c>
      <c r="AY69" s="1">
        <f t="shared" si="45"/>
        <v>0</v>
      </c>
      <c r="AZ69">
        <f t="shared" si="46"/>
        <v>0</v>
      </c>
      <c r="BA69" s="299" t="e">
        <f t="shared" si="47"/>
        <v>#DIV/0!</v>
      </c>
      <c r="BB69" s="406" t="e">
        <f t="shared" si="48"/>
        <v>#DIV/0!</v>
      </c>
    </row>
    <row r="70" spans="6:54" ht="17.25" hidden="1" customHeight="1">
      <c r="F70" s="28"/>
      <c r="G70" s="28"/>
      <c r="H70" s="28"/>
      <c r="I70" s="28"/>
      <c r="J70" s="28"/>
      <c r="K70" s="28">
        <f t="shared" si="40"/>
        <v>0</v>
      </c>
      <c r="L70" s="28">
        <f>'الأجـــازة للوصايا'!BT25</f>
        <v>0</v>
      </c>
      <c r="M70" s="28">
        <f t="shared" si="41"/>
        <v>0</v>
      </c>
      <c r="N70" s="28">
        <f>'الأجـــازة للوصايا'!BV25</f>
        <v>0</v>
      </c>
      <c r="O70" s="28"/>
      <c r="P70" s="28"/>
      <c r="Q70" s="28"/>
      <c r="R70" s="28"/>
      <c r="S70" s="28"/>
      <c r="T70" s="28"/>
      <c r="U70" s="28"/>
      <c r="V70" s="28"/>
      <c r="W70" s="28"/>
      <c r="X70" s="28"/>
      <c r="Y70" s="28"/>
      <c r="Z70" s="28"/>
      <c r="AA70" s="28"/>
      <c r="AB70" s="28"/>
      <c r="AD70" s="1"/>
      <c r="AL70" s="28">
        <f>'الأجـــازة للوصايا'!AK41</f>
        <v>0</v>
      </c>
      <c r="AR70" s="290" t="e">
        <f>'(3) '!P22</f>
        <v>#DIV/0!</v>
      </c>
      <c r="AS70">
        <f t="shared" si="42"/>
        <v>0</v>
      </c>
      <c r="AT70">
        <f t="shared" si="43"/>
        <v>1</v>
      </c>
      <c r="AU70">
        <f t="shared" si="36"/>
        <v>0</v>
      </c>
      <c r="AV70" t="e">
        <f t="shared" si="44"/>
        <v>#DIV/0!</v>
      </c>
      <c r="AW70">
        <f t="shared" si="38"/>
        <v>0</v>
      </c>
      <c r="AX70">
        <f>'(3) '!M22</f>
        <v>0</v>
      </c>
      <c r="AY70" s="1">
        <f t="shared" si="45"/>
        <v>0</v>
      </c>
      <c r="AZ70">
        <f t="shared" si="46"/>
        <v>0</v>
      </c>
      <c r="BA70" s="299" t="e">
        <f t="shared" si="47"/>
        <v>#DIV/0!</v>
      </c>
      <c r="BB70" s="406" t="e">
        <f t="shared" si="48"/>
        <v>#DIV/0!</v>
      </c>
    </row>
    <row r="71" spans="6:54" ht="17.25" hidden="1" customHeight="1">
      <c r="F71" s="28"/>
      <c r="G71" s="28"/>
      <c r="H71" s="28"/>
      <c r="I71" s="28"/>
      <c r="J71" s="28"/>
      <c r="K71" s="28">
        <f t="shared" si="40"/>
        <v>0</v>
      </c>
      <c r="L71" s="28">
        <f>'الأجـــازة للوصايا'!BT26</f>
        <v>0</v>
      </c>
      <c r="M71" s="28">
        <f t="shared" si="41"/>
        <v>0</v>
      </c>
      <c r="N71" s="28">
        <f>'الأجـــازة للوصايا'!BV26</f>
        <v>0</v>
      </c>
      <c r="O71" s="28"/>
      <c r="P71" s="28"/>
      <c r="Q71" s="28"/>
      <c r="R71" s="28"/>
      <c r="S71" s="28"/>
      <c r="T71" s="28"/>
      <c r="U71" s="28"/>
      <c r="V71" s="28"/>
      <c r="W71" s="28"/>
      <c r="X71" s="28"/>
      <c r="Y71" s="28"/>
      <c r="Z71" s="28"/>
      <c r="AA71" s="28"/>
      <c r="AB71" s="28"/>
      <c r="AD71" s="1"/>
      <c r="AL71" s="28">
        <f>'الأجـــازة للوصايا'!AK42</f>
        <v>0</v>
      </c>
      <c r="AR71" s="290" t="e">
        <f>'(3) '!P23</f>
        <v>#DIV/0!</v>
      </c>
      <c r="AS71">
        <f t="shared" si="42"/>
        <v>0</v>
      </c>
      <c r="AT71">
        <f t="shared" si="43"/>
        <v>1</v>
      </c>
      <c r="AU71">
        <f t="shared" si="36"/>
        <v>0</v>
      </c>
      <c r="AV71" t="e">
        <f t="shared" si="44"/>
        <v>#DIV/0!</v>
      </c>
      <c r="AW71">
        <f t="shared" si="38"/>
        <v>0</v>
      </c>
      <c r="AX71">
        <f>'(3) '!M23</f>
        <v>0</v>
      </c>
      <c r="AY71" s="1">
        <f t="shared" si="45"/>
        <v>0</v>
      </c>
      <c r="AZ71">
        <f t="shared" si="46"/>
        <v>0</v>
      </c>
      <c r="BA71" s="299" t="e">
        <f t="shared" si="47"/>
        <v>#DIV/0!</v>
      </c>
      <c r="BB71" s="406" t="e">
        <f t="shared" si="48"/>
        <v>#DIV/0!</v>
      </c>
    </row>
    <row r="72" spans="6:54" ht="17.25" hidden="1" customHeight="1">
      <c r="F72" s="28"/>
      <c r="G72" s="28"/>
      <c r="H72" s="28"/>
      <c r="I72" s="28"/>
      <c r="J72" s="28"/>
      <c r="K72" s="28">
        <f t="shared" si="40"/>
        <v>0</v>
      </c>
      <c r="L72" s="28">
        <f>'الأجـــازة للوصايا'!BT27</f>
        <v>0</v>
      </c>
      <c r="M72" s="28">
        <f t="shared" si="41"/>
        <v>0</v>
      </c>
      <c r="N72" s="28">
        <f>'الأجـــازة للوصايا'!BV27</f>
        <v>0</v>
      </c>
      <c r="O72" s="28"/>
      <c r="P72" s="28"/>
      <c r="Q72" s="28"/>
      <c r="R72" s="28"/>
      <c r="S72" s="28"/>
      <c r="T72" s="28"/>
      <c r="U72" s="28"/>
      <c r="V72" s="28"/>
      <c r="W72" s="28"/>
      <c r="X72" s="28"/>
      <c r="Y72" s="28"/>
      <c r="Z72" s="28"/>
      <c r="AA72" s="28"/>
      <c r="AB72" s="28"/>
      <c r="AD72" s="1"/>
      <c r="AL72" s="28">
        <f>'الأجـــازة للوصايا'!AK43</f>
        <v>0</v>
      </c>
      <c r="AR72" s="290" t="e">
        <f>'(3) '!P24</f>
        <v>#DIV/0!</v>
      </c>
      <c r="AS72">
        <f t="shared" si="42"/>
        <v>0</v>
      </c>
      <c r="AT72">
        <f t="shared" si="43"/>
        <v>1</v>
      </c>
      <c r="AU72">
        <f t="shared" si="36"/>
        <v>0</v>
      </c>
      <c r="AV72" t="e">
        <f t="shared" si="44"/>
        <v>#DIV/0!</v>
      </c>
      <c r="AW72">
        <f t="shared" si="38"/>
        <v>0</v>
      </c>
      <c r="AX72">
        <f>'(3) '!M24</f>
        <v>0</v>
      </c>
      <c r="AY72" s="1">
        <f t="shared" si="45"/>
        <v>0</v>
      </c>
      <c r="AZ72">
        <f t="shared" si="46"/>
        <v>0</v>
      </c>
      <c r="BA72" s="299" t="e">
        <f t="shared" si="47"/>
        <v>#DIV/0!</v>
      </c>
      <c r="BB72" s="406" t="e">
        <f t="shared" si="48"/>
        <v>#DIV/0!</v>
      </c>
    </row>
    <row r="73" spans="6:54" ht="17.25" hidden="1" customHeight="1">
      <c r="F73" s="28"/>
      <c r="G73" s="28"/>
      <c r="H73" s="28"/>
      <c r="I73" s="28"/>
      <c r="J73" s="28"/>
      <c r="K73" s="28">
        <f t="shared" si="40"/>
        <v>0</v>
      </c>
      <c r="L73" s="28">
        <f>'الأجـــازة للوصايا'!CB24</f>
        <v>0</v>
      </c>
      <c r="M73" s="28">
        <f t="shared" si="41"/>
        <v>0</v>
      </c>
      <c r="N73" s="28">
        <f>'الأجـــازة للوصايا'!CD24</f>
        <v>0</v>
      </c>
      <c r="O73" s="28"/>
      <c r="P73" s="28"/>
      <c r="Q73" s="28"/>
      <c r="R73" s="28"/>
      <c r="S73" s="28"/>
      <c r="T73" s="28"/>
      <c r="U73" s="28"/>
      <c r="V73" s="28"/>
      <c r="W73" s="28"/>
      <c r="X73" s="28"/>
      <c r="Y73" s="28"/>
      <c r="Z73" s="28"/>
      <c r="AA73" s="28"/>
      <c r="AB73" s="28"/>
      <c r="AD73" s="1"/>
      <c r="AL73" s="28">
        <f>'الأجـــازة للوصايا'!AK44</f>
        <v>0</v>
      </c>
      <c r="AR73" s="290" t="e">
        <f>'(3) '!P25</f>
        <v>#DIV/0!</v>
      </c>
      <c r="AS73">
        <f t="shared" si="42"/>
        <v>0</v>
      </c>
      <c r="AT73">
        <f t="shared" si="43"/>
        <v>1</v>
      </c>
      <c r="AU73">
        <f t="shared" si="36"/>
        <v>0</v>
      </c>
      <c r="AV73" t="e">
        <f t="shared" si="44"/>
        <v>#DIV/0!</v>
      </c>
      <c r="AW73">
        <f t="shared" si="38"/>
        <v>0</v>
      </c>
      <c r="AX73">
        <f>'(3) '!M25</f>
        <v>0</v>
      </c>
      <c r="AY73" s="1">
        <f t="shared" si="45"/>
        <v>0</v>
      </c>
      <c r="AZ73">
        <f t="shared" si="46"/>
        <v>0</v>
      </c>
      <c r="BA73" s="299" t="e">
        <f t="shared" si="47"/>
        <v>#DIV/0!</v>
      </c>
      <c r="BB73" s="406" t="e">
        <f t="shared" si="48"/>
        <v>#DIV/0!</v>
      </c>
    </row>
    <row r="74" spans="6:54" ht="17.25" hidden="1" customHeight="1">
      <c r="F74" s="28"/>
      <c r="G74" s="28"/>
      <c r="H74" s="28"/>
      <c r="I74" s="28"/>
      <c r="J74" s="28"/>
      <c r="K74" s="28">
        <f t="shared" si="40"/>
        <v>0</v>
      </c>
      <c r="L74" s="28">
        <f>'الأجـــازة للوصايا'!CB25</f>
        <v>0</v>
      </c>
      <c r="M74" s="28">
        <f t="shared" si="41"/>
        <v>0</v>
      </c>
      <c r="N74" s="28">
        <f>'الأجـــازة للوصايا'!CD25</f>
        <v>0</v>
      </c>
      <c r="O74" s="28"/>
      <c r="P74" s="28"/>
      <c r="Q74" s="28"/>
      <c r="R74" s="28"/>
      <c r="S74" s="28"/>
      <c r="T74" s="28"/>
      <c r="U74" s="28"/>
      <c r="V74" s="28"/>
      <c r="W74" s="28"/>
      <c r="X74" s="28"/>
      <c r="Y74" s="28"/>
      <c r="Z74" s="28"/>
      <c r="AA74" s="28"/>
      <c r="AB74" s="28"/>
      <c r="AD74" s="1"/>
      <c r="AL74" s="28">
        <f>'الأجـــازة للوصايا'!AK45</f>
        <v>0</v>
      </c>
      <c r="AR74" s="290" t="e">
        <f>'(3) '!P26</f>
        <v>#DIV/0!</v>
      </c>
      <c r="AS74">
        <f t="shared" si="42"/>
        <v>0</v>
      </c>
      <c r="AT74">
        <f t="shared" si="43"/>
        <v>1</v>
      </c>
      <c r="AU74">
        <f t="shared" si="36"/>
        <v>0</v>
      </c>
      <c r="AV74" t="e">
        <f t="shared" si="44"/>
        <v>#DIV/0!</v>
      </c>
      <c r="AW74">
        <f t="shared" si="38"/>
        <v>0</v>
      </c>
      <c r="AX74">
        <f>'(3) '!M26</f>
        <v>0</v>
      </c>
      <c r="AY74" s="1">
        <f t="shared" si="45"/>
        <v>0</v>
      </c>
      <c r="AZ74">
        <f t="shared" si="46"/>
        <v>0</v>
      </c>
      <c r="BA74" s="299" t="e">
        <f t="shared" si="47"/>
        <v>#DIV/0!</v>
      </c>
      <c r="BB74" s="406" t="e">
        <f t="shared" si="48"/>
        <v>#DIV/0!</v>
      </c>
    </row>
    <row r="75" spans="6:54" ht="17.25" hidden="1" customHeight="1">
      <c r="F75" s="28"/>
      <c r="G75" s="28"/>
      <c r="H75" s="28"/>
      <c r="I75" s="28"/>
      <c r="J75" s="28"/>
      <c r="K75" s="28">
        <f t="shared" si="40"/>
        <v>0</v>
      </c>
      <c r="L75" s="28">
        <f>'الأجـــازة للوصايا'!CB26</f>
        <v>0</v>
      </c>
      <c r="M75" s="28">
        <f t="shared" si="41"/>
        <v>0</v>
      </c>
      <c r="N75" s="28">
        <f>'الأجـــازة للوصايا'!CD26</f>
        <v>0</v>
      </c>
      <c r="O75" s="28"/>
      <c r="P75" s="28"/>
      <c r="Q75" s="28"/>
      <c r="R75" s="28"/>
      <c r="S75" s="28"/>
      <c r="T75" s="28"/>
      <c r="U75" s="28"/>
      <c r="V75" s="28"/>
      <c r="W75" s="28"/>
      <c r="X75" s="28"/>
      <c r="Y75" s="28"/>
      <c r="Z75" s="28"/>
      <c r="AA75" s="28"/>
      <c r="AB75" s="28"/>
      <c r="AD75" s="1"/>
      <c r="AL75" s="28">
        <f>'الأجـــازة للوصايا'!AK46</f>
        <v>0</v>
      </c>
      <c r="AR75" s="290" t="e">
        <f>'(3) '!P27</f>
        <v>#DIV/0!</v>
      </c>
      <c r="AS75">
        <f t="shared" si="42"/>
        <v>0</v>
      </c>
      <c r="AT75">
        <f t="shared" si="43"/>
        <v>1</v>
      </c>
      <c r="AU75">
        <f t="shared" si="36"/>
        <v>0</v>
      </c>
      <c r="AV75" t="e">
        <f t="shared" si="44"/>
        <v>#DIV/0!</v>
      </c>
      <c r="AW75">
        <f t="shared" si="38"/>
        <v>0</v>
      </c>
      <c r="AX75">
        <f>'(3) '!M27</f>
        <v>0</v>
      </c>
      <c r="AY75" s="1">
        <f t="shared" si="45"/>
        <v>0</v>
      </c>
      <c r="AZ75">
        <f t="shared" si="46"/>
        <v>0</v>
      </c>
      <c r="BA75" s="299" t="e">
        <f t="shared" si="47"/>
        <v>#DIV/0!</v>
      </c>
      <c r="BB75" s="406" t="e">
        <f t="shared" si="48"/>
        <v>#DIV/0!</v>
      </c>
    </row>
    <row r="76" spans="6:54" hidden="1">
      <c r="F76" s="28"/>
      <c r="G76" s="28"/>
      <c r="H76" s="28"/>
      <c r="I76" s="28"/>
      <c r="J76" s="28"/>
      <c r="K76" s="28">
        <f t="shared" si="40"/>
        <v>0</v>
      </c>
      <c r="L76" s="28">
        <f>'الأجـــازة للوصايا'!CB27</f>
        <v>0</v>
      </c>
      <c r="M76" s="28">
        <f t="shared" si="41"/>
        <v>0</v>
      </c>
      <c r="N76" s="28">
        <f>'الأجـــازة للوصايا'!CD27</f>
        <v>0</v>
      </c>
      <c r="O76" s="28"/>
      <c r="P76" s="28"/>
      <c r="Q76" s="28"/>
      <c r="R76" s="28"/>
      <c r="S76" s="28"/>
      <c r="T76" s="28"/>
      <c r="U76" s="28"/>
      <c r="V76" s="28"/>
      <c r="W76" s="28"/>
      <c r="X76" s="28"/>
      <c r="Y76" s="28"/>
      <c r="Z76" s="28"/>
      <c r="AA76" s="28"/>
      <c r="AB76" s="28"/>
      <c r="AD76" s="1"/>
      <c r="AL76" s="28">
        <f>'الأجـــازة للوصايا'!AK47</f>
        <v>0</v>
      </c>
      <c r="AR76" s="298" t="e">
        <f>'(4) '!P12</f>
        <v>#DIV/0!</v>
      </c>
      <c r="AS76">
        <f t="shared" si="42"/>
        <v>0</v>
      </c>
      <c r="AT76">
        <f t="shared" si="43"/>
        <v>1</v>
      </c>
      <c r="AU76">
        <f t="shared" ref="AU76:AU107" si="49">$AL$106</f>
        <v>0</v>
      </c>
      <c r="AV76" t="e">
        <f t="shared" si="44"/>
        <v>#DIV/0!</v>
      </c>
      <c r="AW76">
        <f t="shared" si="38"/>
        <v>0</v>
      </c>
      <c r="AX76">
        <f>'(4) '!M12</f>
        <v>0</v>
      </c>
      <c r="AY76" s="1">
        <f t="shared" si="45"/>
        <v>0</v>
      </c>
      <c r="AZ76">
        <f t="shared" si="46"/>
        <v>0</v>
      </c>
      <c r="BA76" s="299" t="e">
        <f t="shared" si="47"/>
        <v>#DIV/0!</v>
      </c>
      <c r="BB76" s="613" t="e">
        <f t="shared" si="48"/>
        <v>#DIV/0!</v>
      </c>
    </row>
    <row r="77" spans="6:54" hidden="1">
      <c r="F77" s="28"/>
      <c r="G77" s="28"/>
      <c r="H77" s="28"/>
      <c r="I77" s="28"/>
      <c r="J77" s="28"/>
      <c r="K77" s="28">
        <f t="shared" si="40"/>
        <v>0</v>
      </c>
      <c r="L77" s="28">
        <f>'الأجـــازة للوصايا'!CJ24</f>
        <v>0</v>
      </c>
      <c r="M77" s="28">
        <f t="shared" si="41"/>
        <v>0</v>
      </c>
      <c r="N77" s="28">
        <f>'الأجـــازة للوصايا'!CL24</f>
        <v>0</v>
      </c>
      <c r="O77" s="28"/>
      <c r="P77" s="28"/>
      <c r="Q77" s="28"/>
      <c r="R77" s="28"/>
      <c r="S77" s="28"/>
      <c r="T77" s="28"/>
      <c r="U77" s="28"/>
      <c r="V77" s="28"/>
      <c r="W77" s="28"/>
      <c r="X77" s="28"/>
      <c r="Y77" s="28"/>
      <c r="Z77" s="28"/>
      <c r="AA77" s="28"/>
      <c r="AB77" s="28"/>
      <c r="AD77" s="1"/>
      <c r="AL77" s="28">
        <f>'الأجـــازة للوصايا'!AK48</f>
        <v>0</v>
      </c>
      <c r="AR77" s="298" t="e">
        <f>'(4) '!P13</f>
        <v>#DIV/0!</v>
      </c>
      <c r="AS77">
        <f t="shared" ref="AS77:AS107" si="50">IFERROR(AR77,0)</f>
        <v>0</v>
      </c>
      <c r="AT77">
        <f t="shared" ref="AT77:AT139" si="51">IF(AS77&gt;0,AS77,1)</f>
        <v>1</v>
      </c>
      <c r="AU77">
        <f t="shared" si="49"/>
        <v>0</v>
      </c>
      <c r="AV77" t="e">
        <f t="shared" ref="AV77:AV107" si="52">AS77/AU77</f>
        <v>#DIV/0!</v>
      </c>
      <c r="AW77">
        <f t="shared" ref="AW77:AW107" si="53">$AW$12</f>
        <v>0</v>
      </c>
      <c r="AX77">
        <f>'(4) '!M13</f>
        <v>0</v>
      </c>
      <c r="AY77" s="1">
        <f t="shared" si="45"/>
        <v>0</v>
      </c>
      <c r="AZ77">
        <f t="shared" ref="AZ77:AZ107" si="54">$AZ$12</f>
        <v>0</v>
      </c>
      <c r="BA77" s="299" t="e">
        <f t="shared" si="47"/>
        <v>#DIV/0!</v>
      </c>
      <c r="BB77" s="613" t="e">
        <f t="shared" si="48"/>
        <v>#DIV/0!</v>
      </c>
    </row>
    <row r="78" spans="6:54" hidden="1">
      <c r="F78" s="28"/>
      <c r="G78" s="28"/>
      <c r="H78" s="28"/>
      <c r="I78" s="28"/>
      <c r="J78" s="28"/>
      <c r="K78" s="28">
        <f t="shared" si="40"/>
        <v>0</v>
      </c>
      <c r="L78" s="28">
        <f>'الأجـــازة للوصايا'!CJ25</f>
        <v>0</v>
      </c>
      <c r="M78" s="28">
        <f t="shared" si="41"/>
        <v>0</v>
      </c>
      <c r="N78" s="28">
        <f>'الأجـــازة للوصايا'!CL25</f>
        <v>0</v>
      </c>
      <c r="O78" s="28"/>
      <c r="P78" s="28"/>
      <c r="Q78" s="28"/>
      <c r="R78" s="28"/>
      <c r="S78" s="28"/>
      <c r="T78" s="28"/>
      <c r="U78" s="28"/>
      <c r="V78" s="28"/>
      <c r="W78" s="28"/>
      <c r="X78" s="28"/>
      <c r="Y78" s="28"/>
      <c r="Z78" s="28"/>
      <c r="AA78" s="28"/>
      <c r="AB78" s="28"/>
      <c r="AD78" s="1"/>
      <c r="AL78" s="28">
        <f>'الأجـــازة للوصايا'!AK49</f>
        <v>0</v>
      </c>
      <c r="AR78" s="298" t="e">
        <f>'(4) '!P14</f>
        <v>#DIV/0!</v>
      </c>
      <c r="AS78">
        <f t="shared" si="50"/>
        <v>0</v>
      </c>
      <c r="AT78">
        <f t="shared" si="51"/>
        <v>1</v>
      </c>
      <c r="AU78">
        <f t="shared" si="49"/>
        <v>0</v>
      </c>
      <c r="AV78" t="e">
        <f t="shared" si="52"/>
        <v>#DIV/0!</v>
      </c>
      <c r="AW78">
        <f t="shared" si="53"/>
        <v>0</v>
      </c>
      <c r="AX78">
        <f>'(4) '!M14</f>
        <v>0</v>
      </c>
      <c r="AY78" s="1">
        <f t="shared" ref="AY78:AY139" si="55" xml:space="preserve"> ROUND((AX78*AW78 ),2)</f>
        <v>0</v>
      </c>
      <c r="AZ78">
        <f t="shared" si="54"/>
        <v>0</v>
      </c>
      <c r="BA78" s="299" t="e">
        <f t="shared" ref="BA78:BA139" si="56">ROUND(AY78/AZ78,0)</f>
        <v>#DIV/0!</v>
      </c>
      <c r="BB78" s="613" t="e">
        <f t="shared" si="48"/>
        <v>#DIV/0!</v>
      </c>
    </row>
    <row r="79" spans="6:54" hidden="1">
      <c r="F79" s="28"/>
      <c r="G79" s="28"/>
      <c r="H79" s="28"/>
      <c r="I79" s="28"/>
      <c r="J79" s="28"/>
      <c r="K79" s="28">
        <f t="shared" si="40"/>
        <v>0</v>
      </c>
      <c r="L79" s="28">
        <f>'الأجـــازة للوصايا'!CJ26</f>
        <v>0</v>
      </c>
      <c r="M79" s="28">
        <f t="shared" si="41"/>
        <v>0</v>
      </c>
      <c r="N79" s="28">
        <f>'الأجـــازة للوصايا'!CL26</f>
        <v>0</v>
      </c>
      <c r="O79" s="28"/>
      <c r="P79" s="28"/>
      <c r="Q79" s="28"/>
      <c r="R79" s="28"/>
      <c r="S79" s="28"/>
      <c r="T79" s="28"/>
      <c r="U79" s="28"/>
      <c r="V79" s="28"/>
      <c r="W79" s="28"/>
      <c r="X79" s="28"/>
      <c r="Y79" s="28"/>
      <c r="Z79" s="28"/>
      <c r="AA79" s="28"/>
      <c r="AB79" s="28"/>
      <c r="AD79" s="1"/>
      <c r="AL79" s="28">
        <f>'الأجـــازة للوصايا'!AK50</f>
        <v>0</v>
      </c>
      <c r="AR79" s="298" t="e">
        <f>'(4) '!P15</f>
        <v>#DIV/0!</v>
      </c>
      <c r="AS79">
        <f t="shared" si="50"/>
        <v>0</v>
      </c>
      <c r="AT79">
        <f t="shared" si="51"/>
        <v>1</v>
      </c>
      <c r="AU79">
        <f t="shared" si="49"/>
        <v>0</v>
      </c>
      <c r="AV79" t="e">
        <f t="shared" si="52"/>
        <v>#DIV/0!</v>
      </c>
      <c r="AW79">
        <f t="shared" si="53"/>
        <v>0</v>
      </c>
      <c r="AX79">
        <f>'(4) '!M15</f>
        <v>0</v>
      </c>
      <c r="AY79" s="1">
        <f t="shared" si="55"/>
        <v>0</v>
      </c>
      <c r="AZ79">
        <f t="shared" si="54"/>
        <v>0</v>
      </c>
      <c r="BA79" s="299" t="e">
        <f t="shared" si="56"/>
        <v>#DIV/0!</v>
      </c>
      <c r="BB79" s="613" t="e">
        <f t="shared" si="48"/>
        <v>#DIV/0!</v>
      </c>
    </row>
    <row r="80" spans="6:54" hidden="1">
      <c r="F80" s="28"/>
      <c r="G80" s="28"/>
      <c r="H80" s="28"/>
      <c r="I80" s="28"/>
      <c r="J80" s="28"/>
      <c r="K80" s="28">
        <f t="shared" si="40"/>
        <v>0</v>
      </c>
      <c r="L80" s="28">
        <f>'الأجـــازة للوصايا'!CJ27</f>
        <v>0</v>
      </c>
      <c r="M80" s="28">
        <f t="shared" si="41"/>
        <v>0</v>
      </c>
      <c r="N80" s="28">
        <f>'الأجـــازة للوصايا'!CL27</f>
        <v>0</v>
      </c>
      <c r="O80" s="28"/>
      <c r="P80" s="28"/>
      <c r="Q80" s="28"/>
      <c r="R80" s="28"/>
      <c r="S80" s="28"/>
      <c r="T80" s="28"/>
      <c r="U80" s="28"/>
      <c r="V80" s="28"/>
      <c r="W80" s="28"/>
      <c r="X80" s="28"/>
      <c r="Y80" s="28"/>
      <c r="Z80" s="28"/>
      <c r="AA80" s="28"/>
      <c r="AB80" s="28"/>
      <c r="AD80" s="1"/>
      <c r="AL80" s="28">
        <f>'الأجـــازة للوصايا'!AK51</f>
        <v>0</v>
      </c>
      <c r="AR80" s="298" t="e">
        <f>'(4) '!P16</f>
        <v>#DIV/0!</v>
      </c>
      <c r="AS80">
        <f t="shared" si="50"/>
        <v>0</v>
      </c>
      <c r="AT80">
        <f t="shared" si="51"/>
        <v>1</v>
      </c>
      <c r="AU80">
        <f t="shared" si="49"/>
        <v>0</v>
      </c>
      <c r="AV80" t="e">
        <f t="shared" si="52"/>
        <v>#DIV/0!</v>
      </c>
      <c r="AW80">
        <f t="shared" si="53"/>
        <v>0</v>
      </c>
      <c r="AX80">
        <f>'(4) '!M16</f>
        <v>0</v>
      </c>
      <c r="AY80" s="1">
        <f t="shared" si="55"/>
        <v>0</v>
      </c>
      <c r="AZ80">
        <f t="shared" si="54"/>
        <v>0</v>
      </c>
      <c r="BA80" s="299" t="e">
        <f t="shared" si="56"/>
        <v>#DIV/0!</v>
      </c>
      <c r="BB80" s="613" t="e">
        <f t="shared" si="48"/>
        <v>#DIV/0!</v>
      </c>
    </row>
    <row r="81" spans="6:54" hidden="1">
      <c r="F81" s="28"/>
      <c r="G81" s="28"/>
      <c r="H81" s="28"/>
      <c r="I81" s="28"/>
      <c r="J81" s="28"/>
      <c r="K81" s="596">
        <f>SUM(K53+K57+K61+K65+K69+K73+K77)</f>
        <v>0</v>
      </c>
      <c r="L81" s="28"/>
      <c r="M81" s="596">
        <f>SUM(M53+M57+M61+M65+M69+M73+M77)</f>
        <v>0</v>
      </c>
      <c r="N81" s="28"/>
      <c r="O81" s="28"/>
      <c r="P81" s="28"/>
      <c r="Q81" s="28"/>
      <c r="R81" s="28"/>
      <c r="S81" s="28"/>
      <c r="T81" s="28"/>
      <c r="U81" s="28"/>
      <c r="V81" s="28"/>
      <c r="W81" s="28"/>
      <c r="X81" s="28"/>
      <c r="Y81" s="28"/>
      <c r="Z81" s="28"/>
      <c r="AA81" s="28"/>
      <c r="AB81" s="28"/>
      <c r="AD81" s="1"/>
      <c r="AR81" s="298" t="e">
        <f>'(4) '!P17</f>
        <v>#DIV/0!</v>
      </c>
      <c r="AS81">
        <f t="shared" si="50"/>
        <v>0</v>
      </c>
      <c r="AT81">
        <f t="shared" si="51"/>
        <v>1</v>
      </c>
      <c r="AU81">
        <f t="shared" si="49"/>
        <v>0</v>
      </c>
      <c r="AV81" t="e">
        <f t="shared" si="52"/>
        <v>#DIV/0!</v>
      </c>
      <c r="AW81">
        <f t="shared" si="53"/>
        <v>0</v>
      </c>
      <c r="AX81">
        <f>'(4) '!M17</f>
        <v>0</v>
      </c>
      <c r="AY81" s="1">
        <f t="shared" si="55"/>
        <v>0</v>
      </c>
      <c r="AZ81">
        <f t="shared" si="54"/>
        <v>0</v>
      </c>
      <c r="BA81" s="299" t="e">
        <f t="shared" si="56"/>
        <v>#DIV/0!</v>
      </c>
      <c r="BB81" s="613" t="e">
        <f t="shared" si="48"/>
        <v>#DIV/0!</v>
      </c>
    </row>
    <row r="82" spans="6:54" hidden="1">
      <c r="F82" s="28"/>
      <c r="G82" s="28"/>
      <c r="H82" s="28"/>
      <c r="I82" s="28"/>
      <c r="J82" s="28"/>
      <c r="K82" s="597">
        <f>SUM(K54+K58+K62+K66+K70+K74+K78)</f>
        <v>0</v>
      </c>
      <c r="L82" s="28"/>
      <c r="M82" s="597">
        <f>SUM(M54+M58+M62+M66+M70+M74+M78)</f>
        <v>0</v>
      </c>
      <c r="N82" s="28"/>
      <c r="O82" s="28"/>
      <c r="P82" s="28"/>
      <c r="Q82" s="28"/>
      <c r="R82" s="28"/>
      <c r="S82" s="28"/>
      <c r="T82" s="28"/>
      <c r="U82" s="28"/>
      <c r="V82" s="28"/>
      <c r="W82" s="28"/>
      <c r="X82" s="28"/>
      <c r="Y82" s="28"/>
      <c r="Z82" s="28"/>
      <c r="AA82" s="28"/>
      <c r="AB82" s="28"/>
      <c r="AD82" s="1"/>
      <c r="AR82" s="298" t="e">
        <f>'(4) '!P18</f>
        <v>#DIV/0!</v>
      </c>
      <c r="AS82">
        <f t="shared" si="50"/>
        <v>0</v>
      </c>
      <c r="AT82">
        <f t="shared" si="51"/>
        <v>1</v>
      </c>
      <c r="AU82">
        <f t="shared" si="49"/>
        <v>0</v>
      </c>
      <c r="AV82" t="e">
        <f t="shared" si="52"/>
        <v>#DIV/0!</v>
      </c>
      <c r="AW82">
        <f t="shared" si="53"/>
        <v>0</v>
      </c>
      <c r="AX82">
        <f>'(4) '!M18</f>
        <v>0</v>
      </c>
      <c r="AY82" s="1">
        <f t="shared" si="55"/>
        <v>0</v>
      </c>
      <c r="AZ82">
        <f t="shared" si="54"/>
        <v>0</v>
      </c>
      <c r="BA82" s="299" t="e">
        <f t="shared" si="56"/>
        <v>#DIV/0!</v>
      </c>
      <c r="BB82" s="613" t="e">
        <f t="shared" si="48"/>
        <v>#DIV/0!</v>
      </c>
    </row>
    <row r="83" spans="6:54" hidden="1">
      <c r="F83" s="28"/>
      <c r="G83" s="28"/>
      <c r="H83" s="28"/>
      <c r="I83" s="28"/>
      <c r="J83" s="28"/>
      <c r="K83" s="598">
        <f>SUM(K55+K59+K63+K67+K71+K75+K79)</f>
        <v>0</v>
      </c>
      <c r="L83" s="28"/>
      <c r="M83" s="598">
        <f>SUM(M55+M59+M63+M67+M71+M75+M79)</f>
        <v>0</v>
      </c>
      <c r="N83" s="28"/>
      <c r="O83" s="28"/>
      <c r="P83" s="28"/>
      <c r="Q83" s="28"/>
      <c r="R83" s="28"/>
      <c r="S83" s="28"/>
      <c r="T83" s="28"/>
      <c r="U83" s="28"/>
      <c r="V83" s="28"/>
      <c r="W83" s="28"/>
      <c r="X83" s="28"/>
      <c r="Y83" s="28"/>
      <c r="Z83" s="28"/>
      <c r="AA83" s="28"/>
      <c r="AB83" s="28"/>
      <c r="AD83" s="1"/>
      <c r="AR83" s="298" t="e">
        <f>'(4) '!P19</f>
        <v>#DIV/0!</v>
      </c>
      <c r="AS83">
        <f t="shared" si="50"/>
        <v>0</v>
      </c>
      <c r="AT83">
        <f t="shared" si="51"/>
        <v>1</v>
      </c>
      <c r="AU83">
        <f t="shared" si="49"/>
        <v>0</v>
      </c>
      <c r="AV83" t="e">
        <f t="shared" si="52"/>
        <v>#DIV/0!</v>
      </c>
      <c r="AW83">
        <f t="shared" si="53"/>
        <v>0</v>
      </c>
      <c r="AX83">
        <f>'(4) '!M19</f>
        <v>0</v>
      </c>
      <c r="AY83" s="1">
        <f t="shared" si="55"/>
        <v>0</v>
      </c>
      <c r="AZ83">
        <f t="shared" si="54"/>
        <v>0</v>
      </c>
      <c r="BA83" s="299" t="e">
        <f t="shared" si="56"/>
        <v>#DIV/0!</v>
      </c>
      <c r="BB83" s="613" t="e">
        <f t="shared" si="48"/>
        <v>#DIV/0!</v>
      </c>
    </row>
    <row r="84" spans="6:54" hidden="1">
      <c r="F84" s="28"/>
      <c r="G84" s="28"/>
      <c r="H84" s="28"/>
      <c r="I84" s="28"/>
      <c r="J84" s="28"/>
      <c r="K84" s="599">
        <f>(K56+K60+K64+K68+K72+K76+K80)</f>
        <v>0</v>
      </c>
      <c r="L84" s="28"/>
      <c r="M84" s="599">
        <f>(M56+M60+M64+M68+M72+M76+M80)</f>
        <v>0</v>
      </c>
      <c r="N84" s="28"/>
      <c r="O84" s="28"/>
      <c r="P84" s="28"/>
      <c r="Q84" s="28"/>
      <c r="R84" s="28"/>
      <c r="S84" s="28"/>
      <c r="T84" s="28"/>
      <c r="U84" s="28"/>
      <c r="V84" s="28"/>
      <c r="W84" s="28"/>
      <c r="X84" s="28"/>
      <c r="Y84" s="28"/>
      <c r="Z84" s="28"/>
      <c r="AA84" s="28"/>
      <c r="AB84" s="28"/>
      <c r="AD84" s="1"/>
      <c r="AR84" s="298" t="e">
        <f>'(4) '!P20</f>
        <v>#DIV/0!</v>
      </c>
      <c r="AS84">
        <f t="shared" si="50"/>
        <v>0</v>
      </c>
      <c r="AT84">
        <f t="shared" si="51"/>
        <v>1</v>
      </c>
      <c r="AU84">
        <f t="shared" si="49"/>
        <v>0</v>
      </c>
      <c r="AV84" t="e">
        <f t="shared" si="52"/>
        <v>#DIV/0!</v>
      </c>
      <c r="AW84">
        <f t="shared" si="53"/>
        <v>0</v>
      </c>
      <c r="AX84">
        <f>'(4) '!M20</f>
        <v>0</v>
      </c>
      <c r="AY84" s="1">
        <f t="shared" si="55"/>
        <v>0</v>
      </c>
      <c r="AZ84">
        <f t="shared" si="54"/>
        <v>0</v>
      </c>
      <c r="BA84" s="299" t="e">
        <f t="shared" si="56"/>
        <v>#DIV/0!</v>
      </c>
      <c r="BB84" s="613" t="e">
        <f t="shared" si="48"/>
        <v>#DIV/0!</v>
      </c>
    </row>
    <row r="85" spans="6:54">
      <c r="F85" s="28"/>
      <c r="G85" s="28"/>
      <c r="H85" s="28"/>
      <c r="I85" s="28"/>
      <c r="J85" s="28"/>
      <c r="K85" s="28"/>
      <c r="L85" s="28"/>
      <c r="M85" s="28"/>
      <c r="N85" s="28"/>
      <c r="O85" s="28"/>
      <c r="P85" s="28"/>
      <c r="Q85" s="28"/>
      <c r="R85" s="28"/>
      <c r="S85" s="28"/>
      <c r="T85" s="28"/>
      <c r="U85" s="28"/>
      <c r="V85" s="28"/>
      <c r="W85" s="28"/>
      <c r="X85" s="28"/>
      <c r="Y85" s="28"/>
      <c r="Z85" s="28"/>
      <c r="AA85" s="28"/>
      <c r="AB85" s="28"/>
      <c r="AD85" s="1"/>
      <c r="AR85" s="298" t="e">
        <f>'(4) '!P21</f>
        <v>#DIV/0!</v>
      </c>
      <c r="AS85">
        <f t="shared" si="50"/>
        <v>0</v>
      </c>
      <c r="AT85">
        <f t="shared" si="51"/>
        <v>1</v>
      </c>
      <c r="AU85">
        <f t="shared" si="49"/>
        <v>0</v>
      </c>
      <c r="AV85" t="e">
        <f t="shared" si="52"/>
        <v>#DIV/0!</v>
      </c>
      <c r="AW85">
        <f t="shared" si="53"/>
        <v>0</v>
      </c>
      <c r="AX85">
        <f>'(4) '!M21</f>
        <v>0</v>
      </c>
      <c r="AY85" s="1">
        <f t="shared" si="55"/>
        <v>0</v>
      </c>
      <c r="AZ85">
        <f t="shared" si="54"/>
        <v>0</v>
      </c>
      <c r="BA85" s="299" t="e">
        <f t="shared" si="56"/>
        <v>#DIV/0!</v>
      </c>
      <c r="BB85" s="613" t="e">
        <f t="shared" si="48"/>
        <v>#DIV/0!</v>
      </c>
    </row>
    <row r="86" spans="6:54">
      <c r="F86" s="28"/>
      <c r="G86" s="28"/>
      <c r="H86" s="28"/>
      <c r="I86" s="28"/>
      <c r="J86" s="28"/>
      <c r="K86" s="28"/>
      <c r="L86" s="28"/>
      <c r="M86" s="28"/>
      <c r="N86" s="28"/>
      <c r="O86" s="28"/>
      <c r="P86" s="28"/>
      <c r="Q86" s="28"/>
      <c r="R86" s="28"/>
      <c r="S86" s="28"/>
      <c r="T86" s="28"/>
      <c r="U86" s="28"/>
      <c r="V86" s="28"/>
      <c r="W86" s="28"/>
      <c r="X86" s="28"/>
      <c r="Y86" s="28"/>
      <c r="Z86" s="28"/>
      <c r="AA86" s="28"/>
      <c r="AB86" s="28"/>
      <c r="AD86" s="1"/>
      <c r="AR86" s="298" t="e">
        <f>'(4) '!P22</f>
        <v>#DIV/0!</v>
      </c>
      <c r="AS86">
        <f t="shared" si="50"/>
        <v>0</v>
      </c>
      <c r="AT86">
        <f t="shared" si="51"/>
        <v>1</v>
      </c>
      <c r="AU86">
        <f t="shared" si="49"/>
        <v>0</v>
      </c>
      <c r="AV86" t="e">
        <f t="shared" si="52"/>
        <v>#DIV/0!</v>
      </c>
      <c r="AW86">
        <f t="shared" si="53"/>
        <v>0</v>
      </c>
      <c r="AX86">
        <f>'(4) '!M22</f>
        <v>0</v>
      </c>
      <c r="AY86" s="1">
        <f t="shared" si="55"/>
        <v>0</v>
      </c>
      <c r="AZ86">
        <f t="shared" si="54"/>
        <v>0</v>
      </c>
      <c r="BA86" s="299" t="e">
        <f t="shared" si="56"/>
        <v>#DIV/0!</v>
      </c>
      <c r="BB86" s="613" t="e">
        <f t="shared" si="48"/>
        <v>#DIV/0!</v>
      </c>
    </row>
    <row r="87" spans="6:54">
      <c r="F87" s="28"/>
      <c r="G87" s="28"/>
      <c r="H87" s="28"/>
      <c r="I87" s="28"/>
      <c r="J87" s="28"/>
      <c r="K87" s="28"/>
      <c r="L87" s="28"/>
      <c r="M87" s="28"/>
      <c r="N87" s="28"/>
      <c r="O87" s="28"/>
      <c r="P87" s="28"/>
      <c r="Q87" s="28"/>
      <c r="R87" s="28"/>
      <c r="S87" s="28"/>
      <c r="T87" s="28"/>
      <c r="U87" s="28"/>
      <c r="V87" s="28"/>
      <c r="W87" s="28"/>
      <c r="X87" s="28"/>
      <c r="Y87" s="28"/>
      <c r="Z87" s="28"/>
      <c r="AA87" s="28"/>
      <c r="AB87" s="28"/>
      <c r="AD87" s="1"/>
      <c r="AR87" s="298" t="e">
        <f>'(4) '!P23</f>
        <v>#DIV/0!</v>
      </c>
      <c r="AS87">
        <f t="shared" si="50"/>
        <v>0</v>
      </c>
      <c r="AT87">
        <f t="shared" si="51"/>
        <v>1</v>
      </c>
      <c r="AU87">
        <f t="shared" si="49"/>
        <v>0</v>
      </c>
      <c r="AV87" t="e">
        <f t="shared" si="52"/>
        <v>#DIV/0!</v>
      </c>
      <c r="AW87">
        <f t="shared" si="53"/>
        <v>0</v>
      </c>
      <c r="AX87">
        <f>'(4) '!M23</f>
        <v>0</v>
      </c>
      <c r="AY87" s="1">
        <f t="shared" si="55"/>
        <v>0</v>
      </c>
      <c r="AZ87">
        <f t="shared" si="54"/>
        <v>0</v>
      </c>
      <c r="BA87" s="299" t="e">
        <f t="shared" si="56"/>
        <v>#DIV/0!</v>
      </c>
      <c r="BB87" s="613" t="e">
        <f t="shared" si="48"/>
        <v>#DIV/0!</v>
      </c>
    </row>
    <row r="88" spans="6:54">
      <c r="F88" s="28"/>
      <c r="G88" s="28"/>
      <c r="H88" s="28"/>
      <c r="I88" s="28"/>
      <c r="J88" s="28"/>
      <c r="K88" s="28"/>
      <c r="L88" s="28"/>
      <c r="M88" s="28"/>
      <c r="N88" s="28"/>
      <c r="O88" s="28"/>
      <c r="P88" s="28"/>
      <c r="Q88" s="28"/>
      <c r="R88" s="28"/>
      <c r="S88" s="28"/>
      <c r="T88" s="28"/>
      <c r="U88" s="28"/>
      <c r="V88" s="28"/>
      <c r="W88" s="28"/>
      <c r="X88" s="28"/>
      <c r="Y88" s="28"/>
      <c r="Z88" s="28"/>
      <c r="AA88" s="28"/>
      <c r="AB88" s="28"/>
      <c r="AD88" s="1"/>
      <c r="AR88" s="298" t="e">
        <f>'(4) '!P24</f>
        <v>#DIV/0!</v>
      </c>
      <c r="AS88">
        <f t="shared" si="50"/>
        <v>0</v>
      </c>
      <c r="AT88">
        <f t="shared" si="51"/>
        <v>1</v>
      </c>
      <c r="AU88">
        <f t="shared" si="49"/>
        <v>0</v>
      </c>
      <c r="AV88" t="e">
        <f t="shared" si="52"/>
        <v>#DIV/0!</v>
      </c>
      <c r="AW88">
        <f t="shared" si="53"/>
        <v>0</v>
      </c>
      <c r="AX88">
        <f>'(4) '!M24</f>
        <v>0</v>
      </c>
      <c r="AY88" s="1">
        <f t="shared" si="55"/>
        <v>0</v>
      </c>
      <c r="AZ88">
        <f t="shared" si="54"/>
        <v>0</v>
      </c>
      <c r="BA88" s="299" t="e">
        <f t="shared" si="56"/>
        <v>#DIV/0!</v>
      </c>
      <c r="BB88" s="613" t="e">
        <f t="shared" si="48"/>
        <v>#DIV/0!</v>
      </c>
    </row>
    <row r="89" spans="6:54">
      <c r="F89" s="28"/>
      <c r="G89" s="28"/>
      <c r="H89" s="28"/>
      <c r="I89" s="28"/>
      <c r="J89" s="28"/>
      <c r="K89" s="28"/>
      <c r="L89" s="28"/>
      <c r="M89" s="28"/>
      <c r="N89" s="28"/>
      <c r="O89" s="28"/>
      <c r="P89" s="28"/>
      <c r="Q89" s="28"/>
      <c r="R89" s="28"/>
      <c r="S89" s="28"/>
      <c r="T89" s="28"/>
      <c r="U89" s="28"/>
      <c r="V89" s="28"/>
      <c r="W89" s="28"/>
      <c r="X89" s="28"/>
      <c r="Y89" s="28"/>
      <c r="Z89" s="28"/>
      <c r="AA89" s="28"/>
      <c r="AB89" s="28"/>
      <c r="AD89" s="1"/>
      <c r="AR89" s="298" t="e">
        <f>'(4) '!P25</f>
        <v>#DIV/0!</v>
      </c>
      <c r="AS89">
        <f t="shared" si="50"/>
        <v>0</v>
      </c>
      <c r="AT89">
        <f t="shared" si="51"/>
        <v>1</v>
      </c>
      <c r="AU89">
        <f t="shared" si="49"/>
        <v>0</v>
      </c>
      <c r="AV89" t="e">
        <f t="shared" si="52"/>
        <v>#DIV/0!</v>
      </c>
      <c r="AW89">
        <f t="shared" si="53"/>
        <v>0</v>
      </c>
      <c r="AX89">
        <f>'(4) '!M25</f>
        <v>0</v>
      </c>
      <c r="AY89" s="1">
        <f t="shared" si="55"/>
        <v>0</v>
      </c>
      <c r="AZ89">
        <f t="shared" si="54"/>
        <v>0</v>
      </c>
      <c r="BA89" s="299" t="e">
        <f t="shared" si="56"/>
        <v>#DIV/0!</v>
      </c>
      <c r="BB89" s="613" t="e">
        <f t="shared" si="48"/>
        <v>#DIV/0!</v>
      </c>
    </row>
    <row r="90" spans="6:54">
      <c r="F90" s="28"/>
      <c r="G90" s="28"/>
      <c r="H90" s="28"/>
      <c r="I90" s="28"/>
      <c r="J90" s="28"/>
      <c r="K90" s="28"/>
      <c r="L90" s="28"/>
      <c r="M90" s="28"/>
      <c r="N90" s="28"/>
      <c r="O90" s="28"/>
      <c r="P90" s="28"/>
      <c r="Q90" s="28"/>
      <c r="R90" s="28"/>
      <c r="S90" s="28"/>
      <c r="T90" s="28"/>
      <c r="U90" s="28"/>
      <c r="V90" s="28"/>
      <c r="W90" s="28"/>
      <c r="X90" s="28"/>
      <c r="Y90" s="28"/>
      <c r="Z90" s="28"/>
      <c r="AA90" s="28"/>
      <c r="AB90" s="28"/>
      <c r="AD90" s="1"/>
      <c r="AR90" s="298" t="e">
        <f>'(4) '!P26</f>
        <v>#DIV/0!</v>
      </c>
      <c r="AS90">
        <f t="shared" si="50"/>
        <v>0</v>
      </c>
      <c r="AT90">
        <f t="shared" si="51"/>
        <v>1</v>
      </c>
      <c r="AU90">
        <f t="shared" si="49"/>
        <v>0</v>
      </c>
      <c r="AV90" t="e">
        <f t="shared" si="52"/>
        <v>#DIV/0!</v>
      </c>
      <c r="AW90">
        <f t="shared" si="53"/>
        <v>0</v>
      </c>
      <c r="AX90">
        <f>'(4) '!M26</f>
        <v>0</v>
      </c>
      <c r="AY90" s="1">
        <f t="shared" si="55"/>
        <v>0</v>
      </c>
      <c r="AZ90">
        <f t="shared" si="54"/>
        <v>0</v>
      </c>
      <c r="BA90" s="299" t="e">
        <f t="shared" si="56"/>
        <v>#DIV/0!</v>
      </c>
      <c r="BB90" s="613" t="e">
        <f t="shared" si="48"/>
        <v>#DIV/0!</v>
      </c>
    </row>
    <row r="91" spans="6:54">
      <c r="F91" s="28"/>
      <c r="G91" s="28"/>
      <c r="H91" s="28"/>
      <c r="I91" s="28"/>
      <c r="J91" s="28"/>
      <c r="K91" s="28"/>
      <c r="L91" s="28"/>
      <c r="M91" s="28"/>
      <c r="N91" s="28"/>
      <c r="O91" s="28"/>
      <c r="P91" s="28"/>
      <c r="Q91" s="28"/>
      <c r="R91" s="28"/>
      <c r="S91" s="28"/>
      <c r="T91" s="28"/>
      <c r="U91" s="28"/>
      <c r="V91" s="28"/>
      <c r="W91" s="28"/>
      <c r="X91" s="28"/>
      <c r="Y91" s="28"/>
      <c r="Z91" s="28"/>
      <c r="AA91" s="28"/>
      <c r="AB91" s="28"/>
      <c r="AD91" s="1"/>
      <c r="AR91" s="298" t="e">
        <f>'(4) '!P27</f>
        <v>#DIV/0!</v>
      </c>
      <c r="AS91">
        <f t="shared" si="50"/>
        <v>0</v>
      </c>
      <c r="AT91">
        <f t="shared" si="51"/>
        <v>1</v>
      </c>
      <c r="AU91">
        <f t="shared" si="49"/>
        <v>0</v>
      </c>
      <c r="AV91" t="e">
        <f t="shared" si="52"/>
        <v>#DIV/0!</v>
      </c>
      <c r="AW91">
        <f t="shared" si="53"/>
        <v>0</v>
      </c>
      <c r="AX91">
        <f>'(4) '!M27</f>
        <v>0</v>
      </c>
      <c r="AY91" s="1">
        <f t="shared" si="55"/>
        <v>0</v>
      </c>
      <c r="AZ91">
        <f t="shared" si="54"/>
        <v>0</v>
      </c>
      <c r="BA91" s="299" t="e">
        <f t="shared" si="56"/>
        <v>#DIV/0!</v>
      </c>
      <c r="BB91" s="613" t="e">
        <f t="shared" si="48"/>
        <v>#DIV/0!</v>
      </c>
    </row>
    <row r="92" spans="6:54">
      <c r="F92" s="28"/>
      <c r="G92" s="28"/>
      <c r="H92" s="28"/>
      <c r="I92" s="28"/>
      <c r="J92" s="28"/>
      <c r="K92" s="28"/>
      <c r="L92" s="28"/>
      <c r="M92" s="28"/>
      <c r="N92" s="28"/>
      <c r="O92" s="28"/>
      <c r="P92" s="28"/>
      <c r="Q92" s="28"/>
      <c r="R92" s="28"/>
      <c r="S92" s="28"/>
      <c r="T92" s="28"/>
      <c r="U92" s="28"/>
      <c r="V92" s="28"/>
      <c r="W92" s="28"/>
      <c r="X92" s="28"/>
      <c r="Y92" s="28"/>
      <c r="Z92" s="28"/>
      <c r="AA92" s="28"/>
      <c r="AB92" s="28"/>
      <c r="AD92" s="1"/>
      <c r="AR92" s="575" t="e">
        <f>'(5) '!P12</f>
        <v>#DIV/0!</v>
      </c>
      <c r="AS92">
        <f t="shared" si="50"/>
        <v>0</v>
      </c>
      <c r="AT92">
        <f t="shared" si="51"/>
        <v>1</v>
      </c>
      <c r="AU92">
        <f t="shared" si="49"/>
        <v>0</v>
      </c>
      <c r="AV92" t="e">
        <f t="shared" si="52"/>
        <v>#DIV/0!</v>
      </c>
      <c r="AW92">
        <f t="shared" si="53"/>
        <v>0</v>
      </c>
      <c r="AX92">
        <f>'(5) '!M12</f>
        <v>0</v>
      </c>
      <c r="AY92" s="1">
        <f t="shared" si="55"/>
        <v>0</v>
      </c>
      <c r="AZ92">
        <f t="shared" si="54"/>
        <v>0</v>
      </c>
      <c r="BA92" s="299" t="e">
        <f t="shared" si="56"/>
        <v>#DIV/0!</v>
      </c>
      <c r="BB92" s="577" t="e">
        <f t="shared" ref="BB92:BB139" si="57">BA92</f>
        <v>#DIV/0!</v>
      </c>
    </row>
    <row r="93" spans="6:54">
      <c r="F93" s="28"/>
      <c r="G93" s="28"/>
      <c r="H93" s="28"/>
      <c r="I93" s="28"/>
      <c r="J93" s="28"/>
      <c r="K93" s="28"/>
      <c r="L93" s="28"/>
      <c r="M93" s="28"/>
      <c r="N93" s="28"/>
      <c r="O93" s="28"/>
      <c r="P93" s="28"/>
      <c r="Q93" s="28"/>
      <c r="R93" s="28"/>
      <c r="S93" s="28"/>
      <c r="T93" s="28"/>
      <c r="U93" s="28"/>
      <c r="V93" s="28"/>
      <c r="W93" s="28"/>
      <c r="X93" s="28"/>
      <c r="Y93" s="28"/>
      <c r="Z93" s="28"/>
      <c r="AA93" s="28"/>
      <c r="AB93" s="28"/>
      <c r="AD93" s="1"/>
      <c r="AR93" s="575" t="e">
        <f>'(5) '!P13</f>
        <v>#DIV/0!</v>
      </c>
      <c r="AS93">
        <f t="shared" si="50"/>
        <v>0</v>
      </c>
      <c r="AT93">
        <f t="shared" si="51"/>
        <v>1</v>
      </c>
      <c r="AU93">
        <f t="shared" si="49"/>
        <v>0</v>
      </c>
      <c r="AV93" t="e">
        <f t="shared" si="52"/>
        <v>#DIV/0!</v>
      </c>
      <c r="AW93">
        <f t="shared" si="53"/>
        <v>0</v>
      </c>
      <c r="AX93">
        <f>'(5) '!M13</f>
        <v>0</v>
      </c>
      <c r="AY93" s="1">
        <f t="shared" si="55"/>
        <v>0</v>
      </c>
      <c r="AZ93">
        <f t="shared" si="54"/>
        <v>0</v>
      </c>
      <c r="BA93" s="299" t="e">
        <f t="shared" si="56"/>
        <v>#DIV/0!</v>
      </c>
      <c r="BB93" s="577" t="e">
        <f t="shared" si="57"/>
        <v>#DIV/0!</v>
      </c>
    </row>
    <row r="94" spans="6:54">
      <c r="F94" s="28"/>
      <c r="G94" s="28"/>
      <c r="H94" s="28"/>
      <c r="I94" s="28"/>
      <c r="J94" s="28"/>
      <c r="K94" s="28"/>
      <c r="L94" s="28"/>
      <c r="M94" s="28"/>
      <c r="N94" s="28"/>
      <c r="O94" s="28"/>
      <c r="P94" s="28"/>
      <c r="Q94" s="28"/>
      <c r="R94" s="28"/>
      <c r="S94" s="28"/>
      <c r="T94" s="28"/>
      <c r="U94" s="28"/>
      <c r="V94" s="28"/>
      <c r="W94" s="28"/>
      <c r="X94" s="28"/>
      <c r="Y94" s="28"/>
      <c r="Z94" s="28"/>
      <c r="AA94" s="28"/>
      <c r="AB94" s="28"/>
      <c r="AD94" s="1"/>
      <c r="AR94" s="575" t="e">
        <f>'(5) '!P14</f>
        <v>#DIV/0!</v>
      </c>
      <c r="AS94">
        <f t="shared" si="50"/>
        <v>0</v>
      </c>
      <c r="AT94">
        <f t="shared" si="51"/>
        <v>1</v>
      </c>
      <c r="AU94">
        <f t="shared" si="49"/>
        <v>0</v>
      </c>
      <c r="AV94" t="e">
        <f t="shared" si="52"/>
        <v>#DIV/0!</v>
      </c>
      <c r="AW94">
        <f t="shared" si="53"/>
        <v>0</v>
      </c>
      <c r="AX94">
        <f>'(5) '!M14</f>
        <v>0</v>
      </c>
      <c r="AY94" s="1">
        <f t="shared" si="55"/>
        <v>0</v>
      </c>
      <c r="AZ94">
        <f t="shared" si="54"/>
        <v>0</v>
      </c>
      <c r="BA94" s="299" t="e">
        <f t="shared" si="56"/>
        <v>#DIV/0!</v>
      </c>
      <c r="BB94" s="577" t="e">
        <f t="shared" si="57"/>
        <v>#DIV/0!</v>
      </c>
    </row>
    <row r="95" spans="6:54">
      <c r="F95" s="28"/>
      <c r="G95" s="28"/>
      <c r="H95" s="28"/>
      <c r="I95" s="28"/>
      <c r="J95" s="28"/>
      <c r="K95" s="28"/>
      <c r="L95" s="28"/>
      <c r="M95" s="28"/>
      <c r="N95" s="28"/>
      <c r="O95" s="28"/>
      <c r="P95" s="28"/>
      <c r="Q95" s="28"/>
      <c r="R95" s="28"/>
      <c r="S95" s="28"/>
      <c r="T95" s="28"/>
      <c r="U95" s="28"/>
      <c r="V95" s="28"/>
      <c r="W95" s="28"/>
      <c r="X95" s="28"/>
      <c r="Y95" s="28"/>
      <c r="Z95" s="28"/>
      <c r="AA95" s="28"/>
      <c r="AB95" s="28"/>
      <c r="AD95" s="1"/>
      <c r="AR95" s="575" t="e">
        <f>'(5) '!P15</f>
        <v>#DIV/0!</v>
      </c>
      <c r="AS95">
        <f t="shared" si="50"/>
        <v>0</v>
      </c>
      <c r="AT95">
        <f t="shared" si="51"/>
        <v>1</v>
      </c>
      <c r="AU95">
        <f t="shared" si="49"/>
        <v>0</v>
      </c>
      <c r="AV95" t="e">
        <f t="shared" si="52"/>
        <v>#DIV/0!</v>
      </c>
      <c r="AW95">
        <f t="shared" si="53"/>
        <v>0</v>
      </c>
      <c r="AX95">
        <f>'(5) '!M15</f>
        <v>0</v>
      </c>
      <c r="AY95" s="1">
        <f t="shared" si="55"/>
        <v>0</v>
      </c>
      <c r="AZ95">
        <f t="shared" si="54"/>
        <v>0</v>
      </c>
      <c r="BA95" s="299" t="e">
        <f t="shared" si="56"/>
        <v>#DIV/0!</v>
      </c>
      <c r="BB95" s="577" t="e">
        <f t="shared" si="57"/>
        <v>#DIV/0!</v>
      </c>
    </row>
    <row r="96" spans="6:54">
      <c r="F96" s="28"/>
      <c r="G96" s="28"/>
      <c r="H96" s="28"/>
      <c r="I96" s="28"/>
      <c r="J96" s="28"/>
      <c r="K96" s="28"/>
      <c r="L96" s="28"/>
      <c r="M96" s="28"/>
      <c r="N96" s="28"/>
      <c r="O96" s="28"/>
      <c r="P96" s="28"/>
      <c r="Q96" s="28"/>
      <c r="R96" s="28"/>
      <c r="S96" s="28"/>
      <c r="T96" s="28"/>
      <c r="U96" s="28"/>
      <c r="V96" s="28"/>
      <c r="W96" s="28"/>
      <c r="X96" s="28"/>
      <c r="Y96" s="28"/>
      <c r="Z96" s="28"/>
      <c r="AA96" s="28"/>
      <c r="AB96" s="28"/>
      <c r="AD96" s="1"/>
      <c r="AR96" s="575" t="e">
        <f>'(5) '!P16</f>
        <v>#DIV/0!</v>
      </c>
      <c r="AS96">
        <f t="shared" si="50"/>
        <v>0</v>
      </c>
      <c r="AT96">
        <f t="shared" si="51"/>
        <v>1</v>
      </c>
      <c r="AU96">
        <f t="shared" si="49"/>
        <v>0</v>
      </c>
      <c r="AV96" t="e">
        <f t="shared" si="52"/>
        <v>#DIV/0!</v>
      </c>
      <c r="AW96">
        <f t="shared" si="53"/>
        <v>0</v>
      </c>
      <c r="AX96">
        <f>'(5) '!M16</f>
        <v>0</v>
      </c>
      <c r="AY96" s="1">
        <f t="shared" si="55"/>
        <v>0</v>
      </c>
      <c r="AZ96">
        <f t="shared" si="54"/>
        <v>0</v>
      </c>
      <c r="BA96" s="299" t="e">
        <f t="shared" si="56"/>
        <v>#DIV/0!</v>
      </c>
      <c r="BB96" s="577" t="e">
        <f t="shared" si="57"/>
        <v>#DIV/0!</v>
      </c>
    </row>
    <row r="97" spans="6:54">
      <c r="F97" s="28"/>
      <c r="G97" s="28"/>
      <c r="H97" s="28"/>
      <c r="I97" s="28"/>
      <c r="J97" s="28"/>
      <c r="K97" s="28"/>
      <c r="L97" s="28"/>
      <c r="M97" s="28"/>
      <c r="N97" s="28"/>
      <c r="O97" s="28"/>
      <c r="P97" s="28"/>
      <c r="Q97" s="28"/>
      <c r="R97" s="28"/>
      <c r="S97" s="28"/>
      <c r="T97" s="28"/>
      <c r="U97" s="28"/>
      <c r="V97" s="28"/>
      <c r="W97" s="28"/>
      <c r="X97" s="28"/>
      <c r="Y97" s="28"/>
      <c r="Z97" s="28"/>
      <c r="AA97" s="28"/>
      <c r="AB97" s="28"/>
      <c r="AD97" s="1"/>
      <c r="AR97" s="575" t="e">
        <f>'(5) '!P17</f>
        <v>#DIV/0!</v>
      </c>
      <c r="AS97">
        <f t="shared" si="50"/>
        <v>0</v>
      </c>
      <c r="AT97">
        <f t="shared" si="51"/>
        <v>1</v>
      </c>
      <c r="AU97">
        <f t="shared" si="49"/>
        <v>0</v>
      </c>
      <c r="AV97" t="e">
        <f t="shared" si="52"/>
        <v>#DIV/0!</v>
      </c>
      <c r="AW97">
        <f t="shared" si="53"/>
        <v>0</v>
      </c>
      <c r="AX97">
        <f>'(5) '!M17</f>
        <v>0</v>
      </c>
      <c r="AY97" s="1">
        <f t="shared" si="55"/>
        <v>0</v>
      </c>
      <c r="AZ97">
        <f t="shared" si="54"/>
        <v>0</v>
      </c>
      <c r="BA97" s="299" t="e">
        <f t="shared" si="56"/>
        <v>#DIV/0!</v>
      </c>
      <c r="BB97" s="577" t="e">
        <f t="shared" si="57"/>
        <v>#DIV/0!</v>
      </c>
    </row>
    <row r="98" spans="6:54">
      <c r="F98" s="28"/>
      <c r="G98" s="28"/>
      <c r="H98" s="28"/>
      <c r="I98" s="28"/>
      <c r="J98" s="28"/>
      <c r="K98" s="28"/>
      <c r="L98" s="28"/>
      <c r="M98" s="28"/>
      <c r="N98" s="28"/>
      <c r="O98" s="28"/>
      <c r="P98" s="28"/>
      <c r="Q98" s="28"/>
      <c r="R98" s="28"/>
      <c r="S98" s="28"/>
      <c r="T98" s="28"/>
      <c r="U98" s="28"/>
      <c r="V98" s="28"/>
      <c r="W98" s="28"/>
      <c r="X98" s="28"/>
      <c r="Y98" s="28"/>
      <c r="Z98" s="28"/>
      <c r="AA98" s="28"/>
      <c r="AB98" s="28"/>
      <c r="AD98" s="1"/>
      <c r="AR98" s="575" t="e">
        <f>'(5) '!P18</f>
        <v>#DIV/0!</v>
      </c>
      <c r="AS98">
        <f t="shared" si="50"/>
        <v>0</v>
      </c>
      <c r="AT98">
        <f t="shared" si="51"/>
        <v>1</v>
      </c>
      <c r="AU98">
        <f t="shared" si="49"/>
        <v>0</v>
      </c>
      <c r="AV98" t="e">
        <f t="shared" si="52"/>
        <v>#DIV/0!</v>
      </c>
      <c r="AW98">
        <f t="shared" si="53"/>
        <v>0</v>
      </c>
      <c r="AX98">
        <f>'(5) '!M18</f>
        <v>0</v>
      </c>
      <c r="AY98" s="1">
        <f t="shared" si="55"/>
        <v>0</v>
      </c>
      <c r="AZ98">
        <f t="shared" si="54"/>
        <v>0</v>
      </c>
      <c r="BA98" s="299" t="e">
        <f t="shared" si="56"/>
        <v>#DIV/0!</v>
      </c>
      <c r="BB98" s="577" t="e">
        <f t="shared" si="57"/>
        <v>#DIV/0!</v>
      </c>
    </row>
    <row r="99" spans="6:54">
      <c r="F99" s="28"/>
      <c r="G99" s="28"/>
      <c r="H99" s="28"/>
      <c r="I99" s="28"/>
      <c r="J99" s="28"/>
      <c r="K99" s="28"/>
      <c r="L99" s="28"/>
      <c r="M99" s="28"/>
      <c r="N99" s="28"/>
      <c r="O99" s="28"/>
      <c r="P99" s="28"/>
      <c r="Q99" s="28"/>
      <c r="R99" s="28"/>
      <c r="S99" s="28"/>
      <c r="T99" s="28"/>
      <c r="U99" s="28"/>
      <c r="V99" s="28"/>
      <c r="W99" s="28"/>
      <c r="X99" s="28"/>
      <c r="Y99" s="28"/>
      <c r="Z99" s="28"/>
      <c r="AA99" s="28"/>
      <c r="AB99" s="28"/>
      <c r="AD99" s="1"/>
      <c r="AR99" s="575" t="e">
        <f>'(5) '!P19</f>
        <v>#DIV/0!</v>
      </c>
      <c r="AS99">
        <f t="shared" si="50"/>
        <v>0</v>
      </c>
      <c r="AT99">
        <f t="shared" si="51"/>
        <v>1</v>
      </c>
      <c r="AU99">
        <f t="shared" si="49"/>
        <v>0</v>
      </c>
      <c r="AV99" t="e">
        <f t="shared" si="52"/>
        <v>#DIV/0!</v>
      </c>
      <c r="AW99">
        <f t="shared" si="53"/>
        <v>0</v>
      </c>
      <c r="AX99">
        <f>'(5) '!M19</f>
        <v>0</v>
      </c>
      <c r="AY99" s="1">
        <f t="shared" si="55"/>
        <v>0</v>
      </c>
      <c r="AZ99">
        <f t="shared" si="54"/>
        <v>0</v>
      </c>
      <c r="BA99" s="299" t="e">
        <f t="shared" si="56"/>
        <v>#DIV/0!</v>
      </c>
      <c r="BB99" s="577" t="e">
        <f t="shared" si="57"/>
        <v>#DIV/0!</v>
      </c>
    </row>
    <row r="100" spans="6:54">
      <c r="AD100" s="1"/>
      <c r="AR100" s="575" t="e">
        <f>'(5) '!P20</f>
        <v>#DIV/0!</v>
      </c>
      <c r="AS100">
        <f t="shared" si="50"/>
        <v>0</v>
      </c>
      <c r="AT100">
        <f t="shared" si="51"/>
        <v>1</v>
      </c>
      <c r="AU100">
        <f t="shared" si="49"/>
        <v>0</v>
      </c>
      <c r="AV100" t="e">
        <f t="shared" si="52"/>
        <v>#DIV/0!</v>
      </c>
      <c r="AW100">
        <f t="shared" si="53"/>
        <v>0</v>
      </c>
      <c r="AX100">
        <f>'(5) '!M20</f>
        <v>0</v>
      </c>
      <c r="AY100" s="1">
        <f t="shared" si="55"/>
        <v>0</v>
      </c>
      <c r="AZ100">
        <f t="shared" si="54"/>
        <v>0</v>
      </c>
      <c r="BA100" s="299" t="e">
        <f t="shared" si="56"/>
        <v>#DIV/0!</v>
      </c>
      <c r="BB100" s="577" t="e">
        <f t="shared" si="57"/>
        <v>#DIV/0!</v>
      </c>
    </row>
    <row r="101" spans="6:54">
      <c r="AD101" s="1"/>
      <c r="AR101" s="575" t="e">
        <f>'(5) '!P21</f>
        <v>#DIV/0!</v>
      </c>
      <c r="AS101">
        <f t="shared" si="50"/>
        <v>0</v>
      </c>
      <c r="AT101">
        <f t="shared" si="51"/>
        <v>1</v>
      </c>
      <c r="AU101">
        <f t="shared" si="49"/>
        <v>0</v>
      </c>
      <c r="AV101" t="e">
        <f t="shared" si="52"/>
        <v>#DIV/0!</v>
      </c>
      <c r="AW101">
        <f t="shared" si="53"/>
        <v>0</v>
      </c>
      <c r="AX101">
        <f>'(5) '!M21</f>
        <v>0</v>
      </c>
      <c r="AY101" s="1">
        <f t="shared" si="55"/>
        <v>0</v>
      </c>
      <c r="AZ101">
        <f t="shared" si="54"/>
        <v>0</v>
      </c>
      <c r="BA101" s="299" t="e">
        <f t="shared" si="56"/>
        <v>#DIV/0!</v>
      </c>
      <c r="BB101" s="577" t="e">
        <f t="shared" si="57"/>
        <v>#DIV/0!</v>
      </c>
    </row>
    <row r="102" spans="6:54">
      <c r="AD102" s="1"/>
      <c r="AR102" s="575" t="e">
        <f>'(5) '!P22</f>
        <v>#DIV/0!</v>
      </c>
      <c r="AS102">
        <f t="shared" si="50"/>
        <v>0</v>
      </c>
      <c r="AT102">
        <f t="shared" si="51"/>
        <v>1</v>
      </c>
      <c r="AU102">
        <f t="shared" si="49"/>
        <v>0</v>
      </c>
      <c r="AV102" t="e">
        <f t="shared" si="52"/>
        <v>#DIV/0!</v>
      </c>
      <c r="AW102">
        <f t="shared" si="53"/>
        <v>0</v>
      </c>
      <c r="AX102">
        <f>'(5) '!M22</f>
        <v>0</v>
      </c>
      <c r="AY102" s="1">
        <f t="shared" si="55"/>
        <v>0</v>
      </c>
      <c r="AZ102">
        <f t="shared" si="54"/>
        <v>0</v>
      </c>
      <c r="BA102" s="299" t="e">
        <f t="shared" si="56"/>
        <v>#DIV/0!</v>
      </c>
      <c r="BB102" s="577" t="e">
        <f t="shared" si="57"/>
        <v>#DIV/0!</v>
      </c>
    </row>
    <row r="103" spans="6:54">
      <c r="AD103" s="1"/>
      <c r="AR103" s="575" t="e">
        <f>'(5) '!P23</f>
        <v>#DIV/0!</v>
      </c>
      <c r="AS103">
        <f t="shared" si="50"/>
        <v>0</v>
      </c>
      <c r="AT103">
        <f t="shared" si="51"/>
        <v>1</v>
      </c>
      <c r="AU103">
        <f t="shared" si="49"/>
        <v>0</v>
      </c>
      <c r="AV103" t="e">
        <f t="shared" si="52"/>
        <v>#DIV/0!</v>
      </c>
      <c r="AW103">
        <f t="shared" si="53"/>
        <v>0</v>
      </c>
      <c r="AX103">
        <f>'(5) '!M23</f>
        <v>0</v>
      </c>
      <c r="AY103" s="1">
        <f t="shared" si="55"/>
        <v>0</v>
      </c>
      <c r="AZ103">
        <f t="shared" si="54"/>
        <v>0</v>
      </c>
      <c r="BA103" s="299" t="e">
        <f t="shared" si="56"/>
        <v>#DIV/0!</v>
      </c>
      <c r="BB103" s="577" t="e">
        <f t="shared" si="57"/>
        <v>#DIV/0!</v>
      </c>
    </row>
    <row r="104" spans="6:54">
      <c r="AD104" s="1"/>
      <c r="AR104" s="575" t="e">
        <f>'(5) '!P24</f>
        <v>#DIV/0!</v>
      </c>
      <c r="AS104">
        <f t="shared" si="50"/>
        <v>0</v>
      </c>
      <c r="AT104">
        <f t="shared" si="51"/>
        <v>1</v>
      </c>
      <c r="AU104">
        <f t="shared" si="49"/>
        <v>0</v>
      </c>
      <c r="AV104" t="e">
        <f t="shared" si="52"/>
        <v>#DIV/0!</v>
      </c>
      <c r="AW104">
        <f t="shared" si="53"/>
        <v>0</v>
      </c>
      <c r="AX104">
        <f>'(5) '!M24</f>
        <v>0</v>
      </c>
      <c r="AY104" s="1">
        <f t="shared" si="55"/>
        <v>0</v>
      </c>
      <c r="AZ104">
        <f t="shared" si="54"/>
        <v>0</v>
      </c>
      <c r="BA104" s="299" t="e">
        <f t="shared" si="56"/>
        <v>#DIV/0!</v>
      </c>
      <c r="BB104" s="577" t="e">
        <f t="shared" si="57"/>
        <v>#DIV/0!</v>
      </c>
    </row>
    <row r="105" spans="6:54">
      <c r="AD105" s="1"/>
      <c r="AR105" s="575" t="e">
        <f>'(5) '!P25</f>
        <v>#DIV/0!</v>
      </c>
      <c r="AS105">
        <f t="shared" si="50"/>
        <v>0</v>
      </c>
      <c r="AT105">
        <f t="shared" si="51"/>
        <v>1</v>
      </c>
      <c r="AU105">
        <f t="shared" si="49"/>
        <v>0</v>
      </c>
      <c r="AV105" t="e">
        <f t="shared" si="52"/>
        <v>#DIV/0!</v>
      </c>
      <c r="AW105">
        <f t="shared" si="53"/>
        <v>0</v>
      </c>
      <c r="AX105">
        <f>'(5) '!M25</f>
        <v>0</v>
      </c>
      <c r="AY105" s="1">
        <f t="shared" si="55"/>
        <v>0</v>
      </c>
      <c r="AZ105">
        <f t="shared" si="54"/>
        <v>0</v>
      </c>
      <c r="BA105" s="299" t="e">
        <f t="shared" si="56"/>
        <v>#DIV/0!</v>
      </c>
      <c r="BB105" s="577" t="e">
        <f t="shared" si="57"/>
        <v>#DIV/0!</v>
      </c>
    </row>
    <row r="106" spans="6:54">
      <c r="AD106" s="1"/>
      <c r="AL106">
        <f>GCD(AS12:AS139)</f>
        <v>0</v>
      </c>
      <c r="AM106" s="1" t="e">
        <f>SUM( BB28:BB139)</f>
        <v>#DIV/0!</v>
      </c>
      <c r="AN106" s="299" t="e">
        <f>SUM(BA28:BA139)</f>
        <v>#DIV/0!</v>
      </c>
      <c r="AO106" t="e">
        <f>SUM(AV12:AV139)</f>
        <v>#DIV/0!</v>
      </c>
      <c r="AP106" t="e">
        <f>IF(AL106=1,LCM(AT12:AT139),LCM(AT12:AT139)/AL106)</f>
        <v>#DIV/0!</v>
      </c>
      <c r="AQ106">
        <f>GCD(AY12:AY1138)</f>
        <v>0</v>
      </c>
      <c r="AR106" s="575" t="e">
        <f>'(5) '!P26</f>
        <v>#DIV/0!</v>
      </c>
      <c r="AS106">
        <f t="shared" si="50"/>
        <v>0</v>
      </c>
      <c r="AT106">
        <f t="shared" si="51"/>
        <v>1</v>
      </c>
      <c r="AU106">
        <f t="shared" si="49"/>
        <v>0</v>
      </c>
      <c r="AV106" t="e">
        <f t="shared" si="52"/>
        <v>#DIV/0!</v>
      </c>
      <c r="AW106">
        <f t="shared" si="53"/>
        <v>0</v>
      </c>
      <c r="AX106">
        <f>'(5) '!M26</f>
        <v>0</v>
      </c>
      <c r="AY106" s="1">
        <f t="shared" si="55"/>
        <v>0</v>
      </c>
      <c r="AZ106">
        <f t="shared" si="54"/>
        <v>0</v>
      </c>
      <c r="BA106" s="299" t="e">
        <f t="shared" si="56"/>
        <v>#DIV/0!</v>
      </c>
      <c r="BB106" s="577" t="e">
        <f t="shared" si="57"/>
        <v>#DIV/0!</v>
      </c>
    </row>
    <row r="107" spans="6:54">
      <c r="AR107" s="575" t="e">
        <f>'(5) '!P27</f>
        <v>#DIV/0!</v>
      </c>
      <c r="AS107">
        <f t="shared" si="50"/>
        <v>0</v>
      </c>
      <c r="AT107">
        <f t="shared" si="51"/>
        <v>1</v>
      </c>
      <c r="AU107">
        <f t="shared" si="49"/>
        <v>0</v>
      </c>
      <c r="AV107" t="e">
        <f t="shared" si="52"/>
        <v>#DIV/0!</v>
      </c>
      <c r="AW107">
        <f t="shared" si="53"/>
        <v>0</v>
      </c>
      <c r="AX107">
        <f>'(5) '!M27</f>
        <v>0</v>
      </c>
      <c r="AY107" s="1">
        <f t="shared" si="55"/>
        <v>0</v>
      </c>
      <c r="AZ107">
        <f t="shared" si="54"/>
        <v>0</v>
      </c>
      <c r="BA107" s="299" t="e">
        <f t="shared" si="56"/>
        <v>#DIV/0!</v>
      </c>
      <c r="BB107" s="577" t="e">
        <f t="shared" si="57"/>
        <v>#DIV/0!</v>
      </c>
    </row>
    <row r="108" spans="6:54">
      <c r="AR108" s="45"/>
      <c r="AT108">
        <f t="shared" si="51"/>
        <v>1</v>
      </c>
      <c r="AU108">
        <f t="shared" ref="AU108:AU139" si="58">$AU$107</f>
        <v>0</v>
      </c>
      <c r="AW108">
        <f t="shared" ref="AW108:AW139" si="59">$AW$107</f>
        <v>0</v>
      </c>
      <c r="AX108">
        <f>'(6) '!M12</f>
        <v>0</v>
      </c>
      <c r="AY108" s="1">
        <f t="shared" si="55"/>
        <v>0</v>
      </c>
      <c r="AZ108">
        <f t="shared" ref="AZ108:AZ139" si="60">$AZ$107</f>
        <v>0</v>
      </c>
      <c r="BA108" s="299" t="e">
        <f t="shared" si="56"/>
        <v>#DIV/0!</v>
      </c>
      <c r="BB108" s="47" t="e">
        <f t="shared" si="57"/>
        <v>#DIV/0!</v>
      </c>
    </row>
    <row r="109" spans="6:54">
      <c r="AR109" s="45" t="e">
        <f>'(6) '!P12</f>
        <v>#DIV/0!</v>
      </c>
      <c r="AT109">
        <f t="shared" si="51"/>
        <v>1</v>
      </c>
      <c r="AU109">
        <f t="shared" si="58"/>
        <v>0</v>
      </c>
      <c r="AW109">
        <f t="shared" si="59"/>
        <v>0</v>
      </c>
      <c r="AX109">
        <f>'(6) '!M13</f>
        <v>0</v>
      </c>
      <c r="AY109" s="1">
        <f t="shared" si="55"/>
        <v>0</v>
      </c>
      <c r="AZ109">
        <f t="shared" si="60"/>
        <v>0</v>
      </c>
      <c r="BA109" s="299" t="e">
        <f t="shared" si="56"/>
        <v>#DIV/0!</v>
      </c>
      <c r="BB109" s="47" t="e">
        <f t="shared" si="57"/>
        <v>#DIV/0!</v>
      </c>
    </row>
    <row r="110" spans="6:54">
      <c r="AR110" s="45" t="e">
        <f>'(6) '!P13</f>
        <v>#DIV/0!</v>
      </c>
      <c r="AT110">
        <f t="shared" si="51"/>
        <v>1</v>
      </c>
      <c r="AU110">
        <f t="shared" si="58"/>
        <v>0</v>
      </c>
      <c r="AW110">
        <f t="shared" si="59"/>
        <v>0</v>
      </c>
      <c r="AX110">
        <f>'(6) '!M14</f>
        <v>0</v>
      </c>
      <c r="AY110" s="1">
        <f t="shared" si="55"/>
        <v>0</v>
      </c>
      <c r="AZ110">
        <f t="shared" si="60"/>
        <v>0</v>
      </c>
      <c r="BA110" s="299" t="e">
        <f t="shared" si="56"/>
        <v>#DIV/0!</v>
      </c>
      <c r="BB110" s="47" t="e">
        <f t="shared" si="57"/>
        <v>#DIV/0!</v>
      </c>
    </row>
    <row r="111" spans="6:54">
      <c r="AR111" s="45" t="e">
        <f>'(6) '!P14</f>
        <v>#DIV/0!</v>
      </c>
      <c r="AT111">
        <f t="shared" si="51"/>
        <v>1</v>
      </c>
      <c r="AU111">
        <f t="shared" si="58"/>
        <v>0</v>
      </c>
      <c r="AW111">
        <f t="shared" si="59"/>
        <v>0</v>
      </c>
      <c r="AX111">
        <f>'(6) '!M15</f>
        <v>0</v>
      </c>
      <c r="AY111" s="1">
        <f t="shared" si="55"/>
        <v>0</v>
      </c>
      <c r="AZ111">
        <f t="shared" si="60"/>
        <v>0</v>
      </c>
      <c r="BA111" s="299" t="e">
        <f t="shared" si="56"/>
        <v>#DIV/0!</v>
      </c>
      <c r="BB111" s="47" t="e">
        <f t="shared" si="57"/>
        <v>#DIV/0!</v>
      </c>
    </row>
    <row r="112" spans="6:54">
      <c r="AR112" s="45" t="e">
        <f>'(6) '!P15</f>
        <v>#DIV/0!</v>
      </c>
      <c r="AT112">
        <f t="shared" si="51"/>
        <v>1</v>
      </c>
      <c r="AU112">
        <f t="shared" si="58"/>
        <v>0</v>
      </c>
      <c r="AW112">
        <f t="shared" si="59"/>
        <v>0</v>
      </c>
      <c r="AX112">
        <f>'(6) '!M16</f>
        <v>0</v>
      </c>
      <c r="AY112" s="1">
        <f t="shared" si="55"/>
        <v>0</v>
      </c>
      <c r="AZ112">
        <f t="shared" si="60"/>
        <v>0</v>
      </c>
      <c r="BA112" s="299" t="e">
        <f t="shared" si="56"/>
        <v>#DIV/0!</v>
      </c>
      <c r="BB112" s="47" t="e">
        <f t="shared" si="57"/>
        <v>#DIV/0!</v>
      </c>
    </row>
    <row r="113" spans="44:54">
      <c r="AR113" s="45" t="e">
        <f>'(6) '!P16</f>
        <v>#DIV/0!</v>
      </c>
      <c r="AT113">
        <f t="shared" si="51"/>
        <v>1</v>
      </c>
      <c r="AU113">
        <f t="shared" si="58"/>
        <v>0</v>
      </c>
      <c r="AW113">
        <f t="shared" si="59"/>
        <v>0</v>
      </c>
      <c r="AX113">
        <f>'(6) '!M17</f>
        <v>0</v>
      </c>
      <c r="AY113" s="1">
        <f t="shared" si="55"/>
        <v>0</v>
      </c>
      <c r="AZ113">
        <f t="shared" si="60"/>
        <v>0</v>
      </c>
      <c r="BA113" s="299" t="e">
        <f t="shared" si="56"/>
        <v>#DIV/0!</v>
      </c>
      <c r="BB113" s="47" t="e">
        <f t="shared" si="57"/>
        <v>#DIV/0!</v>
      </c>
    </row>
    <row r="114" spans="44:54">
      <c r="AR114" s="45" t="e">
        <f>'(6) '!P17</f>
        <v>#DIV/0!</v>
      </c>
      <c r="AT114">
        <f t="shared" si="51"/>
        <v>1</v>
      </c>
      <c r="AU114">
        <f t="shared" si="58"/>
        <v>0</v>
      </c>
      <c r="AW114">
        <f t="shared" si="59"/>
        <v>0</v>
      </c>
      <c r="AX114">
        <f>'(6) '!M18</f>
        <v>0</v>
      </c>
      <c r="AY114" s="1">
        <f t="shared" si="55"/>
        <v>0</v>
      </c>
      <c r="AZ114">
        <f t="shared" si="60"/>
        <v>0</v>
      </c>
      <c r="BA114" s="299" t="e">
        <f t="shared" si="56"/>
        <v>#DIV/0!</v>
      </c>
      <c r="BB114" s="47" t="e">
        <f t="shared" si="57"/>
        <v>#DIV/0!</v>
      </c>
    </row>
    <row r="115" spans="44:54">
      <c r="AR115" s="45" t="e">
        <f>'(6) '!P18</f>
        <v>#DIV/0!</v>
      </c>
      <c r="AT115">
        <f t="shared" si="51"/>
        <v>1</v>
      </c>
      <c r="AU115">
        <f t="shared" si="58"/>
        <v>0</v>
      </c>
      <c r="AW115">
        <f t="shared" si="59"/>
        <v>0</v>
      </c>
      <c r="AX115">
        <f>'(6) '!M19</f>
        <v>0</v>
      </c>
      <c r="AY115" s="1">
        <f t="shared" si="55"/>
        <v>0</v>
      </c>
      <c r="AZ115">
        <f t="shared" si="60"/>
        <v>0</v>
      </c>
      <c r="BA115" s="299" t="e">
        <f t="shared" si="56"/>
        <v>#DIV/0!</v>
      </c>
      <c r="BB115" s="47" t="e">
        <f t="shared" si="57"/>
        <v>#DIV/0!</v>
      </c>
    </row>
    <row r="116" spans="44:54">
      <c r="AR116" s="45" t="e">
        <f>'(6) '!P19</f>
        <v>#DIV/0!</v>
      </c>
      <c r="AT116">
        <f t="shared" si="51"/>
        <v>1</v>
      </c>
      <c r="AU116">
        <f t="shared" si="58"/>
        <v>0</v>
      </c>
      <c r="AW116">
        <f t="shared" si="59"/>
        <v>0</v>
      </c>
      <c r="AX116">
        <f>'(6) '!M20</f>
        <v>0</v>
      </c>
      <c r="AY116" s="1">
        <f t="shared" si="55"/>
        <v>0</v>
      </c>
      <c r="AZ116">
        <f t="shared" si="60"/>
        <v>0</v>
      </c>
      <c r="BA116" s="299" t="e">
        <f t="shared" si="56"/>
        <v>#DIV/0!</v>
      </c>
      <c r="BB116" s="47" t="e">
        <f t="shared" si="57"/>
        <v>#DIV/0!</v>
      </c>
    </row>
    <row r="117" spans="44:54">
      <c r="AR117" s="45" t="e">
        <f>'(6) '!P20</f>
        <v>#DIV/0!</v>
      </c>
      <c r="AT117">
        <f t="shared" si="51"/>
        <v>1</v>
      </c>
      <c r="AU117">
        <f t="shared" si="58"/>
        <v>0</v>
      </c>
      <c r="AW117">
        <f t="shared" si="59"/>
        <v>0</v>
      </c>
      <c r="AX117">
        <f>'(6) '!M21</f>
        <v>0</v>
      </c>
      <c r="AY117" s="1">
        <f t="shared" si="55"/>
        <v>0</v>
      </c>
      <c r="AZ117">
        <f t="shared" si="60"/>
        <v>0</v>
      </c>
      <c r="BA117" s="299" t="e">
        <f t="shared" si="56"/>
        <v>#DIV/0!</v>
      </c>
      <c r="BB117" s="47" t="e">
        <f t="shared" si="57"/>
        <v>#DIV/0!</v>
      </c>
    </row>
    <row r="118" spans="44:54">
      <c r="AR118" s="45" t="e">
        <f>'(6) '!P21</f>
        <v>#DIV/0!</v>
      </c>
      <c r="AT118">
        <f t="shared" si="51"/>
        <v>1</v>
      </c>
      <c r="AU118">
        <f t="shared" si="58"/>
        <v>0</v>
      </c>
      <c r="AW118">
        <f t="shared" si="59"/>
        <v>0</v>
      </c>
      <c r="AX118">
        <f>'(6) '!M22</f>
        <v>0</v>
      </c>
      <c r="AY118" s="1">
        <f t="shared" si="55"/>
        <v>0</v>
      </c>
      <c r="AZ118">
        <f t="shared" si="60"/>
        <v>0</v>
      </c>
      <c r="BA118" s="299" t="e">
        <f t="shared" si="56"/>
        <v>#DIV/0!</v>
      </c>
      <c r="BB118" s="47" t="e">
        <f t="shared" si="57"/>
        <v>#DIV/0!</v>
      </c>
    </row>
    <row r="119" spans="44:54">
      <c r="AR119" s="45" t="e">
        <f>'(6) '!P22</f>
        <v>#DIV/0!</v>
      </c>
      <c r="AT119">
        <f t="shared" si="51"/>
        <v>1</v>
      </c>
      <c r="AU119">
        <f t="shared" si="58"/>
        <v>0</v>
      </c>
      <c r="AW119">
        <f t="shared" si="59"/>
        <v>0</v>
      </c>
      <c r="AX119">
        <f>'(6) '!M23</f>
        <v>0</v>
      </c>
      <c r="AY119" s="1">
        <f t="shared" si="55"/>
        <v>0</v>
      </c>
      <c r="AZ119">
        <f t="shared" si="60"/>
        <v>0</v>
      </c>
      <c r="BA119" s="299" t="e">
        <f t="shared" si="56"/>
        <v>#DIV/0!</v>
      </c>
      <c r="BB119" s="47" t="e">
        <f t="shared" si="57"/>
        <v>#DIV/0!</v>
      </c>
    </row>
    <row r="120" spans="44:54">
      <c r="AR120" s="45" t="e">
        <f>'(6) '!P23</f>
        <v>#DIV/0!</v>
      </c>
      <c r="AT120">
        <f t="shared" si="51"/>
        <v>1</v>
      </c>
      <c r="AU120">
        <f t="shared" si="58"/>
        <v>0</v>
      </c>
      <c r="AW120">
        <f t="shared" si="59"/>
        <v>0</v>
      </c>
      <c r="AX120">
        <f>'(6) '!M24</f>
        <v>0</v>
      </c>
      <c r="AY120" s="1">
        <f t="shared" si="55"/>
        <v>0</v>
      </c>
      <c r="AZ120">
        <f t="shared" si="60"/>
        <v>0</v>
      </c>
      <c r="BA120" s="299" t="e">
        <f t="shared" si="56"/>
        <v>#DIV/0!</v>
      </c>
      <c r="BB120" s="47" t="e">
        <f t="shared" si="57"/>
        <v>#DIV/0!</v>
      </c>
    </row>
    <row r="121" spans="44:54">
      <c r="AR121" s="45" t="e">
        <f>'(6) '!P24</f>
        <v>#DIV/0!</v>
      </c>
      <c r="AT121">
        <f t="shared" si="51"/>
        <v>1</v>
      </c>
      <c r="AU121">
        <f t="shared" si="58"/>
        <v>0</v>
      </c>
      <c r="AW121">
        <f t="shared" si="59"/>
        <v>0</v>
      </c>
      <c r="AX121">
        <f>'(6) '!M25</f>
        <v>0</v>
      </c>
      <c r="AY121" s="1">
        <f t="shared" si="55"/>
        <v>0</v>
      </c>
      <c r="AZ121">
        <f t="shared" si="60"/>
        <v>0</v>
      </c>
      <c r="BA121" s="299" t="e">
        <f t="shared" si="56"/>
        <v>#DIV/0!</v>
      </c>
      <c r="BB121" s="47" t="e">
        <f t="shared" si="57"/>
        <v>#DIV/0!</v>
      </c>
    </row>
    <row r="122" spans="44:54">
      <c r="AR122" s="45" t="e">
        <f>'(6) '!P25</f>
        <v>#DIV/0!</v>
      </c>
      <c r="AT122">
        <f t="shared" si="51"/>
        <v>1</v>
      </c>
      <c r="AU122">
        <f t="shared" si="58"/>
        <v>0</v>
      </c>
      <c r="AW122">
        <f t="shared" si="59"/>
        <v>0</v>
      </c>
      <c r="AX122">
        <f>'(6) '!M26</f>
        <v>0</v>
      </c>
      <c r="AY122" s="1">
        <f t="shared" si="55"/>
        <v>0</v>
      </c>
      <c r="AZ122">
        <f t="shared" si="60"/>
        <v>0</v>
      </c>
      <c r="BA122" s="299" t="e">
        <f t="shared" si="56"/>
        <v>#DIV/0!</v>
      </c>
      <c r="BB122" s="47" t="e">
        <f t="shared" si="57"/>
        <v>#DIV/0!</v>
      </c>
    </row>
    <row r="123" spans="44:54">
      <c r="AR123" s="45" t="e">
        <f>'(6) '!P26</f>
        <v>#DIV/0!</v>
      </c>
      <c r="AT123">
        <f t="shared" si="51"/>
        <v>1</v>
      </c>
      <c r="AU123">
        <f t="shared" si="58"/>
        <v>0</v>
      </c>
      <c r="AW123">
        <f t="shared" si="59"/>
        <v>0</v>
      </c>
      <c r="AX123">
        <f>'(6) '!M27</f>
        <v>0</v>
      </c>
      <c r="AY123" s="1">
        <f t="shared" si="55"/>
        <v>0</v>
      </c>
      <c r="AZ123">
        <f t="shared" si="60"/>
        <v>0</v>
      </c>
      <c r="BA123" s="299" t="e">
        <f t="shared" si="56"/>
        <v>#DIV/0!</v>
      </c>
      <c r="BB123" s="47" t="e">
        <f t="shared" si="57"/>
        <v>#DIV/0!</v>
      </c>
    </row>
    <row r="124" spans="44:54">
      <c r="AR124" s="580" t="e">
        <f>'(7) '!P12</f>
        <v>#DIV/0!</v>
      </c>
      <c r="AT124">
        <f t="shared" si="51"/>
        <v>1</v>
      </c>
      <c r="AU124">
        <f t="shared" si="58"/>
        <v>0</v>
      </c>
      <c r="AW124">
        <f t="shared" si="59"/>
        <v>0</v>
      </c>
      <c r="AX124">
        <f>'(7) '!M12</f>
        <v>0</v>
      </c>
      <c r="AY124" s="1">
        <f t="shared" si="55"/>
        <v>0</v>
      </c>
      <c r="AZ124">
        <f t="shared" si="60"/>
        <v>0</v>
      </c>
      <c r="BA124" s="299" t="e">
        <f t="shared" si="56"/>
        <v>#DIV/0!</v>
      </c>
      <c r="BB124" s="33" t="e">
        <f t="shared" si="57"/>
        <v>#DIV/0!</v>
      </c>
    </row>
    <row r="125" spans="44:54">
      <c r="AR125" s="580" t="e">
        <f>'(7) '!P13</f>
        <v>#DIV/0!</v>
      </c>
      <c r="AT125">
        <f t="shared" si="51"/>
        <v>1</v>
      </c>
      <c r="AU125">
        <f t="shared" si="58"/>
        <v>0</v>
      </c>
      <c r="AW125">
        <f t="shared" si="59"/>
        <v>0</v>
      </c>
      <c r="AX125">
        <f>'(7) '!M13</f>
        <v>0</v>
      </c>
      <c r="AY125" s="1">
        <f t="shared" si="55"/>
        <v>0</v>
      </c>
      <c r="AZ125">
        <f t="shared" si="60"/>
        <v>0</v>
      </c>
      <c r="BA125" s="299" t="e">
        <f t="shared" si="56"/>
        <v>#DIV/0!</v>
      </c>
      <c r="BB125" s="33" t="e">
        <f t="shared" si="57"/>
        <v>#DIV/0!</v>
      </c>
    </row>
    <row r="126" spans="44:54">
      <c r="AR126" s="580" t="e">
        <f>'(7) '!P14</f>
        <v>#DIV/0!</v>
      </c>
      <c r="AT126">
        <f t="shared" si="51"/>
        <v>1</v>
      </c>
      <c r="AU126">
        <f t="shared" si="58"/>
        <v>0</v>
      </c>
      <c r="AW126">
        <f t="shared" si="59"/>
        <v>0</v>
      </c>
      <c r="AX126">
        <f>'(7) '!M14</f>
        <v>0</v>
      </c>
      <c r="AY126" s="1">
        <f t="shared" si="55"/>
        <v>0</v>
      </c>
      <c r="AZ126">
        <f t="shared" si="60"/>
        <v>0</v>
      </c>
      <c r="BA126" s="299" t="e">
        <f t="shared" si="56"/>
        <v>#DIV/0!</v>
      </c>
      <c r="BB126" s="33" t="e">
        <f t="shared" si="57"/>
        <v>#DIV/0!</v>
      </c>
    </row>
    <row r="127" spans="44:54">
      <c r="AR127" s="580" t="e">
        <f>'(7) '!P15</f>
        <v>#DIV/0!</v>
      </c>
      <c r="AT127">
        <f t="shared" si="51"/>
        <v>1</v>
      </c>
      <c r="AU127">
        <f t="shared" si="58"/>
        <v>0</v>
      </c>
      <c r="AW127">
        <f t="shared" si="59"/>
        <v>0</v>
      </c>
      <c r="AX127">
        <f>'(7) '!M15</f>
        <v>0</v>
      </c>
      <c r="AY127" s="1">
        <f t="shared" si="55"/>
        <v>0</v>
      </c>
      <c r="AZ127">
        <f t="shared" si="60"/>
        <v>0</v>
      </c>
      <c r="BA127" s="299" t="e">
        <f t="shared" si="56"/>
        <v>#DIV/0!</v>
      </c>
      <c r="BB127" s="33" t="e">
        <f t="shared" si="57"/>
        <v>#DIV/0!</v>
      </c>
    </row>
    <row r="128" spans="44:54">
      <c r="AR128" s="580" t="e">
        <f>'(7) '!P16</f>
        <v>#DIV/0!</v>
      </c>
      <c r="AT128">
        <f t="shared" si="51"/>
        <v>1</v>
      </c>
      <c r="AU128">
        <f t="shared" si="58"/>
        <v>0</v>
      </c>
      <c r="AW128">
        <f t="shared" si="59"/>
        <v>0</v>
      </c>
      <c r="AX128">
        <f>'(7) '!M16</f>
        <v>0</v>
      </c>
      <c r="AY128" s="1">
        <f t="shared" si="55"/>
        <v>0</v>
      </c>
      <c r="AZ128">
        <f t="shared" si="60"/>
        <v>0</v>
      </c>
      <c r="BA128" s="299" t="e">
        <f t="shared" si="56"/>
        <v>#DIV/0!</v>
      </c>
      <c r="BB128" s="33" t="e">
        <f t="shared" si="57"/>
        <v>#DIV/0!</v>
      </c>
    </row>
    <row r="129" spans="44:54">
      <c r="AR129" s="580" t="e">
        <f>'(7) '!P17</f>
        <v>#DIV/0!</v>
      </c>
      <c r="AT129">
        <f t="shared" si="51"/>
        <v>1</v>
      </c>
      <c r="AU129">
        <f t="shared" si="58"/>
        <v>0</v>
      </c>
      <c r="AW129">
        <f t="shared" si="59"/>
        <v>0</v>
      </c>
      <c r="AX129">
        <f>'(7) '!M17</f>
        <v>0</v>
      </c>
      <c r="AY129" s="1">
        <f t="shared" si="55"/>
        <v>0</v>
      </c>
      <c r="AZ129">
        <f t="shared" si="60"/>
        <v>0</v>
      </c>
      <c r="BA129" s="299" t="e">
        <f t="shared" si="56"/>
        <v>#DIV/0!</v>
      </c>
      <c r="BB129" s="33" t="e">
        <f t="shared" si="57"/>
        <v>#DIV/0!</v>
      </c>
    </row>
    <row r="130" spans="44:54">
      <c r="AR130" s="580" t="e">
        <f>'(7) '!P18</f>
        <v>#DIV/0!</v>
      </c>
      <c r="AT130">
        <f t="shared" si="51"/>
        <v>1</v>
      </c>
      <c r="AU130">
        <f t="shared" si="58"/>
        <v>0</v>
      </c>
      <c r="AW130">
        <f t="shared" si="59"/>
        <v>0</v>
      </c>
      <c r="AX130">
        <f>'(7) '!M18</f>
        <v>0</v>
      </c>
      <c r="AY130" s="1">
        <f t="shared" si="55"/>
        <v>0</v>
      </c>
      <c r="AZ130">
        <f t="shared" si="60"/>
        <v>0</v>
      </c>
      <c r="BA130" s="299" t="e">
        <f t="shared" si="56"/>
        <v>#DIV/0!</v>
      </c>
      <c r="BB130" s="33" t="e">
        <f t="shared" si="57"/>
        <v>#DIV/0!</v>
      </c>
    </row>
    <row r="131" spans="44:54">
      <c r="AR131" s="580" t="e">
        <f>'(7) '!P19</f>
        <v>#DIV/0!</v>
      </c>
      <c r="AT131">
        <f t="shared" si="51"/>
        <v>1</v>
      </c>
      <c r="AU131">
        <f t="shared" si="58"/>
        <v>0</v>
      </c>
      <c r="AW131">
        <f t="shared" si="59"/>
        <v>0</v>
      </c>
      <c r="AX131">
        <f>'(7) '!M19</f>
        <v>0</v>
      </c>
      <c r="AY131" s="1">
        <f t="shared" si="55"/>
        <v>0</v>
      </c>
      <c r="AZ131">
        <f t="shared" si="60"/>
        <v>0</v>
      </c>
      <c r="BA131" s="299" t="e">
        <f t="shared" si="56"/>
        <v>#DIV/0!</v>
      </c>
      <c r="BB131" s="33" t="e">
        <f t="shared" si="57"/>
        <v>#DIV/0!</v>
      </c>
    </row>
    <row r="132" spans="44:54">
      <c r="AR132" s="580" t="e">
        <f>'(7) '!P20</f>
        <v>#DIV/0!</v>
      </c>
      <c r="AT132">
        <f t="shared" si="51"/>
        <v>1</v>
      </c>
      <c r="AU132">
        <f t="shared" si="58"/>
        <v>0</v>
      </c>
      <c r="AW132">
        <f t="shared" si="59"/>
        <v>0</v>
      </c>
      <c r="AX132">
        <f>'(7) '!M20</f>
        <v>0</v>
      </c>
      <c r="AY132" s="1">
        <f t="shared" si="55"/>
        <v>0</v>
      </c>
      <c r="AZ132">
        <f t="shared" si="60"/>
        <v>0</v>
      </c>
      <c r="BA132" s="299" t="e">
        <f t="shared" si="56"/>
        <v>#DIV/0!</v>
      </c>
      <c r="BB132" s="33" t="e">
        <f t="shared" si="57"/>
        <v>#DIV/0!</v>
      </c>
    </row>
    <row r="133" spans="44:54">
      <c r="AR133" s="580" t="e">
        <f>'(7) '!P21</f>
        <v>#DIV/0!</v>
      </c>
      <c r="AT133">
        <f t="shared" si="51"/>
        <v>1</v>
      </c>
      <c r="AU133">
        <f t="shared" si="58"/>
        <v>0</v>
      </c>
      <c r="AW133">
        <f t="shared" si="59"/>
        <v>0</v>
      </c>
      <c r="AX133">
        <f>'(7) '!M21</f>
        <v>0</v>
      </c>
      <c r="AY133" s="1">
        <f t="shared" si="55"/>
        <v>0</v>
      </c>
      <c r="AZ133">
        <f t="shared" si="60"/>
        <v>0</v>
      </c>
      <c r="BA133" s="299" t="e">
        <f t="shared" si="56"/>
        <v>#DIV/0!</v>
      </c>
      <c r="BB133" s="33" t="e">
        <f t="shared" si="57"/>
        <v>#DIV/0!</v>
      </c>
    </row>
    <row r="134" spans="44:54">
      <c r="AR134" s="580" t="e">
        <f>'(7) '!P22</f>
        <v>#DIV/0!</v>
      </c>
      <c r="AT134">
        <f t="shared" si="51"/>
        <v>1</v>
      </c>
      <c r="AU134">
        <f t="shared" si="58"/>
        <v>0</v>
      </c>
      <c r="AW134">
        <f t="shared" si="59"/>
        <v>0</v>
      </c>
      <c r="AX134">
        <f>'(7) '!M22</f>
        <v>0</v>
      </c>
      <c r="AY134" s="1">
        <f t="shared" si="55"/>
        <v>0</v>
      </c>
      <c r="AZ134">
        <f t="shared" si="60"/>
        <v>0</v>
      </c>
      <c r="BA134" s="299" t="e">
        <f t="shared" si="56"/>
        <v>#DIV/0!</v>
      </c>
      <c r="BB134" s="33" t="e">
        <f t="shared" si="57"/>
        <v>#DIV/0!</v>
      </c>
    </row>
    <row r="135" spans="44:54">
      <c r="AR135" s="580" t="e">
        <f>'(7) '!P23</f>
        <v>#DIV/0!</v>
      </c>
      <c r="AT135">
        <f t="shared" si="51"/>
        <v>1</v>
      </c>
      <c r="AU135">
        <f t="shared" si="58"/>
        <v>0</v>
      </c>
      <c r="AW135">
        <f t="shared" si="59"/>
        <v>0</v>
      </c>
      <c r="AX135">
        <f>'(7) '!M23</f>
        <v>0</v>
      </c>
      <c r="AY135" s="1">
        <f t="shared" si="55"/>
        <v>0</v>
      </c>
      <c r="AZ135">
        <f t="shared" si="60"/>
        <v>0</v>
      </c>
      <c r="BA135" s="299" t="e">
        <f t="shared" si="56"/>
        <v>#DIV/0!</v>
      </c>
      <c r="BB135" s="33" t="e">
        <f t="shared" si="57"/>
        <v>#DIV/0!</v>
      </c>
    </row>
    <row r="136" spans="44:54">
      <c r="AR136" s="580" t="e">
        <f>'(7) '!P24</f>
        <v>#DIV/0!</v>
      </c>
      <c r="AT136">
        <f t="shared" si="51"/>
        <v>1</v>
      </c>
      <c r="AU136">
        <f t="shared" si="58"/>
        <v>0</v>
      </c>
      <c r="AW136">
        <f t="shared" si="59"/>
        <v>0</v>
      </c>
      <c r="AX136">
        <f>'(7) '!M24</f>
        <v>0</v>
      </c>
      <c r="AY136" s="1">
        <f t="shared" si="55"/>
        <v>0</v>
      </c>
      <c r="AZ136">
        <f t="shared" si="60"/>
        <v>0</v>
      </c>
      <c r="BA136" s="299" t="e">
        <f t="shared" si="56"/>
        <v>#DIV/0!</v>
      </c>
      <c r="BB136" s="33" t="e">
        <f t="shared" si="57"/>
        <v>#DIV/0!</v>
      </c>
    </row>
    <row r="137" spans="44:54">
      <c r="AR137" s="580" t="e">
        <f>'(7) '!P25</f>
        <v>#DIV/0!</v>
      </c>
      <c r="AT137">
        <f t="shared" si="51"/>
        <v>1</v>
      </c>
      <c r="AU137">
        <f t="shared" si="58"/>
        <v>0</v>
      </c>
      <c r="AW137">
        <f t="shared" si="59"/>
        <v>0</v>
      </c>
      <c r="AX137">
        <f>'(7) '!M25</f>
        <v>0</v>
      </c>
      <c r="AY137" s="1">
        <f t="shared" si="55"/>
        <v>0</v>
      </c>
      <c r="AZ137">
        <f t="shared" si="60"/>
        <v>0</v>
      </c>
      <c r="BA137" s="299" t="e">
        <f t="shared" si="56"/>
        <v>#DIV/0!</v>
      </c>
      <c r="BB137" s="33" t="e">
        <f t="shared" si="57"/>
        <v>#DIV/0!</v>
      </c>
    </row>
    <row r="138" spans="44:54">
      <c r="AR138" s="580" t="e">
        <f>'(7) '!P26</f>
        <v>#DIV/0!</v>
      </c>
      <c r="AT138">
        <f t="shared" si="51"/>
        <v>1</v>
      </c>
      <c r="AU138">
        <f t="shared" si="58"/>
        <v>0</v>
      </c>
      <c r="AW138">
        <f t="shared" si="59"/>
        <v>0</v>
      </c>
      <c r="AX138">
        <f>'(7) '!M26</f>
        <v>0</v>
      </c>
      <c r="AY138" s="1">
        <f t="shared" si="55"/>
        <v>0</v>
      </c>
      <c r="AZ138">
        <f t="shared" si="60"/>
        <v>0</v>
      </c>
      <c r="BA138" s="299" t="e">
        <f t="shared" si="56"/>
        <v>#DIV/0!</v>
      </c>
      <c r="BB138" s="33" t="e">
        <f t="shared" si="57"/>
        <v>#DIV/0!</v>
      </c>
    </row>
    <row r="139" spans="44:54">
      <c r="AR139" s="580" t="e">
        <f>'(7) '!P27</f>
        <v>#DIV/0!</v>
      </c>
      <c r="AT139">
        <f t="shared" si="51"/>
        <v>1</v>
      </c>
      <c r="AU139">
        <f t="shared" si="58"/>
        <v>0</v>
      </c>
      <c r="AW139">
        <f t="shared" si="59"/>
        <v>0</v>
      </c>
      <c r="AX139">
        <f>'(7) '!M27</f>
        <v>0</v>
      </c>
      <c r="AY139" s="1">
        <f t="shared" si="55"/>
        <v>0</v>
      </c>
      <c r="AZ139">
        <f t="shared" si="60"/>
        <v>0</v>
      </c>
      <c r="BA139" s="299" t="e">
        <f t="shared" si="56"/>
        <v>#DIV/0!</v>
      </c>
      <c r="BB139" s="33" t="e">
        <f t="shared" si="57"/>
        <v>#DIV/0!</v>
      </c>
    </row>
    <row r="140" spans="44:54">
      <c r="BA140" s="299"/>
    </row>
    <row r="141" spans="44:54">
      <c r="BA141" s="299"/>
    </row>
    <row r="142" spans="44:54">
      <c r="BA142" s="299"/>
    </row>
    <row r="143" spans="44:54">
      <c r="BA143" s="299"/>
    </row>
    <row r="144" spans="44:54">
      <c r="BA144" s="299"/>
    </row>
  </sheetData>
  <sheetProtection password="EF73" sheet="1" objects="1" scenarios="1" formatCells="0"/>
  <customSheetViews>
    <customSheetView guid="{D786A5C0-FBC0-4F24-9F75-D436CA99DC6C}" zeroValues="0" hiddenRows="1" hiddenColumns="1" state="hidden" topLeftCell="A6">
      <selection activeCell="F21" sqref="F21"/>
      <pageMargins left="0.7" right="0.7" top="0.75" bottom="0.75" header="0.3" footer="0.3"/>
      <pageSetup orientation="landscape" r:id="rId1"/>
    </customSheetView>
  </customSheetViews>
  <mergeCells count="47">
    <mergeCell ref="P53:Q53"/>
    <mergeCell ref="L26:M26"/>
    <mergeCell ref="AK11:AK12"/>
    <mergeCell ref="AK8:AK10"/>
    <mergeCell ref="P54:Q54"/>
    <mergeCell ref="L19:M19"/>
    <mergeCell ref="L20:M20"/>
    <mergeCell ref="L21:M21"/>
    <mergeCell ref="L22:M22"/>
    <mergeCell ref="L23:M23"/>
    <mergeCell ref="F8:M10"/>
    <mergeCell ref="J18:K18"/>
    <mergeCell ref="J19:K19"/>
    <mergeCell ref="F53:J53"/>
    <mergeCell ref="J20:K20"/>
    <mergeCell ref="L11:M11"/>
    <mergeCell ref="C4:C5"/>
    <mergeCell ref="E8:E10"/>
    <mergeCell ref="B12:C21"/>
    <mergeCell ref="J21:K21"/>
    <mergeCell ref="J15:K15"/>
    <mergeCell ref="J16:K16"/>
    <mergeCell ref="J17:K17"/>
    <mergeCell ref="C7:C8"/>
    <mergeCell ref="E7:G7"/>
    <mergeCell ref="J11:K11"/>
    <mergeCell ref="J12:K12"/>
    <mergeCell ref="J13:K13"/>
    <mergeCell ref="J14:K14"/>
    <mergeCell ref="E6:G6"/>
    <mergeCell ref="H6:L6"/>
    <mergeCell ref="L16:M16"/>
    <mergeCell ref="B7:B8"/>
    <mergeCell ref="L25:M25"/>
    <mergeCell ref="L27:M27"/>
    <mergeCell ref="L17:M17"/>
    <mergeCell ref="L18:M18"/>
    <mergeCell ref="L12:M12"/>
    <mergeCell ref="L13:M13"/>
    <mergeCell ref="L14:M14"/>
    <mergeCell ref="L15:M15"/>
    <mergeCell ref="B24:B27"/>
    <mergeCell ref="G24:G27"/>
    <mergeCell ref="J24:J27"/>
    <mergeCell ref="J22:K22"/>
    <mergeCell ref="J23:K23"/>
    <mergeCell ref="L24:M24"/>
  </mergeCells>
  <dataValidations disablePrompts="1" count="10">
    <dataValidation type="decimal" allowBlank="1" showInputMessage="1" showErrorMessage="1" error="أدخال غير صحيح" prompt="ضع فريضة الوارث فى هذه الخلية" sqref="IQ12:IQ23 F65525:F65536">
      <formula1>0</formula1>
      <formula2>1</formula2>
    </dataValidation>
    <dataValidation type="decimal" allowBlank="1" showInputMessage="1" showErrorMessage="1" error="أدخال غير صحيح (تأكد من الكسر)" promptTitle=" " prompt="وصى المتوفى (ضع الوصية التالثة)" sqref="K65520">
      <formula1>0</formula1>
      <formula2>99/100</formula2>
    </dataValidation>
    <dataValidation type="decimal" allowBlank="1" showInputMessage="1" showErrorMessage="1" error="أدخال غير صحيح (تأكد من الكسر)" promptTitle=" " prompt="وصى المتوفى (ضع الوصية التانية)" sqref="J65520">
      <formula1>0</formula1>
      <formula2>99/100</formula2>
    </dataValidation>
    <dataValidation type="decimal" allowBlank="1" showInputMessage="1" showErrorMessage="1" error="أدخال غير صحيح (ضع صفر ان لم يوصى)" promptTitle=" " prompt="وصى المتوفى  (ضع الوصية الأولى)" sqref="H65520:I65520">
      <formula1>0</formula1>
      <formula2>99/100</formula2>
    </dataValidation>
    <dataValidation type="textLength" operator="lessThan" allowBlank="1" showInputMessage="1" showErrorMessage="1" error="أدخال غير صحيح" prompt="ضع أسم الوارث فى هذه الخلية" sqref="IP12:IP23 E65525:E65536">
      <formula1>20</formula1>
    </dataValidation>
    <dataValidation type="decimal" allowBlank="1" showInputMessage="1" showErrorMessage="1" error="أدخال غير صحيح (تأكد من الكسر)" promptTitle=" " prompt="وصى المتوفى (ضع الوصية الرابعة)" sqref="L65520">
      <formula1>0</formula1>
      <formula2>99/100</formula2>
    </dataValidation>
    <dataValidation type="decimal" allowBlank="1" showInputMessage="1" showErrorMessage="1" error="أدخال غير صحيح" prompt="ضع بسط الفريضة أن لزم الأمر " sqref="IR12:IR23 G65525:G65536">
      <formula1>1</formula1>
      <formula2>100</formula2>
    </dataValidation>
    <dataValidation type="decimal" allowBlank="1" showInputMessage="1" showErrorMessage="1" error="أدخال غير صحيح" prompt="هذه الخلية مخصصة لتصحيح المسألة  ضع مقام الكسر أعلاه هنا" sqref="S50:S51 Q65522:Q65523">
      <formula1>0</formula1>
      <formula2>1000</formula2>
    </dataValidation>
    <dataValidation type="decimal" allowBlank="1" showInputMessage="1" showErrorMessage="1" error="أدخال غير صحيح" promptTitle="أجاز الوصية ضع 1 غير ذلك ضع 0  " prompt=" " sqref="IS12:IV23 H65525:L65536">
      <formula1>0</formula1>
      <formula2>1</formula2>
    </dataValidation>
    <dataValidation type="decimal" allowBlank="1" showInputMessage="1" showErrorMessage="1" error="أدخال غير صحيح" promptTitle="أجاز الوصية  1 أجاز ثلث 0 غيره 2" prompt=" " sqref="F54:J65">
      <formula1>0</formula1>
      <formula2>2</formula2>
    </dataValidation>
  </dataValidations>
  <hyperlinks>
    <hyperlink ref="E12" location="'(1)'!A1" tooltip="الأنتقال الى الورثة تفصيلا" display="'(1)'!A1"/>
    <hyperlink ref="E8:E10" location="'أدخال البيانات'!A1" tooltip="الرجوع الى أدخال  البيانات" display="أضغط للرجوع الى ورقة أدخال البيانات"/>
    <hyperlink ref="E13" location="'(2)'!Criteria" tooltip="الأنتقال الى الورثة تفصيلا" display="'(2)'!Criteria"/>
    <hyperlink ref="E14" location="'(3)'!A1" tooltip="الأنتقال الى الورثة تفصيلا" display="'(3)'!A1"/>
    <hyperlink ref="E15" location="'(4)'!A1" tooltip="الأنتقال الى الورثة تفصيلا" display="'(4)'!A1"/>
    <hyperlink ref="E16" location="'(5)'!A1" tooltip="الأنتقال الى الورثة تفصيلا" display="'(5)'!A1"/>
    <hyperlink ref="E17" location="'(6)'!A1" tooltip="الأنتقال الى الورثة تفصيلا" display="'(6)'!A1"/>
    <hyperlink ref="E18" location="'(7)'!A1" tooltip="الأنتقال الى الورثة تفصيلا" display="'(7)'!A1"/>
  </hyperlinks>
  <pageMargins left="0.7" right="0.7" top="0.75" bottom="0.75" header="0.3" footer="0.3"/>
  <pageSetup orientation="landscape" r:id="rId2"/>
  <drawing r:id="rId3"/>
  <legacy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00"/>
  </sheetPr>
  <dimension ref="A1:AX107"/>
  <sheetViews>
    <sheetView showZeros="0" rightToLeft="1" topLeftCell="A7" zoomScaleNormal="87" workbookViewId="0">
      <selection activeCell="AW17" sqref="AW17"/>
    </sheetView>
  </sheetViews>
  <sheetFormatPr defaultColWidth="7.75" defaultRowHeight="15"/>
  <cols>
    <col min="1" max="1" width="6.75" customWidth="1"/>
    <col min="2" max="2" width="3.375" customWidth="1"/>
    <col min="3" max="3" width="9.625" customWidth="1"/>
    <col min="4" max="4" width="15.125" customWidth="1"/>
    <col min="5" max="5" width="2.875" customWidth="1"/>
    <col min="6" max="6" width="14.75" hidden="1" customWidth="1"/>
    <col min="7" max="7" width="12" hidden="1" customWidth="1"/>
    <col min="8" max="8" width="5" hidden="1" customWidth="1"/>
    <col min="9" max="12" width="8.875" hidden="1" customWidth="1"/>
    <col min="13" max="13" width="11" hidden="1" customWidth="1"/>
    <col min="14" max="14" width="8.75" hidden="1" customWidth="1"/>
    <col min="15" max="15" width="14.25" hidden="1" customWidth="1"/>
    <col min="16" max="16" width="15.625" hidden="1" customWidth="1"/>
    <col min="17" max="17" width="9.25" hidden="1" customWidth="1"/>
    <col min="18" max="18" width="11.5" hidden="1" customWidth="1"/>
    <col min="19" max="19" width="17.625" hidden="1" customWidth="1"/>
    <col min="20" max="20" width="11.125" hidden="1" customWidth="1"/>
    <col min="21" max="21" width="15.875" hidden="1" customWidth="1"/>
    <col min="22" max="22" width="18.25" hidden="1" customWidth="1"/>
    <col min="23" max="23" width="19.75" hidden="1" customWidth="1"/>
    <col min="24" max="24" width="16.375" hidden="1" customWidth="1"/>
    <col min="25" max="30" width="2" hidden="1" customWidth="1"/>
    <col min="31" max="31" width="9.75" hidden="1" customWidth="1"/>
    <col min="32" max="32" width="8.25" hidden="1" customWidth="1"/>
    <col min="33" max="33" width="9.625" hidden="1" customWidth="1"/>
    <col min="34" max="34" width="2.5" hidden="1" customWidth="1"/>
    <col min="35" max="35" width="20.75" hidden="1" customWidth="1"/>
    <col min="36" max="36" width="17.25" hidden="1" customWidth="1"/>
    <col min="37" max="37" width="8.25" hidden="1" customWidth="1"/>
    <col min="38" max="38" width="12" hidden="1" customWidth="1"/>
    <col min="39" max="39" width="17.125" hidden="1" customWidth="1"/>
    <col min="40" max="40" width="12.25" hidden="1" customWidth="1"/>
    <col min="41" max="41" width="16.5" hidden="1" customWidth="1"/>
    <col min="42" max="42" width="4.5" hidden="1" customWidth="1"/>
    <col min="43" max="43" width="11.625" hidden="1" customWidth="1"/>
    <col min="44" max="44" width="21" hidden="1" customWidth="1"/>
    <col min="45" max="45" width="7.75" customWidth="1"/>
    <col min="46" max="46" width="19" customWidth="1"/>
    <col min="47" max="47" width="23.125" customWidth="1"/>
    <col min="48" max="48" width="15.75" customWidth="1"/>
    <col min="49" max="49" width="7.75" customWidth="1"/>
    <col min="50" max="50" width="18.125" customWidth="1"/>
    <col min="51" max="51" width="8.375" customWidth="1"/>
    <col min="52" max="52" width="7.75" customWidth="1"/>
    <col min="53" max="53" width="10.25" customWidth="1"/>
  </cols>
  <sheetData>
    <row r="1" spans="1:50" ht="21.75" hidden="1" customHeight="1">
      <c r="G1" s="1">
        <f>1/3-'الأجـــازة للوصايا'!AV7</f>
        <v>0.33333333333333331</v>
      </c>
      <c r="H1" s="1">
        <f>R3</f>
        <v>1</v>
      </c>
      <c r="I1" s="1">
        <f>IF(SUM('الأجـــازة للوصايا'!K76:K87)=0,1,'الأجـــازة للوصايا'!AV10)</f>
        <v>1</v>
      </c>
      <c r="J1" s="1">
        <f>IF(SUM('الأجـــازة للوصايا'!L76:L87)=0,1,'الأجـــازة للوصايا'!AW10)</f>
        <v>1</v>
      </c>
      <c r="K1" s="1">
        <f>IF(SUM('الأجـــازة للوصايا'!M76:M87)=0,1,'الأجـــازة للوصايا'!AX10)</f>
        <v>1</v>
      </c>
      <c r="L1" s="1">
        <f>IF(SUM('الأجـــازة للوصايا'!N76:N87)=0,1,'الأجـــازة للوصايا'!AY10)</f>
        <v>1</v>
      </c>
      <c r="R1">
        <f>MINVERSE(I1)</f>
        <v>1</v>
      </c>
      <c r="S1">
        <f>MINVERSE(J1)</f>
        <v>1</v>
      </c>
      <c r="T1">
        <f>MINVERSE(K1)</f>
        <v>1</v>
      </c>
      <c r="U1">
        <f>MINVERSE(L1)</f>
        <v>1</v>
      </c>
    </row>
    <row r="2" spans="1:50" ht="30" hidden="1" customHeight="1">
      <c r="G2" s="1">
        <f>1/3-'الأجـــازة للوصايا'!AW7</f>
        <v>0.33333333333333331</v>
      </c>
      <c r="H2" s="1">
        <f>S3</f>
        <v>1</v>
      </c>
      <c r="I2" s="1">
        <f xml:space="preserve"> R3*(S3/V5)</f>
        <v>1</v>
      </c>
      <c r="J2" s="1">
        <f>T3*R3/V5</f>
        <v>1</v>
      </c>
      <c r="K2" s="1">
        <f>R3*U3/V5</f>
        <v>1</v>
      </c>
      <c r="L2" s="1">
        <f>R3*V3/V5</f>
        <v>1</v>
      </c>
      <c r="R2" s="1">
        <f>IFERROR(R1,1)</f>
        <v>1</v>
      </c>
      <c r="S2" s="1">
        <f>IFERROR(S1,1)</f>
        <v>1</v>
      </c>
      <c r="T2" s="1">
        <f>IFERROR(T1,1)</f>
        <v>1</v>
      </c>
      <c r="U2" s="1">
        <f>IFERROR(U1,1)</f>
        <v>1</v>
      </c>
      <c r="V2" s="1" t="s">
        <v>114</v>
      </c>
      <c r="W2" s="1">
        <f>V4*U4*T4*S4*R4*R4</f>
        <v>1</v>
      </c>
      <c r="X2" s="536">
        <f xml:space="preserve"> W3</f>
        <v>1</v>
      </c>
    </row>
    <row r="3" spans="1:50" ht="27" hidden="1" customHeight="1" thickBot="1">
      <c r="G3" s="1">
        <f>1/3-'الأجـــازة للوصايا'!AX7</f>
        <v>0.33333333333333331</v>
      </c>
      <c r="I3" s="1">
        <f>IFERROR( 'الأجـــازة للوصايا'!AV10,0)</f>
        <v>0</v>
      </c>
      <c r="J3" s="1">
        <f>IFERROR( 'الأجـــازة للوصايا'!AW10,0)</f>
        <v>0</v>
      </c>
      <c r="K3" s="1">
        <f>IFERROR( 'الأجـــازة للوصايا'!AX10,0)</f>
        <v>0</v>
      </c>
      <c r="L3" s="1">
        <f>IFERROR( 'الأجـــازة للوصايا'!AY10,0)</f>
        <v>0</v>
      </c>
      <c r="M3" s="478" t="b">
        <f>AND( 'الأجـــازة للوصايا'!AV9&gt;='الأجـــازة للوصايا'!AV10, 'الأجـــازة للوصايا'!AW9&gt;='الأجـــازة للوصايا'!AW10, 'الأجـــازة للوصايا'!AX9&gt;='الأجـــازة للوصايا'!AX10,'الأجـــازة للوصايا'!AY9&gt;='الأجـــازة للوصايا'!AY10)</f>
        <v>1</v>
      </c>
      <c r="N3" s="491" t="str">
        <f>IF('الأجـــازة للوصايا'!AV7+'الأجـــازة للوصايا'!AW7+'الأجـــازة للوصايا'!AX7+'الأجـــازة للوصايا'!AY7&gt;1,"تجاوز الوصايا التركــــــــــــة","")</f>
        <v/>
      </c>
      <c r="O3" s="491"/>
      <c r="P3" s="1">
        <f>1/Q3</f>
        <v>4</v>
      </c>
      <c r="Q3" s="1">
        <f>S4/(S4+T4+U4+V4)</f>
        <v>0.25</v>
      </c>
      <c r="R3" s="1">
        <f>1/R4</f>
        <v>1</v>
      </c>
      <c r="S3" s="1">
        <f>1/S4</f>
        <v>1</v>
      </c>
      <c r="T3" s="1">
        <f>1/T4</f>
        <v>1</v>
      </c>
      <c r="U3" s="1">
        <f>1/U4</f>
        <v>1</v>
      </c>
      <c r="V3" s="1">
        <f>1/V4</f>
        <v>1</v>
      </c>
      <c r="W3" s="521">
        <f xml:space="preserve"> W4*W7*R4</f>
        <v>1</v>
      </c>
      <c r="X3" s="1">
        <f>V4*U4*T4*S4</f>
        <v>1</v>
      </c>
      <c r="Y3" s="1">
        <f>X3*W3</f>
        <v>1</v>
      </c>
    </row>
    <row r="4" spans="1:50" ht="59.25" hidden="1" customHeight="1">
      <c r="G4" s="1">
        <f>1/3-'الأجـــازة للوصايا'!AY7</f>
        <v>0.33333333333333331</v>
      </c>
      <c r="I4">
        <f>IF(SUM('الأجـــازة للوصايا'!K76:K87)&gt;0,3,1)</f>
        <v>1</v>
      </c>
      <c r="J4">
        <f>IF(SUM('الأجـــازة للوصايا'!L76:L87)&gt;0,3,1)</f>
        <v>1</v>
      </c>
      <c r="K4">
        <f>IF(SUM('الأجـــازة للوصايا'!M76:M87)&gt;0,3,1)</f>
        <v>1</v>
      </c>
      <c r="L4">
        <f>IF(SUM('الأجـــازة للوصايا'!N76:N87)&gt;0,3,1)</f>
        <v>1</v>
      </c>
      <c r="P4" s="1">
        <f>SUM(M12:M27)</f>
        <v>0</v>
      </c>
      <c r="Q4" s="1">
        <f>IFERROR(  AF9,1)</f>
        <v>3</v>
      </c>
      <c r="R4" s="485">
        <f>IF('الأجـــازة للوصايا'!AV7+'الأجـــازة للوصايا'!AW7+'الأجـــازة للوصايا'!AX7+'الأجـــازة للوصايا'!AY7=0,1,Q4)</f>
        <v>1</v>
      </c>
      <c r="S4" s="485">
        <f>IFERROR(AG9,1)</f>
        <v>1</v>
      </c>
      <c r="T4" s="485">
        <f>IFERROR(AH9,1)</f>
        <v>1</v>
      </c>
      <c r="U4" s="485">
        <f>IFERROR(AI9,1)</f>
        <v>1</v>
      </c>
      <c r="V4" s="485">
        <f>IFERROR(AL7,1)</f>
        <v>1</v>
      </c>
      <c r="W4" s="1">
        <f>W8*W7</f>
        <v>1</v>
      </c>
      <c r="AB4" s="1">
        <f>P7*'الأجـــازة للوصايا'!AV7/V5</f>
        <v>0</v>
      </c>
      <c r="AC4" s="1">
        <f>'الأجـــازة للوصايا'!AY10+'الأجـــازة للوصايا'!AX10+'الأجـــازة للوصايا'!AW10+'الأجـــازة للوصايا'!AV10</f>
        <v>0</v>
      </c>
      <c r="AE4" s="13">
        <f xml:space="preserve"> AI7/(S4+AH7+AI7+AO8)</f>
        <v>0.25</v>
      </c>
      <c r="AF4" s="13"/>
      <c r="AG4" s="13"/>
      <c r="AH4" s="13"/>
      <c r="AI4" s="541"/>
      <c r="AJ4" s="478"/>
      <c r="AK4" s="478"/>
    </row>
    <row r="5" spans="1:50" ht="22.5" hidden="1" customHeight="1">
      <c r="P5" s="1" t="s">
        <v>114</v>
      </c>
      <c r="R5" s="309">
        <f>IF(S4&gt;1,1/S4,0)</f>
        <v>0</v>
      </c>
      <c r="S5" s="309">
        <f>IF(T4&gt;1,1/T4,0)</f>
        <v>0</v>
      </c>
      <c r="T5" s="309">
        <f>IF(U4&gt;1,1/U4,0)</f>
        <v>0</v>
      </c>
      <c r="U5" s="309">
        <f>IF(V4&gt;1,1/V4,0)</f>
        <v>0</v>
      </c>
      <c r="V5" s="1">
        <f>IFERROR(W5,1)</f>
        <v>1</v>
      </c>
      <c r="W5" s="1">
        <f>IF(U5+T5+S5+R5=0,1,U5+T5+S5+R5)</f>
        <v>1</v>
      </c>
      <c r="X5" s="1">
        <f>V4*U4*T4*S4</f>
        <v>1</v>
      </c>
      <c r="AC5" s="1" t="s">
        <v>114</v>
      </c>
      <c r="AE5" s="493">
        <f>AF7*AO8/(AG7+AH7+AI7+AO8)</f>
        <v>0.25</v>
      </c>
      <c r="AF5" s="493" t="s">
        <v>114</v>
      </c>
      <c r="AG5" s="493"/>
      <c r="AH5" s="493"/>
      <c r="AI5" s="542"/>
      <c r="AK5" s="478"/>
    </row>
    <row r="6" spans="1:50" ht="28.5" hidden="1" customHeight="1" thickTop="1" thickBot="1">
      <c r="A6" t="str">
        <f>IF( SUM('الأجـــازة للوصايا'!AV7:AY7)+SUM('الأجـــازة للوصايا'!I76:I87)&lt;=2,"العملية صحيحة","خطأ راجع المسألة")</f>
        <v>العملية صحيحة</v>
      </c>
      <c r="C6" s="848">
        <f>SUM(M12:M27)</f>
        <v>0</v>
      </c>
      <c r="F6" s="872">
        <f>SUM('الأجـــازة للوصايا'!AV10:AY10)</f>
        <v>0</v>
      </c>
      <c r="P6" s="1"/>
      <c r="R6" s="309"/>
      <c r="S6" s="309"/>
      <c r="T6" s="309"/>
      <c r="U6" s="309"/>
      <c r="V6" s="1"/>
      <c r="W6" s="1"/>
      <c r="X6" s="1"/>
      <c r="AC6" s="1"/>
      <c r="AE6" s="564"/>
      <c r="AF6" s="564"/>
      <c r="AG6" s="564"/>
      <c r="AH6" s="564"/>
      <c r="AI6" s="565"/>
      <c r="AK6" s="478"/>
    </row>
    <row r="7" spans="1:50" ht="27.75" customHeight="1" thickTop="1" thickBot="1">
      <c r="A7" s="1" t="str">
        <f>IF(F6=1/3,"الورثة أجازو الثلث",A6)</f>
        <v>العملية صحيحة</v>
      </c>
      <c r="B7" s="1"/>
      <c r="C7" s="1377" t="s">
        <v>69</v>
      </c>
      <c r="D7" s="848" t="e">
        <f>'ورقة أجازة وعدم الأجازة للمختصن'!C7</f>
        <v>#DIV/0!</v>
      </c>
      <c r="E7" s="647"/>
      <c r="M7" s="647"/>
      <c r="N7" s="647"/>
      <c r="O7" s="647"/>
      <c r="P7" s="830">
        <v>0.33333333333333331</v>
      </c>
      <c r="Q7" s="657" t="s">
        <v>114</v>
      </c>
      <c r="R7" s="658" t="s">
        <v>114</v>
      </c>
      <c r="S7" s="658" t="s">
        <v>114</v>
      </c>
      <c r="T7" s="657" t="s">
        <v>114</v>
      </c>
      <c r="U7" s="658" t="s">
        <v>114</v>
      </c>
      <c r="V7" s="658" t="s">
        <v>114</v>
      </c>
      <c r="W7" s="659">
        <f>V4*U4*T4*S4</f>
        <v>1</v>
      </c>
      <c r="X7" s="657"/>
      <c r="Y7" s="657"/>
      <c r="Z7" s="657"/>
      <c r="AA7" s="657"/>
      <c r="AB7" s="658" t="e">
        <f>'الأجـــازة للوصايا'!J76*1/X12</f>
        <v>#DIV/0!</v>
      </c>
      <c r="AC7" s="660" t="s">
        <v>114</v>
      </c>
      <c r="AD7" s="657"/>
      <c r="AE7" s="661">
        <f>IF(P7=0,1,1/P7)</f>
        <v>3</v>
      </c>
      <c r="AF7" s="661">
        <f>ROUNDDOWN( R4,0)</f>
        <v>1</v>
      </c>
      <c r="AG7" s="661">
        <f>ROUNDDOWN(S4,0)</f>
        <v>1</v>
      </c>
      <c r="AH7" s="661">
        <f>ROUNDDOWN(T4,0)</f>
        <v>1</v>
      </c>
      <c r="AI7" s="662">
        <f>ROUNDDOWN(U4,0)</f>
        <v>1</v>
      </c>
      <c r="AJ7" s="647"/>
      <c r="AK7" s="478" t="s">
        <v>114</v>
      </c>
      <c r="AL7" s="540" t="e">
        <f>MINVERSE(  'الأجـــازة للوصايا'!AY7)</f>
        <v>#NUM!</v>
      </c>
      <c r="AM7" s="28"/>
      <c r="AN7" s="28"/>
      <c r="AO7" s="478"/>
      <c r="AP7" s="28"/>
      <c r="AQ7" s="28"/>
      <c r="AR7" s="28"/>
      <c r="AS7" s="28"/>
      <c r="AT7" s="28"/>
      <c r="AU7" s="28"/>
      <c r="AV7" s="28"/>
      <c r="AW7" s="28"/>
      <c r="AX7" s="28"/>
    </row>
    <row r="8" spans="1:50" ht="27.75" customHeight="1" thickTop="1" thickBot="1">
      <c r="A8" s="647"/>
      <c r="B8" s="647"/>
      <c r="C8" s="1378"/>
      <c r="D8" s="848"/>
      <c r="E8" s="647"/>
      <c r="M8" s="647"/>
      <c r="N8" s="647"/>
      <c r="O8" s="647"/>
      <c r="P8" s="647"/>
      <c r="Q8" s="657" t="s">
        <v>114</v>
      </c>
      <c r="R8" s="658">
        <f>IF(N50*N51=0,1,N50*N51)</f>
        <v>1</v>
      </c>
      <c r="S8" s="658" t="s">
        <v>114</v>
      </c>
      <c r="T8" s="658" t="s">
        <v>114</v>
      </c>
      <c r="U8" s="658">
        <f>W3/W7</f>
        <v>1</v>
      </c>
      <c r="V8" s="658">
        <f>IFERROR(W3/W4,1)</f>
        <v>1</v>
      </c>
      <c r="W8" s="659">
        <f>V5*W7</f>
        <v>1</v>
      </c>
      <c r="X8" s="658">
        <f>V3*U3*T3*S3</f>
        <v>1</v>
      </c>
      <c r="Y8" s="657"/>
      <c r="Z8" s="657"/>
      <c r="AA8" s="657"/>
      <c r="AB8" s="657"/>
      <c r="AC8" s="657"/>
      <c r="AD8" s="657"/>
      <c r="AE8" s="663">
        <f>IF(P7=0,1,P7)</f>
        <v>0.33333333333333331</v>
      </c>
      <c r="AF8" s="657"/>
      <c r="AG8" s="657"/>
      <c r="AH8" s="657"/>
      <c r="AI8" s="657"/>
      <c r="AJ8" s="647"/>
      <c r="AK8" s="550"/>
      <c r="AL8" s="28"/>
      <c r="AM8" s="28"/>
      <c r="AN8" s="28"/>
      <c r="AO8" s="478">
        <f>ROUNDDOWN(V4,0)</f>
        <v>1</v>
      </c>
      <c r="AP8" s="28"/>
      <c r="AQ8" s="28"/>
      <c r="AR8" s="28"/>
      <c r="AS8" s="28"/>
      <c r="AT8" s="28"/>
      <c r="AU8" s="28"/>
      <c r="AV8" s="28"/>
      <c r="AW8" s="28"/>
      <c r="AX8" s="28"/>
    </row>
    <row r="9" spans="1:50" ht="27.75" customHeight="1" thickTop="1" thickBot="1">
      <c r="A9" s="647"/>
      <c r="B9" s="647"/>
      <c r="C9" s="793" t="s">
        <v>744</v>
      </c>
      <c r="D9" s="794">
        <f>S29</f>
        <v>0</v>
      </c>
      <c r="E9" s="647"/>
      <c r="M9" s="647"/>
      <c r="N9" s="647"/>
      <c r="O9" s="647"/>
      <c r="P9" s="647"/>
      <c r="Q9" s="666" t="s">
        <v>114</v>
      </c>
      <c r="R9" s="666">
        <f>IF(N50=0,1,N50)</f>
        <v>1</v>
      </c>
      <c r="S9" s="667">
        <f>S4*R4</f>
        <v>1</v>
      </c>
      <c r="T9" s="667">
        <f>T4*R4</f>
        <v>1</v>
      </c>
      <c r="U9" s="668">
        <f>U4*R4</f>
        <v>1</v>
      </c>
      <c r="V9" s="667">
        <f>V4*R4</f>
        <v>1</v>
      </c>
      <c r="W9" s="667">
        <f>R3*S3/V5</f>
        <v>1</v>
      </c>
      <c r="X9" s="669">
        <f>1/X8</f>
        <v>1</v>
      </c>
      <c r="Y9" s="795"/>
      <c r="Z9" s="666"/>
      <c r="AA9" s="666"/>
      <c r="AB9" s="666"/>
      <c r="AC9" s="666"/>
      <c r="AD9" s="666"/>
      <c r="AE9" s="671" t="s">
        <v>114</v>
      </c>
      <c r="AF9" s="672">
        <f>MINVERSE( AE8)</f>
        <v>3</v>
      </c>
      <c r="AG9" s="672" t="e">
        <f>MINVERSE('الأجـــازة للوصايا'!AV7)</f>
        <v>#NUM!</v>
      </c>
      <c r="AH9" s="672" t="e">
        <f>MINVERSE( 'الأجـــازة للوصايا'!AW7)</f>
        <v>#NUM!</v>
      </c>
      <c r="AI9" s="673" t="e">
        <f>MINVERSE(  'الأجـــازة للوصايا'!AX7)</f>
        <v>#NUM!</v>
      </c>
      <c r="AJ9" s="796" t="s">
        <v>747</v>
      </c>
      <c r="AK9" s="538"/>
      <c r="AN9" s="28"/>
      <c r="AO9" s="545"/>
      <c r="AP9" s="28"/>
      <c r="AQ9" s="28"/>
      <c r="AR9" s="28"/>
      <c r="AS9" s="28"/>
      <c r="AT9" s="28"/>
      <c r="AU9" s="28"/>
      <c r="AV9" s="28"/>
      <c r="AW9" s="28"/>
    </row>
    <row r="10" spans="1:50" ht="27.75" customHeight="1" thickTop="1" thickBot="1">
      <c r="A10" s="647"/>
      <c r="B10" s="647"/>
      <c r="C10" s="793" t="s">
        <v>755</v>
      </c>
      <c r="D10" s="794">
        <f>VLOOKUP('الأجـــازة للوصايا'!H76,'ورقة أجازة وعدم الأجازة للمختصن'!E12:F23,2,FALSE)</f>
        <v>0</v>
      </c>
      <c r="E10" s="647"/>
      <c r="M10" s="647"/>
      <c r="N10" s="647"/>
      <c r="O10" s="647"/>
      <c r="P10" s="647"/>
      <c r="Q10" s="666"/>
      <c r="R10" s="666">
        <f>IF(N51=0,1,N51)</f>
        <v>1</v>
      </c>
      <c r="S10" s="666"/>
      <c r="T10" s="666"/>
      <c r="U10" s="666"/>
      <c r="V10" s="667">
        <f>V9*U9*T9*S9</f>
        <v>1</v>
      </c>
      <c r="W10" s="667" t="s">
        <v>114</v>
      </c>
      <c r="X10" s="667">
        <f>V10/389</f>
        <v>2.5706940874035988E-3</v>
      </c>
      <c r="Y10" s="667" t="s">
        <v>114</v>
      </c>
      <c r="Z10" s="667"/>
      <c r="AA10" s="667"/>
      <c r="AB10" s="667"/>
      <c r="AC10" s="667"/>
      <c r="AD10" s="667"/>
      <c r="AE10" s="667"/>
      <c r="AF10" s="667"/>
      <c r="AG10" s="667"/>
      <c r="AH10" s="667" t="s">
        <v>114</v>
      </c>
      <c r="AI10" s="667" t="s">
        <v>114</v>
      </c>
      <c r="AJ10" s="866">
        <f>'ورقة أجازة وعدم الأجازة للمختصن'!AL11</f>
        <v>100</v>
      </c>
      <c r="AK10" s="28"/>
      <c r="AL10" s="478">
        <f>U5</f>
        <v>0</v>
      </c>
      <c r="AN10" s="478" t="s">
        <v>114</v>
      </c>
      <c r="AO10" s="540" t="e">
        <f>MINVERSE(  'الأجـــازة للوصايا'!AY7)</f>
        <v>#NUM!</v>
      </c>
      <c r="AP10" s="28"/>
      <c r="AQ10" s="28"/>
      <c r="AR10" s="28"/>
      <c r="AS10" s="28"/>
      <c r="AT10" s="28"/>
      <c r="AU10" s="28"/>
      <c r="AV10" s="28"/>
      <c r="AW10" s="28"/>
    </row>
    <row r="11" spans="1:50" ht="34.5" customHeight="1" thickTop="1" thickBot="1">
      <c r="A11" s="647"/>
      <c r="B11" s="647"/>
      <c r="C11" s="1379">
        <f>'الأجـــازة للوصايا'!H76</f>
        <v>0</v>
      </c>
      <c r="D11" s="1380"/>
      <c r="E11" s="648"/>
      <c r="M11" s="831" t="s">
        <v>739</v>
      </c>
      <c r="N11" s="832"/>
      <c r="O11" s="833" t="s">
        <v>540</v>
      </c>
      <c r="P11" s="834" t="s">
        <v>753</v>
      </c>
      <c r="Q11" s="835" t="s">
        <v>137</v>
      </c>
      <c r="R11" s="836"/>
      <c r="S11" s="837" t="s">
        <v>734</v>
      </c>
      <c r="T11" s="836" t="s">
        <v>733</v>
      </c>
      <c r="U11" s="836" t="s">
        <v>733</v>
      </c>
      <c r="V11" s="838"/>
      <c r="W11" s="839"/>
      <c r="X11" s="666"/>
      <c r="Y11" s="667"/>
      <c r="Z11" s="667"/>
      <c r="AA11" s="667"/>
      <c r="AB11" s="667"/>
      <c r="AC11" s="667"/>
      <c r="AD11" s="667"/>
      <c r="AE11" s="667"/>
      <c r="AF11" s="667"/>
      <c r="AG11" s="667"/>
      <c r="AH11" s="666"/>
      <c r="AI11" s="805">
        <f>'أدخال البيانات'!$R$8* X2</f>
        <v>0</v>
      </c>
      <c r="AJ11" s="866"/>
    </row>
    <row r="12" spans="1:50" ht="18.75" customHeight="1" thickTop="1" thickBot="1">
      <c r="A12" s="647"/>
      <c r="B12" s="647"/>
      <c r="C12" s="1295" t="str">
        <f>IF(SUM('الأجـــازة للوصايا'!K76:N87) &gt;0,"بعض الورثة أجازو الوصايا",A7)</f>
        <v>العملية صحيحة</v>
      </c>
      <c r="D12" s="1296"/>
      <c r="E12" s="647"/>
      <c r="M12" s="813">
        <f t="shared" ref="M12:M23" si="0">IF(X12&lt;0,"الوارث لم يبقى له شىء",X12)</f>
        <v>0</v>
      </c>
      <c r="N12" s="814" t="e">
        <f t="shared" ref="N12:N27" si="1">AK12*M12/S29</f>
        <v>#DIV/0!</v>
      </c>
      <c r="O12" s="848" t="e">
        <f>'ورقة أجازة وعدم الأجازة للمختصن'!BB44</f>
        <v>#DIV/0!</v>
      </c>
      <c r="P12" s="815" t="e">
        <f t="shared" ref="P12:P27" si="2">S12/T12</f>
        <v>#DIV/0!</v>
      </c>
      <c r="Q12" s="816">
        <f>IF('الأجـــازة للوصايا'!I76&gt;0,'الأجـــازة للوصايا'!I76,0)</f>
        <v>0</v>
      </c>
      <c r="R12" s="816" t="e">
        <f t="shared" ref="R12:R27" si="3">P12</f>
        <v>#DIV/0!</v>
      </c>
      <c r="S12" s="814">
        <f t="shared" ref="S12:S27" si="4">ROUNDDOWN(M12*AK12,0)</f>
        <v>0</v>
      </c>
      <c r="T12" s="814">
        <f t="shared" ref="T12:T27" si="5">$S$29</f>
        <v>0</v>
      </c>
      <c r="U12" s="667">
        <f t="shared" ref="U12:U27" si="6" xml:space="preserve"> AK12*M12</f>
        <v>0</v>
      </c>
      <c r="V12" s="814">
        <f t="shared" ref="V12:V27" si="7">W12*M12</f>
        <v>0</v>
      </c>
      <c r="W12" s="817">
        <f>AI11</f>
        <v>0</v>
      </c>
      <c r="X12" s="814">
        <f>IFERROR( ( (('الأجـــازة للوصايا'!I76-(( (AC12+AG12) +(AB12+AF12) +(AA12+AE12) +(Z12+AD12)  ))*'الأجـــازة للوصايا'!I76))),0)</f>
        <v>0</v>
      </c>
      <c r="Y12" s="817" t="str">
        <f>V32</f>
        <v xml:space="preserve"> </v>
      </c>
      <c r="Z12" s="818">
        <f>IF('الأجـــازة للوصايا'!K76=1, 'الأجـــازة للوصايا'!AV9,0)</f>
        <v>0</v>
      </c>
      <c r="AA12" s="818">
        <f>IF('الأجـــازة للوصايا'!L76=1, 'الأجـــازة للوصايا'!AW9,0)</f>
        <v>0</v>
      </c>
      <c r="AB12" s="818">
        <f>IF('الأجـــازة للوصايا'!M76=1, 'الأجـــازة للوصايا'!AX9,0)</f>
        <v>0</v>
      </c>
      <c r="AC12" s="818">
        <f>IF('الأجـــازة للوصايا'!N76=1, 'الأجـــازة للوصايا'!AY9,0)</f>
        <v>0</v>
      </c>
      <c r="AD12" s="818">
        <f>IF('الأجـــازة للوصايا'!K76=0,'الأجـــازة للوصايا'!AV10,0)</f>
        <v>0</v>
      </c>
      <c r="AE12" s="818">
        <f>IF('الأجـــازة للوصايا'!L76=0,'الأجـــازة للوصايا'!AW10,0)</f>
        <v>0</v>
      </c>
      <c r="AF12" s="818">
        <f>IF('الأجـــازة للوصايا'!M76=0,'الأجـــازة للوصايا'!AX10,0)</f>
        <v>0</v>
      </c>
      <c r="AG12" s="818">
        <f>IF('الأجـــازة للوصايا'!N76=0,'الأجـــازة للوصايا'!AY10,0)</f>
        <v>0</v>
      </c>
      <c r="AH12" s="817"/>
      <c r="AI12" s="819"/>
      <c r="AJ12" s="866">
        <f t="shared" ref="AJ12:AJ27" si="8">AL12*M12</f>
        <v>0</v>
      </c>
      <c r="AK12" s="293">
        <f>$AK$13</f>
        <v>0</v>
      </c>
      <c r="AL12" s="293">
        <f t="shared" ref="AL12:AL27" si="9">$AJ$10</f>
        <v>100</v>
      </c>
      <c r="AM12" s="1" t="e">
        <f t="shared" ref="AM12:AM27" si="10">P12</f>
        <v>#DIV/0!</v>
      </c>
    </row>
    <row r="13" spans="1:50" ht="18.75" customHeight="1" thickTop="1" thickBot="1">
      <c r="A13" s="647"/>
      <c r="B13" s="647"/>
      <c r="C13" s="1297"/>
      <c r="D13" s="1298"/>
      <c r="E13" s="647"/>
      <c r="M13" s="813">
        <f t="shared" si="0"/>
        <v>0</v>
      </c>
      <c r="N13" s="814" t="e">
        <f t="shared" si="1"/>
        <v>#DIV/0!</v>
      </c>
      <c r="O13" s="848" t="e">
        <f>'ورقة أجازة وعدم الأجازة للمختصن'!BB45</f>
        <v>#DIV/0!</v>
      </c>
      <c r="P13" s="815" t="e">
        <f t="shared" si="2"/>
        <v>#DIV/0!</v>
      </c>
      <c r="Q13" s="816">
        <f>IF('الأجـــازة للوصايا'!I77&gt;0,'الأجـــازة للوصايا'!I77,0)</f>
        <v>0</v>
      </c>
      <c r="R13" s="816" t="e">
        <f t="shared" si="3"/>
        <v>#DIV/0!</v>
      </c>
      <c r="S13" s="814">
        <f t="shared" si="4"/>
        <v>0</v>
      </c>
      <c r="T13" s="814">
        <f t="shared" si="5"/>
        <v>0</v>
      </c>
      <c r="U13" s="667">
        <f t="shared" si="6"/>
        <v>0</v>
      </c>
      <c r="V13" s="814">
        <f t="shared" si="7"/>
        <v>0</v>
      </c>
      <c r="W13" s="817">
        <f t="shared" ref="W13:W27" si="11">$W$12</f>
        <v>0</v>
      </c>
      <c r="X13" s="814">
        <f>IFERROR( ( (('الأجـــازة للوصايا'!I77-(( (AC13+AG13) +(AB13+AF13) +(AA13+AE13) +(Z13+AD13)  ))*'الأجـــازة للوصايا'!I77))),0)</f>
        <v>0</v>
      </c>
      <c r="Y13" s="817">
        <f t="shared" ref="Y13:Y27" si="12">V33</f>
        <v>0</v>
      </c>
      <c r="Z13" s="818">
        <f>IF('الأجـــازة للوصايا'!K77=1, 'الأجـــازة للوصايا'!AV9,0)</f>
        <v>0</v>
      </c>
      <c r="AA13" s="818">
        <f>IF('الأجـــازة للوصايا'!L77=1, 'الأجـــازة للوصايا'!AW9,0)</f>
        <v>0</v>
      </c>
      <c r="AB13" s="818">
        <f>IF('الأجـــازة للوصايا'!M77=1, 'الأجـــازة للوصايا'!AX9,0)</f>
        <v>0</v>
      </c>
      <c r="AC13" s="818">
        <f>IF('الأجـــازة للوصايا'!N77=1, 'الأجـــازة للوصايا'!AY9,0)</f>
        <v>0</v>
      </c>
      <c r="AD13" s="818">
        <f>IF('الأجـــازة للوصايا'!K77=0,'الأجـــازة للوصايا'!AV10,0)</f>
        <v>0</v>
      </c>
      <c r="AE13" s="818">
        <f>IF('الأجـــازة للوصايا'!L77=0,'الأجـــازة للوصايا'!AW10,0)</f>
        <v>0</v>
      </c>
      <c r="AF13" s="818">
        <f>IF('الأجـــازة للوصايا'!M77=0,'الأجـــازة للوصايا'!AX10,0)</f>
        <v>0</v>
      </c>
      <c r="AG13" s="818">
        <f>IF('الأجـــازة للوصايا'!N77=0,'الأجـــازة للوصايا'!AY10,0)</f>
        <v>0</v>
      </c>
      <c r="AH13" s="817"/>
      <c r="AI13" s="819"/>
      <c r="AJ13" s="866">
        <f t="shared" si="8"/>
        <v>0</v>
      </c>
      <c r="AK13" s="293">
        <f t="shared" ref="AK13:AK27" si="13">$AI$11</f>
        <v>0</v>
      </c>
      <c r="AL13" s="293">
        <f t="shared" si="9"/>
        <v>100</v>
      </c>
      <c r="AM13" s="1" t="e">
        <f t="shared" si="10"/>
        <v>#DIV/0!</v>
      </c>
    </row>
    <row r="14" spans="1:50" ht="18.75" customHeight="1" thickTop="1" thickBot="1">
      <c r="A14" s="647"/>
      <c r="B14" s="647"/>
      <c r="C14" s="1297"/>
      <c r="D14" s="1298"/>
      <c r="E14" s="647"/>
      <c r="M14" s="813">
        <f t="shared" si="0"/>
        <v>0</v>
      </c>
      <c r="N14" s="814" t="e">
        <f t="shared" si="1"/>
        <v>#DIV/0!</v>
      </c>
      <c r="O14" s="848" t="e">
        <f>'ورقة أجازة وعدم الأجازة للمختصن'!BB46</f>
        <v>#DIV/0!</v>
      </c>
      <c r="P14" s="815" t="e">
        <f t="shared" si="2"/>
        <v>#DIV/0!</v>
      </c>
      <c r="Q14" s="816">
        <f>IF('الأجـــازة للوصايا'!I78&gt;0,'الأجـــازة للوصايا'!I78,0)</f>
        <v>0</v>
      </c>
      <c r="R14" s="816" t="e">
        <f t="shared" si="3"/>
        <v>#DIV/0!</v>
      </c>
      <c r="S14" s="814">
        <f t="shared" si="4"/>
        <v>0</v>
      </c>
      <c r="T14" s="814">
        <f t="shared" si="5"/>
        <v>0</v>
      </c>
      <c r="U14" s="667">
        <f t="shared" si="6"/>
        <v>0</v>
      </c>
      <c r="V14" s="814">
        <f t="shared" si="7"/>
        <v>0</v>
      </c>
      <c r="W14" s="817">
        <f t="shared" si="11"/>
        <v>0</v>
      </c>
      <c r="X14" s="814">
        <f>IFERROR( ( (('الأجـــازة للوصايا'!I78-(( (AC14+AG14) +(AB14+AF14) +(AA14+AE14) +(Z14+AD14)  ))*'الأجـــازة للوصايا'!I78))),0)</f>
        <v>0</v>
      </c>
      <c r="Y14" s="817">
        <f t="shared" si="12"/>
        <v>0</v>
      </c>
      <c r="Z14" s="818">
        <f>IF('الأجـــازة للوصايا'!K78=1, 'الأجـــازة للوصايا'!AV9,0)</f>
        <v>0</v>
      </c>
      <c r="AA14" s="818">
        <f>IF('الأجـــازة للوصايا'!L78=1, 'الأجـــازة للوصايا'!AW9,0)</f>
        <v>0</v>
      </c>
      <c r="AB14" s="818">
        <f>IF('الأجـــازة للوصايا'!M78=1, 'الأجـــازة للوصايا'!AX9,0)</f>
        <v>0</v>
      </c>
      <c r="AC14" s="818">
        <f>IF('الأجـــازة للوصايا'!N78=1, 'الأجـــازة للوصايا'!AY9,0)</f>
        <v>0</v>
      </c>
      <c r="AD14" s="818">
        <f>IF('الأجـــازة للوصايا'!K78=0,'الأجـــازة للوصايا'!AV10,0)</f>
        <v>0</v>
      </c>
      <c r="AE14" s="818">
        <f>IF('الأجـــازة للوصايا'!L78=0,'الأجـــازة للوصايا'!AW10,0)</f>
        <v>0</v>
      </c>
      <c r="AF14" s="818">
        <f>IF('الأجـــازة للوصايا'!M78=0,'الأجـــازة للوصايا'!AX10,0)</f>
        <v>0</v>
      </c>
      <c r="AG14" s="818">
        <f>IF('الأجـــازة للوصايا'!N78=0,'الأجـــازة للوصايا'!AY10,0)</f>
        <v>0</v>
      </c>
      <c r="AH14" s="817"/>
      <c r="AI14" s="819"/>
      <c r="AJ14" s="866">
        <f t="shared" si="8"/>
        <v>0</v>
      </c>
      <c r="AK14" s="293">
        <f t="shared" si="13"/>
        <v>0</v>
      </c>
      <c r="AL14" s="293">
        <f t="shared" si="9"/>
        <v>100</v>
      </c>
      <c r="AM14" s="1" t="e">
        <f t="shared" si="10"/>
        <v>#DIV/0!</v>
      </c>
    </row>
    <row r="15" spans="1:50" ht="18.75" customHeight="1" thickTop="1" thickBot="1">
      <c r="A15" s="647"/>
      <c r="B15" s="647"/>
      <c r="C15" s="1297"/>
      <c r="D15" s="1298"/>
      <c r="E15" s="647"/>
      <c r="M15" s="813">
        <f t="shared" si="0"/>
        <v>0</v>
      </c>
      <c r="N15" s="814" t="e">
        <f t="shared" si="1"/>
        <v>#DIV/0!</v>
      </c>
      <c r="O15" s="848" t="e">
        <f>'ورقة أجازة وعدم الأجازة للمختصن'!BB47</f>
        <v>#DIV/0!</v>
      </c>
      <c r="P15" s="815" t="e">
        <f t="shared" si="2"/>
        <v>#DIV/0!</v>
      </c>
      <c r="Q15" s="816">
        <f>IF('الأجـــازة للوصايا'!I79&gt;0,'الأجـــازة للوصايا'!I79,0)</f>
        <v>0</v>
      </c>
      <c r="R15" s="816" t="e">
        <f t="shared" si="3"/>
        <v>#DIV/0!</v>
      </c>
      <c r="S15" s="814">
        <f t="shared" si="4"/>
        <v>0</v>
      </c>
      <c r="T15" s="814">
        <f t="shared" si="5"/>
        <v>0</v>
      </c>
      <c r="U15" s="667">
        <f t="shared" si="6"/>
        <v>0</v>
      </c>
      <c r="V15" s="814">
        <f t="shared" si="7"/>
        <v>0</v>
      </c>
      <c r="W15" s="817">
        <f t="shared" si="11"/>
        <v>0</v>
      </c>
      <c r="X15" s="814">
        <f>IFERROR( ( (('الأجـــازة للوصايا'!I79-(( (AC15+AG15) +(AB15+AF15) +(AA15+AE15) +(Z15+AD15)  ))*'الأجـــازة للوصايا'!I79))),0)</f>
        <v>0</v>
      </c>
      <c r="Y15" s="817">
        <f t="shared" si="12"/>
        <v>0</v>
      </c>
      <c r="Z15" s="818">
        <f>IF('الأجـــازة للوصايا'!K79=1, 'الأجـــازة للوصايا'!AV9,0)</f>
        <v>0</v>
      </c>
      <c r="AA15" s="818">
        <f>IF('الأجـــازة للوصايا'!L79=1, 'الأجـــازة للوصايا'!AW9,0)</f>
        <v>0</v>
      </c>
      <c r="AB15" s="818">
        <f>IF('الأجـــازة للوصايا'!M79=1, 'الأجـــازة للوصايا'!AX9,0)</f>
        <v>0</v>
      </c>
      <c r="AC15" s="818">
        <f>IF('الأجـــازة للوصايا'!N79=1, 'الأجـــازة للوصايا'!AY9,0)</f>
        <v>0</v>
      </c>
      <c r="AD15" s="818">
        <f>IF('الأجـــازة للوصايا'!K79=0,'الأجـــازة للوصايا'!AV10,0)</f>
        <v>0</v>
      </c>
      <c r="AE15" s="818">
        <f>IF('الأجـــازة للوصايا'!L79=0,'الأجـــازة للوصايا'!AW10,0)</f>
        <v>0</v>
      </c>
      <c r="AF15" s="818">
        <f>IF('الأجـــازة للوصايا'!M79=0,'الأجـــازة للوصايا'!AX10,0)</f>
        <v>0</v>
      </c>
      <c r="AG15" s="818">
        <f>IF('الأجـــازة للوصايا'!N79=0,'الأجـــازة للوصايا'!AY10,0)</f>
        <v>0</v>
      </c>
      <c r="AH15" s="817"/>
      <c r="AI15" s="819"/>
      <c r="AJ15" s="866">
        <f t="shared" si="8"/>
        <v>0</v>
      </c>
      <c r="AK15" s="293">
        <f t="shared" si="13"/>
        <v>0</v>
      </c>
      <c r="AL15" s="293">
        <f t="shared" si="9"/>
        <v>100</v>
      </c>
      <c r="AM15" s="1" t="e">
        <f t="shared" si="10"/>
        <v>#DIV/0!</v>
      </c>
    </row>
    <row r="16" spans="1:50" ht="18.75" customHeight="1" thickTop="1" thickBot="1">
      <c r="A16" s="647"/>
      <c r="B16" s="647"/>
      <c r="C16" s="1297"/>
      <c r="D16" s="1298"/>
      <c r="E16" s="647"/>
      <c r="M16" s="813">
        <f t="shared" si="0"/>
        <v>0</v>
      </c>
      <c r="N16" s="814" t="e">
        <f t="shared" si="1"/>
        <v>#DIV/0!</v>
      </c>
      <c r="O16" s="848" t="e">
        <f>'ورقة أجازة وعدم الأجازة للمختصن'!BB48</f>
        <v>#DIV/0!</v>
      </c>
      <c r="P16" s="815" t="e">
        <f t="shared" si="2"/>
        <v>#DIV/0!</v>
      </c>
      <c r="Q16" s="816">
        <f>IF('الأجـــازة للوصايا'!I80&gt;0,'الأجـــازة للوصايا'!I80,0)</f>
        <v>0</v>
      </c>
      <c r="R16" s="816" t="e">
        <f t="shared" si="3"/>
        <v>#DIV/0!</v>
      </c>
      <c r="S16" s="814">
        <f t="shared" si="4"/>
        <v>0</v>
      </c>
      <c r="T16" s="814">
        <f t="shared" si="5"/>
        <v>0</v>
      </c>
      <c r="U16" s="667">
        <f t="shared" si="6"/>
        <v>0</v>
      </c>
      <c r="V16" s="814">
        <f t="shared" si="7"/>
        <v>0</v>
      </c>
      <c r="W16" s="817">
        <f t="shared" si="11"/>
        <v>0</v>
      </c>
      <c r="X16" s="814">
        <f>IFERROR( ( (('الأجـــازة للوصايا'!I80-(( (AC16+AG16) +(AB16+AF16) +(AA16+AE16) +(Z16+AD16)  ))*'الأجـــازة للوصايا'!I80))),0)</f>
        <v>0</v>
      </c>
      <c r="Y16" s="817">
        <f t="shared" si="12"/>
        <v>0</v>
      </c>
      <c r="Z16" s="818">
        <f>IF('الأجـــازة للوصايا'!K80=1, 'الأجـــازة للوصايا'!AV9,0)</f>
        <v>0</v>
      </c>
      <c r="AA16" s="818">
        <f>IF('الأجـــازة للوصايا'!L80=1, 'الأجـــازة للوصايا'!AW9,0)</f>
        <v>0</v>
      </c>
      <c r="AB16" s="818">
        <f>IF('الأجـــازة للوصايا'!M80=1, 'الأجـــازة للوصايا'!AX9,0)</f>
        <v>0</v>
      </c>
      <c r="AC16" s="818">
        <f>IF('الأجـــازة للوصايا'!N80=1, 'الأجـــازة للوصايا'!AY9,0)</f>
        <v>0</v>
      </c>
      <c r="AD16" s="818">
        <f>IF('الأجـــازة للوصايا'!K80=0,'الأجـــازة للوصايا'!AV10,0)</f>
        <v>0</v>
      </c>
      <c r="AE16" s="818">
        <f>IF('الأجـــازة للوصايا'!L80=0,'الأجـــازة للوصايا'!AW10,0)</f>
        <v>0</v>
      </c>
      <c r="AF16" s="818">
        <f>IF('الأجـــازة للوصايا'!M80=0,'الأجـــازة للوصايا'!AX10,0)</f>
        <v>0</v>
      </c>
      <c r="AG16" s="818">
        <f>IF('الأجـــازة للوصايا'!N80=0,'الأجـــازة للوصايا'!AY10,0)</f>
        <v>0</v>
      </c>
      <c r="AH16" s="817"/>
      <c r="AI16" s="819"/>
      <c r="AJ16" s="866">
        <f t="shared" si="8"/>
        <v>0</v>
      </c>
      <c r="AK16" s="293">
        <f t="shared" si="13"/>
        <v>0</v>
      </c>
      <c r="AL16" s="293">
        <f t="shared" si="9"/>
        <v>100</v>
      </c>
      <c r="AM16" s="1" t="e">
        <f t="shared" si="10"/>
        <v>#DIV/0!</v>
      </c>
    </row>
    <row r="17" spans="1:44" ht="18.75" customHeight="1" thickTop="1" thickBot="1">
      <c r="A17" s="647"/>
      <c r="B17" s="647"/>
      <c r="C17" s="1297"/>
      <c r="D17" s="1298"/>
      <c r="E17" s="647"/>
      <c r="M17" s="813">
        <f t="shared" si="0"/>
        <v>0</v>
      </c>
      <c r="N17" s="814" t="e">
        <f t="shared" si="1"/>
        <v>#DIV/0!</v>
      </c>
      <c r="O17" s="848" t="e">
        <f>'ورقة أجازة وعدم الأجازة للمختصن'!BB49</f>
        <v>#DIV/0!</v>
      </c>
      <c r="P17" s="815" t="e">
        <f t="shared" si="2"/>
        <v>#DIV/0!</v>
      </c>
      <c r="Q17" s="816">
        <f>IF('الأجـــازة للوصايا'!I81&gt;0,'الأجـــازة للوصايا'!I81,0)</f>
        <v>0</v>
      </c>
      <c r="R17" s="816" t="e">
        <f t="shared" si="3"/>
        <v>#DIV/0!</v>
      </c>
      <c r="S17" s="814">
        <f t="shared" si="4"/>
        <v>0</v>
      </c>
      <c r="T17" s="814">
        <f t="shared" si="5"/>
        <v>0</v>
      </c>
      <c r="U17" s="667">
        <f t="shared" si="6"/>
        <v>0</v>
      </c>
      <c r="V17" s="814">
        <f t="shared" si="7"/>
        <v>0</v>
      </c>
      <c r="W17" s="817">
        <f t="shared" si="11"/>
        <v>0</v>
      </c>
      <c r="X17" s="814">
        <f>IFERROR( ( (('الأجـــازة للوصايا'!I81-(( (AC17+AG17) +(AB17+AF17) +(AA17+AE17) +(Z17+AD17)  ))*'الأجـــازة للوصايا'!I81))),0)</f>
        <v>0</v>
      </c>
      <c r="Y17" s="817">
        <f t="shared" si="12"/>
        <v>0</v>
      </c>
      <c r="Z17" s="818">
        <f>IF('الأجـــازة للوصايا'!K81=1, 'الأجـــازة للوصايا'!AV9,0)</f>
        <v>0</v>
      </c>
      <c r="AA17" s="818">
        <f>IF('الأجـــازة للوصايا'!L81=1, 'الأجـــازة للوصايا'!AW9,0)</f>
        <v>0</v>
      </c>
      <c r="AB17" s="818">
        <f>IF('الأجـــازة للوصايا'!M81=1, 'الأجـــازة للوصايا'!AX9,0)</f>
        <v>0</v>
      </c>
      <c r="AC17" s="818">
        <f>IF('الأجـــازة للوصايا'!N81=1, 'الأجـــازة للوصايا'!AY9,0)</f>
        <v>0</v>
      </c>
      <c r="AD17" s="818">
        <f>IF('الأجـــازة للوصايا'!K81=0,'الأجـــازة للوصايا'!AV10,0)</f>
        <v>0</v>
      </c>
      <c r="AE17" s="818">
        <f>IF('الأجـــازة للوصايا'!L81=0,'الأجـــازة للوصايا'!AW10,0)</f>
        <v>0</v>
      </c>
      <c r="AF17" s="818">
        <f>IF('الأجـــازة للوصايا'!M81=0,'الأجـــازة للوصايا'!AX10,0)</f>
        <v>0</v>
      </c>
      <c r="AG17" s="818">
        <f>IF('الأجـــازة للوصايا'!N81=0,'الأجـــازة للوصايا'!AY10,0)</f>
        <v>0</v>
      </c>
      <c r="AH17" s="817"/>
      <c r="AI17" s="819"/>
      <c r="AJ17" s="866">
        <f t="shared" si="8"/>
        <v>0</v>
      </c>
      <c r="AK17" s="293">
        <f t="shared" si="13"/>
        <v>0</v>
      </c>
      <c r="AL17" s="293">
        <f t="shared" si="9"/>
        <v>100</v>
      </c>
      <c r="AM17" s="1" t="e">
        <f t="shared" si="10"/>
        <v>#DIV/0!</v>
      </c>
    </row>
    <row r="18" spans="1:44" ht="18.75" customHeight="1" thickTop="1" thickBot="1">
      <c r="A18" s="647"/>
      <c r="B18" s="647"/>
      <c r="C18" s="1297"/>
      <c r="D18" s="1298"/>
      <c r="E18" s="647"/>
      <c r="M18" s="813">
        <f t="shared" si="0"/>
        <v>0</v>
      </c>
      <c r="N18" s="814" t="e">
        <f t="shared" si="1"/>
        <v>#DIV/0!</v>
      </c>
      <c r="O18" s="848" t="e">
        <f>'ورقة أجازة وعدم الأجازة للمختصن'!BB50</f>
        <v>#DIV/0!</v>
      </c>
      <c r="P18" s="815" t="e">
        <f t="shared" si="2"/>
        <v>#DIV/0!</v>
      </c>
      <c r="Q18" s="816">
        <f>IF('الأجـــازة للوصايا'!I82&gt;0,'الأجـــازة للوصايا'!I82,0)</f>
        <v>0</v>
      </c>
      <c r="R18" s="816" t="e">
        <f t="shared" si="3"/>
        <v>#DIV/0!</v>
      </c>
      <c r="S18" s="814">
        <f t="shared" si="4"/>
        <v>0</v>
      </c>
      <c r="T18" s="814">
        <f t="shared" si="5"/>
        <v>0</v>
      </c>
      <c r="U18" s="667">
        <f t="shared" si="6"/>
        <v>0</v>
      </c>
      <c r="V18" s="814">
        <f t="shared" si="7"/>
        <v>0</v>
      </c>
      <c r="W18" s="817">
        <f t="shared" si="11"/>
        <v>0</v>
      </c>
      <c r="X18" s="814">
        <f>IFERROR( ( (('الأجـــازة للوصايا'!I82-(( (AC18+AG18) +(AB18+AF18) +(AA18+AE18) +(Z18+AD18)  ))*'الأجـــازة للوصايا'!I82))),0)</f>
        <v>0</v>
      </c>
      <c r="Y18" s="817">
        <f t="shared" si="12"/>
        <v>0</v>
      </c>
      <c r="Z18" s="818">
        <f>IF('الأجـــازة للوصايا'!K82=1, 'الأجـــازة للوصايا'!AV9,0)</f>
        <v>0</v>
      </c>
      <c r="AA18" s="818">
        <f>IF('الأجـــازة للوصايا'!L82=1, 'الأجـــازة للوصايا'!AW9,0)</f>
        <v>0</v>
      </c>
      <c r="AB18" s="818">
        <f>IF('الأجـــازة للوصايا'!M82=1, 'الأجـــازة للوصايا'!AX9,0)</f>
        <v>0</v>
      </c>
      <c r="AC18" s="818">
        <f>IF('الأجـــازة للوصايا'!N82=1, 'الأجـــازة للوصايا'!AY9,0)</f>
        <v>0</v>
      </c>
      <c r="AD18" s="818">
        <f>IF('الأجـــازة للوصايا'!K82=0,'الأجـــازة للوصايا'!AV10,0)</f>
        <v>0</v>
      </c>
      <c r="AE18" s="818">
        <f>IF('الأجـــازة للوصايا'!L82=0,'الأجـــازة للوصايا'!AW10,0)</f>
        <v>0</v>
      </c>
      <c r="AF18" s="818">
        <f>IF('الأجـــازة للوصايا'!M82=0,'الأجـــازة للوصايا'!AX10,0)</f>
        <v>0</v>
      </c>
      <c r="AG18" s="818">
        <f>IF('الأجـــازة للوصايا'!N82=0,'الأجـــازة للوصايا'!AY10,0)</f>
        <v>0</v>
      </c>
      <c r="AH18" s="817"/>
      <c r="AI18" s="819"/>
      <c r="AJ18" s="866">
        <f t="shared" si="8"/>
        <v>0</v>
      </c>
      <c r="AK18" s="293">
        <f t="shared" si="13"/>
        <v>0</v>
      </c>
      <c r="AL18" s="293">
        <f t="shared" si="9"/>
        <v>100</v>
      </c>
      <c r="AM18" s="1" t="e">
        <f t="shared" si="10"/>
        <v>#DIV/0!</v>
      </c>
    </row>
    <row r="19" spans="1:44" ht="18.75" customHeight="1" thickTop="1" thickBot="1">
      <c r="A19" s="647"/>
      <c r="B19" s="647"/>
      <c r="C19" s="1297"/>
      <c r="D19" s="1298"/>
      <c r="E19" s="647"/>
      <c r="M19" s="813">
        <f t="shared" si="0"/>
        <v>0</v>
      </c>
      <c r="N19" s="814" t="e">
        <f t="shared" si="1"/>
        <v>#DIV/0!</v>
      </c>
      <c r="O19" s="848" t="e">
        <f>'ورقة أجازة وعدم الأجازة للمختصن'!BB51</f>
        <v>#DIV/0!</v>
      </c>
      <c r="P19" s="815" t="e">
        <f t="shared" si="2"/>
        <v>#DIV/0!</v>
      </c>
      <c r="Q19" s="816">
        <f>IF('الأجـــازة للوصايا'!I83&gt;0,'الأجـــازة للوصايا'!I83,0)</f>
        <v>0</v>
      </c>
      <c r="R19" s="816" t="e">
        <f t="shared" si="3"/>
        <v>#DIV/0!</v>
      </c>
      <c r="S19" s="814">
        <f t="shared" si="4"/>
        <v>0</v>
      </c>
      <c r="T19" s="814">
        <f t="shared" si="5"/>
        <v>0</v>
      </c>
      <c r="U19" s="667">
        <f t="shared" si="6"/>
        <v>0</v>
      </c>
      <c r="V19" s="814">
        <f t="shared" si="7"/>
        <v>0</v>
      </c>
      <c r="W19" s="817">
        <f t="shared" si="11"/>
        <v>0</v>
      </c>
      <c r="X19" s="814">
        <f>IFERROR( ( (('الأجـــازة للوصايا'!I83-(( (AC19+AG19) +(AB19+AF19) +(AA19+AE19) +(Z19+AD19)  ))*'الأجـــازة للوصايا'!I83))),0)</f>
        <v>0</v>
      </c>
      <c r="Y19" s="817">
        <f t="shared" si="12"/>
        <v>0</v>
      </c>
      <c r="Z19" s="818">
        <f>IF('الأجـــازة للوصايا'!K83=1, 'الأجـــازة للوصايا'!AV9,0)</f>
        <v>0</v>
      </c>
      <c r="AA19" s="818">
        <f>IF('الأجـــازة للوصايا'!L83=1, 'الأجـــازة للوصايا'!AW9,0)</f>
        <v>0</v>
      </c>
      <c r="AB19" s="818">
        <f>IF('الأجـــازة للوصايا'!M83=1, 'الأجـــازة للوصايا'!AX9,0)</f>
        <v>0</v>
      </c>
      <c r="AC19" s="818">
        <f>IF('الأجـــازة للوصايا'!N83=1, 'الأجـــازة للوصايا'!AY9,0)</f>
        <v>0</v>
      </c>
      <c r="AD19" s="818">
        <f>IF('الأجـــازة للوصايا'!K83=0,'الأجـــازة للوصايا'!AV10,0)</f>
        <v>0</v>
      </c>
      <c r="AE19" s="818">
        <f>IF('الأجـــازة للوصايا'!L83=0,'الأجـــازة للوصايا'!AW10,0)</f>
        <v>0</v>
      </c>
      <c r="AF19" s="818">
        <f>IF('الأجـــازة للوصايا'!M83=0,'الأجـــازة للوصايا'!AX10,0)</f>
        <v>0</v>
      </c>
      <c r="AG19" s="818">
        <f>IF('الأجـــازة للوصايا'!N83=0,'الأجـــازة للوصايا'!AY10,0)</f>
        <v>0</v>
      </c>
      <c r="AH19" s="817"/>
      <c r="AI19" s="819"/>
      <c r="AJ19" s="866">
        <f t="shared" si="8"/>
        <v>0</v>
      </c>
      <c r="AK19" s="293">
        <f t="shared" si="13"/>
        <v>0</v>
      </c>
      <c r="AL19" s="293">
        <f t="shared" si="9"/>
        <v>100</v>
      </c>
      <c r="AM19" s="1" t="e">
        <f t="shared" si="10"/>
        <v>#DIV/0!</v>
      </c>
    </row>
    <row r="20" spans="1:44" ht="18.75" customHeight="1" thickTop="1" thickBot="1">
      <c r="A20" s="647"/>
      <c r="B20" s="647"/>
      <c r="C20" s="1297"/>
      <c r="D20" s="1298"/>
      <c r="E20" s="647"/>
      <c r="M20" s="813">
        <f t="shared" si="0"/>
        <v>0</v>
      </c>
      <c r="N20" s="814" t="e">
        <f t="shared" si="1"/>
        <v>#DIV/0!</v>
      </c>
      <c r="O20" s="848" t="e">
        <f>'ورقة أجازة وعدم الأجازة للمختصن'!BB52</f>
        <v>#DIV/0!</v>
      </c>
      <c r="P20" s="815" t="e">
        <f t="shared" si="2"/>
        <v>#DIV/0!</v>
      </c>
      <c r="Q20" s="816">
        <f>IF('الأجـــازة للوصايا'!I84&gt;0,'الأجـــازة للوصايا'!I84,0)</f>
        <v>0</v>
      </c>
      <c r="R20" s="816" t="e">
        <f t="shared" si="3"/>
        <v>#DIV/0!</v>
      </c>
      <c r="S20" s="814">
        <f t="shared" si="4"/>
        <v>0</v>
      </c>
      <c r="T20" s="814">
        <f t="shared" si="5"/>
        <v>0</v>
      </c>
      <c r="U20" s="667">
        <f t="shared" si="6"/>
        <v>0</v>
      </c>
      <c r="V20" s="814">
        <f t="shared" si="7"/>
        <v>0</v>
      </c>
      <c r="W20" s="817">
        <f t="shared" si="11"/>
        <v>0</v>
      </c>
      <c r="X20" s="814">
        <f>IFERROR( ( (('الأجـــازة للوصايا'!I84-(( (AC20+AG20) +(AB20+AF20) +(AA20+AE20) +(Z20+AD20)  ))*'الأجـــازة للوصايا'!I84))),0)</f>
        <v>0</v>
      </c>
      <c r="Y20" s="817">
        <f t="shared" si="12"/>
        <v>0</v>
      </c>
      <c r="Z20" s="818">
        <f>IF('الأجـــازة للوصايا'!K84=1, 'الأجـــازة للوصايا'!AV9,0)</f>
        <v>0</v>
      </c>
      <c r="AA20" s="818">
        <f>IF('الأجـــازة للوصايا'!L84=1, 'الأجـــازة للوصايا'!AW9,0)</f>
        <v>0</v>
      </c>
      <c r="AB20" s="818">
        <f>IF('الأجـــازة للوصايا'!M84=1, 'الأجـــازة للوصايا'!AX9,0)</f>
        <v>0</v>
      </c>
      <c r="AC20" s="818">
        <f>IF('الأجـــازة للوصايا'!N84=1, 'الأجـــازة للوصايا'!AY9,0)</f>
        <v>0</v>
      </c>
      <c r="AD20" s="818">
        <f>IF('الأجـــازة للوصايا'!K84=0,'الأجـــازة للوصايا'!AV10,0)</f>
        <v>0</v>
      </c>
      <c r="AE20" s="818">
        <f>IF('الأجـــازة للوصايا'!L84=0,'الأجـــازة للوصايا'!AW10,0)</f>
        <v>0</v>
      </c>
      <c r="AF20" s="818">
        <f>IF('الأجـــازة للوصايا'!M84=0,'الأجـــازة للوصايا'!AX10,0)</f>
        <v>0</v>
      </c>
      <c r="AG20" s="818">
        <f>IF('الأجـــازة للوصايا'!N84=0,'الأجـــازة للوصايا'!AY10,0)</f>
        <v>0</v>
      </c>
      <c r="AH20" s="817"/>
      <c r="AI20" s="819"/>
      <c r="AJ20" s="866">
        <f t="shared" si="8"/>
        <v>0</v>
      </c>
      <c r="AK20" s="293">
        <f t="shared" si="13"/>
        <v>0</v>
      </c>
      <c r="AL20" s="293">
        <f t="shared" si="9"/>
        <v>100</v>
      </c>
      <c r="AM20" s="1" t="e">
        <f t="shared" si="10"/>
        <v>#DIV/0!</v>
      </c>
    </row>
    <row r="21" spans="1:44" ht="18.75" customHeight="1" thickTop="1" thickBot="1">
      <c r="A21" s="647"/>
      <c r="B21" s="647"/>
      <c r="C21" s="1299"/>
      <c r="D21" s="1300"/>
      <c r="E21" s="647"/>
      <c r="M21" s="813">
        <f t="shared" si="0"/>
        <v>0</v>
      </c>
      <c r="N21" s="814" t="e">
        <f t="shared" si="1"/>
        <v>#DIV/0!</v>
      </c>
      <c r="O21" s="848" t="e">
        <f>'ورقة أجازة وعدم الأجازة للمختصن'!BB53</f>
        <v>#DIV/0!</v>
      </c>
      <c r="P21" s="815" t="e">
        <f t="shared" si="2"/>
        <v>#DIV/0!</v>
      </c>
      <c r="Q21" s="816">
        <f>IF('الأجـــازة للوصايا'!I85&gt;0,'الأجـــازة للوصايا'!I85,0)</f>
        <v>0</v>
      </c>
      <c r="R21" s="816" t="e">
        <f t="shared" si="3"/>
        <v>#DIV/0!</v>
      </c>
      <c r="S21" s="814">
        <f t="shared" si="4"/>
        <v>0</v>
      </c>
      <c r="T21" s="814">
        <f t="shared" si="5"/>
        <v>0</v>
      </c>
      <c r="U21" s="667">
        <f t="shared" si="6"/>
        <v>0</v>
      </c>
      <c r="V21" s="814">
        <f t="shared" si="7"/>
        <v>0</v>
      </c>
      <c r="W21" s="817">
        <f t="shared" si="11"/>
        <v>0</v>
      </c>
      <c r="X21" s="814">
        <f>IFERROR( ( (('الأجـــازة للوصايا'!I85-(( (AC21+AG21) +(AB21+AF21) +(AA21+AE21) +(Z21+AD21)  ))*'الأجـــازة للوصايا'!I85))),0)</f>
        <v>0</v>
      </c>
      <c r="Y21" s="817">
        <f t="shared" si="12"/>
        <v>0</v>
      </c>
      <c r="Z21" s="818">
        <f>IF('الأجـــازة للوصايا'!K85=1, 'الأجـــازة للوصايا'!AV9,0)</f>
        <v>0</v>
      </c>
      <c r="AA21" s="818">
        <f>IF('الأجـــازة للوصايا'!L85=1, 'الأجـــازة للوصايا'!AW9,0)</f>
        <v>0</v>
      </c>
      <c r="AB21" s="818">
        <f>IF('الأجـــازة للوصايا'!M85=1, 'الأجـــازة للوصايا'!AX9,0)</f>
        <v>0</v>
      </c>
      <c r="AC21" s="818">
        <f>IF('الأجـــازة للوصايا'!N85=1, 'الأجـــازة للوصايا'!AY9,0)</f>
        <v>0</v>
      </c>
      <c r="AD21" s="818">
        <f>IF('الأجـــازة للوصايا'!K85=0,'الأجـــازة للوصايا'!AV10,0)</f>
        <v>0</v>
      </c>
      <c r="AE21" s="818">
        <f>IF('الأجـــازة للوصايا'!L85=0,'الأجـــازة للوصايا'!AW10,0)</f>
        <v>0</v>
      </c>
      <c r="AF21" s="818">
        <f>IF('الأجـــازة للوصايا'!M85=0,'الأجـــازة للوصايا'!AX10,0)</f>
        <v>0</v>
      </c>
      <c r="AG21" s="818">
        <f>IF('الأجـــازة للوصايا'!N85=0,'الأجـــازة للوصايا'!AY10,0)</f>
        <v>0</v>
      </c>
      <c r="AH21" s="817"/>
      <c r="AI21" s="819"/>
      <c r="AJ21" s="866">
        <f t="shared" si="8"/>
        <v>0</v>
      </c>
      <c r="AK21" s="293">
        <f t="shared" si="13"/>
        <v>0</v>
      </c>
      <c r="AL21" s="293">
        <f t="shared" si="9"/>
        <v>100</v>
      </c>
      <c r="AM21" s="1" t="e">
        <f t="shared" si="10"/>
        <v>#DIV/0!</v>
      </c>
    </row>
    <row r="22" spans="1:44" ht="18.75" customHeight="1" thickTop="1" thickBot="1">
      <c r="A22" s="647"/>
      <c r="B22" s="647"/>
      <c r="C22" s="648"/>
      <c r="D22" s="648"/>
      <c r="E22" s="647"/>
      <c r="M22" s="813">
        <f t="shared" si="0"/>
        <v>0</v>
      </c>
      <c r="N22" s="814" t="e">
        <f t="shared" si="1"/>
        <v>#DIV/0!</v>
      </c>
      <c r="O22" s="848" t="e">
        <f>'ورقة أجازة وعدم الأجازة للمختصن'!BB54</f>
        <v>#DIV/0!</v>
      </c>
      <c r="P22" s="815" t="e">
        <f t="shared" si="2"/>
        <v>#DIV/0!</v>
      </c>
      <c r="Q22" s="816">
        <f>IF('الأجـــازة للوصايا'!I86&gt;0,'الأجـــازة للوصايا'!I86,0)</f>
        <v>0</v>
      </c>
      <c r="R22" s="816" t="e">
        <f t="shared" si="3"/>
        <v>#DIV/0!</v>
      </c>
      <c r="S22" s="814">
        <f t="shared" si="4"/>
        <v>0</v>
      </c>
      <c r="T22" s="814">
        <f t="shared" si="5"/>
        <v>0</v>
      </c>
      <c r="U22" s="667">
        <f t="shared" si="6"/>
        <v>0</v>
      </c>
      <c r="V22" s="814">
        <f t="shared" si="7"/>
        <v>0</v>
      </c>
      <c r="W22" s="817">
        <f t="shared" si="11"/>
        <v>0</v>
      </c>
      <c r="X22" s="814">
        <f>IFERROR( ( (('الأجـــازة للوصايا'!I86-(( (AC22+AG22) +(AB22+AF22) +(AA22+AE22) +(Z22+AD22)  ))*'الأجـــازة للوصايا'!I86))),0)</f>
        <v>0</v>
      </c>
      <c r="Y22" s="817">
        <f t="shared" si="12"/>
        <v>0</v>
      </c>
      <c r="Z22" s="818">
        <f>IF('الأجـــازة للوصايا'!K86=1, 'الأجـــازة للوصايا'!AV9,0)</f>
        <v>0</v>
      </c>
      <c r="AA22" s="818">
        <f>IF('الأجـــازة للوصايا'!L86=1, 'الأجـــازة للوصايا'!AW9,0)</f>
        <v>0</v>
      </c>
      <c r="AB22" s="818">
        <f>IF('الأجـــازة للوصايا'!M86=1, 'الأجـــازة للوصايا'!AX9,0)</f>
        <v>0</v>
      </c>
      <c r="AC22" s="818">
        <f>IF('الأجـــازة للوصايا'!N86=1, 'الأجـــازة للوصايا'!AY9,0)</f>
        <v>0</v>
      </c>
      <c r="AD22" s="818">
        <f>IF('الأجـــازة للوصايا'!K86=0,'الأجـــازة للوصايا'!AV10,0)</f>
        <v>0</v>
      </c>
      <c r="AE22" s="818">
        <f>IF('الأجـــازة للوصايا'!L86=0,'الأجـــازة للوصايا'!AW10,0)</f>
        <v>0</v>
      </c>
      <c r="AF22" s="818">
        <f>IF('الأجـــازة للوصايا'!M86=0,'الأجـــازة للوصايا'!AX10,0)</f>
        <v>0</v>
      </c>
      <c r="AG22" s="818">
        <f>IF('الأجـــازة للوصايا'!N86=0,'الأجـــازة للوصايا'!AY10,0)</f>
        <v>0</v>
      </c>
      <c r="AH22" s="817"/>
      <c r="AI22" s="819"/>
      <c r="AJ22" s="866">
        <f t="shared" si="8"/>
        <v>0</v>
      </c>
      <c r="AK22" s="293">
        <f t="shared" si="13"/>
        <v>0</v>
      </c>
      <c r="AL22" s="293">
        <f t="shared" si="9"/>
        <v>100</v>
      </c>
      <c r="AM22" s="1" t="e">
        <f t="shared" si="10"/>
        <v>#DIV/0!</v>
      </c>
    </row>
    <row r="23" spans="1:44" ht="18.75" customHeight="1" thickTop="1" thickBot="1">
      <c r="A23" s="647"/>
      <c r="B23" s="647"/>
      <c r="C23" s="648" t="s">
        <v>114</v>
      </c>
      <c r="D23" s="648"/>
      <c r="E23" s="647"/>
      <c r="M23" s="813">
        <f t="shared" si="0"/>
        <v>0</v>
      </c>
      <c r="N23" s="814" t="e">
        <f t="shared" si="1"/>
        <v>#DIV/0!</v>
      </c>
      <c r="O23" s="848" t="e">
        <f>'ورقة أجازة وعدم الأجازة للمختصن'!BB55</f>
        <v>#DIV/0!</v>
      </c>
      <c r="P23" s="815" t="e">
        <f t="shared" si="2"/>
        <v>#DIV/0!</v>
      </c>
      <c r="Q23" s="816">
        <f>IF('الأجـــازة للوصايا'!I87&gt;0,'الأجـــازة للوصايا'!I87,0)</f>
        <v>0</v>
      </c>
      <c r="R23" s="816" t="e">
        <f t="shared" si="3"/>
        <v>#DIV/0!</v>
      </c>
      <c r="S23" s="814">
        <f t="shared" si="4"/>
        <v>0</v>
      </c>
      <c r="T23" s="814">
        <f t="shared" si="5"/>
        <v>0</v>
      </c>
      <c r="U23" s="667">
        <f t="shared" si="6"/>
        <v>0</v>
      </c>
      <c r="V23" s="814">
        <f t="shared" si="7"/>
        <v>0</v>
      </c>
      <c r="W23" s="817">
        <f t="shared" si="11"/>
        <v>0</v>
      </c>
      <c r="X23" s="814">
        <f>IFERROR( ( (('الأجـــازة للوصايا'!I87-(( (AC23+AG23) +(AB23+AF23) +(AA23+AE23) +(Z23+AD23)  ))*'الأجـــازة للوصايا'!I87))),0)</f>
        <v>0</v>
      </c>
      <c r="Y23" s="817">
        <f t="shared" si="12"/>
        <v>0</v>
      </c>
      <c r="Z23" s="818">
        <f>IF('الأجـــازة للوصايا'!K87=1, 'الأجـــازة للوصايا'!AV9,0)</f>
        <v>0</v>
      </c>
      <c r="AA23" s="818">
        <f>IF('الأجـــازة للوصايا'!L87=1, 'الأجـــازة للوصايا'!AW9,0)</f>
        <v>0</v>
      </c>
      <c r="AB23" s="818">
        <f>IF('الأجـــازة للوصايا'!M87=1, 'الأجـــازة للوصايا'!AX9,0)</f>
        <v>0</v>
      </c>
      <c r="AC23" s="818">
        <f>IF('الأجـــازة للوصايا'!N87=1, 'الأجـــازة للوصايا'!AY9,0)</f>
        <v>0</v>
      </c>
      <c r="AD23" s="818">
        <f>IF('الأجـــازة للوصايا'!K87=0,'الأجـــازة للوصايا'!AV10,0)</f>
        <v>0</v>
      </c>
      <c r="AE23" s="818">
        <f>IF('الأجـــازة للوصايا'!L87=0,'الأجـــازة للوصايا'!AW10,0)</f>
        <v>0</v>
      </c>
      <c r="AF23" s="818">
        <f>IF('الأجـــازة للوصايا'!M87=0,'الأجـــازة للوصايا'!AX10,0)</f>
        <v>0</v>
      </c>
      <c r="AG23" s="818">
        <f>IF('الأجـــازة للوصايا'!N87=0,'الأجـــازة للوصايا'!AY10,0)</f>
        <v>0</v>
      </c>
      <c r="AH23" s="817"/>
      <c r="AI23" s="819"/>
      <c r="AJ23" s="866">
        <f t="shared" si="8"/>
        <v>0</v>
      </c>
      <c r="AK23" s="293">
        <f t="shared" si="13"/>
        <v>0</v>
      </c>
      <c r="AL23" s="293">
        <f t="shared" si="9"/>
        <v>100</v>
      </c>
      <c r="AM23" s="1" t="e">
        <f t="shared" si="10"/>
        <v>#DIV/0!</v>
      </c>
    </row>
    <row r="24" spans="1:44" ht="16.5" customHeight="1" thickTop="1" thickBot="1">
      <c r="A24" s="647"/>
      <c r="B24" s="647"/>
      <c r="C24" s="1381" t="s">
        <v>738</v>
      </c>
      <c r="D24" s="820">
        <f>'الأجـــازة للوصايا'!AV7</f>
        <v>0</v>
      </c>
      <c r="E24" s="647"/>
      <c r="M24" s="814">
        <f>IFERROR( 'الأجـــازة للوصايا'!AV24+'الأجـــازة للوصايا'!AX24,0)</f>
        <v>0</v>
      </c>
      <c r="N24" s="814" t="e">
        <f t="shared" si="1"/>
        <v>#DIV/0!</v>
      </c>
      <c r="O24" s="848" t="e">
        <f>'ورقة أجازة وعدم الأجازة للمختصن'!BB56</f>
        <v>#DIV/0!</v>
      </c>
      <c r="P24" s="815" t="e">
        <f t="shared" si="2"/>
        <v>#DIV/0!</v>
      </c>
      <c r="Q24" s="816">
        <f>IF('الأجـــازة للوصايا'!AV24&gt;0,'الأجـــازة للوصايا'!AV24,0)</f>
        <v>0</v>
      </c>
      <c r="R24" s="816" t="e">
        <f t="shared" si="3"/>
        <v>#DIV/0!</v>
      </c>
      <c r="S24" s="814">
        <f t="shared" si="4"/>
        <v>0</v>
      </c>
      <c r="T24" s="814">
        <f t="shared" si="5"/>
        <v>0</v>
      </c>
      <c r="U24" s="667">
        <f t="shared" si="6"/>
        <v>0</v>
      </c>
      <c r="V24" s="814">
        <f t="shared" si="7"/>
        <v>0</v>
      </c>
      <c r="W24" s="817">
        <f t="shared" si="11"/>
        <v>0</v>
      </c>
      <c r="X24" s="814"/>
      <c r="Y24" s="817">
        <f t="shared" si="12"/>
        <v>0</v>
      </c>
      <c r="Z24" s="817"/>
      <c r="AA24" s="817"/>
      <c r="AB24" s="817"/>
      <c r="AC24" s="817"/>
      <c r="AD24" s="817"/>
      <c r="AE24" s="817"/>
      <c r="AF24" s="817"/>
      <c r="AG24" s="817"/>
      <c r="AH24" s="817"/>
      <c r="AI24" s="819"/>
      <c r="AJ24" s="866">
        <f t="shared" si="8"/>
        <v>0</v>
      </c>
      <c r="AK24" s="293">
        <f t="shared" si="13"/>
        <v>0</v>
      </c>
      <c r="AL24" s="293">
        <f t="shared" si="9"/>
        <v>100</v>
      </c>
      <c r="AM24" s="1" t="e">
        <f t="shared" si="10"/>
        <v>#DIV/0!</v>
      </c>
    </row>
    <row r="25" spans="1:44" ht="16.5" customHeight="1" thickTop="1" thickBot="1">
      <c r="A25" s="647"/>
      <c r="B25" s="647"/>
      <c r="C25" s="1382"/>
      <c r="D25" s="820">
        <f>'الأجـــازة للوصايا'!AW7</f>
        <v>0</v>
      </c>
      <c r="E25" s="647"/>
      <c r="M25" s="814">
        <f>IFERROR( 'الأجـــازة للوصايا'!AV25+'الأجـــازة للوصايا'!AX25,0)</f>
        <v>0</v>
      </c>
      <c r="N25" s="814" t="e">
        <f t="shared" si="1"/>
        <v>#DIV/0!</v>
      </c>
      <c r="O25" s="848" t="e">
        <f>'ورقة أجازة وعدم الأجازة للمختصن'!BB57</f>
        <v>#DIV/0!</v>
      </c>
      <c r="P25" s="815" t="e">
        <f t="shared" si="2"/>
        <v>#DIV/0!</v>
      </c>
      <c r="Q25" s="816">
        <f>IF('الأجـــازة للوصايا'!AV25&gt;0,'الأجـــازة للوصايا'!AV25,0)</f>
        <v>0</v>
      </c>
      <c r="R25" s="816" t="e">
        <f t="shared" si="3"/>
        <v>#DIV/0!</v>
      </c>
      <c r="S25" s="814">
        <f t="shared" si="4"/>
        <v>0</v>
      </c>
      <c r="T25" s="814">
        <f t="shared" si="5"/>
        <v>0</v>
      </c>
      <c r="U25" s="667">
        <f t="shared" si="6"/>
        <v>0</v>
      </c>
      <c r="V25" s="814">
        <f t="shared" si="7"/>
        <v>0</v>
      </c>
      <c r="W25" s="817">
        <f t="shared" si="11"/>
        <v>0</v>
      </c>
      <c r="X25" s="814"/>
      <c r="Y25" s="817">
        <f t="shared" si="12"/>
        <v>0</v>
      </c>
      <c r="Z25" s="817"/>
      <c r="AA25" s="817"/>
      <c r="AB25" s="817"/>
      <c r="AC25" s="817"/>
      <c r="AD25" s="817"/>
      <c r="AE25" s="817"/>
      <c r="AF25" s="817"/>
      <c r="AG25" s="817"/>
      <c r="AH25" s="817"/>
      <c r="AI25" s="819"/>
      <c r="AJ25" s="866">
        <f t="shared" si="8"/>
        <v>0</v>
      </c>
      <c r="AK25" s="293">
        <f t="shared" si="13"/>
        <v>0</v>
      </c>
      <c r="AL25" s="293">
        <f t="shared" si="9"/>
        <v>100</v>
      </c>
      <c r="AM25" s="1" t="e">
        <f t="shared" si="10"/>
        <v>#DIV/0!</v>
      </c>
    </row>
    <row r="26" spans="1:44" ht="16.5" customHeight="1" thickTop="1" thickBot="1">
      <c r="A26" s="647"/>
      <c r="B26" s="647"/>
      <c r="C26" s="1382"/>
      <c r="D26" s="820">
        <f>'الأجـــازة للوصايا'!AX7</f>
        <v>0</v>
      </c>
      <c r="E26" s="647"/>
      <c r="M26" s="814">
        <f>IFERROR( 'الأجـــازة للوصايا'!AV26+'الأجـــازة للوصايا'!AX26,0)</f>
        <v>0</v>
      </c>
      <c r="N26" s="814" t="e">
        <f t="shared" si="1"/>
        <v>#DIV/0!</v>
      </c>
      <c r="O26" s="848" t="e">
        <f>'ورقة أجازة وعدم الأجازة للمختصن'!BB58</f>
        <v>#DIV/0!</v>
      </c>
      <c r="P26" s="815" t="e">
        <f t="shared" si="2"/>
        <v>#DIV/0!</v>
      </c>
      <c r="Q26" s="816">
        <f>IF('الأجـــازة للوصايا'!AV26&gt;0,'الأجـــازة للوصايا'!AV26,0)</f>
        <v>0</v>
      </c>
      <c r="R26" s="816" t="e">
        <f t="shared" si="3"/>
        <v>#DIV/0!</v>
      </c>
      <c r="S26" s="814">
        <f t="shared" si="4"/>
        <v>0</v>
      </c>
      <c r="T26" s="814">
        <f t="shared" si="5"/>
        <v>0</v>
      </c>
      <c r="U26" s="667">
        <f t="shared" si="6"/>
        <v>0</v>
      </c>
      <c r="V26" s="814">
        <f t="shared" si="7"/>
        <v>0</v>
      </c>
      <c r="W26" s="817">
        <f t="shared" si="11"/>
        <v>0</v>
      </c>
      <c r="X26" s="814"/>
      <c r="Y26" s="817">
        <f t="shared" si="12"/>
        <v>0</v>
      </c>
      <c r="Z26" s="817"/>
      <c r="AA26" s="817"/>
      <c r="AB26" s="817" t="s">
        <v>114</v>
      </c>
      <c r="AC26" s="817"/>
      <c r="AD26" s="817"/>
      <c r="AE26" s="817"/>
      <c r="AF26" s="817"/>
      <c r="AG26" s="817"/>
      <c r="AH26" s="817"/>
      <c r="AI26" s="819"/>
      <c r="AJ26" s="866">
        <f t="shared" si="8"/>
        <v>0</v>
      </c>
      <c r="AK26" s="293">
        <f t="shared" si="13"/>
        <v>0</v>
      </c>
      <c r="AL26" s="293">
        <f t="shared" si="9"/>
        <v>100</v>
      </c>
      <c r="AM26" s="1" t="e">
        <f t="shared" si="10"/>
        <v>#DIV/0!</v>
      </c>
    </row>
    <row r="27" spans="1:44" ht="16.5" customHeight="1" thickTop="1" thickBot="1">
      <c r="A27" s="647"/>
      <c r="B27" s="647"/>
      <c r="C27" s="1383"/>
      <c r="D27" s="820">
        <f>'الأجـــازة للوصايا'!AY7</f>
        <v>0</v>
      </c>
      <c r="E27" s="647"/>
      <c r="M27" s="825">
        <f>IFERROR( 'الأجـــازة للوصايا'!AV27+'الأجـــازة للوصايا'!AX27,0)</f>
        <v>0</v>
      </c>
      <c r="N27" s="814" t="e">
        <f t="shared" si="1"/>
        <v>#DIV/0!</v>
      </c>
      <c r="O27" s="848" t="e">
        <f>'ورقة أجازة وعدم الأجازة للمختصن'!BB59</f>
        <v>#DIV/0!</v>
      </c>
      <c r="P27" s="826" t="e">
        <f t="shared" si="2"/>
        <v>#DIV/0!</v>
      </c>
      <c r="Q27" s="827">
        <f>IF('الأجـــازة للوصايا'!AV27&gt;0,'الأجـــازة للوصايا'!AV27,0)</f>
        <v>0</v>
      </c>
      <c r="R27" s="827" t="e">
        <f t="shared" si="3"/>
        <v>#DIV/0!</v>
      </c>
      <c r="S27" s="814">
        <f t="shared" si="4"/>
        <v>0</v>
      </c>
      <c r="T27" s="825">
        <f t="shared" si="5"/>
        <v>0</v>
      </c>
      <c r="U27" s="694">
        <f t="shared" si="6"/>
        <v>0</v>
      </c>
      <c r="V27" s="825">
        <f t="shared" si="7"/>
        <v>0</v>
      </c>
      <c r="W27" s="828">
        <f t="shared" si="11"/>
        <v>0</v>
      </c>
      <c r="X27" s="825"/>
      <c r="Y27" s="817">
        <f t="shared" si="12"/>
        <v>0</v>
      </c>
      <c r="Z27" s="828"/>
      <c r="AA27" s="828"/>
      <c r="AB27" s="828"/>
      <c r="AC27" s="828"/>
      <c r="AD27" s="828"/>
      <c r="AE27" s="828"/>
      <c r="AF27" s="828"/>
      <c r="AG27" s="828"/>
      <c r="AH27" s="828"/>
      <c r="AI27" s="829"/>
      <c r="AJ27" s="866">
        <f t="shared" si="8"/>
        <v>0</v>
      </c>
      <c r="AK27" s="293">
        <f t="shared" si="13"/>
        <v>0</v>
      </c>
      <c r="AL27" s="293">
        <f t="shared" si="9"/>
        <v>100</v>
      </c>
      <c r="AM27" s="1" t="e">
        <f t="shared" si="10"/>
        <v>#DIV/0!</v>
      </c>
    </row>
    <row r="28" spans="1:44" ht="15.75" customHeight="1">
      <c r="C28" s="1"/>
      <c r="D28" s="1"/>
      <c r="F28" s="462" t="s">
        <v>114</v>
      </c>
      <c r="G28" s="462"/>
      <c r="H28" s="463"/>
      <c r="I28" s="464"/>
      <c r="J28" s="464"/>
      <c r="K28" s="464"/>
      <c r="L28" s="465"/>
      <c r="M28" s="465"/>
      <c r="N28" s="465"/>
      <c r="O28" s="465"/>
      <c r="P28" s="566" t="e">
        <f>SUM(AM12:AM27)</f>
        <v>#DIV/0!</v>
      </c>
      <c r="Q28" s="479"/>
      <c r="R28" s="480" t="e">
        <f>SUM(R12:R27)</f>
        <v>#DIV/0!</v>
      </c>
      <c r="S28" s="480"/>
      <c r="T28" s="481"/>
      <c r="U28" s="482"/>
      <c r="V28" s="481">
        <f>SUM(V12:V27)</f>
        <v>0</v>
      </c>
      <c r="W28" s="483"/>
      <c r="X28" s="481"/>
      <c r="Y28" s="28"/>
      <c r="Z28" s="478"/>
      <c r="AA28" s="478"/>
      <c r="AB28" s="1"/>
      <c r="AC28" s="1"/>
      <c r="AD28" s="1"/>
      <c r="AE28" s="1"/>
      <c r="AF28" s="1"/>
      <c r="AG28" s="1"/>
      <c r="AH28" s="1"/>
      <c r="AI28" s="1"/>
      <c r="AJ28" s="1"/>
      <c r="AK28" s="1"/>
      <c r="AR28" t="s">
        <v>114</v>
      </c>
    </row>
    <row r="29" spans="1:44" ht="15.75">
      <c r="G29" s="28"/>
      <c r="H29" s="28"/>
      <c r="I29" s="28"/>
      <c r="J29" s="28"/>
      <c r="K29" s="28"/>
      <c r="L29" s="28"/>
      <c r="N29" s="478" t="e">
        <f>SUM(N12:N27)</f>
        <v>#DIV/0!</v>
      </c>
      <c r="O29" s="478"/>
      <c r="Q29" s="28"/>
      <c r="R29" s="28"/>
      <c r="S29" s="537">
        <f>GCD(S12:S27)</f>
        <v>0</v>
      </c>
      <c r="T29" s="28"/>
      <c r="U29" s="28"/>
      <c r="V29" s="28"/>
      <c r="W29" s="28"/>
      <c r="X29" s="28"/>
      <c r="Y29" s="28"/>
      <c r="Z29" s="28"/>
      <c r="AA29" s="28"/>
      <c r="AC29" s="1"/>
    </row>
    <row r="30" spans="1:44" ht="18.75">
      <c r="G30" s="28"/>
      <c r="H30" s="28"/>
      <c r="I30" s="28"/>
      <c r="J30" s="28"/>
      <c r="K30" s="28"/>
      <c r="L30" s="28"/>
      <c r="M30" s="28"/>
      <c r="N30" s="28"/>
      <c r="O30" s="28"/>
      <c r="P30" s="549" t="e">
        <f>SUM(P12:P27)</f>
        <v>#DIV/0!</v>
      </c>
      <c r="Q30" s="28"/>
      <c r="R30" s="28"/>
      <c r="S30" s="478">
        <f t="shared" ref="S30:S47" si="14">$S$29</f>
        <v>0</v>
      </c>
      <c r="T30" s="28"/>
      <c r="U30" s="28"/>
      <c r="V30" s="478">
        <f>ROUNDDOWN(V28,0)</f>
        <v>0</v>
      </c>
      <c r="W30" s="28"/>
      <c r="X30" s="28"/>
      <c r="Y30" s="28"/>
      <c r="Z30" s="28"/>
      <c r="AA30" s="28"/>
      <c r="AC30" s="1"/>
    </row>
    <row r="31" spans="1:44">
      <c r="E31">
        <f>L31</f>
        <v>0</v>
      </c>
      <c r="F31" s="1">
        <f>'الأجـــازة للوصايا'!J76</f>
        <v>1</v>
      </c>
      <c r="G31" s="478">
        <f>'الأجـــازة للوصايا'!H76</f>
        <v>0</v>
      </c>
      <c r="I31" s="478">
        <f>'الأجـــازة للوصايا'!J76</f>
        <v>1</v>
      </c>
      <c r="J31" s="28">
        <f>IF(F31&gt;1,M31,0)</f>
        <v>0</v>
      </c>
      <c r="K31" t="e">
        <f>VLOOKUP(1,E31:J42,3,FALSE)</f>
        <v>#N/A</v>
      </c>
      <c r="L31" s="28">
        <f t="shared" ref="L31:L42" si="15">IF(I31&gt;1,1,0)</f>
        <v>0</v>
      </c>
      <c r="M31" s="28">
        <f>VLOOKUP(F31,F31:I40,2,FALSE)</f>
        <v>0</v>
      </c>
      <c r="N31" s="28"/>
      <c r="O31" s="28"/>
      <c r="P31" s="478">
        <f t="shared" ref="P31:P44" si="16">L31</f>
        <v>0</v>
      </c>
      <c r="Q31" s="28"/>
      <c r="R31" s="28"/>
      <c r="S31" s="478">
        <f t="shared" si="14"/>
        <v>0</v>
      </c>
      <c r="T31" s="28"/>
      <c r="U31" s="28"/>
      <c r="V31" s="478">
        <f>V28-V30</f>
        <v>0</v>
      </c>
      <c r="W31" s="28"/>
      <c r="X31" s="28"/>
      <c r="Y31" s="28"/>
      <c r="Z31" s="28"/>
      <c r="AA31" s="28"/>
      <c r="AC31" s="1"/>
      <c r="AJ31" s="478">
        <f>'الأجـــازة للوصايا'!I76</f>
        <v>0</v>
      </c>
    </row>
    <row r="32" spans="1:44">
      <c r="E32">
        <f>L32+SUM(L31)</f>
        <v>0</v>
      </c>
      <c r="F32" s="1">
        <f>'الأجـــازة للوصايا'!J77</f>
        <v>0</v>
      </c>
      <c r="G32" s="478">
        <f>'الأجـــازة للوصايا'!H77</f>
        <v>0</v>
      </c>
      <c r="I32" s="478">
        <f>'الأجـــازة للوصايا'!J77</f>
        <v>0</v>
      </c>
      <c r="J32" s="28">
        <f>IF(F32&gt;1,M32,0)</f>
        <v>0</v>
      </c>
      <c r="K32" t="e">
        <f>VLOOKUP(2,E31:J42,3,FALSE)</f>
        <v>#N/A</v>
      </c>
      <c r="L32" s="28">
        <f t="shared" si="15"/>
        <v>0</v>
      </c>
      <c r="M32" s="28">
        <f>VLOOKUP(F32,F31:I40,2,FALSE)</f>
        <v>0</v>
      </c>
      <c r="N32" s="28"/>
      <c r="O32" s="28"/>
      <c r="P32" s="478">
        <f t="shared" si="16"/>
        <v>0</v>
      </c>
      <c r="Q32" s="28"/>
      <c r="R32" s="28"/>
      <c r="S32" s="478">
        <f t="shared" si="14"/>
        <v>0</v>
      </c>
      <c r="T32" s="28"/>
      <c r="U32" s="28"/>
      <c r="V32" s="478" t="s">
        <v>114</v>
      </c>
      <c r="W32" s="28"/>
      <c r="X32" s="28"/>
      <c r="Y32" s="28"/>
      <c r="Z32" s="28"/>
      <c r="AA32" s="28"/>
      <c r="AC32" s="1"/>
      <c r="AJ32" s="478">
        <f>'الأجـــازة للوصايا'!I77</f>
        <v>0</v>
      </c>
    </row>
    <row r="33" spans="5:36">
      <c r="E33">
        <f>L33+SUM(L31:L32)</f>
        <v>0</v>
      </c>
      <c r="F33" s="1">
        <f>'الأجـــازة للوصايا'!J78</f>
        <v>-1</v>
      </c>
      <c r="G33" s="478">
        <f>'الأجـــازة للوصايا'!H78</f>
        <v>0</v>
      </c>
      <c r="I33" s="478">
        <f>'الأجـــازة للوصايا'!J78</f>
        <v>-1</v>
      </c>
      <c r="J33" s="28">
        <f>IF(F33&gt;1,M33,0)</f>
        <v>0</v>
      </c>
      <c r="K33" t="e">
        <f>VLOOKUP(3,E31:J42,3,FALSE)</f>
        <v>#N/A</v>
      </c>
      <c r="L33" s="28">
        <f t="shared" si="15"/>
        <v>0</v>
      </c>
      <c r="M33" s="28">
        <f>VLOOKUP(F33,F31:I40,2,FALSE)</f>
        <v>0</v>
      </c>
      <c r="N33" s="28"/>
      <c r="O33" s="28"/>
      <c r="P33" s="478">
        <f t="shared" si="16"/>
        <v>0</v>
      </c>
      <c r="Q33" s="28"/>
      <c r="R33" s="28"/>
      <c r="S33" s="478">
        <f t="shared" si="14"/>
        <v>0</v>
      </c>
      <c r="T33" s="28"/>
      <c r="U33" s="28"/>
      <c r="V33" s="28"/>
      <c r="W33" s="28"/>
      <c r="X33" s="28"/>
      <c r="Y33" s="28"/>
      <c r="Z33" s="28"/>
      <c r="AA33" s="28"/>
      <c r="AC33" s="1"/>
      <c r="AJ33" s="478">
        <f>'الأجـــازة للوصايا'!I78</f>
        <v>0</v>
      </c>
    </row>
    <row r="34" spans="5:36">
      <c r="E34">
        <f>L34+SUM(L31:L33)</f>
        <v>0</v>
      </c>
      <c r="F34" s="1">
        <f>'الأجـــازة للوصايا'!J79</f>
        <v>-2</v>
      </c>
      <c r="G34" s="478">
        <f>'الأجـــازة للوصايا'!H79</f>
        <v>0</v>
      </c>
      <c r="I34" s="478">
        <f>'الأجـــازة للوصايا'!J79</f>
        <v>-2</v>
      </c>
      <c r="J34" s="28">
        <f>IF(F34&gt;1,M34,0)</f>
        <v>0</v>
      </c>
      <c r="K34" t="e">
        <f>VLOOKUP(4,E31:J42,3,FALSE)</f>
        <v>#N/A</v>
      </c>
      <c r="L34" s="28">
        <f t="shared" si="15"/>
        <v>0</v>
      </c>
      <c r="M34" s="28">
        <f>VLOOKUP(F34,F31:I40,2,FALSE)</f>
        <v>0</v>
      </c>
      <c r="N34" s="28"/>
      <c r="O34" s="28"/>
      <c r="P34" s="28">
        <f t="shared" si="16"/>
        <v>0</v>
      </c>
      <c r="Q34" s="28"/>
      <c r="R34" s="28"/>
      <c r="S34" s="478">
        <f t="shared" si="14"/>
        <v>0</v>
      </c>
      <c r="T34" s="28"/>
      <c r="U34" s="28"/>
      <c r="V34" s="28"/>
      <c r="W34" s="28"/>
      <c r="X34" s="28"/>
      <c r="Y34" s="28"/>
      <c r="Z34" s="28"/>
      <c r="AA34" s="28"/>
      <c r="AC34" s="1"/>
      <c r="AJ34" s="478">
        <f>'الأجـــازة للوصايا'!I79</f>
        <v>0</v>
      </c>
    </row>
    <row r="35" spans="5:36">
      <c r="E35">
        <f>L35+SUM(L31:L34)</f>
        <v>0</v>
      </c>
      <c r="F35" s="1">
        <f>'الأجـــازة للوصايا'!J80</f>
        <v>-3</v>
      </c>
      <c r="G35" s="478">
        <f>'الأجـــازة للوصايا'!H80</f>
        <v>0</v>
      </c>
      <c r="I35" s="478">
        <f>'الأجـــازة للوصايا'!J80</f>
        <v>-3</v>
      </c>
      <c r="J35" s="28">
        <f>IF( F35&gt;1, G35,0)</f>
        <v>0</v>
      </c>
      <c r="K35" t="e">
        <f>VLOOKUP(5,E31:J42,3,FALSE)</f>
        <v>#N/A</v>
      </c>
      <c r="L35" s="28">
        <f t="shared" si="15"/>
        <v>0</v>
      </c>
      <c r="M35" s="28">
        <f>VLOOKUP(F35,F31:I40,2,FALSE)</f>
        <v>0</v>
      </c>
      <c r="N35" s="28"/>
      <c r="O35" s="28"/>
      <c r="P35" s="28">
        <f t="shared" si="16"/>
        <v>0</v>
      </c>
      <c r="Q35" s="28"/>
      <c r="R35" s="28"/>
      <c r="S35" s="478">
        <f t="shared" si="14"/>
        <v>0</v>
      </c>
      <c r="T35" s="28"/>
      <c r="U35" s="28"/>
      <c r="V35" s="28"/>
      <c r="W35" s="28"/>
      <c r="X35" s="28"/>
      <c r="Y35" s="28"/>
      <c r="Z35" s="28"/>
      <c r="AA35" s="28"/>
      <c r="AC35" s="1"/>
      <c r="AJ35" s="478">
        <f>'الأجـــازة للوصايا'!I80</f>
        <v>0</v>
      </c>
    </row>
    <row r="36" spans="5:36">
      <c r="E36">
        <f>L36+SUM(L31:L35)</f>
        <v>0</v>
      </c>
      <c r="F36" s="1">
        <f>'الأجـــازة للوصايا'!J81</f>
        <v>-4</v>
      </c>
      <c r="G36" s="478">
        <f>'الأجـــازة للوصايا'!H81</f>
        <v>0</v>
      </c>
      <c r="I36" s="478">
        <f>'الأجـــازة للوصايا'!J81</f>
        <v>-4</v>
      </c>
      <c r="J36" s="28">
        <f>IF(F36&gt;1, G36,0)</f>
        <v>0</v>
      </c>
      <c r="K36" t="e">
        <f>VLOOKUP(6,E31:J42,3,FALSE)</f>
        <v>#N/A</v>
      </c>
      <c r="L36" s="28">
        <f t="shared" si="15"/>
        <v>0</v>
      </c>
      <c r="M36" s="28"/>
      <c r="N36" s="28"/>
      <c r="O36" s="28"/>
      <c r="P36" s="28">
        <f t="shared" si="16"/>
        <v>0</v>
      </c>
      <c r="Q36" s="28"/>
      <c r="R36" s="28"/>
      <c r="S36" s="478">
        <f t="shared" si="14"/>
        <v>0</v>
      </c>
      <c r="T36" s="28"/>
      <c r="U36" s="28"/>
      <c r="V36" s="28"/>
      <c r="W36" s="28"/>
      <c r="X36" s="28"/>
      <c r="Y36" s="28"/>
      <c r="Z36" s="28"/>
      <c r="AA36" s="28"/>
      <c r="AC36" s="1"/>
      <c r="AJ36" s="478">
        <f>'الأجـــازة للوصايا'!I81</f>
        <v>0</v>
      </c>
    </row>
    <row r="37" spans="5:36">
      <c r="E37">
        <f>L37+SUM(L31:L36)</f>
        <v>0</v>
      </c>
      <c r="F37" s="1">
        <f>'الأجـــازة للوصايا'!J82</f>
        <v>-5</v>
      </c>
      <c r="G37" s="478">
        <f>'الأجـــازة للوصايا'!H82</f>
        <v>0</v>
      </c>
      <c r="I37" s="478">
        <f>'الأجـــازة للوصايا'!J82</f>
        <v>-5</v>
      </c>
      <c r="J37" s="28">
        <f>IF(F37&gt;1,#REF!,0)</f>
        <v>0</v>
      </c>
      <c r="K37" t="e">
        <f>VLOOKUP(7,E31:J42,3,FALSE)</f>
        <v>#N/A</v>
      </c>
      <c r="L37" s="28">
        <f t="shared" si="15"/>
        <v>0</v>
      </c>
      <c r="M37" s="28"/>
      <c r="N37" s="28"/>
      <c r="O37" s="28"/>
      <c r="P37" s="28">
        <f t="shared" si="16"/>
        <v>0</v>
      </c>
      <c r="Q37" s="28"/>
      <c r="R37" s="28"/>
      <c r="S37" s="478">
        <f t="shared" si="14"/>
        <v>0</v>
      </c>
      <c r="T37" s="28"/>
      <c r="U37" s="28"/>
      <c r="V37" s="28"/>
      <c r="W37" s="28"/>
      <c r="X37" s="28"/>
      <c r="Y37" s="28"/>
      <c r="Z37" s="28"/>
      <c r="AA37" s="28"/>
      <c r="AC37" s="1"/>
      <c r="AJ37" s="478">
        <f>'الأجـــازة للوصايا'!I82</f>
        <v>0</v>
      </c>
    </row>
    <row r="38" spans="5:36">
      <c r="E38">
        <f>L38+SUM(L31:L37)</f>
        <v>0</v>
      </c>
      <c r="F38" s="1">
        <f>'الأجـــازة للوصايا'!J83</f>
        <v>-6</v>
      </c>
      <c r="G38" s="478">
        <f>'الأجـــازة للوصايا'!H83</f>
        <v>0</v>
      </c>
      <c r="I38" s="478">
        <f>'الأجـــازة للوصايا'!J83</f>
        <v>-6</v>
      </c>
      <c r="J38" s="28">
        <f>IF(F38&gt;1,#REF!,0)</f>
        <v>0</v>
      </c>
      <c r="K38" t="e">
        <f>VLOOKUP(8,E31:J42,3,FALSE)</f>
        <v>#N/A</v>
      </c>
      <c r="L38" s="28">
        <f t="shared" si="15"/>
        <v>0</v>
      </c>
      <c r="M38" s="28"/>
      <c r="N38" s="28"/>
      <c r="O38" s="28"/>
      <c r="P38" s="28">
        <f t="shared" si="16"/>
        <v>0</v>
      </c>
      <c r="Q38" s="28"/>
      <c r="R38" s="28"/>
      <c r="S38" s="478">
        <f t="shared" si="14"/>
        <v>0</v>
      </c>
      <c r="T38" s="28"/>
      <c r="U38" s="28"/>
      <c r="V38" s="28"/>
      <c r="W38" s="28"/>
      <c r="X38" s="28"/>
      <c r="Y38" s="28"/>
      <c r="Z38" s="28"/>
      <c r="AA38" s="28"/>
      <c r="AC38" s="1"/>
      <c r="AJ38" s="478">
        <f>'الأجـــازة للوصايا'!I83</f>
        <v>0</v>
      </c>
    </row>
    <row r="39" spans="5:36">
      <c r="E39">
        <f>L39+SUM(L30:L38)</f>
        <v>0</v>
      </c>
      <c r="F39" s="1">
        <f>'الأجـــازة للوصايا'!J84</f>
        <v>-7</v>
      </c>
      <c r="G39" s="478">
        <f>'الأجـــازة للوصايا'!H84</f>
        <v>0</v>
      </c>
      <c r="I39" s="478">
        <f>'الأجـــازة للوصايا'!J84</f>
        <v>-7</v>
      </c>
      <c r="J39" s="28">
        <f>IF(F39&gt;1,#REF!,0)</f>
        <v>0</v>
      </c>
      <c r="K39" t="e">
        <f>VLOOKUP(9,E31:J42,3,FALSE)</f>
        <v>#N/A</v>
      </c>
      <c r="L39" s="28">
        <f t="shared" si="15"/>
        <v>0</v>
      </c>
      <c r="M39" s="28"/>
      <c r="N39" s="28"/>
      <c r="O39" s="28"/>
      <c r="P39" s="28">
        <f t="shared" si="16"/>
        <v>0</v>
      </c>
      <c r="Q39" s="28"/>
      <c r="R39" s="28"/>
      <c r="S39" s="478">
        <f t="shared" si="14"/>
        <v>0</v>
      </c>
      <c r="T39" s="28"/>
      <c r="U39" s="28"/>
      <c r="V39" s="28"/>
      <c r="W39" s="28"/>
      <c r="X39" s="28"/>
      <c r="Y39" s="28"/>
      <c r="Z39" s="28"/>
      <c r="AA39" s="28"/>
      <c r="AC39" s="1"/>
      <c r="AJ39" s="478">
        <f>'الأجـــازة للوصايا'!I84</f>
        <v>0</v>
      </c>
    </row>
    <row r="40" spans="5:36">
      <c r="E40">
        <f>L40+SUM(L31:L40)</f>
        <v>0</v>
      </c>
      <c r="F40" s="1">
        <f>'الأجـــازة للوصايا'!J85</f>
        <v>-8</v>
      </c>
      <c r="G40" s="478">
        <f>'الأجـــازة للوصايا'!H85</f>
        <v>0</v>
      </c>
      <c r="I40" s="478">
        <f>'الأجـــازة للوصايا'!J85</f>
        <v>-8</v>
      </c>
      <c r="J40" s="28"/>
      <c r="K40" t="e">
        <f>VLOOKUP(E40,H40:J51,3,FALSE)</f>
        <v>#N/A</v>
      </c>
      <c r="L40" s="28">
        <f t="shared" si="15"/>
        <v>0</v>
      </c>
      <c r="M40" s="28"/>
      <c r="N40" s="28"/>
      <c r="O40" s="28"/>
      <c r="P40" s="28">
        <f t="shared" si="16"/>
        <v>0</v>
      </c>
      <c r="Q40" s="28"/>
      <c r="R40" s="28"/>
      <c r="S40" s="478">
        <f t="shared" si="14"/>
        <v>0</v>
      </c>
      <c r="T40" s="28"/>
      <c r="U40" s="28"/>
      <c r="V40" s="28"/>
      <c r="W40" s="28"/>
      <c r="X40" s="28"/>
      <c r="Y40" s="28"/>
      <c r="Z40" s="28"/>
      <c r="AA40" s="28"/>
      <c r="AC40" s="1"/>
      <c r="AJ40" s="478">
        <f>'الأجـــازة للوصايا'!I85</f>
        <v>0</v>
      </c>
    </row>
    <row r="41" spans="5:36">
      <c r="E41">
        <f>L41+SUM(L30:L41)</f>
        <v>0</v>
      </c>
      <c r="F41" s="1">
        <f>'الأجـــازة للوصايا'!J86</f>
        <v>-9</v>
      </c>
      <c r="G41" s="478">
        <f>'الأجـــازة للوصايا'!H86</f>
        <v>0</v>
      </c>
      <c r="I41" s="478">
        <f>'الأجـــازة للوصايا'!J86</f>
        <v>-9</v>
      </c>
      <c r="J41" s="28"/>
      <c r="K41" t="e">
        <f>VLOOKUP(E41,H41:J52,3,FALSE)</f>
        <v>#N/A</v>
      </c>
      <c r="L41" s="28">
        <f t="shared" si="15"/>
        <v>0</v>
      </c>
      <c r="M41" s="28"/>
      <c r="N41" s="28"/>
      <c r="O41" s="28"/>
      <c r="P41" s="28">
        <f t="shared" si="16"/>
        <v>0</v>
      </c>
      <c r="Q41" s="28"/>
      <c r="R41" s="28"/>
      <c r="S41" s="478">
        <f t="shared" si="14"/>
        <v>0</v>
      </c>
      <c r="T41" s="28"/>
      <c r="U41" s="28"/>
      <c r="V41" s="28"/>
      <c r="W41" s="28"/>
      <c r="X41" s="28"/>
      <c r="Y41" s="28"/>
      <c r="Z41" s="28"/>
      <c r="AA41" s="28"/>
      <c r="AC41" s="1"/>
      <c r="AJ41" s="478">
        <f>'الأجـــازة للوصايا'!I86</f>
        <v>0</v>
      </c>
    </row>
    <row r="42" spans="5:36">
      <c r="E42">
        <f>L42+SUM(L41)</f>
        <v>0</v>
      </c>
      <c r="F42" s="1">
        <f>'الأجـــازة للوصايا'!J87</f>
        <v>-10</v>
      </c>
      <c r="G42" s="478">
        <f>'الأجـــازة للوصايا'!H87</f>
        <v>0</v>
      </c>
      <c r="I42" s="478">
        <f>'الأجـــازة للوصايا'!J87</f>
        <v>-10</v>
      </c>
      <c r="J42" s="28"/>
      <c r="K42" t="e">
        <f>VLOOKUP(E42,H42:J53,3,FALSE)</f>
        <v>#N/A</v>
      </c>
      <c r="L42" s="28">
        <f t="shared" si="15"/>
        <v>0</v>
      </c>
      <c r="M42" s="28"/>
      <c r="N42" s="28"/>
      <c r="O42" s="28"/>
      <c r="P42" s="28">
        <f t="shared" si="16"/>
        <v>0</v>
      </c>
      <c r="Q42" s="28"/>
      <c r="R42" s="28"/>
      <c r="S42" s="478">
        <f t="shared" si="14"/>
        <v>0</v>
      </c>
      <c r="T42" s="28"/>
      <c r="U42" s="28"/>
      <c r="V42" s="28"/>
      <c r="W42" s="28"/>
      <c r="X42" s="28"/>
      <c r="Y42" s="28"/>
      <c r="Z42" s="28"/>
      <c r="AA42" s="28"/>
      <c r="AC42" s="1"/>
      <c r="AJ42" s="478">
        <f>'الأجـــازة للوصايا'!I87</f>
        <v>0</v>
      </c>
    </row>
    <row r="43" spans="5:36">
      <c r="E43">
        <f>L43+L42</f>
        <v>0</v>
      </c>
      <c r="G43" s="28"/>
      <c r="I43" s="28"/>
      <c r="J43" s="28"/>
      <c r="L43" s="28"/>
      <c r="M43" s="28"/>
      <c r="N43" s="28"/>
      <c r="O43" s="28"/>
      <c r="P43" s="28">
        <f t="shared" si="16"/>
        <v>0</v>
      </c>
      <c r="Q43" s="28"/>
      <c r="R43" s="28"/>
      <c r="S43" s="478">
        <f t="shared" si="14"/>
        <v>0</v>
      </c>
      <c r="T43" s="28"/>
      <c r="U43" s="28"/>
      <c r="V43" s="28"/>
      <c r="W43" s="28"/>
      <c r="X43" s="28"/>
      <c r="Y43" s="28"/>
      <c r="Z43" s="28"/>
      <c r="AA43" s="28"/>
      <c r="AC43" s="1"/>
    </row>
    <row r="44" spans="5:36">
      <c r="E44" s="28"/>
      <c r="G44" s="28"/>
      <c r="I44" s="28"/>
      <c r="J44" s="28"/>
      <c r="K44" s="28"/>
      <c r="L44" s="28"/>
      <c r="M44" s="28"/>
      <c r="N44" s="28"/>
      <c r="O44" s="28"/>
      <c r="P44" s="28">
        <f t="shared" si="16"/>
        <v>0</v>
      </c>
      <c r="Q44" s="28"/>
      <c r="R44" s="28"/>
      <c r="S44" s="478">
        <f t="shared" si="14"/>
        <v>0</v>
      </c>
      <c r="T44" s="28"/>
      <c r="U44" s="28"/>
      <c r="V44" s="28"/>
      <c r="W44" s="28"/>
      <c r="X44" s="28"/>
      <c r="Y44" s="28"/>
      <c r="Z44" s="28"/>
      <c r="AA44" s="28"/>
      <c r="AC44" s="1"/>
    </row>
    <row r="45" spans="5:36">
      <c r="E45" s="28"/>
      <c r="G45" s="28"/>
      <c r="I45" s="28"/>
      <c r="J45" s="28"/>
      <c r="K45" s="28"/>
      <c r="L45" s="28"/>
      <c r="M45" s="28"/>
      <c r="N45" s="28"/>
      <c r="O45" s="28"/>
      <c r="P45" s="28"/>
      <c r="Q45" s="28"/>
      <c r="R45" s="28"/>
      <c r="S45" s="478">
        <f t="shared" si="14"/>
        <v>0</v>
      </c>
      <c r="T45" s="28"/>
      <c r="U45" s="28"/>
      <c r="V45" s="28"/>
      <c r="W45" s="28"/>
      <c r="X45" s="28"/>
      <c r="Y45" s="28"/>
      <c r="Z45" s="28"/>
      <c r="AA45" s="28"/>
      <c r="AC45" s="1"/>
    </row>
    <row r="46" spans="5:36">
      <c r="G46" s="28"/>
      <c r="H46" s="28"/>
      <c r="I46" s="28"/>
      <c r="J46" s="28"/>
      <c r="K46" s="28"/>
      <c r="L46" s="28"/>
      <c r="M46" s="28"/>
      <c r="N46" s="28"/>
      <c r="O46" s="28"/>
      <c r="P46" s="28"/>
      <c r="Q46" s="28"/>
      <c r="R46" s="28"/>
      <c r="S46" s="478">
        <f t="shared" si="14"/>
        <v>0</v>
      </c>
      <c r="T46" s="28"/>
      <c r="U46" s="28"/>
      <c r="V46" s="28"/>
      <c r="W46" s="28"/>
      <c r="X46" s="28"/>
      <c r="Y46" s="28"/>
      <c r="Z46" s="28"/>
      <c r="AA46" s="28"/>
      <c r="AC46" s="1"/>
    </row>
    <row r="47" spans="5:36" ht="15.75" hidden="1" thickBot="1">
      <c r="G47" s="28"/>
      <c r="H47" s="28"/>
      <c r="I47" s="28"/>
      <c r="J47" s="28"/>
      <c r="K47" s="28"/>
      <c r="L47" s="28"/>
      <c r="M47" s="28"/>
      <c r="N47" s="28"/>
      <c r="O47" s="28"/>
      <c r="P47" s="28"/>
      <c r="Q47" s="28"/>
      <c r="R47" s="28"/>
      <c r="S47" s="478">
        <f t="shared" si="14"/>
        <v>0</v>
      </c>
      <c r="T47" s="28"/>
      <c r="U47" s="28"/>
      <c r="V47" s="28"/>
      <c r="W47" s="28"/>
      <c r="X47" s="28"/>
      <c r="Y47" s="28"/>
      <c r="Z47" s="28"/>
      <c r="AA47" s="28"/>
      <c r="AC47" s="1"/>
    </row>
    <row r="48" spans="5:36" ht="17.25" hidden="1" thickTop="1" thickBot="1">
      <c r="G48" s="28"/>
      <c r="H48" s="28"/>
      <c r="I48" s="28"/>
      <c r="J48" s="28"/>
      <c r="K48" s="28"/>
      <c r="L48" s="552" t="s">
        <v>743</v>
      </c>
      <c r="M48" s="551"/>
      <c r="N48" s="570"/>
      <c r="O48" s="28"/>
      <c r="P48" s="28"/>
      <c r="Q48" s="28"/>
      <c r="R48" s="28"/>
      <c r="S48" s="28"/>
      <c r="U48" s="28"/>
      <c r="V48" s="28"/>
      <c r="W48" s="28"/>
      <c r="X48" s="28"/>
      <c r="Y48" s="28"/>
      <c r="Z48" s="28"/>
      <c r="AA48" s="28"/>
      <c r="AC48" s="1"/>
    </row>
    <row r="49" spans="7:29" ht="21.75" hidden="1" thickTop="1">
      <c r="G49" s="28"/>
      <c r="H49" s="28"/>
      <c r="I49" s="28"/>
      <c r="J49" s="28"/>
      <c r="K49" s="28"/>
      <c r="L49" s="556" t="s">
        <v>742</v>
      </c>
      <c r="M49" s="494"/>
      <c r="N49" s="557" t="s">
        <v>114</v>
      </c>
      <c r="O49" s="28"/>
      <c r="P49" s="28"/>
      <c r="Q49" s="28"/>
      <c r="R49" s="28"/>
      <c r="S49" s="28"/>
      <c r="T49" s="28"/>
      <c r="U49" s="28"/>
      <c r="V49" s="28"/>
      <c r="W49" s="28"/>
      <c r="X49" s="28"/>
      <c r="Y49" s="28"/>
      <c r="Z49" s="28"/>
      <c r="AA49" s="28"/>
      <c r="AC49" s="1"/>
    </row>
    <row r="50" spans="7:29" ht="15.75" hidden="1">
      <c r="G50" s="28"/>
      <c r="H50" s="28"/>
      <c r="I50" s="28"/>
      <c r="J50" s="28"/>
      <c r="K50" s="28"/>
      <c r="L50" s="476" t="s">
        <v>745</v>
      </c>
      <c r="M50" s="28"/>
      <c r="N50" s="524">
        <v>1</v>
      </c>
      <c r="O50" s="28"/>
      <c r="P50" s="28"/>
      <c r="Q50" s="28"/>
      <c r="R50" s="28"/>
      <c r="S50" s="28"/>
      <c r="T50" s="28"/>
      <c r="U50" s="28"/>
      <c r="V50" s="28"/>
      <c r="W50" s="28"/>
      <c r="X50" s="28"/>
      <c r="Y50" s="28"/>
      <c r="Z50" s="28"/>
      <c r="AA50" s="28"/>
      <c r="AC50" s="1"/>
    </row>
    <row r="51" spans="7:29" ht="16.5" hidden="1" thickBot="1">
      <c r="G51" s="28"/>
      <c r="H51" s="28"/>
      <c r="I51" s="28"/>
      <c r="J51" s="28"/>
      <c r="K51" s="28"/>
      <c r="L51" s="497" t="s">
        <v>746</v>
      </c>
      <c r="M51" s="28"/>
      <c r="N51" s="524">
        <v>1</v>
      </c>
      <c r="O51" s="28"/>
      <c r="P51" s="28"/>
      <c r="Q51" s="28"/>
      <c r="R51" s="28"/>
      <c r="S51" s="28"/>
      <c r="T51" s="28"/>
      <c r="U51" s="28"/>
      <c r="V51" s="28"/>
      <c r="W51" s="28"/>
      <c r="X51" s="28"/>
      <c r="Y51" s="28"/>
      <c r="Z51" s="28"/>
      <c r="AA51" s="28"/>
      <c r="AC51" s="1"/>
    </row>
    <row r="52" spans="7:29" ht="15.75" hidden="1" thickTop="1">
      <c r="G52" s="28"/>
      <c r="H52" s="28"/>
      <c r="I52" s="28"/>
      <c r="J52" s="28"/>
      <c r="K52" s="28"/>
      <c r="L52" s="555">
        <f>ROUNDDOWN(V4,0)</f>
        <v>1</v>
      </c>
      <c r="M52" s="28"/>
      <c r="N52" s="28"/>
      <c r="O52" s="28"/>
      <c r="P52" s="28"/>
      <c r="Q52" s="28"/>
      <c r="R52" s="28"/>
      <c r="S52" s="28"/>
      <c r="T52" s="28"/>
      <c r="U52" s="28"/>
      <c r="V52" s="28"/>
      <c r="W52" s="28"/>
      <c r="X52" s="28"/>
      <c r="Y52" s="28"/>
      <c r="Z52" s="28"/>
      <c r="AA52" s="28"/>
      <c r="AC52" s="1"/>
    </row>
    <row r="53" spans="7:29">
      <c r="G53" s="28"/>
      <c r="H53" s="28"/>
      <c r="I53" s="28"/>
      <c r="J53" s="28"/>
      <c r="K53" s="28"/>
      <c r="L53" s="28"/>
      <c r="M53" s="28"/>
      <c r="N53" s="28"/>
      <c r="O53" s="28"/>
      <c r="P53" s="28"/>
      <c r="Q53" s="28"/>
      <c r="R53" s="28"/>
      <c r="S53" s="28"/>
      <c r="T53" s="28"/>
      <c r="U53" s="28"/>
      <c r="V53" s="28"/>
      <c r="W53" s="28"/>
      <c r="X53" s="28"/>
      <c r="Y53" s="28"/>
      <c r="Z53" s="28"/>
      <c r="AA53" s="28"/>
      <c r="AC53" s="1"/>
    </row>
    <row r="54" spans="7:29">
      <c r="G54" s="28"/>
      <c r="H54" s="28"/>
      <c r="I54" s="28"/>
      <c r="J54" s="28"/>
      <c r="K54" s="28"/>
      <c r="L54" s="28"/>
      <c r="M54" s="28"/>
      <c r="N54" s="28"/>
      <c r="O54" s="28"/>
      <c r="P54" s="28"/>
      <c r="Q54" s="28"/>
      <c r="R54" s="28"/>
      <c r="S54" s="28"/>
      <c r="T54" s="28"/>
      <c r="U54" s="28"/>
      <c r="V54" s="28"/>
      <c r="W54" s="28"/>
      <c r="X54" s="28"/>
      <c r="Y54" s="28"/>
      <c r="Z54" s="28"/>
      <c r="AA54" s="28"/>
      <c r="AC54" s="1"/>
    </row>
    <row r="55" spans="7:29">
      <c r="G55" s="28"/>
      <c r="H55" s="28"/>
      <c r="I55" s="28"/>
      <c r="J55" s="28"/>
      <c r="K55" s="28"/>
      <c r="L55" s="28"/>
      <c r="M55" s="28"/>
      <c r="N55" s="28"/>
      <c r="O55" s="28"/>
      <c r="P55" s="28"/>
      <c r="Q55" s="28"/>
      <c r="R55" s="28"/>
      <c r="S55" s="28"/>
      <c r="T55" s="28"/>
      <c r="U55" s="28"/>
      <c r="V55" s="28"/>
      <c r="W55" s="28"/>
      <c r="X55" s="28"/>
      <c r="Y55" s="28"/>
      <c r="Z55" s="28"/>
      <c r="AA55" s="28"/>
      <c r="AC55" s="1"/>
    </row>
    <row r="56" spans="7:29">
      <c r="G56" s="28"/>
      <c r="H56" s="28"/>
      <c r="I56" s="28"/>
      <c r="J56" s="28"/>
      <c r="K56" s="28"/>
      <c r="L56" s="28"/>
      <c r="M56" s="28"/>
      <c r="N56" s="28"/>
      <c r="O56" s="28"/>
      <c r="P56" s="28"/>
      <c r="Q56" s="28"/>
      <c r="R56" s="28"/>
      <c r="S56" s="28"/>
      <c r="T56" s="28"/>
      <c r="U56" s="28"/>
      <c r="V56" s="28"/>
      <c r="W56" s="28"/>
      <c r="X56" s="28"/>
      <c r="Y56" s="28"/>
      <c r="Z56" s="28"/>
      <c r="AA56" s="28"/>
      <c r="AC56" s="1"/>
    </row>
    <row r="57" spans="7:29">
      <c r="G57" s="28"/>
      <c r="H57" s="28"/>
      <c r="I57" s="28"/>
      <c r="J57" s="28"/>
      <c r="K57" s="28"/>
      <c r="L57" s="28"/>
      <c r="M57" s="28"/>
      <c r="N57" s="28"/>
      <c r="O57" s="28"/>
      <c r="P57" s="28"/>
      <c r="Q57" s="28"/>
      <c r="R57" s="28"/>
      <c r="S57" s="28"/>
      <c r="T57" s="28"/>
      <c r="U57" s="28"/>
      <c r="V57" s="28"/>
      <c r="W57" s="28"/>
      <c r="X57" s="28"/>
      <c r="Y57" s="28"/>
      <c r="Z57" s="28"/>
      <c r="AA57" s="28"/>
      <c r="AC57" s="1"/>
    </row>
    <row r="58" spans="7:29">
      <c r="G58" s="28"/>
      <c r="H58" s="28"/>
      <c r="I58" s="28"/>
      <c r="J58" s="28"/>
      <c r="K58" s="28"/>
      <c r="L58" s="28"/>
      <c r="M58" s="28"/>
      <c r="N58" s="28"/>
      <c r="O58" s="28"/>
      <c r="P58" s="28"/>
      <c r="Q58" s="28"/>
      <c r="R58" s="28"/>
      <c r="S58" s="28"/>
      <c r="T58" s="28"/>
      <c r="U58" s="28"/>
      <c r="V58" s="28"/>
      <c r="W58" s="28"/>
      <c r="X58" s="28"/>
      <c r="Y58" s="28"/>
      <c r="Z58" s="28"/>
      <c r="AA58" s="28"/>
      <c r="AC58" s="1"/>
    </row>
    <row r="59" spans="7:29">
      <c r="G59" s="28"/>
      <c r="H59" s="28"/>
      <c r="I59" s="28"/>
      <c r="J59" s="28"/>
      <c r="K59" s="28"/>
      <c r="L59" s="28"/>
      <c r="M59" s="28"/>
      <c r="N59" s="28"/>
      <c r="O59" s="28"/>
      <c r="P59" s="28"/>
      <c r="Q59" s="28"/>
      <c r="R59" s="28"/>
      <c r="S59" s="28"/>
      <c r="T59" s="28"/>
      <c r="U59" s="28"/>
      <c r="V59" s="28"/>
      <c r="W59" s="28"/>
      <c r="X59" s="28"/>
      <c r="Y59" s="28"/>
      <c r="Z59" s="28"/>
      <c r="AA59" s="28"/>
      <c r="AC59" s="1"/>
    </row>
    <row r="60" spans="7:29">
      <c r="G60" s="28"/>
      <c r="H60" s="28"/>
      <c r="I60" s="28"/>
      <c r="J60" s="28"/>
      <c r="K60" s="28"/>
      <c r="L60" s="28"/>
      <c r="M60" s="28"/>
      <c r="N60" s="28"/>
      <c r="O60" s="28"/>
      <c r="P60" s="28"/>
      <c r="Q60" s="28"/>
      <c r="R60" s="28"/>
      <c r="S60" s="28"/>
      <c r="T60" s="28"/>
      <c r="U60" s="28"/>
      <c r="V60" s="28"/>
      <c r="W60" s="28"/>
      <c r="X60" s="28"/>
      <c r="Y60" s="28"/>
      <c r="Z60" s="28"/>
      <c r="AA60" s="28"/>
      <c r="AC60" s="1"/>
    </row>
    <row r="61" spans="7:29">
      <c r="G61" s="28"/>
      <c r="H61" s="28"/>
      <c r="I61" s="28"/>
      <c r="J61" s="28"/>
      <c r="K61" s="28"/>
      <c r="L61" s="28"/>
      <c r="M61" s="28"/>
      <c r="N61" s="28"/>
      <c r="O61" s="28"/>
      <c r="P61" s="28"/>
      <c r="Q61" s="28"/>
      <c r="R61" s="28"/>
      <c r="S61" s="28"/>
      <c r="T61" s="28"/>
      <c r="U61" s="28"/>
      <c r="V61" s="28"/>
      <c r="W61" s="28"/>
      <c r="X61" s="28"/>
      <c r="Y61" s="28"/>
      <c r="Z61" s="28"/>
      <c r="AA61" s="28"/>
      <c r="AC61" s="1"/>
    </row>
    <row r="62" spans="7:29">
      <c r="G62" s="28"/>
      <c r="H62" s="28"/>
      <c r="I62" s="28"/>
      <c r="J62" s="28"/>
      <c r="K62" s="28"/>
      <c r="L62" s="28"/>
      <c r="M62" s="28"/>
      <c r="N62" s="28"/>
      <c r="O62" s="28"/>
      <c r="P62" s="28"/>
      <c r="Q62" s="28"/>
      <c r="R62" s="28"/>
      <c r="S62" s="28"/>
      <c r="T62" s="28"/>
      <c r="U62" s="28"/>
      <c r="V62" s="28"/>
      <c r="W62" s="28"/>
      <c r="X62" s="28"/>
      <c r="Y62" s="28"/>
      <c r="Z62" s="28"/>
      <c r="AA62" s="28"/>
      <c r="AC62" s="1"/>
    </row>
    <row r="63" spans="7:29">
      <c r="G63" s="28"/>
      <c r="H63" s="28"/>
      <c r="I63" s="28"/>
      <c r="J63" s="28"/>
      <c r="K63" s="28"/>
      <c r="L63" s="28"/>
      <c r="M63" s="28"/>
      <c r="N63" s="28"/>
      <c r="O63" s="28"/>
      <c r="P63" s="28"/>
      <c r="Q63" s="28"/>
      <c r="R63" s="28"/>
      <c r="S63" s="28"/>
      <c r="T63" s="28"/>
      <c r="U63" s="28"/>
      <c r="V63" s="28"/>
      <c r="W63" s="28"/>
      <c r="X63" s="28"/>
      <c r="Y63" s="28"/>
      <c r="Z63" s="28"/>
      <c r="AA63" s="28"/>
      <c r="AC63" s="1"/>
    </row>
    <row r="64" spans="7:29">
      <c r="G64" s="28"/>
      <c r="H64" s="28"/>
      <c r="I64" s="28"/>
      <c r="J64" s="28"/>
      <c r="K64" s="28"/>
      <c r="L64" s="28"/>
      <c r="M64" s="28"/>
      <c r="N64" s="28"/>
      <c r="O64" s="28"/>
      <c r="P64" s="28"/>
      <c r="Q64" s="28"/>
      <c r="R64" s="28"/>
      <c r="S64" s="28"/>
      <c r="T64" s="28"/>
      <c r="U64" s="28"/>
      <c r="V64" s="28"/>
      <c r="W64" s="28"/>
      <c r="X64" s="28"/>
      <c r="Y64" s="28"/>
      <c r="Z64" s="28"/>
      <c r="AA64" s="28"/>
      <c r="AC64" s="1"/>
    </row>
    <row r="65" spans="7:29">
      <c r="G65" s="28"/>
      <c r="H65" s="28"/>
      <c r="I65" s="28"/>
      <c r="J65" s="28"/>
      <c r="K65" s="28"/>
      <c r="L65" s="28"/>
      <c r="M65" s="28"/>
      <c r="N65" s="28"/>
      <c r="O65" s="28"/>
      <c r="P65" s="28"/>
      <c r="Q65" s="28"/>
      <c r="R65" s="28"/>
      <c r="S65" s="28"/>
      <c r="T65" s="28"/>
      <c r="U65" s="28"/>
      <c r="V65" s="28"/>
      <c r="W65" s="28"/>
      <c r="X65" s="28"/>
      <c r="Y65" s="28"/>
      <c r="Z65" s="28"/>
      <c r="AA65" s="28"/>
      <c r="AC65" s="1"/>
    </row>
    <row r="66" spans="7:29">
      <c r="G66" s="28"/>
      <c r="H66" s="28"/>
      <c r="I66" s="28"/>
      <c r="J66" s="28"/>
      <c r="K66" s="28"/>
      <c r="L66" s="28"/>
      <c r="M66" s="28"/>
      <c r="N66" s="28"/>
      <c r="O66" s="28"/>
      <c r="P66" s="28"/>
      <c r="Q66" s="28"/>
      <c r="R66" s="28"/>
      <c r="S66" s="28"/>
      <c r="T66" s="28"/>
      <c r="U66" s="28"/>
      <c r="V66" s="28"/>
      <c r="W66" s="28"/>
      <c r="X66" s="28"/>
      <c r="Y66" s="28"/>
      <c r="Z66" s="28"/>
      <c r="AA66" s="28"/>
      <c r="AC66" s="1"/>
    </row>
    <row r="67" spans="7:29">
      <c r="G67" s="28"/>
      <c r="H67" s="28"/>
      <c r="I67" s="28"/>
      <c r="J67" s="28"/>
      <c r="K67" s="28"/>
      <c r="L67" s="28"/>
      <c r="M67" s="28"/>
      <c r="N67" s="28"/>
      <c r="O67" s="28"/>
      <c r="P67" s="28"/>
      <c r="Q67" s="28"/>
      <c r="R67" s="28"/>
      <c r="S67" s="28"/>
      <c r="T67" s="28"/>
      <c r="U67" s="28"/>
      <c r="V67" s="28"/>
      <c r="W67" s="28"/>
      <c r="X67" s="28"/>
      <c r="Y67" s="28"/>
      <c r="Z67" s="28"/>
      <c r="AA67" s="28"/>
      <c r="AC67" s="1"/>
    </row>
    <row r="68" spans="7:29">
      <c r="G68" s="28"/>
      <c r="H68" s="28"/>
      <c r="I68" s="28"/>
      <c r="J68" s="28"/>
      <c r="K68" s="28"/>
      <c r="L68" s="28"/>
      <c r="M68" s="28"/>
      <c r="N68" s="28"/>
      <c r="O68" s="28"/>
      <c r="P68" s="28"/>
      <c r="Q68" s="28"/>
      <c r="R68" s="28"/>
      <c r="S68" s="28"/>
      <c r="T68" s="28"/>
      <c r="U68" s="28"/>
      <c r="V68" s="28"/>
      <c r="W68" s="28"/>
      <c r="X68" s="28"/>
      <c r="Y68" s="28"/>
      <c r="Z68" s="28"/>
      <c r="AA68" s="28"/>
      <c r="AC68" s="1"/>
    </row>
    <row r="69" spans="7:29">
      <c r="G69" s="28"/>
      <c r="H69" s="28"/>
      <c r="I69" s="28"/>
      <c r="J69" s="28"/>
      <c r="K69" s="28"/>
      <c r="L69" s="28"/>
      <c r="M69" s="28"/>
      <c r="N69" s="28"/>
      <c r="O69" s="28"/>
      <c r="P69" s="28"/>
      <c r="Q69" s="28"/>
      <c r="R69" s="28"/>
      <c r="S69" s="28"/>
      <c r="T69" s="28"/>
      <c r="U69" s="28"/>
      <c r="V69" s="28"/>
      <c r="W69" s="28"/>
      <c r="X69" s="28"/>
      <c r="Y69" s="28"/>
      <c r="Z69" s="28"/>
      <c r="AA69" s="28"/>
      <c r="AC69" s="1"/>
    </row>
    <row r="70" spans="7:29">
      <c r="G70" s="28"/>
      <c r="H70" s="28"/>
      <c r="I70" s="28"/>
      <c r="J70" s="28"/>
      <c r="K70" s="28"/>
      <c r="L70" s="28"/>
      <c r="M70" s="28"/>
      <c r="N70" s="28"/>
      <c r="O70" s="28"/>
      <c r="P70" s="28"/>
      <c r="Q70" s="28"/>
      <c r="R70" s="28"/>
      <c r="S70" s="28"/>
      <c r="T70" s="28"/>
      <c r="U70" s="28"/>
      <c r="V70" s="28"/>
      <c r="W70" s="28"/>
      <c r="X70" s="28"/>
      <c r="Y70" s="28"/>
      <c r="Z70" s="28"/>
      <c r="AA70" s="28"/>
      <c r="AC70" s="1"/>
    </row>
    <row r="71" spans="7:29">
      <c r="G71" s="28"/>
      <c r="H71" s="28"/>
      <c r="I71" s="28"/>
      <c r="J71" s="28"/>
      <c r="K71" s="28"/>
      <c r="L71" s="28"/>
      <c r="M71" s="28"/>
      <c r="N71" s="28"/>
      <c r="O71" s="28"/>
      <c r="P71" s="28"/>
      <c r="Q71" s="28"/>
      <c r="R71" s="28"/>
      <c r="S71" s="28"/>
      <c r="T71" s="28"/>
      <c r="U71" s="28"/>
      <c r="V71" s="28"/>
      <c r="W71" s="28"/>
      <c r="X71" s="28"/>
      <c r="Y71" s="28"/>
      <c r="Z71" s="28"/>
      <c r="AA71" s="28"/>
      <c r="AC71" s="1"/>
    </row>
    <row r="72" spans="7:29">
      <c r="G72" s="28"/>
      <c r="H72" s="28"/>
      <c r="I72" s="28"/>
      <c r="J72" s="28"/>
      <c r="K72" s="28"/>
      <c r="L72" s="28"/>
      <c r="M72" s="28"/>
      <c r="N72" s="28"/>
      <c r="O72" s="28"/>
      <c r="P72" s="28"/>
      <c r="Q72" s="28"/>
      <c r="R72" s="28"/>
      <c r="S72" s="28"/>
      <c r="T72" s="28"/>
      <c r="U72" s="28"/>
      <c r="V72" s="28"/>
      <c r="W72" s="28"/>
      <c r="X72" s="28"/>
      <c r="Y72" s="28"/>
      <c r="Z72" s="28"/>
      <c r="AA72" s="28"/>
      <c r="AC72" s="1"/>
    </row>
    <row r="73" spans="7:29">
      <c r="G73" s="28"/>
      <c r="H73" s="28"/>
      <c r="I73" s="28"/>
      <c r="J73" s="28"/>
      <c r="K73" s="28"/>
      <c r="L73" s="28"/>
      <c r="M73" s="28"/>
      <c r="N73" s="28"/>
      <c r="O73" s="28"/>
      <c r="P73" s="28"/>
      <c r="Q73" s="28"/>
      <c r="R73" s="28"/>
      <c r="S73" s="28"/>
      <c r="T73" s="28"/>
      <c r="U73" s="28"/>
      <c r="V73" s="28"/>
      <c r="W73" s="28"/>
      <c r="X73" s="28"/>
      <c r="Y73" s="28"/>
      <c r="Z73" s="28"/>
      <c r="AA73" s="28"/>
      <c r="AC73" s="1"/>
    </row>
    <row r="74" spans="7:29">
      <c r="G74" s="28"/>
      <c r="H74" s="28"/>
      <c r="I74" s="28"/>
      <c r="J74" s="28"/>
      <c r="K74" s="28"/>
      <c r="L74" s="28"/>
      <c r="M74" s="28"/>
      <c r="N74" s="28"/>
      <c r="O74" s="28"/>
      <c r="P74" s="28"/>
      <c r="Q74" s="28"/>
      <c r="R74" s="28"/>
      <c r="S74" s="28"/>
      <c r="T74" s="28"/>
      <c r="U74" s="28"/>
      <c r="V74" s="28"/>
      <c r="W74" s="28"/>
      <c r="X74" s="28"/>
      <c r="Y74" s="28"/>
      <c r="Z74" s="28"/>
      <c r="AA74" s="28"/>
      <c r="AC74" s="1"/>
    </row>
    <row r="75" spans="7:29">
      <c r="G75" s="28"/>
      <c r="H75" s="28"/>
      <c r="I75" s="28"/>
      <c r="J75" s="28"/>
      <c r="K75" s="28"/>
      <c r="L75" s="28"/>
      <c r="M75" s="28"/>
      <c r="N75" s="28"/>
      <c r="O75" s="28"/>
      <c r="P75" s="28"/>
      <c r="Q75" s="28"/>
      <c r="R75" s="28"/>
      <c r="S75" s="28"/>
      <c r="T75" s="28"/>
      <c r="U75" s="28"/>
      <c r="V75" s="28"/>
      <c r="W75" s="28"/>
      <c r="X75" s="28"/>
      <c r="Y75" s="28"/>
      <c r="Z75" s="28"/>
      <c r="AA75" s="28"/>
      <c r="AC75" s="1"/>
    </row>
    <row r="76" spans="7:29">
      <c r="G76" s="28"/>
      <c r="H76" s="28"/>
      <c r="I76" s="28"/>
      <c r="J76" s="28"/>
      <c r="K76" s="28"/>
      <c r="L76" s="28"/>
      <c r="M76" s="28"/>
      <c r="N76" s="28"/>
      <c r="O76" s="28"/>
      <c r="P76" s="28"/>
      <c r="Q76" s="28"/>
      <c r="R76" s="28"/>
      <c r="S76" s="28"/>
      <c r="T76" s="28"/>
      <c r="U76" s="28"/>
      <c r="V76" s="28"/>
      <c r="W76" s="28"/>
      <c r="X76" s="28"/>
      <c r="Y76" s="28"/>
      <c r="Z76" s="28"/>
      <c r="AA76" s="28"/>
      <c r="AC76" s="1"/>
    </row>
    <row r="77" spans="7:29">
      <c r="G77" s="28"/>
      <c r="H77" s="28"/>
      <c r="I77" s="28"/>
      <c r="J77" s="28"/>
      <c r="K77" s="28"/>
      <c r="L77" s="28"/>
      <c r="M77" s="28"/>
      <c r="N77" s="28"/>
      <c r="O77" s="28"/>
      <c r="P77" s="28"/>
      <c r="Q77" s="28"/>
      <c r="R77" s="28"/>
      <c r="S77" s="28"/>
      <c r="T77" s="28"/>
      <c r="U77" s="28"/>
      <c r="V77" s="28"/>
      <c r="W77" s="28"/>
      <c r="X77" s="28"/>
      <c r="Y77" s="28"/>
      <c r="Z77" s="28"/>
      <c r="AA77" s="28"/>
      <c r="AC77" s="1"/>
    </row>
    <row r="78" spans="7:29">
      <c r="G78" s="28"/>
      <c r="H78" s="28"/>
      <c r="I78" s="28"/>
      <c r="J78" s="28"/>
      <c r="K78" s="28"/>
      <c r="L78" s="28"/>
      <c r="M78" s="28"/>
      <c r="N78" s="28"/>
      <c r="O78" s="28"/>
      <c r="P78" s="28"/>
      <c r="Q78" s="28"/>
      <c r="R78" s="28"/>
      <c r="S78" s="28"/>
      <c r="T78" s="28"/>
      <c r="U78" s="28"/>
      <c r="V78" s="28"/>
      <c r="W78" s="28"/>
      <c r="X78" s="28"/>
      <c r="Y78" s="28"/>
      <c r="Z78" s="28"/>
      <c r="AA78" s="28"/>
      <c r="AC78" s="1"/>
    </row>
    <row r="79" spans="7:29">
      <c r="G79" s="28"/>
      <c r="H79" s="28"/>
      <c r="I79" s="28"/>
      <c r="J79" s="28"/>
      <c r="K79" s="28"/>
      <c r="L79" s="28"/>
      <c r="M79" s="28"/>
      <c r="N79" s="28"/>
      <c r="O79" s="28"/>
      <c r="P79" s="28"/>
      <c r="Q79" s="28"/>
      <c r="R79" s="28"/>
      <c r="S79" s="28"/>
      <c r="T79" s="28"/>
      <c r="U79" s="28"/>
      <c r="V79" s="28"/>
      <c r="W79" s="28"/>
      <c r="X79" s="28"/>
      <c r="Y79" s="28"/>
      <c r="Z79" s="28"/>
      <c r="AA79" s="28"/>
      <c r="AC79" s="1"/>
    </row>
    <row r="80" spans="7:29">
      <c r="G80" s="28"/>
      <c r="H80" s="28"/>
      <c r="I80" s="28"/>
      <c r="J80" s="28"/>
      <c r="K80" s="28"/>
      <c r="L80" s="28"/>
      <c r="M80" s="28"/>
      <c r="N80" s="28"/>
      <c r="O80" s="28"/>
      <c r="P80" s="28"/>
      <c r="Q80" s="28"/>
      <c r="R80" s="28"/>
      <c r="S80" s="28"/>
      <c r="T80" s="28"/>
      <c r="U80" s="28"/>
      <c r="V80" s="28"/>
      <c r="W80" s="28"/>
      <c r="X80" s="28"/>
      <c r="Y80" s="28"/>
      <c r="Z80" s="28"/>
      <c r="AA80" s="28"/>
      <c r="AC80" s="1"/>
    </row>
    <row r="81" spans="7:29">
      <c r="G81" s="28"/>
      <c r="H81" s="28"/>
      <c r="I81" s="28"/>
      <c r="J81" s="28"/>
      <c r="K81" s="28"/>
      <c r="L81" s="28"/>
      <c r="M81" s="28"/>
      <c r="N81" s="28"/>
      <c r="O81" s="28"/>
      <c r="P81" s="28"/>
      <c r="Q81" s="28"/>
      <c r="R81" s="28"/>
      <c r="S81" s="28"/>
      <c r="T81" s="28"/>
      <c r="U81" s="28"/>
      <c r="V81" s="28"/>
      <c r="W81" s="28"/>
      <c r="X81" s="28"/>
      <c r="Y81" s="28"/>
      <c r="Z81" s="28"/>
      <c r="AA81" s="28"/>
      <c r="AC81" s="1"/>
    </row>
    <row r="82" spans="7:29">
      <c r="G82" s="28"/>
      <c r="H82" s="28"/>
      <c r="I82" s="28"/>
      <c r="J82" s="28"/>
      <c r="K82" s="28"/>
      <c r="L82" s="28"/>
      <c r="M82" s="28"/>
      <c r="N82" s="28"/>
      <c r="O82" s="28"/>
      <c r="P82" s="28"/>
      <c r="Q82" s="28"/>
      <c r="R82" s="28"/>
      <c r="S82" s="28"/>
      <c r="T82" s="28"/>
      <c r="U82" s="28"/>
      <c r="V82" s="28"/>
      <c r="W82" s="28"/>
      <c r="X82" s="28"/>
      <c r="Y82" s="28"/>
      <c r="Z82" s="28"/>
      <c r="AA82" s="28"/>
      <c r="AC82" s="1"/>
    </row>
    <row r="83" spans="7:29">
      <c r="G83" s="28"/>
      <c r="H83" s="28"/>
      <c r="I83" s="28"/>
      <c r="J83" s="28"/>
      <c r="K83" s="28"/>
      <c r="L83" s="28"/>
      <c r="M83" s="28"/>
      <c r="N83" s="28"/>
      <c r="O83" s="28"/>
      <c r="P83" s="28"/>
      <c r="Q83" s="28"/>
      <c r="R83" s="28"/>
      <c r="S83" s="28"/>
      <c r="T83" s="28"/>
      <c r="U83" s="28"/>
      <c r="V83" s="28"/>
      <c r="W83" s="28"/>
      <c r="X83" s="28"/>
      <c r="Y83" s="28"/>
      <c r="Z83" s="28"/>
      <c r="AA83" s="28"/>
      <c r="AC83" s="1"/>
    </row>
    <row r="84" spans="7:29">
      <c r="G84" s="28"/>
      <c r="H84" s="28"/>
      <c r="I84" s="28"/>
      <c r="J84" s="28"/>
      <c r="K84" s="28"/>
      <c r="L84" s="28"/>
      <c r="M84" s="28"/>
      <c r="N84" s="28"/>
      <c r="O84" s="28"/>
      <c r="P84" s="28"/>
      <c r="Q84" s="28"/>
      <c r="R84" s="28"/>
      <c r="S84" s="28"/>
      <c r="T84" s="28"/>
      <c r="U84" s="28"/>
      <c r="V84" s="28"/>
      <c r="W84" s="28"/>
      <c r="X84" s="28"/>
      <c r="Y84" s="28"/>
      <c r="Z84" s="28"/>
      <c r="AA84" s="28"/>
      <c r="AC84" s="1"/>
    </row>
    <row r="85" spans="7:29">
      <c r="G85" s="28"/>
      <c r="H85" s="28"/>
      <c r="I85" s="28"/>
      <c r="J85" s="28"/>
      <c r="K85" s="28"/>
      <c r="L85" s="28"/>
      <c r="M85" s="28"/>
      <c r="N85" s="28"/>
      <c r="O85" s="28"/>
      <c r="P85" s="28"/>
      <c r="Q85" s="28"/>
      <c r="R85" s="28"/>
      <c r="S85" s="28"/>
      <c r="T85" s="28"/>
      <c r="U85" s="28"/>
      <c r="V85" s="28"/>
      <c r="W85" s="28"/>
      <c r="X85" s="28"/>
      <c r="Y85" s="28"/>
      <c r="Z85" s="28"/>
      <c r="AA85" s="28"/>
      <c r="AC85" s="1"/>
    </row>
    <row r="86" spans="7:29">
      <c r="G86" s="28"/>
      <c r="H86" s="28"/>
      <c r="I86" s="28"/>
      <c r="J86" s="28"/>
      <c r="K86" s="28"/>
      <c r="L86" s="28"/>
      <c r="M86" s="28"/>
      <c r="N86" s="28"/>
      <c r="O86" s="28"/>
      <c r="P86" s="28"/>
      <c r="Q86" s="28"/>
      <c r="R86" s="28"/>
      <c r="S86" s="28"/>
      <c r="T86" s="28"/>
      <c r="U86" s="28"/>
      <c r="V86" s="28"/>
      <c r="W86" s="28"/>
      <c r="X86" s="28"/>
      <c r="Y86" s="28"/>
      <c r="Z86" s="28"/>
      <c r="AA86" s="28"/>
      <c r="AC86" s="1"/>
    </row>
    <row r="87" spans="7:29">
      <c r="G87" s="28"/>
      <c r="H87" s="28"/>
      <c r="I87" s="28"/>
      <c r="J87" s="28"/>
      <c r="K87" s="28"/>
      <c r="L87" s="28"/>
      <c r="M87" s="28"/>
      <c r="N87" s="28"/>
      <c r="O87" s="28"/>
      <c r="P87" s="28"/>
      <c r="Q87" s="28"/>
      <c r="R87" s="28"/>
      <c r="S87" s="28"/>
      <c r="T87" s="28"/>
      <c r="U87" s="28"/>
      <c r="V87" s="28"/>
      <c r="W87" s="28"/>
      <c r="X87" s="28"/>
      <c r="Y87" s="28"/>
      <c r="Z87" s="28"/>
      <c r="AA87" s="28"/>
      <c r="AC87" s="1"/>
    </row>
    <row r="88" spans="7:29">
      <c r="G88" s="28"/>
      <c r="H88" s="28"/>
      <c r="I88" s="28"/>
      <c r="J88" s="28"/>
      <c r="K88" s="28"/>
      <c r="L88" s="28"/>
      <c r="M88" s="28"/>
      <c r="N88" s="28"/>
      <c r="O88" s="28"/>
      <c r="P88" s="28"/>
      <c r="Q88" s="28"/>
      <c r="R88" s="28"/>
      <c r="S88" s="28"/>
      <c r="T88" s="28"/>
      <c r="U88" s="28"/>
      <c r="V88" s="28"/>
      <c r="W88" s="28"/>
      <c r="X88" s="28"/>
      <c r="Y88" s="28"/>
      <c r="Z88" s="28"/>
      <c r="AA88" s="28"/>
      <c r="AC88" s="1"/>
    </row>
    <row r="89" spans="7:29">
      <c r="G89" s="28"/>
      <c r="H89" s="28"/>
      <c r="I89" s="28"/>
      <c r="J89" s="28"/>
      <c r="K89" s="28"/>
      <c r="L89" s="28"/>
      <c r="M89" s="28"/>
      <c r="N89" s="28"/>
      <c r="O89" s="28"/>
      <c r="P89" s="28"/>
      <c r="Q89" s="28"/>
      <c r="R89" s="28"/>
      <c r="S89" s="28"/>
      <c r="T89" s="28"/>
      <c r="U89" s="28"/>
      <c r="V89" s="28"/>
      <c r="W89" s="28"/>
      <c r="X89" s="28"/>
      <c r="Y89" s="28"/>
      <c r="Z89" s="28"/>
      <c r="AA89" s="28"/>
      <c r="AC89" s="1"/>
    </row>
    <row r="90" spans="7:29">
      <c r="G90" s="28"/>
      <c r="H90" s="28"/>
      <c r="I90" s="28"/>
      <c r="J90" s="28"/>
      <c r="K90" s="28"/>
      <c r="L90" s="28"/>
      <c r="M90" s="28"/>
      <c r="N90" s="28"/>
      <c r="O90" s="28"/>
      <c r="P90" s="28"/>
      <c r="Q90" s="28"/>
      <c r="R90" s="28"/>
      <c r="S90" s="28"/>
      <c r="T90" s="28"/>
      <c r="U90" s="28"/>
      <c r="V90" s="28"/>
      <c r="W90" s="28"/>
      <c r="X90" s="28"/>
      <c r="Y90" s="28"/>
      <c r="Z90" s="28"/>
      <c r="AA90" s="28"/>
      <c r="AC90" s="1"/>
    </row>
    <row r="91" spans="7:29">
      <c r="G91" s="28"/>
      <c r="H91" s="28"/>
      <c r="I91" s="28"/>
      <c r="J91" s="28"/>
      <c r="K91" s="28"/>
      <c r="L91" s="28"/>
      <c r="M91" s="28"/>
      <c r="N91" s="28"/>
      <c r="O91" s="28"/>
      <c r="P91" s="28"/>
      <c r="Q91" s="28"/>
      <c r="R91" s="28"/>
      <c r="S91" s="28"/>
      <c r="T91" s="28"/>
      <c r="U91" s="28"/>
      <c r="V91" s="28"/>
      <c r="W91" s="28"/>
      <c r="X91" s="28"/>
      <c r="Y91" s="28"/>
      <c r="Z91" s="28"/>
      <c r="AA91" s="28"/>
      <c r="AC91" s="1"/>
    </row>
    <row r="92" spans="7:29">
      <c r="G92" s="28"/>
      <c r="H92" s="28"/>
      <c r="I92" s="28"/>
      <c r="J92" s="28"/>
      <c r="K92" s="28"/>
      <c r="L92" s="28"/>
      <c r="M92" s="28"/>
      <c r="N92" s="28"/>
      <c r="O92" s="28"/>
      <c r="P92" s="28"/>
      <c r="Q92" s="28"/>
      <c r="R92" s="28"/>
      <c r="S92" s="28"/>
      <c r="T92" s="28"/>
      <c r="U92" s="28"/>
      <c r="V92" s="28"/>
      <c r="W92" s="28"/>
      <c r="X92" s="28"/>
      <c r="Y92" s="28"/>
      <c r="Z92" s="28"/>
      <c r="AA92" s="28"/>
      <c r="AC92" s="1"/>
    </row>
    <row r="93" spans="7:29">
      <c r="G93" s="28"/>
      <c r="H93" s="28"/>
      <c r="I93" s="28"/>
      <c r="J93" s="28"/>
      <c r="K93" s="28"/>
      <c r="L93" s="28"/>
      <c r="M93" s="28"/>
      <c r="N93" s="28"/>
      <c r="O93" s="28"/>
      <c r="P93" s="28"/>
      <c r="Q93" s="28"/>
      <c r="R93" s="28"/>
      <c r="S93" s="28"/>
      <c r="T93" s="28"/>
      <c r="U93" s="28"/>
      <c r="V93" s="28"/>
      <c r="W93" s="28"/>
      <c r="X93" s="28"/>
      <c r="Y93" s="28"/>
      <c r="Z93" s="28"/>
      <c r="AA93" s="28"/>
      <c r="AC93" s="1"/>
    </row>
    <row r="94" spans="7:29">
      <c r="G94" s="28"/>
      <c r="H94" s="28"/>
      <c r="I94" s="28"/>
      <c r="J94" s="28"/>
      <c r="K94" s="28"/>
      <c r="L94" s="28"/>
      <c r="M94" s="28"/>
      <c r="N94" s="28"/>
      <c r="O94" s="28"/>
      <c r="P94" s="28"/>
      <c r="Q94" s="28"/>
      <c r="R94" s="28"/>
      <c r="S94" s="28"/>
      <c r="T94" s="28"/>
      <c r="U94" s="28"/>
      <c r="V94" s="28"/>
      <c r="W94" s="28"/>
      <c r="X94" s="28"/>
      <c r="Y94" s="28"/>
      <c r="Z94" s="28"/>
      <c r="AA94" s="28"/>
      <c r="AC94" s="1"/>
    </row>
    <row r="95" spans="7:29">
      <c r="G95" s="28"/>
      <c r="H95" s="28"/>
      <c r="I95" s="28"/>
      <c r="J95" s="28"/>
      <c r="K95" s="28"/>
      <c r="L95" s="28"/>
      <c r="M95" s="28"/>
      <c r="N95" s="28"/>
      <c r="O95" s="28"/>
      <c r="P95" s="28"/>
      <c r="Q95" s="28"/>
      <c r="R95" s="28"/>
      <c r="S95" s="28"/>
      <c r="T95" s="28"/>
      <c r="U95" s="28"/>
      <c r="V95" s="28"/>
      <c r="W95" s="28"/>
      <c r="X95" s="28"/>
      <c r="Y95" s="28"/>
      <c r="Z95" s="28"/>
      <c r="AA95" s="28"/>
      <c r="AC95" s="1"/>
    </row>
    <row r="96" spans="7:29">
      <c r="G96" s="28"/>
      <c r="H96" s="28"/>
      <c r="I96" s="28"/>
      <c r="J96" s="28"/>
      <c r="K96" s="28"/>
      <c r="L96" s="28"/>
      <c r="M96" s="28"/>
      <c r="N96" s="28"/>
      <c r="O96" s="28"/>
      <c r="P96" s="28"/>
      <c r="Q96" s="28"/>
      <c r="R96" s="28"/>
      <c r="S96" s="28"/>
      <c r="T96" s="28"/>
      <c r="U96" s="28"/>
      <c r="V96" s="28"/>
      <c r="W96" s="28"/>
      <c r="X96" s="28"/>
      <c r="Y96" s="28"/>
      <c r="Z96" s="28"/>
      <c r="AA96" s="28"/>
      <c r="AC96" s="1"/>
    </row>
    <row r="97" spans="7:29">
      <c r="G97" s="28"/>
      <c r="H97" s="28"/>
      <c r="I97" s="28"/>
      <c r="J97" s="28"/>
      <c r="K97" s="28"/>
      <c r="L97" s="28"/>
      <c r="M97" s="28"/>
      <c r="N97" s="28"/>
      <c r="O97" s="28"/>
      <c r="P97" s="28"/>
      <c r="Q97" s="28"/>
      <c r="R97" s="28"/>
      <c r="S97" s="28"/>
      <c r="T97" s="28"/>
      <c r="U97" s="28"/>
      <c r="V97" s="28"/>
      <c r="W97" s="28"/>
      <c r="X97" s="28"/>
      <c r="Y97" s="28"/>
      <c r="Z97" s="28"/>
      <c r="AA97" s="28"/>
      <c r="AC97" s="1"/>
    </row>
    <row r="98" spans="7:29">
      <c r="G98" s="28"/>
      <c r="H98" s="28"/>
      <c r="I98" s="28"/>
      <c r="J98" s="28"/>
      <c r="K98" s="28"/>
      <c r="L98" s="28"/>
      <c r="M98" s="28"/>
      <c r="N98" s="28"/>
      <c r="O98" s="28"/>
      <c r="P98" s="28"/>
      <c r="Q98" s="28"/>
      <c r="R98" s="28"/>
      <c r="S98" s="28"/>
      <c r="T98" s="28"/>
      <c r="U98" s="28"/>
      <c r="V98" s="28"/>
      <c r="W98" s="28"/>
      <c r="X98" s="28"/>
      <c r="Y98" s="28"/>
      <c r="Z98" s="28"/>
      <c r="AA98" s="28"/>
      <c r="AC98" s="1"/>
    </row>
    <row r="99" spans="7:29">
      <c r="G99" s="28"/>
      <c r="H99" s="28"/>
      <c r="I99" s="28"/>
      <c r="J99" s="28"/>
      <c r="K99" s="28"/>
      <c r="L99" s="28"/>
      <c r="M99" s="28"/>
      <c r="N99" s="28"/>
      <c r="O99" s="28"/>
      <c r="P99" s="28"/>
      <c r="Q99" s="28"/>
      <c r="R99" s="28"/>
      <c r="S99" s="28"/>
      <c r="T99" s="28"/>
      <c r="U99" s="28"/>
      <c r="V99" s="28"/>
      <c r="W99" s="28"/>
      <c r="X99" s="28"/>
      <c r="Y99" s="28"/>
      <c r="Z99" s="28"/>
      <c r="AA99" s="28"/>
      <c r="AC99" s="1"/>
    </row>
    <row r="100" spans="7:29">
      <c r="G100" s="28"/>
      <c r="H100" s="28"/>
      <c r="I100" s="28"/>
      <c r="J100" s="28"/>
      <c r="K100" s="28"/>
      <c r="L100" s="28"/>
      <c r="M100" s="28"/>
      <c r="N100" s="28"/>
      <c r="O100" s="28"/>
      <c r="P100" s="28"/>
      <c r="Q100" s="28"/>
      <c r="R100" s="28"/>
      <c r="S100" s="28"/>
      <c r="T100" s="28"/>
      <c r="U100" s="28"/>
      <c r="V100" s="28"/>
      <c r="W100" s="28"/>
      <c r="X100" s="28"/>
      <c r="Y100" s="28"/>
      <c r="Z100" s="28"/>
      <c r="AA100" s="28"/>
      <c r="AC100" s="1"/>
    </row>
    <row r="101" spans="7:29">
      <c r="AC101" s="1"/>
    </row>
    <row r="102" spans="7:29">
      <c r="AC102" s="1"/>
    </row>
    <row r="103" spans="7:29">
      <c r="AC103" s="1"/>
    </row>
    <row r="104" spans="7:29">
      <c r="AC104" s="1"/>
    </row>
    <row r="105" spans="7:29">
      <c r="AC105" s="1"/>
    </row>
    <row r="106" spans="7:29">
      <c r="AC106" s="1"/>
    </row>
    <row r="107" spans="7:29">
      <c r="AC107" s="1"/>
    </row>
  </sheetData>
  <sheetProtection password="EF73" sheet="1" objects="1" scenarios="1" formatCells="0"/>
  <customSheetViews>
    <customSheetView guid="{D786A5C0-FBC0-4F24-9F75-D436CA99DC6C}" zeroValues="0" hiddenRows="1" hiddenColumns="1" state="hidden" topLeftCell="B7">
      <selection activeCell="F7" sqref="F7:L27"/>
      <pageMargins left="0.7" right="0.7" top="0.75" bottom="0.75" header="0.3" footer="0.3"/>
      <pageSetup orientation="portrait" r:id="rId1"/>
    </customSheetView>
  </customSheetViews>
  <mergeCells count="4">
    <mergeCell ref="C7:C8"/>
    <mergeCell ref="C11:D11"/>
    <mergeCell ref="C12:D21"/>
    <mergeCell ref="C24:C27"/>
  </mergeCells>
  <dataValidations count="9">
    <dataValidation type="decimal" allowBlank="1" showInputMessage="1" showErrorMessage="1" error="أدخال غير صحيح" prompt="ضع فريضة الوارث فى هذه الخلية" sqref="IP12:IP23 G65527:G65536">
      <formula1>0</formula1>
      <formula2>1</formula2>
    </dataValidation>
    <dataValidation type="decimal" allowBlank="1" showInputMessage="1" showErrorMessage="1" error="أدخال غير صحيح (تأكد من الكسر)" promptTitle=" " prompt="وصى المتوفى (ضع الوصية التالثة)" sqref="K65522">
      <formula1>0</formula1>
      <formula2>99/100</formula2>
    </dataValidation>
    <dataValidation type="decimal" allowBlank="1" showInputMessage="1" showErrorMessage="1" error="أدخال غير صحيح (تأكد من الكسر)" promptTitle=" " prompt="وصى المتوفى (ضع الوصية التانية)" sqref="J65522">
      <formula1>0</formula1>
      <formula2>99/100</formula2>
    </dataValidation>
    <dataValidation type="decimal" allowBlank="1" showInputMessage="1" showErrorMessage="1" error="أدخال غير صحيح (ضع صفر ان لم يوصى)" promptTitle=" " prompt="وصى المتوفى  (ضع الوصية الأولى)" sqref="I65522">
      <formula1>0</formula1>
      <formula2>99/100</formula2>
    </dataValidation>
    <dataValidation type="textLength" operator="lessThan" allowBlank="1" showInputMessage="1" showErrorMessage="1" error="أدخال غير صحيح" prompt="ضع أسم الوارث فى هذه الخلية" sqref="IO12:IO23 F65527:F65536">
      <formula1>20</formula1>
    </dataValidation>
    <dataValidation type="decimal" allowBlank="1" showInputMessage="1" showErrorMessage="1" error="أدخال غير صحيح (تأكد من الكسر)" promptTitle=" " prompt="وصى المتوفى (ضع الوصية الرابعة)" sqref="L65522">
      <formula1>0</formula1>
      <formula2>99/100</formula2>
    </dataValidation>
    <dataValidation type="decimal" allowBlank="1" showInputMessage="1" showErrorMessage="1" error="أدخال غير صحيح" prompt="ضع بسط الفريضة أن لزم الأمر " sqref="IQ12:IQ23 H65527:H65536">
      <formula1>1</formula1>
      <formula2>100</formula2>
    </dataValidation>
    <dataValidation type="decimal" allowBlank="1" showInputMessage="1" showErrorMessage="1" error="أدخال غير صحيح" prompt="هذه الخلية مخصصة لتصحيح المسألة  ضع مقام الكسر أعلاه هنا" sqref="N50:N51 P65524:P65525">
      <formula1>0</formula1>
      <formula2>1000</formula2>
    </dataValidation>
    <dataValidation type="decimal" allowBlank="1" showInputMessage="1" showErrorMessage="1" error="أدخال غير صحيح" promptTitle="أجاز الوصية ضع 1 غير ذلك ضع 0  " prompt=" " sqref="IR12:IU23 I65527:L65536">
      <formula1>0</formula1>
      <formula2>1</formula2>
    </dataValidation>
  </dataValidations>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tns:customPropertyEditors xmlns:tns="http://schemas.microsoft.com/office/2006/customDocumentInformationPanel">
  <tns:showOnOpen>false</tns:showOnOpen>
  <tns:defaultPropertyEditorNamespace>Standard properties</tns:defaultPropertyEditorNamespace>
</tns:customPropertyEditors>
</file>

<file path=customXml/itemProps1.xml><?xml version="1.0" encoding="utf-8"?>
<ds:datastoreItem xmlns:ds="http://schemas.openxmlformats.org/officeDocument/2006/customXml" ds:itemID="{27E8655B-B3FB-4F97-9CB2-F8363813A8EF}">
  <ds:schemaRefs>
    <ds:schemaRef ds:uri="http://schemas.microsoft.com/office/2006/customDocumentInformationPan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37</vt:i4>
      </vt:variant>
    </vt:vector>
  </HeadingPairs>
  <TitlesOfParts>
    <vt:vector size="54" baseType="lpstr">
      <vt:lpstr>أدخال البيانات</vt:lpstr>
      <vt:lpstr>أدخال  البيانات</vt:lpstr>
      <vt:lpstr>حساب التركة والوصايا</vt:lpstr>
      <vt:lpstr>شرح الحالة</vt:lpstr>
      <vt:lpstr>الأجـــازة للوصايا</vt:lpstr>
      <vt:lpstr>أقرأ (2)</vt:lpstr>
      <vt:lpstr>Sheet5</vt:lpstr>
      <vt:lpstr>ورقة أجازة وعدم الأجازة للمختصن</vt:lpstr>
      <vt:lpstr>(2) </vt:lpstr>
      <vt:lpstr>(3) </vt:lpstr>
      <vt:lpstr>(4) </vt:lpstr>
      <vt:lpstr>(5) </vt:lpstr>
      <vt:lpstr>(6) </vt:lpstr>
      <vt:lpstr>(7) </vt:lpstr>
      <vt:lpstr>طريقة العمل</vt:lpstr>
      <vt:lpstr>ورقة غير محمية للسحب والطباعة </vt:lpstr>
      <vt:lpstr>Sheet2</vt:lpstr>
      <vt:lpstr>'(2) '!Criteria</vt:lpstr>
      <vt:lpstr>'(3) '!Criteria</vt:lpstr>
      <vt:lpstr>'(4) '!Criteria</vt:lpstr>
      <vt:lpstr>'(5) '!Criteria</vt:lpstr>
      <vt:lpstr>'(6) '!Criteria</vt:lpstr>
      <vt:lpstr>'(7) '!Criteria</vt:lpstr>
      <vt:lpstr>'الأجـــازة للوصايا'!Criteria</vt:lpstr>
      <vt:lpstr>'ورقة أجازة وعدم الأجازة للمختصن'!Criteria</vt:lpstr>
      <vt:lpstr>'أدخال البيانات'!Print_Area</vt:lpstr>
      <vt:lpstr>'طريقة العمل'!Print_Area</vt:lpstr>
      <vt:lpstr>'أقرأ (2)'!أدلة_الإرث_</vt:lpstr>
      <vt:lpstr>'أقرأ (2)'!أصحاب_الرد_</vt:lpstr>
      <vt:lpstr>'أقرأ (2)'!أصناف_أصحاب_الفروض_</vt:lpstr>
      <vt:lpstr>'أدخال البيانات'!الأبناء__ذكور</vt:lpstr>
      <vt:lpstr>'أقرأ (2)'!الأخت_لأب_</vt:lpstr>
      <vt:lpstr>'أقرأ (2)'!الأخوات_الشقيقات_</vt:lpstr>
      <vt:lpstr>'أقرأ (2)'!الأم_</vt:lpstr>
      <vt:lpstr>'أقرأ (2)'!الجد</vt:lpstr>
      <vt:lpstr>'أقرأ (2)'!الجدة_الصحيحة_لأب_</vt:lpstr>
      <vt:lpstr>'أقرأ (2)'!الجدة_الصحيحة_لأم_</vt:lpstr>
      <vt:lpstr>الجدة_أم__الأم</vt:lpstr>
      <vt:lpstr>'أقرأ (2)'!الرد_على_الزوج__</vt:lpstr>
      <vt:lpstr>'أقرأ (2)'!الزوج</vt:lpstr>
      <vt:lpstr>'أقرأ (2)'!الزوجة</vt:lpstr>
      <vt:lpstr>'أقرأ (2)'!العصبات_</vt:lpstr>
      <vt:lpstr>'أقرأ (2)'!المقر_له_بالنسب_على_الغير_</vt:lpstr>
      <vt:lpstr>'أقرأ (2)'!الموصى_له_بما_زاد_على_الثلث_</vt:lpstr>
      <vt:lpstr>'أقرأ (2)'!أنواع_أصحاب_الفروض_</vt:lpstr>
      <vt:lpstr>'أقرأ (2)'!بنات_الابن_</vt:lpstr>
      <vt:lpstr>'أقرأ (2)'!بنات_الصلب_</vt:lpstr>
      <vt:lpstr>'أقرأ (2)'!بيت_المال_</vt:lpstr>
      <vt:lpstr>'أقرأ (2)'!حياة_الوارث_</vt:lpstr>
      <vt:lpstr>'أقرأ (2)'!ذوو_الأرحام_</vt:lpstr>
      <vt:lpstr>'أقرأ (2)'!موانع_أصلية_</vt:lpstr>
      <vt:lpstr>'أقرأ (2)'!موانع_تبعية_</vt:lpstr>
      <vt:lpstr>'أقرأ (2)'!موت_المورث_</vt:lpstr>
      <vt:lpstr>'أقرأ (2)'!ميراث_الإخوة_والأخوات_لأم_</vt:lpstr>
    </vt:vector>
  </TitlesOfParts>
  <Company>Toshiba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mohammed</dc:creator>
  <cp:lastModifiedBy>ansam</cp:lastModifiedBy>
  <cp:lastPrinted>2014-02-09T18:06:11Z</cp:lastPrinted>
  <dcterms:created xsi:type="dcterms:W3CDTF">2009-05-09T20:57:48Z</dcterms:created>
  <dcterms:modified xsi:type="dcterms:W3CDTF">2014-04-02T08:27:52Z</dcterms:modified>
</cp:coreProperties>
</file>